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comments4.xml" ContentType="application/vnd.openxmlformats-officedocument.spreadsheetml.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hidePivotFieldList="1" autoCompressPictures="0" defaultThemeVersion="124226"/>
  <mc:AlternateContent xmlns:mc="http://schemas.openxmlformats.org/markup-compatibility/2006">
    <mc:Choice Requires="x15">
      <x15ac:absPath xmlns:x15ac="http://schemas.microsoft.com/office/spreadsheetml/2010/11/ac" url="I:\DataExchange\DE2016-17\Summary Data\"/>
    </mc:Choice>
  </mc:AlternateContent>
  <xr:revisionPtr revIDLastSave="0" documentId="13_ncr:1_{1B81F705-F262-46F0-9063-E9FC55FA1F2D}" xr6:coauthVersionLast="31" xr6:coauthVersionMax="31" xr10:uidLastSave="{00000000-0000-0000-0000-000000000000}"/>
  <bookViews>
    <workbookView xWindow="0" yWindow="0" windowWidth="17385" windowHeight="9465" activeTab="2" xr2:uid="{00000000-000D-0000-FFFF-FFFF00000000}"/>
  </bookViews>
  <sheets>
    <sheet name="NEW...Tables 87-90" sheetId="11" r:id="rId1"/>
    <sheet name="OLD...Tables" sheetId="10" r:id="rId2"/>
    <sheet name="NEW...Tables 91-112" sheetId="9" r:id="rId3"/>
    <sheet name="OLD...Tabs" sheetId="8" r:id="rId4"/>
    <sheet name="Pivot Table for Data Exchange" sheetId="7" r:id="rId5"/>
    <sheet name="05InstructionTypes" sheetId="1" r:id="rId6"/>
    <sheet name="Sheet1" sheetId="2" r:id="rId7"/>
    <sheet name="Format for DE pivot" sheetId="6" r:id="rId8"/>
    <sheet name="Summary Table for Fact Book" sheetId="5" r:id="rId9"/>
    <sheet name="Pivot Table for Fact Book" sheetId="4" r:id="rId10"/>
    <sheet name="Format for FB Pivot Tab" sheetId="3" r:id="rId11"/>
  </sheets>
  <externalReferences>
    <externalReference r:id="rId12"/>
  </externalReferences>
  <definedNames>
    <definedName name="_xlnm.Print_Area" localSheetId="0">'NEW...Tables 87-90'!$A$1:$P$116</definedName>
    <definedName name="_xlnm.Print_Area" localSheetId="2">'NEW...Tables 91-112'!$A$1:$P$461</definedName>
    <definedName name="_xlnm.Print_Area" localSheetId="1">OLD...Tables!$A$1:$P$113</definedName>
    <definedName name="_xlnm.Print_Area" localSheetId="3">OLD...Tabs!$A$1:$P$461</definedName>
    <definedName name="Type13gr1" localSheetId="5">'05InstructionTypes'!$W$164:$W$415</definedName>
    <definedName name="Type13gr1_1" localSheetId="5">'05InstructionTypes'!$W$417:$W$655</definedName>
    <definedName name="Type13gr2" localSheetId="5">'05InstructionTypes'!$Y$164:$Y$415</definedName>
    <definedName name="Type13gr2_1" localSheetId="5">'05InstructionTypes'!$Y$417:$Y$655</definedName>
    <definedName name="Type13gr3" localSheetId="5">'05InstructionTypes'!$AC$164:$AC$415</definedName>
    <definedName name="Type13gr3_1" localSheetId="5">'05InstructionTypes'!$AC$417:$AC$655</definedName>
    <definedName name="Type13gr4" localSheetId="5">'05InstructionTypes'!$AD$164:$AD$415</definedName>
    <definedName name="Type13gr4_1" localSheetId="5">'05InstructionTypes'!$AD$417:$AD$655</definedName>
    <definedName name="Type13gr5_1" localSheetId="5">'05InstructionTypes'!$AE$164:$AE$415</definedName>
    <definedName name="Type13gr5_2" localSheetId="5">'05InstructionTypes'!$AE$417:$AE$655</definedName>
    <definedName name="Type13ug1" localSheetId="5">'05InstructionTypes'!$I$164:$I$415</definedName>
    <definedName name="Type13ug1_1" localSheetId="5">'05InstructionTypes'!$I$417:$I$655</definedName>
    <definedName name="Type13ug2" localSheetId="5">'05InstructionTypes'!$K$164:$K$415</definedName>
    <definedName name="Type13ug2_1" localSheetId="5">'05InstructionTypes'!$K$417:$K$655</definedName>
    <definedName name="Type13ug3" localSheetId="5">'05InstructionTypes'!$O$164:$O$415</definedName>
    <definedName name="Type13ug3_1" localSheetId="5">'05InstructionTypes'!$O$417:$O$655</definedName>
    <definedName name="Type13ug4" localSheetId="5">'05InstructionTypes'!$P$164:$P$415</definedName>
    <definedName name="Type13ug4_1" localSheetId="5">'05InstructionTypes'!$P$417:$P$655</definedName>
    <definedName name="Type13ug5" localSheetId="5">'05InstructionTypes'!$Q$164:$Q$415</definedName>
    <definedName name="Type13ug5_1" localSheetId="5">'05InstructionTypes'!$Q$417:$Q$655</definedName>
  </definedNames>
  <calcPr calcId="179017"/>
  <pivotCaches>
    <pivotCache cacheId="0" r:id="rId13"/>
    <pivotCache cacheId="1" r:id="rId14"/>
  </pivotCaches>
</workbook>
</file>

<file path=xl/calcChain.xml><?xml version="1.0" encoding="utf-8"?>
<calcChain xmlns="http://schemas.openxmlformats.org/spreadsheetml/2006/main">
  <c r="J46" i="10" l="1"/>
  <c r="F42" i="10"/>
  <c r="E15" i="10"/>
  <c r="C15" i="10"/>
  <c r="H458" i="8"/>
  <c r="G458" i="8"/>
  <c r="F458" i="8"/>
  <c r="E458" i="8"/>
  <c r="C458" i="8"/>
  <c r="B458" i="8"/>
  <c r="H457" i="8"/>
  <c r="G457" i="8"/>
  <c r="F457" i="8"/>
  <c r="E457" i="8"/>
  <c r="C457" i="8"/>
  <c r="B457" i="8"/>
  <c r="H456" i="8"/>
  <c r="G456" i="8"/>
  <c r="F456" i="8"/>
  <c r="E456" i="8"/>
  <c r="C456" i="8"/>
  <c r="B456" i="8"/>
  <c r="O23" i="10" s="1"/>
  <c r="H455" i="8"/>
  <c r="G455" i="8"/>
  <c r="F455" i="8"/>
  <c r="E455" i="8"/>
  <c r="C455" i="8"/>
  <c r="B455" i="8"/>
  <c r="H453" i="8"/>
  <c r="G453" i="8"/>
  <c r="F453" i="8"/>
  <c r="E453" i="8"/>
  <c r="D453" i="8" s="1"/>
  <c r="O47" i="10" s="1"/>
  <c r="C453" i="8"/>
  <c r="B453" i="8"/>
  <c r="H452" i="8"/>
  <c r="G452" i="8"/>
  <c r="F452" i="8"/>
  <c r="E452" i="8"/>
  <c r="D452" i="8" s="1"/>
  <c r="O46" i="10" s="1"/>
  <c r="C452" i="8"/>
  <c r="B452" i="8"/>
  <c r="H451" i="8"/>
  <c r="G451" i="8"/>
  <c r="F451" i="8"/>
  <c r="E451" i="8"/>
  <c r="C451" i="8"/>
  <c r="B451" i="8"/>
  <c r="O18" i="10" s="1"/>
  <c r="H450" i="8"/>
  <c r="G450" i="8"/>
  <c r="F450" i="8"/>
  <c r="E450" i="8"/>
  <c r="C450" i="8"/>
  <c r="B450" i="8"/>
  <c r="H448" i="8"/>
  <c r="G448" i="8"/>
  <c r="F448" i="8"/>
  <c r="E448" i="8"/>
  <c r="C448" i="8"/>
  <c r="B448" i="8"/>
  <c r="H447" i="8"/>
  <c r="G447" i="8"/>
  <c r="F447" i="8"/>
  <c r="E447" i="8"/>
  <c r="D447" i="8" s="1"/>
  <c r="O41" i="10" s="1"/>
  <c r="C447" i="8"/>
  <c r="B447" i="8"/>
  <c r="H446" i="8"/>
  <c r="G446" i="8"/>
  <c r="F446" i="8"/>
  <c r="E446" i="8"/>
  <c r="C446" i="8"/>
  <c r="B446" i="8"/>
  <c r="O13" i="10" s="1"/>
  <c r="H445" i="8"/>
  <c r="G445" i="8"/>
  <c r="F445" i="8"/>
  <c r="E445" i="8"/>
  <c r="D445" i="8" s="1"/>
  <c r="O39" i="10" s="1"/>
  <c r="C445" i="8"/>
  <c r="B445" i="8"/>
  <c r="H443" i="8"/>
  <c r="G443" i="8"/>
  <c r="F443" i="8"/>
  <c r="E443" i="8"/>
  <c r="C443" i="8"/>
  <c r="B443" i="8"/>
  <c r="O10" i="10" s="1"/>
  <c r="H442" i="8"/>
  <c r="G442" i="8"/>
  <c r="F442" i="8"/>
  <c r="E442" i="8"/>
  <c r="C442" i="8"/>
  <c r="B442" i="8"/>
  <c r="H441" i="8"/>
  <c r="G441" i="8"/>
  <c r="F441" i="8"/>
  <c r="E441" i="8"/>
  <c r="C441" i="8"/>
  <c r="B441" i="8"/>
  <c r="O8" i="10" s="1"/>
  <c r="H440" i="8"/>
  <c r="G440" i="8"/>
  <c r="F440" i="8"/>
  <c r="E440" i="8"/>
  <c r="C440" i="8"/>
  <c r="B440" i="8"/>
  <c r="H428" i="8"/>
  <c r="G428" i="8"/>
  <c r="F428" i="8"/>
  <c r="E428" i="8"/>
  <c r="C428" i="8"/>
  <c r="B428" i="8"/>
  <c r="H427" i="8"/>
  <c r="G427" i="8"/>
  <c r="F427" i="8"/>
  <c r="E427" i="8"/>
  <c r="D427" i="8" s="1"/>
  <c r="N51" i="10" s="1"/>
  <c r="C427" i="8"/>
  <c r="B427" i="8"/>
  <c r="H426" i="8"/>
  <c r="G426" i="8"/>
  <c r="F426" i="8"/>
  <c r="E426" i="8"/>
  <c r="C426" i="8"/>
  <c r="B426" i="8"/>
  <c r="N23" i="10" s="1"/>
  <c r="H425" i="8"/>
  <c r="G425" i="8"/>
  <c r="F425" i="8"/>
  <c r="E425" i="8"/>
  <c r="C425" i="8"/>
  <c r="B425" i="8"/>
  <c r="H423" i="8"/>
  <c r="G423" i="8"/>
  <c r="F423" i="8"/>
  <c r="E423" i="8"/>
  <c r="C423" i="8"/>
  <c r="B423" i="8"/>
  <c r="H422" i="8"/>
  <c r="G422" i="8"/>
  <c r="F422" i="8"/>
  <c r="E422" i="8"/>
  <c r="D422" i="8" s="1"/>
  <c r="N46" i="10" s="1"/>
  <c r="C422" i="8"/>
  <c r="B422" i="8"/>
  <c r="N19" i="10" s="1"/>
  <c r="H421" i="8"/>
  <c r="G421" i="8"/>
  <c r="F421" i="8"/>
  <c r="E421" i="8"/>
  <c r="C421" i="8"/>
  <c r="B421" i="8"/>
  <c r="N18" i="10" s="1"/>
  <c r="H420" i="8"/>
  <c r="G420" i="8"/>
  <c r="F420" i="8"/>
  <c r="E420" i="8"/>
  <c r="C420" i="8"/>
  <c r="N17" i="10" s="1"/>
  <c r="B420" i="8"/>
  <c r="H418" i="8"/>
  <c r="G418" i="8"/>
  <c r="F418" i="8"/>
  <c r="E418" i="8"/>
  <c r="D418" i="8" s="1"/>
  <c r="N42" i="10" s="1"/>
  <c r="C418" i="8"/>
  <c r="B418" i="8"/>
  <c r="H417" i="8"/>
  <c r="G417" i="8"/>
  <c r="F417" i="8"/>
  <c r="E417" i="8"/>
  <c r="D417" i="8" s="1"/>
  <c r="N41" i="10" s="1"/>
  <c r="C417" i="8"/>
  <c r="B417" i="8"/>
  <c r="H416" i="8"/>
  <c r="G416" i="8"/>
  <c r="F416" i="8"/>
  <c r="E416" i="8"/>
  <c r="C416" i="8"/>
  <c r="B416" i="8"/>
  <c r="N13" i="10" s="1"/>
  <c r="H415" i="8"/>
  <c r="G415" i="8"/>
  <c r="F415" i="8"/>
  <c r="E415" i="8"/>
  <c r="C415" i="8"/>
  <c r="B415" i="8"/>
  <c r="H413" i="8"/>
  <c r="G413" i="8"/>
  <c r="F413" i="8"/>
  <c r="E413" i="8"/>
  <c r="C413" i="8"/>
  <c r="B413" i="8"/>
  <c r="H412" i="8"/>
  <c r="G412" i="8"/>
  <c r="F412" i="8"/>
  <c r="E412" i="8"/>
  <c r="D412" i="8" s="1"/>
  <c r="N36" i="10" s="1"/>
  <c r="C412" i="8"/>
  <c r="B412" i="8"/>
  <c r="H411" i="8"/>
  <c r="G411" i="8"/>
  <c r="F411" i="8"/>
  <c r="E411" i="8"/>
  <c r="C411" i="8"/>
  <c r="B411" i="8"/>
  <c r="N8" i="10" s="1"/>
  <c r="H410" i="8"/>
  <c r="G410" i="8"/>
  <c r="F410" i="8"/>
  <c r="E410" i="8"/>
  <c r="C410" i="8"/>
  <c r="N7" i="10" s="1"/>
  <c r="B410" i="8"/>
  <c r="H398" i="8"/>
  <c r="G398" i="8"/>
  <c r="F398" i="8"/>
  <c r="E398" i="8"/>
  <c r="C398" i="8"/>
  <c r="B398" i="8"/>
  <c r="H397" i="8"/>
  <c r="G397" i="8"/>
  <c r="F397" i="8"/>
  <c r="E397" i="8"/>
  <c r="D397" i="8" s="1"/>
  <c r="P51" i="10" s="1"/>
  <c r="C397" i="8"/>
  <c r="B397" i="8"/>
  <c r="H396" i="8"/>
  <c r="G396" i="8"/>
  <c r="F396" i="8"/>
  <c r="E396" i="8"/>
  <c r="C396" i="8"/>
  <c r="B396" i="8"/>
  <c r="P23" i="10" s="1"/>
  <c r="H395" i="8"/>
  <c r="G395" i="8"/>
  <c r="F395" i="8"/>
  <c r="E395" i="8"/>
  <c r="C395" i="8"/>
  <c r="B395" i="8"/>
  <c r="H393" i="8"/>
  <c r="G393" i="8"/>
  <c r="F393" i="8"/>
  <c r="E393" i="8"/>
  <c r="C393" i="8"/>
  <c r="B393" i="8"/>
  <c r="P20" i="10" s="1"/>
  <c r="H392" i="8"/>
  <c r="G392" i="8"/>
  <c r="F392" i="8"/>
  <c r="E392" i="8"/>
  <c r="C392" i="8"/>
  <c r="B392" i="8"/>
  <c r="H391" i="8"/>
  <c r="G391" i="8"/>
  <c r="F391" i="8"/>
  <c r="E391" i="8"/>
  <c r="C391" i="8"/>
  <c r="B391" i="8"/>
  <c r="P18" i="10" s="1"/>
  <c r="H390" i="8"/>
  <c r="G390" i="8"/>
  <c r="F390" i="8"/>
  <c r="E390" i="8"/>
  <c r="D390" i="8" s="1"/>
  <c r="C390" i="8"/>
  <c r="B390" i="8"/>
  <c r="H388" i="8"/>
  <c r="G388" i="8"/>
  <c r="F388" i="8"/>
  <c r="E388" i="8"/>
  <c r="C388" i="8"/>
  <c r="B388" i="8"/>
  <c r="H387" i="8"/>
  <c r="G387" i="8"/>
  <c r="F387" i="8"/>
  <c r="E387" i="8"/>
  <c r="D387" i="8" s="1"/>
  <c r="P41" i="10" s="1"/>
  <c r="C387" i="8"/>
  <c r="B387" i="8"/>
  <c r="H386" i="8"/>
  <c r="G386" i="8"/>
  <c r="F386" i="8"/>
  <c r="E386" i="8"/>
  <c r="C386" i="8"/>
  <c r="B386" i="8"/>
  <c r="P13" i="10" s="1"/>
  <c r="H385" i="8"/>
  <c r="G385" i="8"/>
  <c r="F385" i="8"/>
  <c r="E385" i="8"/>
  <c r="C385" i="8"/>
  <c r="B385" i="8"/>
  <c r="H383" i="8"/>
  <c r="G383" i="8"/>
  <c r="F383" i="8"/>
  <c r="E383" i="8"/>
  <c r="C383" i="8"/>
  <c r="B383" i="8"/>
  <c r="H382" i="8"/>
  <c r="G382" i="8"/>
  <c r="F382" i="8"/>
  <c r="E382" i="8"/>
  <c r="D382" i="8" s="1"/>
  <c r="P36" i="10" s="1"/>
  <c r="C382" i="8"/>
  <c r="B382" i="8"/>
  <c r="H381" i="8"/>
  <c r="G381" i="8"/>
  <c r="F381" i="8"/>
  <c r="E381" i="8"/>
  <c r="C381" i="8"/>
  <c r="B381" i="8"/>
  <c r="P8" i="10" s="1"/>
  <c r="H380" i="8"/>
  <c r="G380" i="8"/>
  <c r="F380" i="8"/>
  <c r="E380" i="8"/>
  <c r="C380" i="8"/>
  <c r="P7" i="10" s="1"/>
  <c r="B380" i="8"/>
  <c r="H367" i="8"/>
  <c r="G367" i="8"/>
  <c r="F367" i="8"/>
  <c r="E367" i="8"/>
  <c r="C367" i="8"/>
  <c r="B367" i="8"/>
  <c r="L25" i="10" s="1"/>
  <c r="H366" i="8"/>
  <c r="G366" i="8"/>
  <c r="F366" i="8"/>
  <c r="E366" i="8"/>
  <c r="C366" i="8"/>
  <c r="B366" i="8"/>
  <c r="H365" i="8"/>
  <c r="G365" i="8"/>
  <c r="F365" i="8"/>
  <c r="E365" i="8"/>
  <c r="C365" i="8"/>
  <c r="B365" i="8"/>
  <c r="L23" i="10" s="1"/>
  <c r="H364" i="8"/>
  <c r="G364" i="8"/>
  <c r="F364" i="8"/>
  <c r="E364" i="8"/>
  <c r="C364" i="8"/>
  <c r="L22" i="10" s="1"/>
  <c r="B364" i="8"/>
  <c r="H362" i="8"/>
  <c r="G362" i="8"/>
  <c r="F362" i="8"/>
  <c r="E362" i="8"/>
  <c r="C362" i="8"/>
  <c r="B362" i="8"/>
  <c r="H361" i="8"/>
  <c r="G361" i="8"/>
  <c r="F361" i="8"/>
  <c r="E361" i="8"/>
  <c r="D361" i="8" s="1"/>
  <c r="L46" i="10" s="1"/>
  <c r="C361" i="8"/>
  <c r="B361" i="8"/>
  <c r="H360" i="8"/>
  <c r="G360" i="8"/>
  <c r="F360" i="8"/>
  <c r="E360" i="8"/>
  <c r="C360" i="8"/>
  <c r="B360" i="8"/>
  <c r="L18" i="10" s="1"/>
  <c r="H359" i="8"/>
  <c r="G359" i="8"/>
  <c r="F359" i="8"/>
  <c r="E359" i="8"/>
  <c r="D359" i="8" s="1"/>
  <c r="C359" i="8"/>
  <c r="B359" i="8"/>
  <c r="H357" i="8"/>
  <c r="G357" i="8"/>
  <c r="F357" i="8"/>
  <c r="E357" i="8"/>
  <c r="C357" i="8"/>
  <c r="B357" i="8"/>
  <c r="H356" i="8"/>
  <c r="G356" i="8"/>
  <c r="F356" i="8"/>
  <c r="E356" i="8"/>
  <c r="C356" i="8"/>
  <c r="B356" i="8"/>
  <c r="H355" i="8"/>
  <c r="G355" i="8"/>
  <c r="F355" i="8"/>
  <c r="E355" i="8"/>
  <c r="C355" i="8"/>
  <c r="B355" i="8"/>
  <c r="L13" i="10" s="1"/>
  <c r="H354" i="8"/>
  <c r="G354" i="8"/>
  <c r="F354" i="8"/>
  <c r="E354" i="8"/>
  <c r="C354" i="8"/>
  <c r="B354" i="8"/>
  <c r="H352" i="8"/>
  <c r="G352" i="8"/>
  <c r="F352" i="8"/>
  <c r="E352" i="8"/>
  <c r="C352" i="8"/>
  <c r="B352" i="8"/>
  <c r="H351" i="8"/>
  <c r="G351" i="8"/>
  <c r="F351" i="8"/>
  <c r="E351" i="8"/>
  <c r="D351" i="8" s="1"/>
  <c r="L36" i="10" s="1"/>
  <c r="C351" i="8"/>
  <c r="B351" i="8"/>
  <c r="H350" i="8"/>
  <c r="G350" i="8"/>
  <c r="F350" i="8"/>
  <c r="E350" i="8"/>
  <c r="C350" i="8"/>
  <c r="B350" i="8"/>
  <c r="L8" i="10" s="1"/>
  <c r="H349" i="8"/>
  <c r="G349" i="8"/>
  <c r="F349" i="8"/>
  <c r="E349" i="8"/>
  <c r="C349" i="8"/>
  <c r="B349" i="8"/>
  <c r="H336" i="8"/>
  <c r="G336" i="8"/>
  <c r="F336" i="8"/>
  <c r="E336" i="8"/>
  <c r="C336" i="8"/>
  <c r="B336" i="8"/>
  <c r="H335" i="8"/>
  <c r="G335" i="8"/>
  <c r="F335" i="8"/>
  <c r="E335" i="8"/>
  <c r="D335" i="8" s="1"/>
  <c r="K51" i="10" s="1"/>
  <c r="C335" i="8"/>
  <c r="B335" i="8"/>
  <c r="H334" i="8"/>
  <c r="G334" i="8"/>
  <c r="F334" i="8"/>
  <c r="E334" i="8"/>
  <c r="C334" i="8"/>
  <c r="B334" i="8"/>
  <c r="K23" i="10" s="1"/>
  <c r="H333" i="8"/>
  <c r="G333" i="8"/>
  <c r="F333" i="8"/>
  <c r="E333" i="8"/>
  <c r="C333" i="8"/>
  <c r="B333" i="8"/>
  <c r="H331" i="8"/>
  <c r="G331" i="8"/>
  <c r="F331" i="8"/>
  <c r="E331" i="8"/>
  <c r="C331" i="8"/>
  <c r="B331" i="8"/>
  <c r="K20" i="10" s="1"/>
  <c r="H330" i="8"/>
  <c r="G330" i="8"/>
  <c r="F330" i="8"/>
  <c r="E330" i="8"/>
  <c r="D330" i="8" s="1"/>
  <c r="K46" i="10" s="1"/>
  <c r="C330" i="8"/>
  <c r="B330" i="8"/>
  <c r="H329" i="8"/>
  <c r="G329" i="8"/>
  <c r="F329" i="8"/>
  <c r="E329" i="8"/>
  <c r="C329" i="8"/>
  <c r="B329" i="8"/>
  <c r="K18" i="10" s="1"/>
  <c r="H328" i="8"/>
  <c r="G328" i="8"/>
  <c r="F328" i="8"/>
  <c r="E328" i="8"/>
  <c r="C328" i="8"/>
  <c r="B328" i="8"/>
  <c r="H326" i="8"/>
  <c r="G326" i="8"/>
  <c r="F326" i="8"/>
  <c r="E326" i="8"/>
  <c r="C326" i="8"/>
  <c r="B326" i="8"/>
  <c r="H325" i="8"/>
  <c r="G325" i="8"/>
  <c r="F325" i="8"/>
  <c r="E325" i="8"/>
  <c r="C325" i="8"/>
  <c r="B325" i="8"/>
  <c r="H324" i="8"/>
  <c r="G324" i="8"/>
  <c r="F324" i="8"/>
  <c r="D324" i="8" s="1"/>
  <c r="K40" i="10" s="1"/>
  <c r="E324" i="8"/>
  <c r="C324" i="8"/>
  <c r="B324" i="8"/>
  <c r="K13" i="10" s="1"/>
  <c r="H323" i="8"/>
  <c r="G323" i="8"/>
  <c r="F323" i="8"/>
  <c r="E323" i="8"/>
  <c r="C323" i="8"/>
  <c r="B323" i="8"/>
  <c r="H321" i="8"/>
  <c r="G321" i="8"/>
  <c r="F321" i="8"/>
  <c r="E321" i="8"/>
  <c r="D321" i="8" s="1"/>
  <c r="K37" i="10" s="1"/>
  <c r="C321" i="8"/>
  <c r="B321" i="8"/>
  <c r="K10" i="10" s="1"/>
  <c r="H320" i="8"/>
  <c r="G320" i="8"/>
  <c r="F320" i="8"/>
  <c r="E320" i="8"/>
  <c r="D320" i="8" s="1"/>
  <c r="K36" i="10" s="1"/>
  <c r="C320" i="8"/>
  <c r="B320" i="8"/>
  <c r="K9" i="10" s="1"/>
  <c r="H319" i="8"/>
  <c r="G319" i="8"/>
  <c r="F319" i="8"/>
  <c r="D319" i="8" s="1"/>
  <c r="E319" i="8"/>
  <c r="C319" i="8"/>
  <c r="B319" i="8"/>
  <c r="K8" i="10" s="1"/>
  <c r="H318" i="8"/>
  <c r="G318" i="8"/>
  <c r="F318" i="8"/>
  <c r="E318" i="8"/>
  <c r="C318" i="8"/>
  <c r="B318" i="8"/>
  <c r="H305" i="8"/>
  <c r="G305" i="8"/>
  <c r="F305" i="8"/>
  <c r="E305" i="8"/>
  <c r="C305" i="8"/>
  <c r="B305" i="8"/>
  <c r="H304" i="8"/>
  <c r="G304" i="8"/>
  <c r="F304" i="8"/>
  <c r="E304" i="8"/>
  <c r="D304" i="8" s="1"/>
  <c r="J51" i="10" s="1"/>
  <c r="C304" i="8"/>
  <c r="B304" i="8"/>
  <c r="H303" i="8"/>
  <c r="G303" i="8"/>
  <c r="F303" i="8"/>
  <c r="D303" i="8" s="1"/>
  <c r="J50" i="10" s="1"/>
  <c r="E303" i="8"/>
  <c r="C303" i="8"/>
  <c r="B303" i="8"/>
  <c r="J23" i="10" s="1"/>
  <c r="H302" i="8"/>
  <c r="G302" i="8"/>
  <c r="F302" i="8"/>
  <c r="E302" i="8"/>
  <c r="C302" i="8"/>
  <c r="B302" i="8"/>
  <c r="H300" i="8"/>
  <c r="G300" i="8"/>
  <c r="F300" i="8"/>
  <c r="E300" i="8"/>
  <c r="C300" i="8"/>
  <c r="B300" i="8"/>
  <c r="H299" i="8"/>
  <c r="Q299" i="8" s="1"/>
  <c r="G299" i="8"/>
  <c r="F299" i="8"/>
  <c r="E299" i="8"/>
  <c r="D299" i="8" s="1"/>
  <c r="C299" i="8"/>
  <c r="B299" i="8"/>
  <c r="J19" i="10" s="1"/>
  <c r="H298" i="8"/>
  <c r="G298" i="8"/>
  <c r="F298" i="8"/>
  <c r="D298" i="8" s="1"/>
  <c r="E298" i="8"/>
  <c r="C298" i="8"/>
  <c r="B298" i="8"/>
  <c r="J18" i="10" s="1"/>
  <c r="H297" i="8"/>
  <c r="G297" i="8"/>
  <c r="F297" i="8"/>
  <c r="E297" i="8"/>
  <c r="C297" i="8"/>
  <c r="B297" i="8"/>
  <c r="H295" i="8"/>
  <c r="G295" i="8"/>
  <c r="F295" i="8"/>
  <c r="E295" i="8"/>
  <c r="C295" i="8"/>
  <c r="B295" i="8"/>
  <c r="H294" i="8"/>
  <c r="G294" i="8"/>
  <c r="F294" i="8"/>
  <c r="E294" i="8"/>
  <c r="D294" i="8" s="1"/>
  <c r="J41" i="10" s="1"/>
  <c r="C294" i="8"/>
  <c r="B294" i="8"/>
  <c r="J14" i="10" s="1"/>
  <c r="H293" i="8"/>
  <c r="G293" i="8"/>
  <c r="F293" i="8"/>
  <c r="E293" i="8"/>
  <c r="C293" i="8"/>
  <c r="B293" i="8"/>
  <c r="J13" i="10" s="1"/>
  <c r="H292" i="8"/>
  <c r="G292" i="8"/>
  <c r="F292" i="8"/>
  <c r="E292" i="8"/>
  <c r="C292" i="8"/>
  <c r="B292" i="8"/>
  <c r="H290" i="8"/>
  <c r="G290" i="8"/>
  <c r="F290" i="8"/>
  <c r="E290" i="8"/>
  <c r="D290" i="8" s="1"/>
  <c r="J37" i="10" s="1"/>
  <c r="C290" i="8"/>
  <c r="B290" i="8"/>
  <c r="J10" i="10" s="1"/>
  <c r="H289" i="8"/>
  <c r="G289" i="8"/>
  <c r="F289" i="8"/>
  <c r="E289" i="8"/>
  <c r="C289" i="8"/>
  <c r="B289" i="8"/>
  <c r="H288" i="8"/>
  <c r="G288" i="8"/>
  <c r="F288" i="8"/>
  <c r="D288" i="8" s="1"/>
  <c r="J35" i="10" s="1"/>
  <c r="E288" i="8"/>
  <c r="C288" i="8"/>
  <c r="B288" i="8"/>
  <c r="J8" i="10" s="1"/>
  <c r="H287" i="8"/>
  <c r="G287" i="8"/>
  <c r="F287" i="8"/>
  <c r="E287" i="8"/>
  <c r="C287" i="8"/>
  <c r="J7" i="10" s="1"/>
  <c r="B287" i="8"/>
  <c r="H274" i="8"/>
  <c r="G274" i="8"/>
  <c r="F274" i="8"/>
  <c r="E274" i="8"/>
  <c r="C274" i="8"/>
  <c r="B274" i="8"/>
  <c r="H273" i="8"/>
  <c r="G273" i="8"/>
  <c r="F273" i="8"/>
  <c r="E273" i="8"/>
  <c r="D273" i="8" s="1"/>
  <c r="C273" i="8"/>
  <c r="B273" i="8"/>
  <c r="H272" i="8"/>
  <c r="G272" i="8"/>
  <c r="F272" i="8"/>
  <c r="D272" i="8" s="1"/>
  <c r="E272" i="8"/>
  <c r="C272" i="8"/>
  <c r="B272" i="8"/>
  <c r="I23" i="10" s="1"/>
  <c r="H271" i="8"/>
  <c r="G271" i="8"/>
  <c r="F271" i="8"/>
  <c r="E271" i="8"/>
  <c r="C271" i="8"/>
  <c r="B271" i="8"/>
  <c r="H269" i="8"/>
  <c r="G269" i="8"/>
  <c r="F269" i="8"/>
  <c r="E269" i="8"/>
  <c r="C269" i="8"/>
  <c r="B269" i="8"/>
  <c r="I20" i="10" s="1"/>
  <c r="H268" i="8"/>
  <c r="G268" i="8"/>
  <c r="F268" i="8"/>
  <c r="E268" i="8"/>
  <c r="D268" i="8" s="1"/>
  <c r="I46" i="10" s="1"/>
  <c r="C268" i="8"/>
  <c r="B268" i="8"/>
  <c r="I19" i="10" s="1"/>
  <c r="H267" i="8"/>
  <c r="G267" i="8"/>
  <c r="F267" i="8"/>
  <c r="D267" i="8" s="1"/>
  <c r="I45" i="10" s="1"/>
  <c r="E267" i="8"/>
  <c r="C267" i="8"/>
  <c r="B267" i="8"/>
  <c r="I18" i="10" s="1"/>
  <c r="H266" i="8"/>
  <c r="G266" i="8"/>
  <c r="F266" i="8"/>
  <c r="E266" i="8"/>
  <c r="C266" i="8"/>
  <c r="B266" i="8"/>
  <c r="H264" i="8"/>
  <c r="G264" i="8"/>
  <c r="F264" i="8"/>
  <c r="E264" i="8"/>
  <c r="C264" i="8"/>
  <c r="B264" i="8"/>
  <c r="H263" i="8"/>
  <c r="G263" i="8"/>
  <c r="F263" i="8"/>
  <c r="E263" i="8"/>
  <c r="D263" i="8" s="1"/>
  <c r="I41" i="10" s="1"/>
  <c r="C263" i="8"/>
  <c r="B263" i="8"/>
  <c r="H262" i="8"/>
  <c r="G262" i="8"/>
  <c r="F262" i="8"/>
  <c r="D262" i="8" s="1"/>
  <c r="I40" i="10" s="1"/>
  <c r="E262" i="8"/>
  <c r="C262" i="8"/>
  <c r="B262" i="8"/>
  <c r="I13" i="10" s="1"/>
  <c r="H261" i="8"/>
  <c r="G261" i="8"/>
  <c r="F261" i="8"/>
  <c r="E261" i="8"/>
  <c r="D261" i="8" s="1"/>
  <c r="I39" i="10" s="1"/>
  <c r="C261" i="8"/>
  <c r="B261" i="8"/>
  <c r="H259" i="8"/>
  <c r="G259" i="8"/>
  <c r="F259" i="8"/>
  <c r="E259" i="8"/>
  <c r="C259" i="8"/>
  <c r="B259" i="8"/>
  <c r="I10" i="10" s="1"/>
  <c r="H258" i="8"/>
  <c r="G258" i="8"/>
  <c r="F258" i="8"/>
  <c r="E258" i="8"/>
  <c r="C258" i="8"/>
  <c r="B258" i="8"/>
  <c r="H257" i="8"/>
  <c r="G257" i="8"/>
  <c r="F257" i="8"/>
  <c r="D257" i="8" s="1"/>
  <c r="I35" i="10" s="1"/>
  <c r="E257" i="8"/>
  <c r="C257" i="8"/>
  <c r="B257" i="8"/>
  <c r="I8" i="10" s="1"/>
  <c r="H256" i="8"/>
  <c r="G256" i="8"/>
  <c r="F256" i="8"/>
  <c r="E256" i="8"/>
  <c r="C256" i="8"/>
  <c r="B256" i="8"/>
  <c r="H243" i="8"/>
  <c r="G243" i="8"/>
  <c r="F243" i="8"/>
  <c r="E243" i="8"/>
  <c r="C243" i="8"/>
  <c r="B243" i="8"/>
  <c r="M25" i="10" s="1"/>
  <c r="H242" i="8"/>
  <c r="G242" i="8"/>
  <c r="F242" i="8"/>
  <c r="E242" i="8"/>
  <c r="C242" i="8"/>
  <c r="B242" i="8"/>
  <c r="H241" i="8"/>
  <c r="G241" i="8"/>
  <c r="F241" i="8"/>
  <c r="E241" i="8"/>
  <c r="C241" i="8"/>
  <c r="B241" i="8"/>
  <c r="M23" i="10" s="1"/>
  <c r="H240" i="8"/>
  <c r="G240" i="8"/>
  <c r="F240" i="8"/>
  <c r="E240" i="8"/>
  <c r="C240" i="8"/>
  <c r="M22" i="10" s="1"/>
  <c r="B240" i="8"/>
  <c r="H238" i="8"/>
  <c r="G238" i="8"/>
  <c r="F238" i="8"/>
  <c r="E238" i="8"/>
  <c r="D238" i="8" s="1"/>
  <c r="M47" i="10" s="1"/>
  <c r="C238" i="8"/>
  <c r="B238" i="8"/>
  <c r="Q238" i="8" s="1"/>
  <c r="H237" i="8"/>
  <c r="Q237" i="8" s="1"/>
  <c r="G237" i="8"/>
  <c r="F237" i="8"/>
  <c r="E237" i="8"/>
  <c r="D237" i="8" s="1"/>
  <c r="M46" i="10" s="1"/>
  <c r="C237" i="8"/>
  <c r="B237" i="8"/>
  <c r="H236" i="8"/>
  <c r="G236" i="8"/>
  <c r="F236" i="8"/>
  <c r="D236" i="8" s="1"/>
  <c r="E236" i="8"/>
  <c r="C236" i="8"/>
  <c r="B236" i="8"/>
  <c r="M18" i="10" s="1"/>
  <c r="H235" i="8"/>
  <c r="G235" i="8"/>
  <c r="F235" i="8"/>
  <c r="E235" i="8"/>
  <c r="C235" i="8"/>
  <c r="B235" i="8"/>
  <c r="H233" i="8"/>
  <c r="G233" i="8"/>
  <c r="F233" i="8"/>
  <c r="E233" i="8"/>
  <c r="C233" i="8"/>
  <c r="B233" i="8"/>
  <c r="M15" i="10" s="1"/>
  <c r="H232" i="8"/>
  <c r="G232" i="8"/>
  <c r="F232" i="8"/>
  <c r="E232" i="8"/>
  <c r="D232" i="8" s="1"/>
  <c r="M41" i="10" s="1"/>
  <c r="C232" i="8"/>
  <c r="B232" i="8"/>
  <c r="H231" i="8"/>
  <c r="G231" i="8"/>
  <c r="F231" i="8"/>
  <c r="D231" i="8" s="1"/>
  <c r="M40" i="10" s="1"/>
  <c r="E231" i="8"/>
  <c r="C231" i="8"/>
  <c r="B231" i="8"/>
  <c r="M13" i="10" s="1"/>
  <c r="H230" i="8"/>
  <c r="G230" i="8"/>
  <c r="F230" i="8"/>
  <c r="E230" i="8"/>
  <c r="C230" i="8"/>
  <c r="B230" i="8"/>
  <c r="H228" i="8"/>
  <c r="G228" i="8"/>
  <c r="F228" i="8"/>
  <c r="E228" i="8"/>
  <c r="C228" i="8"/>
  <c r="B228" i="8"/>
  <c r="M10" i="10" s="1"/>
  <c r="H227" i="8"/>
  <c r="G227" i="8"/>
  <c r="F227" i="8"/>
  <c r="E227" i="8"/>
  <c r="D227" i="8" s="1"/>
  <c r="C227" i="8"/>
  <c r="B227" i="8"/>
  <c r="H226" i="8"/>
  <c r="G226" i="8"/>
  <c r="F226" i="8"/>
  <c r="D226" i="8" s="1"/>
  <c r="Q226" i="8" s="1"/>
  <c r="E226" i="8"/>
  <c r="C226" i="8"/>
  <c r="B226" i="8"/>
  <c r="M8" i="10" s="1"/>
  <c r="H225" i="8"/>
  <c r="G225" i="8"/>
  <c r="F225" i="8"/>
  <c r="E225" i="8"/>
  <c r="C225" i="8"/>
  <c r="B225" i="8"/>
  <c r="P212" i="8"/>
  <c r="O212" i="8"/>
  <c r="N212" i="8"/>
  <c r="M212" i="8"/>
  <c r="K212" i="8"/>
  <c r="J212" i="8"/>
  <c r="G82" i="10" s="1"/>
  <c r="H212" i="8"/>
  <c r="G212" i="8"/>
  <c r="F212" i="8"/>
  <c r="E212" i="8"/>
  <c r="C212" i="8"/>
  <c r="B212" i="8"/>
  <c r="P211" i="8"/>
  <c r="O211" i="8"/>
  <c r="N211" i="8"/>
  <c r="L211" i="8" s="1"/>
  <c r="M211" i="8"/>
  <c r="K211" i="8"/>
  <c r="J211" i="8"/>
  <c r="G81" i="10" s="1"/>
  <c r="H211" i="8"/>
  <c r="G211" i="8"/>
  <c r="F211" i="8"/>
  <c r="E211" i="8"/>
  <c r="D211" i="8" s="1"/>
  <c r="G51" i="10" s="1"/>
  <c r="C211" i="8"/>
  <c r="B211" i="8"/>
  <c r="P210" i="8"/>
  <c r="O210" i="8"/>
  <c r="N210" i="8"/>
  <c r="M210" i="8"/>
  <c r="L210" i="8" s="1"/>
  <c r="G108" i="10" s="1"/>
  <c r="K210" i="8"/>
  <c r="J210" i="8"/>
  <c r="G80" i="10" s="1"/>
  <c r="H210" i="8"/>
  <c r="G210" i="8"/>
  <c r="F210" i="8"/>
  <c r="E210" i="8"/>
  <c r="D210" i="8" s="1"/>
  <c r="G50" i="10" s="1"/>
  <c r="C210" i="8"/>
  <c r="B210" i="8"/>
  <c r="P209" i="8"/>
  <c r="O209" i="8"/>
  <c r="N209" i="8"/>
  <c r="L209" i="8" s="1"/>
  <c r="G107" i="10" s="1"/>
  <c r="M209" i="8"/>
  <c r="K209" i="8"/>
  <c r="J209" i="8"/>
  <c r="G79" i="10" s="1"/>
  <c r="H209" i="8"/>
  <c r="G209" i="8"/>
  <c r="F209" i="8"/>
  <c r="E209" i="8"/>
  <c r="C209" i="8"/>
  <c r="B209" i="8"/>
  <c r="P207" i="8"/>
  <c r="O207" i="8"/>
  <c r="N207" i="8"/>
  <c r="M207" i="8"/>
  <c r="K207" i="8"/>
  <c r="J207" i="8"/>
  <c r="H207" i="8"/>
  <c r="G207" i="8"/>
  <c r="F207" i="8"/>
  <c r="E207" i="8"/>
  <c r="D207" i="8" s="1"/>
  <c r="G47" i="10" s="1"/>
  <c r="C207" i="8"/>
  <c r="B207" i="8"/>
  <c r="P206" i="8"/>
  <c r="O206" i="8"/>
  <c r="N206" i="8"/>
  <c r="L206" i="8" s="1"/>
  <c r="G104" i="10" s="1"/>
  <c r="M206" i="8"/>
  <c r="K206" i="8"/>
  <c r="J206" i="8"/>
  <c r="G76" i="10" s="1"/>
  <c r="H206" i="8"/>
  <c r="G206" i="8"/>
  <c r="F206" i="8"/>
  <c r="E206" i="8"/>
  <c r="C206" i="8"/>
  <c r="B206" i="8"/>
  <c r="P205" i="8"/>
  <c r="O205" i="8"/>
  <c r="N205" i="8"/>
  <c r="M205" i="8"/>
  <c r="K205" i="8"/>
  <c r="J205" i="8"/>
  <c r="G75" i="10" s="1"/>
  <c r="H205" i="8"/>
  <c r="G205" i="8"/>
  <c r="F205" i="8"/>
  <c r="E205" i="8"/>
  <c r="D205" i="8" s="1"/>
  <c r="G45" i="10" s="1"/>
  <c r="C205" i="8"/>
  <c r="B205" i="8"/>
  <c r="P204" i="8"/>
  <c r="O204" i="8"/>
  <c r="N204" i="8"/>
  <c r="L204" i="8" s="1"/>
  <c r="M204" i="8"/>
  <c r="K204" i="8"/>
  <c r="J204" i="8"/>
  <c r="G74" i="10" s="1"/>
  <c r="H204" i="8"/>
  <c r="G204" i="8"/>
  <c r="F204" i="8"/>
  <c r="E204" i="8"/>
  <c r="D204" i="8" s="1"/>
  <c r="G44" i="10" s="1"/>
  <c r="C204" i="8"/>
  <c r="G17" i="10" s="1"/>
  <c r="B204" i="8"/>
  <c r="P202" i="8"/>
  <c r="O202" i="8"/>
  <c r="N202" i="8"/>
  <c r="M202" i="8"/>
  <c r="K202" i="8"/>
  <c r="J202" i="8"/>
  <c r="G72" i="10" s="1"/>
  <c r="H202" i="8"/>
  <c r="G202" i="8"/>
  <c r="F202" i="8"/>
  <c r="E202" i="8"/>
  <c r="C202" i="8"/>
  <c r="B202" i="8"/>
  <c r="P201" i="8"/>
  <c r="O201" i="8"/>
  <c r="N201" i="8"/>
  <c r="L201" i="8" s="1"/>
  <c r="G99" i="10" s="1"/>
  <c r="M201" i="8"/>
  <c r="K201" i="8"/>
  <c r="J201" i="8"/>
  <c r="G71" i="10" s="1"/>
  <c r="H201" i="8"/>
  <c r="G201" i="8"/>
  <c r="F201" i="8"/>
  <c r="E201" i="8"/>
  <c r="C201" i="8"/>
  <c r="B201" i="8"/>
  <c r="P200" i="8"/>
  <c r="O200" i="8"/>
  <c r="N200" i="8"/>
  <c r="M200" i="8"/>
  <c r="K200" i="8"/>
  <c r="J200" i="8"/>
  <c r="G70" i="10" s="1"/>
  <c r="H200" i="8"/>
  <c r="G200" i="8"/>
  <c r="F200" i="8"/>
  <c r="E200" i="8"/>
  <c r="C200" i="8"/>
  <c r="B200" i="8"/>
  <c r="P199" i="8"/>
  <c r="O199" i="8"/>
  <c r="N199" i="8"/>
  <c r="L199" i="8" s="1"/>
  <c r="G97" i="10" s="1"/>
  <c r="M199" i="8"/>
  <c r="K199" i="8"/>
  <c r="J199" i="8"/>
  <c r="G69" i="10" s="1"/>
  <c r="H199" i="8"/>
  <c r="G199" i="8"/>
  <c r="F199" i="8"/>
  <c r="E199" i="8"/>
  <c r="C199" i="8"/>
  <c r="B199" i="8"/>
  <c r="P197" i="8"/>
  <c r="O197" i="8"/>
  <c r="N197" i="8"/>
  <c r="M197" i="8"/>
  <c r="K197" i="8"/>
  <c r="J197" i="8"/>
  <c r="G67" i="10" s="1"/>
  <c r="H197" i="8"/>
  <c r="G197" i="8"/>
  <c r="F197" i="8"/>
  <c r="E197" i="8"/>
  <c r="C197" i="8"/>
  <c r="B197" i="8"/>
  <c r="P196" i="8"/>
  <c r="O196" i="8"/>
  <c r="N196" i="8"/>
  <c r="L196" i="8" s="1"/>
  <c r="M196" i="8"/>
  <c r="K196" i="8"/>
  <c r="J196" i="8"/>
  <c r="G66" i="10" s="1"/>
  <c r="H196" i="8"/>
  <c r="G196" i="8"/>
  <c r="F196" i="8"/>
  <c r="E196" i="8"/>
  <c r="C196" i="8"/>
  <c r="B196" i="8"/>
  <c r="P195" i="8"/>
  <c r="O195" i="8"/>
  <c r="N195" i="8"/>
  <c r="M195" i="8"/>
  <c r="K195" i="8"/>
  <c r="J195" i="8"/>
  <c r="G65" i="10" s="1"/>
  <c r="H195" i="8"/>
  <c r="G195" i="8"/>
  <c r="F195" i="8"/>
  <c r="E195" i="8"/>
  <c r="C195" i="8"/>
  <c r="B195" i="8"/>
  <c r="G8" i="10" s="1"/>
  <c r="P194" i="8"/>
  <c r="O194" i="8"/>
  <c r="N194" i="8"/>
  <c r="M194" i="8"/>
  <c r="K194" i="8"/>
  <c r="J194" i="8"/>
  <c r="G64" i="10" s="1"/>
  <c r="H194" i="8"/>
  <c r="G194" i="8"/>
  <c r="F194" i="8"/>
  <c r="E194" i="8"/>
  <c r="C194" i="8"/>
  <c r="B194" i="8"/>
  <c r="P182" i="8"/>
  <c r="O182" i="8"/>
  <c r="N182" i="8"/>
  <c r="M182" i="8"/>
  <c r="L182" i="8" s="1"/>
  <c r="F110" i="10" s="1"/>
  <c r="K182" i="8"/>
  <c r="J182" i="8"/>
  <c r="F82" i="10" s="1"/>
  <c r="H182" i="8"/>
  <c r="G182" i="8"/>
  <c r="F182" i="8"/>
  <c r="E182" i="8"/>
  <c r="C182" i="8"/>
  <c r="B182" i="8"/>
  <c r="P181" i="8"/>
  <c r="O181" i="8"/>
  <c r="N181" i="8"/>
  <c r="L181" i="8" s="1"/>
  <c r="M181" i="8"/>
  <c r="K181" i="8"/>
  <c r="J181" i="8"/>
  <c r="F81" i="10" s="1"/>
  <c r="H181" i="8"/>
  <c r="G181" i="8"/>
  <c r="F181" i="8"/>
  <c r="E181" i="8"/>
  <c r="C181" i="8"/>
  <c r="B181" i="8"/>
  <c r="P180" i="8"/>
  <c r="O180" i="8"/>
  <c r="N180" i="8"/>
  <c r="M180" i="8"/>
  <c r="K180" i="8"/>
  <c r="J180" i="8"/>
  <c r="F80" i="10" s="1"/>
  <c r="H180" i="8"/>
  <c r="G180" i="8"/>
  <c r="F180" i="8"/>
  <c r="E180" i="8"/>
  <c r="C180" i="8"/>
  <c r="B180" i="8"/>
  <c r="P179" i="8"/>
  <c r="O179" i="8"/>
  <c r="N179" i="8"/>
  <c r="M179" i="8"/>
  <c r="K179" i="8"/>
  <c r="J179" i="8"/>
  <c r="F79" i="10" s="1"/>
  <c r="H179" i="8"/>
  <c r="G179" i="8"/>
  <c r="F179" i="8"/>
  <c r="E179" i="8"/>
  <c r="C179" i="8"/>
  <c r="B179" i="8"/>
  <c r="P177" i="8"/>
  <c r="O177" i="8"/>
  <c r="N177" i="8"/>
  <c r="M177" i="8"/>
  <c r="K177" i="8"/>
  <c r="J177" i="8"/>
  <c r="H177" i="8"/>
  <c r="G177" i="8"/>
  <c r="F177" i="8"/>
  <c r="E177" i="8"/>
  <c r="C177" i="8"/>
  <c r="B177" i="8"/>
  <c r="P176" i="8"/>
  <c r="O176" i="8"/>
  <c r="N176" i="8"/>
  <c r="L176" i="8" s="1"/>
  <c r="M176" i="8"/>
  <c r="K176" i="8"/>
  <c r="J176" i="8"/>
  <c r="F76" i="10" s="1"/>
  <c r="H176" i="8"/>
  <c r="G176" i="8"/>
  <c r="F176" i="8"/>
  <c r="E176" i="8"/>
  <c r="C176" i="8"/>
  <c r="B176" i="8"/>
  <c r="P175" i="8"/>
  <c r="O175" i="8"/>
  <c r="N175" i="8"/>
  <c r="M175" i="8"/>
  <c r="K175" i="8"/>
  <c r="J175" i="8"/>
  <c r="F75" i="10" s="1"/>
  <c r="H175" i="8"/>
  <c r="G175" i="8"/>
  <c r="F175" i="8"/>
  <c r="E175" i="8"/>
  <c r="C175" i="8"/>
  <c r="B175" i="8"/>
  <c r="P174" i="8"/>
  <c r="O174" i="8"/>
  <c r="N174" i="8"/>
  <c r="L174" i="8" s="1"/>
  <c r="M174" i="8"/>
  <c r="K174" i="8"/>
  <c r="J174" i="8"/>
  <c r="F74" i="10" s="1"/>
  <c r="H174" i="8"/>
  <c r="G174" i="8"/>
  <c r="F174" i="8"/>
  <c r="E174" i="8"/>
  <c r="C174" i="8"/>
  <c r="B174" i="8"/>
  <c r="P172" i="8"/>
  <c r="O172" i="8"/>
  <c r="N172" i="8"/>
  <c r="M172" i="8"/>
  <c r="L172" i="8" s="1"/>
  <c r="F100" i="10" s="1"/>
  <c r="K172" i="8"/>
  <c r="J172" i="8"/>
  <c r="F72" i="10" s="1"/>
  <c r="H172" i="8"/>
  <c r="G172" i="8"/>
  <c r="F172" i="8"/>
  <c r="E172" i="8"/>
  <c r="D172" i="8" s="1"/>
  <c r="C172" i="8"/>
  <c r="B172" i="8"/>
  <c r="P171" i="8"/>
  <c r="O171" i="8"/>
  <c r="N171" i="8"/>
  <c r="L171" i="8" s="1"/>
  <c r="M171" i="8"/>
  <c r="K171" i="8"/>
  <c r="J171" i="8"/>
  <c r="F71" i="10" s="1"/>
  <c r="H171" i="8"/>
  <c r="G171" i="8"/>
  <c r="F171" i="8"/>
  <c r="E171" i="8"/>
  <c r="C171" i="8"/>
  <c r="F14" i="10" s="1"/>
  <c r="B171" i="8"/>
  <c r="P170" i="8"/>
  <c r="O170" i="8"/>
  <c r="N170" i="8"/>
  <c r="M170" i="8"/>
  <c r="K170" i="8"/>
  <c r="J170" i="8"/>
  <c r="F70" i="10" s="1"/>
  <c r="H170" i="8"/>
  <c r="G170" i="8"/>
  <c r="F170" i="8"/>
  <c r="E170" i="8"/>
  <c r="D170" i="8" s="1"/>
  <c r="F40" i="10" s="1"/>
  <c r="C170" i="8"/>
  <c r="B170" i="8"/>
  <c r="P169" i="8"/>
  <c r="O169" i="8"/>
  <c r="N169" i="8"/>
  <c r="L169" i="8" s="1"/>
  <c r="M169" i="8"/>
  <c r="K169" i="8"/>
  <c r="J169" i="8"/>
  <c r="F69" i="10" s="1"/>
  <c r="H169" i="8"/>
  <c r="G169" i="8"/>
  <c r="F169" i="8"/>
  <c r="E169" i="8"/>
  <c r="D169" i="8" s="1"/>
  <c r="F39" i="10" s="1"/>
  <c r="C169" i="8"/>
  <c r="B169" i="8"/>
  <c r="P167" i="8"/>
  <c r="O167" i="8"/>
  <c r="N167" i="8"/>
  <c r="M167" i="8"/>
  <c r="K167" i="8"/>
  <c r="J167" i="8"/>
  <c r="F67" i="10" s="1"/>
  <c r="H167" i="8"/>
  <c r="G167" i="8"/>
  <c r="F167" i="8"/>
  <c r="E167" i="8"/>
  <c r="C167" i="8"/>
  <c r="B167" i="8"/>
  <c r="P166" i="8"/>
  <c r="O166" i="8"/>
  <c r="N166" i="8"/>
  <c r="L166" i="8" s="1"/>
  <c r="F94" i="10" s="1"/>
  <c r="M166" i="8"/>
  <c r="K166" i="8"/>
  <c r="J166" i="8"/>
  <c r="F66" i="10" s="1"/>
  <c r="H166" i="8"/>
  <c r="G166" i="8"/>
  <c r="F166" i="8"/>
  <c r="E166" i="8"/>
  <c r="C166" i="8"/>
  <c r="B166" i="8"/>
  <c r="P165" i="8"/>
  <c r="O165" i="8"/>
  <c r="N165" i="8"/>
  <c r="M165" i="8"/>
  <c r="K165" i="8"/>
  <c r="J165" i="8"/>
  <c r="F65" i="10" s="1"/>
  <c r="H165" i="8"/>
  <c r="G165" i="8"/>
  <c r="F165" i="8"/>
  <c r="E165" i="8"/>
  <c r="D165" i="8" s="1"/>
  <c r="F35" i="10" s="1"/>
  <c r="C165" i="8"/>
  <c r="B165" i="8"/>
  <c r="P164" i="8"/>
  <c r="O164" i="8"/>
  <c r="N164" i="8"/>
  <c r="L164" i="8" s="1"/>
  <c r="F92" i="10" s="1"/>
  <c r="M164" i="8"/>
  <c r="K164" i="8"/>
  <c r="J164" i="8"/>
  <c r="F64" i="10" s="1"/>
  <c r="H164" i="8"/>
  <c r="G164" i="8"/>
  <c r="F164" i="8"/>
  <c r="E164" i="8"/>
  <c r="C164" i="8"/>
  <c r="B164" i="8"/>
  <c r="P151" i="8"/>
  <c r="O151" i="8"/>
  <c r="N151" i="8"/>
  <c r="M151" i="8"/>
  <c r="K151" i="8"/>
  <c r="J151" i="8"/>
  <c r="E82" i="10" s="1"/>
  <c r="H151" i="8"/>
  <c r="G151" i="8"/>
  <c r="F151" i="8"/>
  <c r="E151" i="8"/>
  <c r="D151" i="8" s="1"/>
  <c r="E52" i="10" s="1"/>
  <c r="C151" i="8"/>
  <c r="B151" i="8"/>
  <c r="P150" i="8"/>
  <c r="O150" i="8"/>
  <c r="N150" i="8"/>
  <c r="L150" i="8" s="1"/>
  <c r="E109" i="10" s="1"/>
  <c r="M150" i="8"/>
  <c r="K150" i="8"/>
  <c r="J150" i="8"/>
  <c r="E81" i="10" s="1"/>
  <c r="H150" i="8"/>
  <c r="G150" i="8"/>
  <c r="F150" i="8"/>
  <c r="E150" i="8"/>
  <c r="C150" i="8"/>
  <c r="E24" i="10" s="1"/>
  <c r="B150" i="8"/>
  <c r="P149" i="8"/>
  <c r="O149" i="8"/>
  <c r="N149" i="8"/>
  <c r="M149" i="8"/>
  <c r="K149" i="8"/>
  <c r="J149" i="8"/>
  <c r="E80" i="10" s="1"/>
  <c r="H149" i="8"/>
  <c r="G149" i="8"/>
  <c r="F149" i="8"/>
  <c r="E149" i="8"/>
  <c r="C149" i="8"/>
  <c r="B149" i="8"/>
  <c r="P148" i="8"/>
  <c r="O148" i="8"/>
  <c r="N148" i="8"/>
  <c r="L148" i="8" s="1"/>
  <c r="E107" i="10" s="1"/>
  <c r="M148" i="8"/>
  <c r="K148" i="8"/>
  <c r="J148" i="8"/>
  <c r="E79" i="10" s="1"/>
  <c r="H148" i="8"/>
  <c r="G148" i="8"/>
  <c r="F148" i="8"/>
  <c r="E148" i="8"/>
  <c r="C148" i="8"/>
  <c r="B148" i="8"/>
  <c r="P146" i="8"/>
  <c r="O146" i="8"/>
  <c r="N146" i="8"/>
  <c r="M146" i="8"/>
  <c r="K146" i="8"/>
  <c r="J146" i="8"/>
  <c r="E77" i="10" s="1"/>
  <c r="H146" i="8"/>
  <c r="G146" i="8"/>
  <c r="F146" i="8"/>
  <c r="E146" i="8"/>
  <c r="C146" i="8"/>
  <c r="B146" i="8"/>
  <c r="P145" i="8"/>
  <c r="O145" i="8"/>
  <c r="N145" i="8"/>
  <c r="L145" i="8" s="1"/>
  <c r="M145" i="8"/>
  <c r="K145" i="8"/>
  <c r="J145" i="8"/>
  <c r="E76" i="10" s="1"/>
  <c r="H145" i="8"/>
  <c r="G145" i="8"/>
  <c r="F145" i="8"/>
  <c r="E145" i="8"/>
  <c r="D145" i="8" s="1"/>
  <c r="E46" i="10" s="1"/>
  <c r="C145" i="8"/>
  <c r="B145" i="8"/>
  <c r="P144" i="8"/>
  <c r="O144" i="8"/>
  <c r="N144" i="8"/>
  <c r="M144" i="8"/>
  <c r="K144" i="8"/>
  <c r="J144" i="8"/>
  <c r="E75" i="10" s="1"/>
  <c r="H144" i="8"/>
  <c r="G144" i="8"/>
  <c r="F144" i="8"/>
  <c r="E144" i="8"/>
  <c r="C144" i="8"/>
  <c r="B144" i="8"/>
  <c r="P143" i="8"/>
  <c r="O143" i="8"/>
  <c r="N143" i="8"/>
  <c r="M143" i="8"/>
  <c r="K143" i="8"/>
  <c r="J143" i="8"/>
  <c r="E74" i="10" s="1"/>
  <c r="H143" i="8"/>
  <c r="G143" i="8"/>
  <c r="F143" i="8"/>
  <c r="E143" i="8"/>
  <c r="C143" i="8"/>
  <c r="B143" i="8"/>
  <c r="P141" i="8"/>
  <c r="O141" i="8"/>
  <c r="N141" i="8"/>
  <c r="M141" i="8"/>
  <c r="K141" i="8"/>
  <c r="J141" i="8"/>
  <c r="E72" i="10" s="1"/>
  <c r="H141" i="8"/>
  <c r="G141" i="8"/>
  <c r="F141" i="8"/>
  <c r="E141" i="8"/>
  <c r="D141" i="8" s="1"/>
  <c r="E42" i="10" s="1"/>
  <c r="C141" i="8"/>
  <c r="B141" i="8"/>
  <c r="P140" i="8"/>
  <c r="O140" i="8"/>
  <c r="N140" i="8"/>
  <c r="L140" i="8" s="1"/>
  <c r="M140" i="8"/>
  <c r="K140" i="8"/>
  <c r="J140" i="8"/>
  <c r="E71" i="10" s="1"/>
  <c r="H140" i="8"/>
  <c r="G140" i="8"/>
  <c r="F140" i="8"/>
  <c r="E140" i="8"/>
  <c r="C140" i="8"/>
  <c r="E14" i="10" s="1"/>
  <c r="B140" i="8"/>
  <c r="P139" i="8"/>
  <c r="O139" i="8"/>
  <c r="N139" i="8"/>
  <c r="M139" i="8"/>
  <c r="K139" i="8"/>
  <c r="J139" i="8"/>
  <c r="E70" i="10" s="1"/>
  <c r="H139" i="8"/>
  <c r="G139" i="8"/>
  <c r="F139" i="8"/>
  <c r="E139" i="8"/>
  <c r="C139" i="8"/>
  <c r="B139" i="8"/>
  <c r="P138" i="8"/>
  <c r="O138" i="8"/>
  <c r="N138" i="8"/>
  <c r="L138" i="8" s="1"/>
  <c r="E97" i="10" s="1"/>
  <c r="M138" i="8"/>
  <c r="K138" i="8"/>
  <c r="J138" i="8"/>
  <c r="E69" i="10" s="1"/>
  <c r="H138" i="8"/>
  <c r="G138" i="8"/>
  <c r="F138" i="8"/>
  <c r="E138" i="8"/>
  <c r="C138" i="8"/>
  <c r="E12" i="10" s="1"/>
  <c r="B138" i="8"/>
  <c r="P136" i="8"/>
  <c r="O136" i="8"/>
  <c r="N136" i="8"/>
  <c r="M136" i="8"/>
  <c r="K136" i="8"/>
  <c r="J136" i="8"/>
  <c r="E67" i="10" s="1"/>
  <c r="H136" i="8"/>
  <c r="G136" i="8"/>
  <c r="F136" i="8"/>
  <c r="E136" i="8"/>
  <c r="D136" i="8" s="1"/>
  <c r="E37" i="10" s="1"/>
  <c r="C136" i="8"/>
  <c r="B136" i="8"/>
  <c r="P135" i="8"/>
  <c r="O135" i="8"/>
  <c r="N135" i="8"/>
  <c r="L135" i="8" s="1"/>
  <c r="E94" i="10" s="1"/>
  <c r="M135" i="8"/>
  <c r="K135" i="8"/>
  <c r="J135" i="8"/>
  <c r="E66" i="10" s="1"/>
  <c r="H135" i="8"/>
  <c r="G135" i="8"/>
  <c r="F135" i="8"/>
  <c r="E135" i="8"/>
  <c r="C135" i="8"/>
  <c r="B135" i="8"/>
  <c r="P134" i="8"/>
  <c r="O134" i="8"/>
  <c r="N134" i="8"/>
  <c r="M134" i="8"/>
  <c r="L134" i="8" s="1"/>
  <c r="E93" i="10" s="1"/>
  <c r="K134" i="8"/>
  <c r="J134" i="8"/>
  <c r="E65" i="10" s="1"/>
  <c r="H134" i="8"/>
  <c r="G134" i="8"/>
  <c r="F134" i="8"/>
  <c r="E134" i="8"/>
  <c r="C134" i="8"/>
  <c r="B134" i="8"/>
  <c r="P133" i="8"/>
  <c r="O133" i="8"/>
  <c r="N133" i="8"/>
  <c r="L133" i="8" s="1"/>
  <c r="M133" i="8"/>
  <c r="K133" i="8"/>
  <c r="J133" i="8"/>
  <c r="E64" i="10" s="1"/>
  <c r="H133" i="8"/>
  <c r="G133" i="8"/>
  <c r="F133" i="8"/>
  <c r="E133" i="8"/>
  <c r="C133" i="8"/>
  <c r="E7" i="10" s="1"/>
  <c r="B133" i="8"/>
  <c r="P120" i="8"/>
  <c r="O120" i="8"/>
  <c r="N120" i="8"/>
  <c r="M120" i="8"/>
  <c r="K120" i="8"/>
  <c r="J120" i="8"/>
  <c r="D82" i="10" s="1"/>
  <c r="H120" i="8"/>
  <c r="G120" i="8"/>
  <c r="F120" i="8"/>
  <c r="E120" i="8"/>
  <c r="C120" i="8"/>
  <c r="B120" i="8"/>
  <c r="P119" i="8"/>
  <c r="O119" i="8"/>
  <c r="N119" i="8"/>
  <c r="L119" i="8" s="1"/>
  <c r="D109" i="10" s="1"/>
  <c r="M119" i="8"/>
  <c r="K119" i="8"/>
  <c r="J119" i="8"/>
  <c r="D81" i="10" s="1"/>
  <c r="H119" i="8"/>
  <c r="G119" i="8"/>
  <c r="F119" i="8"/>
  <c r="E119" i="8"/>
  <c r="C119" i="8"/>
  <c r="D24" i="10" s="1"/>
  <c r="B119" i="8"/>
  <c r="P118" i="8"/>
  <c r="O118" i="8"/>
  <c r="N118" i="8"/>
  <c r="M118" i="8"/>
  <c r="K118" i="8"/>
  <c r="J118" i="8"/>
  <c r="D80" i="10" s="1"/>
  <c r="H118" i="8"/>
  <c r="G118" i="8"/>
  <c r="F118" i="8"/>
  <c r="E118" i="8"/>
  <c r="D118" i="8" s="1"/>
  <c r="D50" i="10" s="1"/>
  <c r="C118" i="8"/>
  <c r="B118" i="8"/>
  <c r="P117" i="8"/>
  <c r="O117" i="8"/>
  <c r="N117" i="8"/>
  <c r="L117" i="8" s="1"/>
  <c r="M117" i="8"/>
  <c r="K117" i="8"/>
  <c r="J117" i="8"/>
  <c r="D79" i="10" s="1"/>
  <c r="H117" i="8"/>
  <c r="G117" i="8"/>
  <c r="F117" i="8"/>
  <c r="E117" i="8"/>
  <c r="C117" i="8"/>
  <c r="B117" i="8"/>
  <c r="P115" i="8"/>
  <c r="O115" i="8"/>
  <c r="N115" i="8"/>
  <c r="M115" i="8"/>
  <c r="K115" i="8"/>
  <c r="J115" i="8"/>
  <c r="D77" i="10" s="1"/>
  <c r="H115" i="8"/>
  <c r="G115" i="8"/>
  <c r="F115" i="8"/>
  <c r="E115" i="8"/>
  <c r="C115" i="8"/>
  <c r="B115" i="8"/>
  <c r="P114" i="8"/>
  <c r="O114" i="8"/>
  <c r="N114" i="8"/>
  <c r="L114" i="8" s="1"/>
  <c r="D104" i="10" s="1"/>
  <c r="M114" i="8"/>
  <c r="K114" i="8"/>
  <c r="J114" i="8"/>
  <c r="D76" i="10" s="1"/>
  <c r="H114" i="8"/>
  <c r="G114" i="8"/>
  <c r="F114" i="8"/>
  <c r="E114" i="8"/>
  <c r="C114" i="8"/>
  <c r="B114" i="8"/>
  <c r="P113" i="8"/>
  <c r="O113" i="8"/>
  <c r="N113" i="8"/>
  <c r="M113" i="8"/>
  <c r="K113" i="8"/>
  <c r="J113" i="8"/>
  <c r="D75" i="10" s="1"/>
  <c r="H113" i="8"/>
  <c r="G113" i="8"/>
  <c r="F113" i="8"/>
  <c r="E113" i="8"/>
  <c r="D113" i="8" s="1"/>
  <c r="D45" i="10" s="1"/>
  <c r="C113" i="8"/>
  <c r="B113" i="8"/>
  <c r="P112" i="8"/>
  <c r="O112" i="8"/>
  <c r="N112" i="8"/>
  <c r="L112" i="8" s="1"/>
  <c r="D102" i="10" s="1"/>
  <c r="M112" i="8"/>
  <c r="K112" i="8"/>
  <c r="J112" i="8"/>
  <c r="D74" i="10" s="1"/>
  <c r="H112" i="8"/>
  <c r="G112" i="8"/>
  <c r="F112" i="8"/>
  <c r="E112" i="8"/>
  <c r="C112" i="8"/>
  <c r="D17" i="10" s="1"/>
  <c r="B112" i="8"/>
  <c r="P110" i="8"/>
  <c r="O110" i="8"/>
  <c r="N110" i="8"/>
  <c r="M110" i="8"/>
  <c r="K110" i="8"/>
  <c r="J110" i="8"/>
  <c r="D72" i="10" s="1"/>
  <c r="H110" i="8"/>
  <c r="G110" i="8"/>
  <c r="F110" i="8"/>
  <c r="E110" i="8"/>
  <c r="C110" i="8"/>
  <c r="B110" i="8"/>
  <c r="P109" i="8"/>
  <c r="O109" i="8"/>
  <c r="N109" i="8"/>
  <c r="L109" i="8" s="1"/>
  <c r="M109" i="8"/>
  <c r="K109" i="8"/>
  <c r="J109" i="8"/>
  <c r="D71" i="10" s="1"/>
  <c r="H109" i="8"/>
  <c r="G109" i="8"/>
  <c r="F109" i="8"/>
  <c r="E109" i="8"/>
  <c r="C109" i="8"/>
  <c r="B109" i="8"/>
  <c r="P108" i="8"/>
  <c r="O108" i="8"/>
  <c r="N108" i="8"/>
  <c r="M108" i="8"/>
  <c r="L108" i="8" s="1"/>
  <c r="D98" i="10" s="1"/>
  <c r="K108" i="8"/>
  <c r="J108" i="8"/>
  <c r="H108" i="8"/>
  <c r="G108" i="8"/>
  <c r="F108" i="8"/>
  <c r="E108" i="8"/>
  <c r="C108" i="8"/>
  <c r="B108" i="8"/>
  <c r="P107" i="8"/>
  <c r="O107" i="8"/>
  <c r="N107" i="8"/>
  <c r="L107" i="8" s="1"/>
  <c r="M107" i="8"/>
  <c r="K107" i="8"/>
  <c r="J107" i="8"/>
  <c r="D69" i="10" s="1"/>
  <c r="H107" i="8"/>
  <c r="G107" i="8"/>
  <c r="F107" i="8"/>
  <c r="E107" i="8"/>
  <c r="C107" i="8"/>
  <c r="B107" i="8"/>
  <c r="P105" i="8"/>
  <c r="O105" i="8"/>
  <c r="N105" i="8"/>
  <c r="M105" i="8"/>
  <c r="L105" i="8" s="1"/>
  <c r="D95" i="10" s="1"/>
  <c r="K105" i="8"/>
  <c r="J105" i="8"/>
  <c r="R105" i="8" s="1"/>
  <c r="H105" i="8"/>
  <c r="G105" i="8"/>
  <c r="F105" i="8"/>
  <c r="E105" i="8"/>
  <c r="C105" i="8"/>
  <c r="B105" i="8"/>
  <c r="P104" i="8"/>
  <c r="O104" i="8"/>
  <c r="N104" i="8"/>
  <c r="L104" i="8" s="1"/>
  <c r="M104" i="8"/>
  <c r="K104" i="8"/>
  <c r="J104" i="8"/>
  <c r="D66" i="10" s="1"/>
  <c r="H104" i="8"/>
  <c r="G104" i="8"/>
  <c r="F104" i="8"/>
  <c r="E104" i="8"/>
  <c r="C104" i="8"/>
  <c r="B104" i="8"/>
  <c r="P103" i="8"/>
  <c r="O103" i="8"/>
  <c r="N103" i="8"/>
  <c r="M103" i="8"/>
  <c r="K103" i="8"/>
  <c r="J103" i="8"/>
  <c r="H103" i="8"/>
  <c r="G103" i="8"/>
  <c r="F103" i="8"/>
  <c r="E103" i="8"/>
  <c r="C103" i="8"/>
  <c r="B103" i="8"/>
  <c r="P102" i="8"/>
  <c r="O102" i="8"/>
  <c r="N102" i="8"/>
  <c r="L102" i="8" s="1"/>
  <c r="M102" i="8"/>
  <c r="K102" i="8"/>
  <c r="J102" i="8"/>
  <c r="D64" i="10" s="1"/>
  <c r="H102" i="8"/>
  <c r="G102" i="8"/>
  <c r="F102" i="8"/>
  <c r="E102" i="8"/>
  <c r="C102" i="8"/>
  <c r="B102" i="8"/>
  <c r="P90" i="8"/>
  <c r="O90" i="8"/>
  <c r="N90" i="8"/>
  <c r="M90" i="8"/>
  <c r="K90" i="8"/>
  <c r="J90" i="8"/>
  <c r="C82" i="10" s="1"/>
  <c r="H90" i="8"/>
  <c r="G90" i="8"/>
  <c r="F90" i="8"/>
  <c r="E90" i="8"/>
  <c r="C90" i="8"/>
  <c r="B90" i="8"/>
  <c r="P89" i="8"/>
  <c r="O89" i="8"/>
  <c r="N89" i="8"/>
  <c r="L89" i="8" s="1"/>
  <c r="C109" i="10" s="1"/>
  <c r="M89" i="8"/>
  <c r="K89" i="8"/>
  <c r="J89" i="8"/>
  <c r="C81" i="10" s="1"/>
  <c r="H89" i="8"/>
  <c r="G89" i="8"/>
  <c r="F89" i="8"/>
  <c r="E89" i="8"/>
  <c r="C89" i="8"/>
  <c r="B89" i="8"/>
  <c r="P88" i="8"/>
  <c r="O88" i="8"/>
  <c r="N88" i="8"/>
  <c r="M88" i="8"/>
  <c r="K88" i="8"/>
  <c r="J88" i="8"/>
  <c r="C80" i="10" s="1"/>
  <c r="H88" i="8"/>
  <c r="G88" i="8"/>
  <c r="F88" i="8"/>
  <c r="E88" i="8"/>
  <c r="D88" i="8" s="1"/>
  <c r="C50" i="10" s="1"/>
  <c r="C88" i="8"/>
  <c r="B88" i="8"/>
  <c r="P87" i="8"/>
  <c r="O87" i="8"/>
  <c r="N87" i="8"/>
  <c r="L87" i="8" s="1"/>
  <c r="M87" i="8"/>
  <c r="K87" i="8"/>
  <c r="J87" i="8"/>
  <c r="C79" i="10" s="1"/>
  <c r="H87" i="8"/>
  <c r="G87" i="8"/>
  <c r="F87" i="8"/>
  <c r="E87" i="8"/>
  <c r="C87" i="8"/>
  <c r="B87" i="8"/>
  <c r="P85" i="8"/>
  <c r="O85" i="8"/>
  <c r="N85" i="8"/>
  <c r="M85" i="8"/>
  <c r="L85" i="8" s="1"/>
  <c r="C105" i="10" s="1"/>
  <c r="K85" i="8"/>
  <c r="J85" i="8"/>
  <c r="C77" i="10" s="1"/>
  <c r="H85" i="8"/>
  <c r="G85" i="8"/>
  <c r="F85" i="8"/>
  <c r="E85" i="8"/>
  <c r="C85" i="8"/>
  <c r="B85" i="8"/>
  <c r="P84" i="8"/>
  <c r="O84" i="8"/>
  <c r="N84" i="8"/>
  <c r="L84" i="8" s="1"/>
  <c r="M84" i="8"/>
  <c r="K84" i="8"/>
  <c r="J84" i="8"/>
  <c r="C76" i="10" s="1"/>
  <c r="H84" i="8"/>
  <c r="G84" i="8"/>
  <c r="F84" i="8"/>
  <c r="E84" i="8"/>
  <c r="C84" i="8"/>
  <c r="B84" i="8"/>
  <c r="P83" i="8"/>
  <c r="O83" i="8"/>
  <c r="N83" i="8"/>
  <c r="M83" i="8"/>
  <c r="K83" i="8"/>
  <c r="J83" i="8"/>
  <c r="C75" i="10" s="1"/>
  <c r="H83" i="8"/>
  <c r="G83" i="8"/>
  <c r="F83" i="8"/>
  <c r="E83" i="8"/>
  <c r="D83" i="8" s="1"/>
  <c r="C45" i="10" s="1"/>
  <c r="C83" i="8"/>
  <c r="B83" i="8"/>
  <c r="P82" i="8"/>
  <c r="O82" i="8"/>
  <c r="N82" i="8"/>
  <c r="L82" i="8" s="1"/>
  <c r="C102" i="10" s="1"/>
  <c r="M82" i="8"/>
  <c r="K82" i="8"/>
  <c r="J82" i="8"/>
  <c r="C74" i="10" s="1"/>
  <c r="H82" i="8"/>
  <c r="G82" i="8"/>
  <c r="F82" i="8"/>
  <c r="E82" i="8"/>
  <c r="C82" i="8"/>
  <c r="B82" i="8"/>
  <c r="P80" i="8"/>
  <c r="O80" i="8"/>
  <c r="N80" i="8"/>
  <c r="M80" i="8"/>
  <c r="K80" i="8"/>
  <c r="J80" i="8"/>
  <c r="C72" i="10" s="1"/>
  <c r="H80" i="8"/>
  <c r="G80" i="8"/>
  <c r="F80" i="8"/>
  <c r="E80" i="8"/>
  <c r="C80" i="8"/>
  <c r="B80" i="8"/>
  <c r="P79" i="8"/>
  <c r="O79" i="8"/>
  <c r="N79" i="8"/>
  <c r="L79" i="8" s="1"/>
  <c r="C99" i="10" s="1"/>
  <c r="M79" i="8"/>
  <c r="K79" i="8"/>
  <c r="J79" i="8"/>
  <c r="C71" i="10" s="1"/>
  <c r="H79" i="8"/>
  <c r="G79" i="8"/>
  <c r="F79" i="8"/>
  <c r="E79" i="8"/>
  <c r="C79" i="8"/>
  <c r="B79" i="8"/>
  <c r="P78" i="8"/>
  <c r="O78" i="8"/>
  <c r="N78" i="8"/>
  <c r="M78" i="8"/>
  <c r="K78" i="8"/>
  <c r="J78" i="8"/>
  <c r="C70" i="10" s="1"/>
  <c r="H78" i="8"/>
  <c r="G78" i="8"/>
  <c r="F78" i="8"/>
  <c r="E78" i="8"/>
  <c r="D78" i="8" s="1"/>
  <c r="C78" i="8"/>
  <c r="B78" i="8"/>
  <c r="P77" i="8"/>
  <c r="O77" i="8"/>
  <c r="N77" i="8"/>
  <c r="L77" i="8" s="1"/>
  <c r="C97" i="10" s="1"/>
  <c r="M77" i="8"/>
  <c r="K77" i="8"/>
  <c r="J77" i="8"/>
  <c r="C69" i="10" s="1"/>
  <c r="H77" i="8"/>
  <c r="G77" i="8"/>
  <c r="F77" i="8"/>
  <c r="E77" i="8"/>
  <c r="C77" i="8"/>
  <c r="C12" i="10" s="1"/>
  <c r="B77" i="8"/>
  <c r="P75" i="8"/>
  <c r="O75" i="8"/>
  <c r="N75" i="8"/>
  <c r="M75" i="8"/>
  <c r="K75" i="8"/>
  <c r="J75" i="8"/>
  <c r="C67" i="10" s="1"/>
  <c r="H75" i="8"/>
  <c r="G75" i="8"/>
  <c r="F75" i="8"/>
  <c r="E75" i="8"/>
  <c r="C75" i="8"/>
  <c r="B75" i="8"/>
  <c r="P74" i="8"/>
  <c r="O74" i="8"/>
  <c r="N74" i="8"/>
  <c r="L74" i="8" s="1"/>
  <c r="R74" i="8" s="1"/>
  <c r="M74" i="8"/>
  <c r="K74" i="8"/>
  <c r="J74" i="8"/>
  <c r="C66" i="10" s="1"/>
  <c r="H74" i="8"/>
  <c r="G74" i="8"/>
  <c r="F74" i="8"/>
  <c r="E74" i="8"/>
  <c r="C74" i="8"/>
  <c r="B74" i="8"/>
  <c r="P73" i="8"/>
  <c r="O73" i="8"/>
  <c r="N73" i="8"/>
  <c r="M73" i="8"/>
  <c r="L73" i="8" s="1"/>
  <c r="C93" i="10" s="1"/>
  <c r="K73" i="8"/>
  <c r="J73" i="8"/>
  <c r="C65" i="10" s="1"/>
  <c r="H73" i="8"/>
  <c r="G73" i="8"/>
  <c r="F73" i="8"/>
  <c r="E73" i="8"/>
  <c r="D73" i="8" s="1"/>
  <c r="C35" i="10" s="1"/>
  <c r="C73" i="8"/>
  <c r="B73" i="8"/>
  <c r="P72" i="8"/>
  <c r="O72" i="8"/>
  <c r="N72" i="8"/>
  <c r="L72" i="8" s="1"/>
  <c r="M72" i="8"/>
  <c r="K72" i="8"/>
  <c r="J72" i="8"/>
  <c r="C64" i="10" s="1"/>
  <c r="H72" i="8"/>
  <c r="G72" i="8"/>
  <c r="F72" i="8"/>
  <c r="E72" i="8"/>
  <c r="C72" i="8"/>
  <c r="B72" i="8"/>
  <c r="P59" i="8"/>
  <c r="O59" i="8"/>
  <c r="N59" i="8"/>
  <c r="M59" i="8"/>
  <c r="K59" i="8"/>
  <c r="J59" i="8"/>
  <c r="B82" i="10" s="1"/>
  <c r="H59" i="8"/>
  <c r="G59" i="8"/>
  <c r="F59" i="8"/>
  <c r="E59" i="8"/>
  <c r="C59" i="8"/>
  <c r="B59" i="8"/>
  <c r="P58" i="8"/>
  <c r="O58" i="8"/>
  <c r="N58" i="8"/>
  <c r="L58" i="8" s="1"/>
  <c r="B109" i="10" s="1"/>
  <c r="M58" i="8"/>
  <c r="K58" i="8"/>
  <c r="J58" i="8"/>
  <c r="B81" i="10" s="1"/>
  <c r="H58" i="8"/>
  <c r="G58" i="8"/>
  <c r="F58" i="8"/>
  <c r="E58" i="8"/>
  <c r="C58" i="8"/>
  <c r="B58" i="8"/>
  <c r="P57" i="8"/>
  <c r="O57" i="8"/>
  <c r="N57" i="8"/>
  <c r="M57" i="8"/>
  <c r="K57" i="8"/>
  <c r="J57" i="8"/>
  <c r="B80" i="10" s="1"/>
  <c r="H57" i="8"/>
  <c r="G57" i="8"/>
  <c r="F57" i="8"/>
  <c r="E57" i="8"/>
  <c r="C57" i="8"/>
  <c r="B57" i="8"/>
  <c r="P56" i="8"/>
  <c r="O56" i="8"/>
  <c r="N56" i="8"/>
  <c r="M56" i="8"/>
  <c r="K56" i="8"/>
  <c r="J56" i="8"/>
  <c r="B79" i="10" s="1"/>
  <c r="H56" i="8"/>
  <c r="G56" i="8"/>
  <c r="F56" i="8"/>
  <c r="E56" i="8"/>
  <c r="C56" i="8"/>
  <c r="B22" i="10" s="1"/>
  <c r="B56" i="8"/>
  <c r="P54" i="8"/>
  <c r="O54" i="8"/>
  <c r="N54" i="8"/>
  <c r="M54" i="8"/>
  <c r="L54" i="8" s="1"/>
  <c r="B105" i="10" s="1"/>
  <c r="K54" i="8"/>
  <c r="J54" i="8"/>
  <c r="B77" i="10" s="1"/>
  <c r="H54" i="8"/>
  <c r="G54" i="8"/>
  <c r="F54" i="8"/>
  <c r="E54" i="8"/>
  <c r="C54" i="8"/>
  <c r="B54" i="8"/>
  <c r="P53" i="8"/>
  <c r="O53" i="8"/>
  <c r="N53" i="8"/>
  <c r="L53" i="8" s="1"/>
  <c r="M53" i="8"/>
  <c r="K53" i="8"/>
  <c r="J53" i="8"/>
  <c r="B76" i="10" s="1"/>
  <c r="H53" i="8"/>
  <c r="G53" i="8"/>
  <c r="F53" i="8"/>
  <c r="E53" i="8"/>
  <c r="C53" i="8"/>
  <c r="B53" i="8"/>
  <c r="P52" i="8"/>
  <c r="O52" i="8"/>
  <c r="N52" i="8"/>
  <c r="M52" i="8"/>
  <c r="K52" i="8"/>
  <c r="J52" i="8"/>
  <c r="B75" i="10" s="1"/>
  <c r="H52" i="8"/>
  <c r="G52" i="8"/>
  <c r="F52" i="8"/>
  <c r="E52" i="8"/>
  <c r="D52" i="8" s="1"/>
  <c r="B45" i="10" s="1"/>
  <c r="C52" i="8"/>
  <c r="B52" i="8"/>
  <c r="P51" i="8"/>
  <c r="O51" i="8"/>
  <c r="N51" i="8"/>
  <c r="L51" i="8" s="1"/>
  <c r="B102" i="10" s="1"/>
  <c r="M51" i="8"/>
  <c r="K51" i="8"/>
  <c r="J51" i="8"/>
  <c r="H51" i="8"/>
  <c r="G51" i="8"/>
  <c r="F51" i="8"/>
  <c r="E51" i="8"/>
  <c r="C51" i="8"/>
  <c r="B51" i="8"/>
  <c r="P49" i="8"/>
  <c r="O49" i="8"/>
  <c r="N49" i="8"/>
  <c r="M49" i="8"/>
  <c r="K49" i="8"/>
  <c r="J49" i="8"/>
  <c r="B72" i="10" s="1"/>
  <c r="H49" i="8"/>
  <c r="G49" i="8"/>
  <c r="F49" i="8"/>
  <c r="E49" i="8"/>
  <c r="D49" i="8" s="1"/>
  <c r="B42" i="10" s="1"/>
  <c r="C49" i="8"/>
  <c r="B49" i="8"/>
  <c r="P48" i="8"/>
  <c r="O48" i="8"/>
  <c r="N48" i="8"/>
  <c r="L48" i="8" s="1"/>
  <c r="M48" i="8"/>
  <c r="K48" i="8"/>
  <c r="J48" i="8"/>
  <c r="B71" i="10" s="1"/>
  <c r="H48" i="8"/>
  <c r="G48" i="8"/>
  <c r="F48" i="8"/>
  <c r="E48" i="8"/>
  <c r="C48" i="8"/>
  <c r="B14" i="10" s="1"/>
  <c r="B48" i="8"/>
  <c r="P47" i="8"/>
  <c r="O47" i="8"/>
  <c r="N47" i="8"/>
  <c r="M47" i="8"/>
  <c r="K47" i="8"/>
  <c r="J47" i="8"/>
  <c r="B70" i="10" s="1"/>
  <c r="H47" i="8"/>
  <c r="G47" i="8"/>
  <c r="F47" i="8"/>
  <c r="E47" i="8"/>
  <c r="C47" i="8"/>
  <c r="B47" i="8"/>
  <c r="P46" i="8"/>
  <c r="O46" i="8"/>
  <c r="N46" i="8"/>
  <c r="L46" i="8" s="1"/>
  <c r="M46" i="8"/>
  <c r="K46" i="8"/>
  <c r="J46" i="8"/>
  <c r="B69" i="10" s="1"/>
  <c r="H46" i="8"/>
  <c r="G46" i="8"/>
  <c r="F46" i="8"/>
  <c r="E46" i="8"/>
  <c r="C46" i="8"/>
  <c r="B46" i="8"/>
  <c r="P44" i="8"/>
  <c r="O44" i="8"/>
  <c r="N44" i="8"/>
  <c r="M44" i="8"/>
  <c r="K44" i="8"/>
  <c r="J44" i="8"/>
  <c r="B67" i="10" s="1"/>
  <c r="H44" i="8"/>
  <c r="G44" i="8"/>
  <c r="F44" i="8"/>
  <c r="E44" i="8"/>
  <c r="D44" i="8" s="1"/>
  <c r="B37" i="10" s="1"/>
  <c r="C44" i="8"/>
  <c r="B44" i="8"/>
  <c r="P43" i="8"/>
  <c r="O43" i="8"/>
  <c r="N43" i="8"/>
  <c r="L43" i="8" s="1"/>
  <c r="B94" i="10" s="1"/>
  <c r="M43" i="8"/>
  <c r="K43" i="8"/>
  <c r="J43" i="8"/>
  <c r="B66" i="10" s="1"/>
  <c r="H43" i="8"/>
  <c r="G43" i="8"/>
  <c r="F43" i="8"/>
  <c r="E43" i="8"/>
  <c r="C43" i="8"/>
  <c r="B9" i="10" s="1"/>
  <c r="B43" i="8"/>
  <c r="P42" i="8"/>
  <c r="O42" i="8"/>
  <c r="N42" i="8"/>
  <c r="M42" i="8"/>
  <c r="K42" i="8"/>
  <c r="J42" i="8"/>
  <c r="B65" i="10" s="1"/>
  <c r="H42" i="8"/>
  <c r="G42" i="8"/>
  <c r="F42" i="8"/>
  <c r="E42" i="8"/>
  <c r="D42" i="8" s="1"/>
  <c r="B35" i="10" s="1"/>
  <c r="C42" i="8"/>
  <c r="B42" i="8"/>
  <c r="P41" i="8"/>
  <c r="O41" i="8"/>
  <c r="N41" i="8"/>
  <c r="L41" i="8" s="1"/>
  <c r="M41" i="8"/>
  <c r="K41" i="8"/>
  <c r="J41" i="8"/>
  <c r="B64" i="10" s="1"/>
  <c r="H41" i="8"/>
  <c r="G41" i="8"/>
  <c r="F41" i="8"/>
  <c r="E41" i="8"/>
  <c r="C41" i="8"/>
  <c r="B41" i="8"/>
  <c r="P27" i="8"/>
  <c r="O27" i="8"/>
  <c r="N27" i="8"/>
  <c r="M27" i="8"/>
  <c r="K27" i="8"/>
  <c r="J27" i="8"/>
  <c r="H82" i="10" s="1"/>
  <c r="H27" i="8"/>
  <c r="G27" i="8"/>
  <c r="F27" i="8"/>
  <c r="E27" i="8"/>
  <c r="D27" i="8" s="1"/>
  <c r="H52" i="10" s="1"/>
  <c r="C27" i="8"/>
  <c r="B27" i="8"/>
  <c r="P26" i="8"/>
  <c r="O26" i="8"/>
  <c r="N26" i="8"/>
  <c r="L26" i="8" s="1"/>
  <c r="H109" i="10" s="1"/>
  <c r="M26" i="8"/>
  <c r="K26" i="8"/>
  <c r="J26" i="8"/>
  <c r="H81" i="10" s="1"/>
  <c r="H26" i="8"/>
  <c r="G26" i="8"/>
  <c r="F26" i="8"/>
  <c r="E26" i="8"/>
  <c r="C26" i="8"/>
  <c r="B26" i="8"/>
  <c r="P25" i="8"/>
  <c r="O25" i="8"/>
  <c r="N25" i="8"/>
  <c r="M25" i="8"/>
  <c r="K25" i="8"/>
  <c r="J25" i="8"/>
  <c r="H80" i="10" s="1"/>
  <c r="H25" i="8"/>
  <c r="G25" i="8"/>
  <c r="F25" i="8"/>
  <c r="E25" i="8"/>
  <c r="D25" i="8" s="1"/>
  <c r="H50" i="10" s="1"/>
  <c r="C25" i="8"/>
  <c r="B25" i="8"/>
  <c r="P24" i="8"/>
  <c r="O24" i="8"/>
  <c r="N24" i="8"/>
  <c r="L24" i="8" s="1"/>
  <c r="H107" i="10" s="1"/>
  <c r="M24" i="8"/>
  <c r="K24" i="8"/>
  <c r="J24" i="8"/>
  <c r="H79" i="10" s="1"/>
  <c r="H24" i="8"/>
  <c r="G24" i="8"/>
  <c r="F24" i="8"/>
  <c r="E24" i="8"/>
  <c r="C24" i="8"/>
  <c r="B24" i="8"/>
  <c r="P22" i="8"/>
  <c r="O22" i="8"/>
  <c r="N22" i="8"/>
  <c r="M22" i="8"/>
  <c r="K22" i="8"/>
  <c r="J22" i="8"/>
  <c r="H77" i="10" s="1"/>
  <c r="H22" i="8"/>
  <c r="G22" i="8"/>
  <c r="F22" i="8"/>
  <c r="E22" i="8"/>
  <c r="C22" i="8"/>
  <c r="B22" i="8"/>
  <c r="P21" i="8"/>
  <c r="O21" i="8"/>
  <c r="N21" i="8"/>
  <c r="L21" i="8" s="1"/>
  <c r="H104" i="10" s="1"/>
  <c r="M21" i="8"/>
  <c r="K21" i="8"/>
  <c r="J21" i="8"/>
  <c r="H21" i="8"/>
  <c r="G21" i="8"/>
  <c r="F21" i="8"/>
  <c r="E21" i="8"/>
  <c r="C21" i="8"/>
  <c r="B21" i="8"/>
  <c r="P20" i="8"/>
  <c r="O20" i="8"/>
  <c r="N20" i="8"/>
  <c r="M20" i="8"/>
  <c r="K20" i="8"/>
  <c r="J20" i="8"/>
  <c r="H75" i="10" s="1"/>
  <c r="H20" i="8"/>
  <c r="G20" i="8"/>
  <c r="F20" i="8"/>
  <c r="E20" i="8"/>
  <c r="D20" i="8" s="1"/>
  <c r="H45" i="10" s="1"/>
  <c r="C20" i="8"/>
  <c r="B20" i="8"/>
  <c r="P19" i="8"/>
  <c r="O19" i="8"/>
  <c r="N19" i="8"/>
  <c r="M19" i="8"/>
  <c r="K19" i="8"/>
  <c r="J19" i="8"/>
  <c r="H74" i="10" s="1"/>
  <c r="H19" i="8"/>
  <c r="G19" i="8"/>
  <c r="F19" i="8"/>
  <c r="E19" i="8"/>
  <c r="C19" i="8"/>
  <c r="H17" i="10" s="1"/>
  <c r="B19" i="8"/>
  <c r="P17" i="8"/>
  <c r="O17" i="8"/>
  <c r="N17" i="8"/>
  <c r="M17" i="8"/>
  <c r="K17" i="8"/>
  <c r="J17" i="8"/>
  <c r="H72" i="10" s="1"/>
  <c r="H17" i="8"/>
  <c r="G17" i="8"/>
  <c r="F17" i="8"/>
  <c r="E17" i="8"/>
  <c r="C17" i="8"/>
  <c r="B17" i="8"/>
  <c r="P16" i="8"/>
  <c r="O16" i="8"/>
  <c r="N16" i="8"/>
  <c r="L16" i="8" s="1"/>
  <c r="M16" i="8"/>
  <c r="K16" i="8"/>
  <c r="J16" i="8"/>
  <c r="H71" i="10" s="1"/>
  <c r="H16" i="8"/>
  <c r="G16" i="8"/>
  <c r="F16" i="8"/>
  <c r="E16" i="8"/>
  <c r="C16" i="8"/>
  <c r="B16" i="8"/>
  <c r="P15" i="8"/>
  <c r="O15" i="8"/>
  <c r="N15" i="8"/>
  <c r="M15" i="8"/>
  <c r="L15" i="8" s="1"/>
  <c r="K15" i="8"/>
  <c r="J15" i="8"/>
  <c r="H70" i="10" s="1"/>
  <c r="H15" i="8"/>
  <c r="G15" i="8"/>
  <c r="F15" i="8"/>
  <c r="E15" i="8"/>
  <c r="D15" i="8" s="1"/>
  <c r="H40" i="10" s="1"/>
  <c r="C15" i="8"/>
  <c r="B15" i="8"/>
  <c r="P14" i="8"/>
  <c r="O14" i="8"/>
  <c r="N14" i="8"/>
  <c r="L14" i="8" s="1"/>
  <c r="H97" i="10" s="1"/>
  <c r="M14" i="8"/>
  <c r="K14" i="8"/>
  <c r="J14" i="8"/>
  <c r="H69" i="10" s="1"/>
  <c r="H14" i="8"/>
  <c r="G14" i="8"/>
  <c r="F14" i="8"/>
  <c r="E14" i="8"/>
  <c r="C14" i="8"/>
  <c r="B14" i="8"/>
  <c r="P12" i="8"/>
  <c r="O12" i="8"/>
  <c r="N12" i="8"/>
  <c r="M12" i="8"/>
  <c r="L12" i="8" s="1"/>
  <c r="H95" i="10" s="1"/>
  <c r="K12" i="8"/>
  <c r="J12" i="8"/>
  <c r="H67" i="10" s="1"/>
  <c r="H12" i="8"/>
  <c r="G12" i="8"/>
  <c r="F12" i="8"/>
  <c r="E12" i="8"/>
  <c r="D12" i="8" s="1"/>
  <c r="H37" i="10" s="1"/>
  <c r="C12" i="8"/>
  <c r="B12" i="8"/>
  <c r="P11" i="8"/>
  <c r="O11" i="8"/>
  <c r="N11" i="8"/>
  <c r="L11" i="8" s="1"/>
  <c r="M11" i="8"/>
  <c r="K11" i="8"/>
  <c r="J11" i="8"/>
  <c r="H66" i="10" s="1"/>
  <c r="H11" i="8"/>
  <c r="G11" i="8"/>
  <c r="F11" i="8"/>
  <c r="E11" i="8"/>
  <c r="C11" i="8"/>
  <c r="H9" i="10" s="1"/>
  <c r="B11" i="8"/>
  <c r="P10" i="8"/>
  <c r="O10" i="8"/>
  <c r="N10" i="8"/>
  <c r="M10" i="8"/>
  <c r="K10" i="8"/>
  <c r="J10" i="8"/>
  <c r="H65" i="10" s="1"/>
  <c r="H10" i="8"/>
  <c r="G10" i="8"/>
  <c r="F10" i="8"/>
  <c r="E10" i="8"/>
  <c r="D10" i="8" s="1"/>
  <c r="H35" i="10" s="1"/>
  <c r="C10" i="8"/>
  <c r="B10" i="8"/>
  <c r="H8" i="10" s="1"/>
  <c r="P9" i="8"/>
  <c r="O9" i="8"/>
  <c r="N9" i="8"/>
  <c r="L9" i="8" s="1"/>
  <c r="M9" i="8"/>
  <c r="K9" i="8"/>
  <c r="J9" i="8"/>
  <c r="H64" i="10" s="1"/>
  <c r="H9" i="8"/>
  <c r="G9" i="8"/>
  <c r="F9" i="8"/>
  <c r="E9" i="8"/>
  <c r="C9" i="8"/>
  <c r="B9" i="8"/>
  <c r="H458" i="9"/>
  <c r="G458" i="9"/>
  <c r="F458" i="9"/>
  <c r="E458" i="9"/>
  <c r="C458" i="9"/>
  <c r="B458" i="9"/>
  <c r="O25" i="11" s="1"/>
  <c r="H457" i="9"/>
  <c r="G457" i="9"/>
  <c r="F457" i="9"/>
  <c r="E457" i="9"/>
  <c r="D457" i="9" s="1"/>
  <c r="O52" i="11" s="1"/>
  <c r="C457" i="9"/>
  <c r="B457" i="9"/>
  <c r="H456" i="9"/>
  <c r="G456" i="9"/>
  <c r="F456" i="9"/>
  <c r="D456" i="9" s="1"/>
  <c r="O51" i="11" s="1"/>
  <c r="E456" i="9"/>
  <c r="C456" i="9"/>
  <c r="B456" i="9"/>
  <c r="H455" i="9"/>
  <c r="G455" i="9"/>
  <c r="F455" i="9"/>
  <c r="E455" i="9"/>
  <c r="C455" i="9"/>
  <c r="O22" i="11" s="1"/>
  <c r="B455" i="9"/>
  <c r="H453" i="9"/>
  <c r="G453" i="9"/>
  <c r="F453" i="9"/>
  <c r="E453" i="9"/>
  <c r="C453" i="9"/>
  <c r="B453" i="9"/>
  <c r="O20" i="11" s="1"/>
  <c r="H452" i="9"/>
  <c r="G452" i="9"/>
  <c r="F452" i="9"/>
  <c r="E452" i="9"/>
  <c r="C452" i="9"/>
  <c r="B452" i="9"/>
  <c r="O19" i="11" s="1"/>
  <c r="H451" i="9"/>
  <c r="G451" i="9"/>
  <c r="F451" i="9"/>
  <c r="E451" i="9"/>
  <c r="C451" i="9"/>
  <c r="B451" i="9"/>
  <c r="O18" i="11" s="1"/>
  <c r="H450" i="9"/>
  <c r="G450" i="9"/>
  <c r="F450" i="9"/>
  <c r="E450" i="9"/>
  <c r="C450" i="9"/>
  <c r="B450" i="9"/>
  <c r="H448" i="9"/>
  <c r="G448" i="9"/>
  <c r="F448" i="9"/>
  <c r="E448" i="9"/>
  <c r="C448" i="9"/>
  <c r="B448" i="9"/>
  <c r="O15" i="11" s="1"/>
  <c r="H447" i="9"/>
  <c r="G447" i="9"/>
  <c r="F447" i="9"/>
  <c r="E447" i="9"/>
  <c r="D447" i="9" s="1"/>
  <c r="C447" i="9"/>
  <c r="B447" i="9"/>
  <c r="H446" i="9"/>
  <c r="G446" i="9"/>
  <c r="F446" i="9"/>
  <c r="D446" i="9" s="1"/>
  <c r="E446" i="9"/>
  <c r="C446" i="9"/>
  <c r="B446" i="9"/>
  <c r="H445" i="9"/>
  <c r="G445" i="9"/>
  <c r="F445" i="9"/>
  <c r="E445" i="9"/>
  <c r="C445" i="9"/>
  <c r="O12" i="11" s="1"/>
  <c r="B445" i="9"/>
  <c r="H443" i="9"/>
  <c r="G443" i="9"/>
  <c r="F443" i="9"/>
  <c r="E443" i="9"/>
  <c r="C443" i="9"/>
  <c r="B443" i="9"/>
  <c r="O10" i="11" s="1"/>
  <c r="H442" i="9"/>
  <c r="G442" i="9"/>
  <c r="F442" i="9"/>
  <c r="E442" i="9"/>
  <c r="C442" i="9"/>
  <c r="B442" i="9"/>
  <c r="H441" i="9"/>
  <c r="G441" i="9"/>
  <c r="F441" i="9"/>
  <c r="E441" i="9"/>
  <c r="C441" i="9"/>
  <c r="B441" i="9"/>
  <c r="O8" i="11" s="1"/>
  <c r="H440" i="9"/>
  <c r="G440" i="9"/>
  <c r="F440" i="9"/>
  <c r="E440" i="9"/>
  <c r="C440" i="9"/>
  <c r="B440" i="9"/>
  <c r="H428" i="9"/>
  <c r="G428" i="9"/>
  <c r="F428" i="9"/>
  <c r="E428" i="9"/>
  <c r="D428" i="9" s="1"/>
  <c r="N53" i="11" s="1"/>
  <c r="C428" i="9"/>
  <c r="B428" i="9"/>
  <c r="N25" i="11" s="1"/>
  <c r="H427" i="9"/>
  <c r="G427" i="9"/>
  <c r="F427" i="9"/>
  <c r="E427" i="9"/>
  <c r="D427" i="9" s="1"/>
  <c r="N52" i="11" s="1"/>
  <c r="C427" i="9"/>
  <c r="B427" i="9"/>
  <c r="H426" i="9"/>
  <c r="G426" i="9"/>
  <c r="F426" i="9"/>
  <c r="E426" i="9"/>
  <c r="C426" i="9"/>
  <c r="B426" i="9"/>
  <c r="N23" i="11" s="1"/>
  <c r="H425" i="9"/>
  <c r="G425" i="9"/>
  <c r="F425" i="9"/>
  <c r="E425" i="9"/>
  <c r="C425" i="9"/>
  <c r="N22" i="11" s="1"/>
  <c r="B425" i="9"/>
  <c r="H423" i="9"/>
  <c r="G423" i="9"/>
  <c r="F423" i="9"/>
  <c r="E423" i="9"/>
  <c r="C423" i="9"/>
  <c r="B423" i="9"/>
  <c r="N20" i="11" s="1"/>
  <c r="H422" i="9"/>
  <c r="G422" i="9"/>
  <c r="F422" i="9"/>
  <c r="E422" i="9"/>
  <c r="D422" i="9" s="1"/>
  <c r="N47" i="11" s="1"/>
  <c r="C422" i="9"/>
  <c r="B422" i="9"/>
  <c r="H421" i="9"/>
  <c r="G421" i="9"/>
  <c r="F421" i="9"/>
  <c r="D421" i="9" s="1"/>
  <c r="E421" i="9"/>
  <c r="C421" i="9"/>
  <c r="B421" i="9"/>
  <c r="H420" i="9"/>
  <c r="G420" i="9"/>
  <c r="F420" i="9"/>
  <c r="E420" i="9"/>
  <c r="C420" i="9"/>
  <c r="N17" i="11" s="1"/>
  <c r="B420" i="9"/>
  <c r="H418" i="9"/>
  <c r="G418" i="9"/>
  <c r="F418" i="9"/>
  <c r="E418" i="9"/>
  <c r="C418" i="9"/>
  <c r="B418" i="9"/>
  <c r="N15" i="11" s="1"/>
  <c r="H417" i="9"/>
  <c r="G417" i="9"/>
  <c r="F417" i="9"/>
  <c r="E417" i="9"/>
  <c r="D417" i="9" s="1"/>
  <c r="N42" i="11" s="1"/>
  <c r="C417" i="9"/>
  <c r="B417" i="9"/>
  <c r="H416" i="9"/>
  <c r="G416" i="9"/>
  <c r="F416" i="9"/>
  <c r="D416" i="9" s="1"/>
  <c r="N41" i="11" s="1"/>
  <c r="E416" i="9"/>
  <c r="C416" i="9"/>
  <c r="B416" i="9"/>
  <c r="H415" i="9"/>
  <c r="G415" i="9"/>
  <c r="F415" i="9"/>
  <c r="E415" i="9"/>
  <c r="D415" i="9" s="1"/>
  <c r="N40" i="11" s="1"/>
  <c r="C415" i="9"/>
  <c r="N12" i="11" s="1"/>
  <c r="B415" i="9"/>
  <c r="H413" i="9"/>
  <c r="G413" i="9"/>
  <c r="F413" i="9"/>
  <c r="E413" i="9"/>
  <c r="C413" i="9"/>
  <c r="B413" i="9"/>
  <c r="H412" i="9"/>
  <c r="G412" i="9"/>
  <c r="F412" i="9"/>
  <c r="E412" i="9"/>
  <c r="D412" i="9" s="1"/>
  <c r="N37" i="11" s="1"/>
  <c r="C412" i="9"/>
  <c r="B412" i="9"/>
  <c r="H411" i="9"/>
  <c r="G411" i="9"/>
  <c r="F411" i="9"/>
  <c r="D411" i="9" s="1"/>
  <c r="N36" i="11" s="1"/>
  <c r="E411" i="9"/>
  <c r="C411" i="9"/>
  <c r="B411" i="9"/>
  <c r="N8" i="11" s="1"/>
  <c r="H410" i="9"/>
  <c r="G410" i="9"/>
  <c r="F410" i="9"/>
  <c r="E410" i="9"/>
  <c r="C410" i="9"/>
  <c r="N7" i="11" s="1"/>
  <c r="B410" i="9"/>
  <c r="H398" i="9"/>
  <c r="G398" i="9"/>
  <c r="F398" i="9"/>
  <c r="E398" i="9"/>
  <c r="C398" i="9"/>
  <c r="B398" i="9"/>
  <c r="P25" i="11" s="1"/>
  <c r="H397" i="9"/>
  <c r="G397" i="9"/>
  <c r="F397" i="9"/>
  <c r="E397" i="9"/>
  <c r="C397" i="9"/>
  <c r="B397" i="9"/>
  <c r="H396" i="9"/>
  <c r="G396" i="9"/>
  <c r="F396" i="9"/>
  <c r="D396" i="9" s="1"/>
  <c r="P51" i="11" s="1"/>
  <c r="S51" i="11" s="1"/>
  <c r="E396" i="9"/>
  <c r="C396" i="9"/>
  <c r="B396" i="9"/>
  <c r="P23" i="11" s="1"/>
  <c r="H395" i="9"/>
  <c r="G395" i="9"/>
  <c r="F395" i="9"/>
  <c r="E395" i="9"/>
  <c r="C395" i="9"/>
  <c r="P22" i="11" s="1"/>
  <c r="B395" i="9"/>
  <c r="H393" i="9"/>
  <c r="G393" i="9"/>
  <c r="F393" i="9"/>
  <c r="E393" i="9"/>
  <c r="D393" i="9" s="1"/>
  <c r="P48" i="11" s="1"/>
  <c r="S48" i="11" s="1"/>
  <c r="C393" i="9"/>
  <c r="B393" i="9"/>
  <c r="P20" i="11" s="1"/>
  <c r="H392" i="9"/>
  <c r="G392" i="9"/>
  <c r="F392" i="9"/>
  <c r="E392" i="9"/>
  <c r="D392" i="9" s="1"/>
  <c r="P47" i="11" s="1"/>
  <c r="S47" i="11" s="1"/>
  <c r="C392" i="9"/>
  <c r="B392" i="9"/>
  <c r="H391" i="9"/>
  <c r="G391" i="9"/>
  <c r="F391" i="9"/>
  <c r="D391" i="9" s="1"/>
  <c r="P46" i="11" s="1"/>
  <c r="S46" i="11" s="1"/>
  <c r="E391" i="9"/>
  <c r="C391" i="9"/>
  <c r="B391" i="9"/>
  <c r="P18" i="11" s="1"/>
  <c r="H390" i="9"/>
  <c r="G390" i="9"/>
  <c r="F390" i="9"/>
  <c r="E390" i="9"/>
  <c r="C390" i="9"/>
  <c r="B390" i="9"/>
  <c r="H388" i="9"/>
  <c r="G388" i="9"/>
  <c r="F388" i="9"/>
  <c r="E388" i="9"/>
  <c r="D388" i="9" s="1"/>
  <c r="P43" i="11" s="1"/>
  <c r="S43" i="11" s="1"/>
  <c r="C388" i="9"/>
  <c r="B388" i="9"/>
  <c r="P15" i="11" s="1"/>
  <c r="H387" i="9"/>
  <c r="G387" i="9"/>
  <c r="F387" i="9"/>
  <c r="E387" i="9"/>
  <c r="D387" i="9" s="1"/>
  <c r="P42" i="11" s="1"/>
  <c r="S42" i="11" s="1"/>
  <c r="C387" i="9"/>
  <c r="B387" i="9"/>
  <c r="H386" i="9"/>
  <c r="G386" i="9"/>
  <c r="F386" i="9"/>
  <c r="D386" i="9" s="1"/>
  <c r="E386" i="9"/>
  <c r="C386" i="9"/>
  <c r="B386" i="9"/>
  <c r="P13" i="11" s="1"/>
  <c r="H385" i="9"/>
  <c r="G385" i="9"/>
  <c r="F385" i="9"/>
  <c r="E385" i="9"/>
  <c r="C385" i="9"/>
  <c r="B385" i="9"/>
  <c r="H383" i="9"/>
  <c r="G383" i="9"/>
  <c r="F383" i="9"/>
  <c r="E383" i="9"/>
  <c r="D383" i="9" s="1"/>
  <c r="P38" i="11" s="1"/>
  <c r="S38" i="11" s="1"/>
  <c r="C383" i="9"/>
  <c r="B383" i="9"/>
  <c r="P10" i="11" s="1"/>
  <c r="H382" i="9"/>
  <c r="Q382" i="9" s="1"/>
  <c r="G382" i="9"/>
  <c r="F382" i="9"/>
  <c r="E382" i="9"/>
  <c r="D382" i="9" s="1"/>
  <c r="P37" i="11" s="1"/>
  <c r="S37" i="11" s="1"/>
  <c r="C382" i="9"/>
  <c r="B382" i="9"/>
  <c r="H381" i="9"/>
  <c r="G381" i="9"/>
  <c r="F381" i="9"/>
  <c r="D381" i="9" s="1"/>
  <c r="E381" i="9"/>
  <c r="C381" i="9"/>
  <c r="B381" i="9"/>
  <c r="H380" i="9"/>
  <c r="G380" i="9"/>
  <c r="F380" i="9"/>
  <c r="E380" i="9"/>
  <c r="C380" i="9"/>
  <c r="B380" i="9"/>
  <c r="H367" i="9"/>
  <c r="G367" i="9"/>
  <c r="F367" i="9"/>
  <c r="E367" i="9"/>
  <c r="C367" i="9"/>
  <c r="B367" i="9"/>
  <c r="L25" i="11" s="1"/>
  <c r="H366" i="9"/>
  <c r="G366" i="9"/>
  <c r="F366" i="9"/>
  <c r="E366" i="9"/>
  <c r="D366" i="9" s="1"/>
  <c r="L52" i="11" s="1"/>
  <c r="C366" i="9"/>
  <c r="B366" i="9"/>
  <c r="H365" i="9"/>
  <c r="G365" i="9"/>
  <c r="F365" i="9"/>
  <c r="E365" i="9"/>
  <c r="C365" i="9"/>
  <c r="B365" i="9"/>
  <c r="L23" i="11" s="1"/>
  <c r="H364" i="9"/>
  <c r="G364" i="9"/>
  <c r="F364" i="9"/>
  <c r="E364" i="9"/>
  <c r="C364" i="9"/>
  <c r="B364" i="9"/>
  <c r="H362" i="9"/>
  <c r="G362" i="9"/>
  <c r="F362" i="9"/>
  <c r="E362" i="9"/>
  <c r="C362" i="9"/>
  <c r="B362" i="9"/>
  <c r="L20" i="11" s="1"/>
  <c r="H361" i="9"/>
  <c r="G361" i="9"/>
  <c r="F361" i="9"/>
  <c r="E361" i="9"/>
  <c r="C361" i="9"/>
  <c r="B361" i="9"/>
  <c r="H360" i="9"/>
  <c r="G360" i="9"/>
  <c r="F360" i="9"/>
  <c r="D360" i="9" s="1"/>
  <c r="L46" i="11" s="1"/>
  <c r="E360" i="9"/>
  <c r="C360" i="9"/>
  <c r="B360" i="9"/>
  <c r="H359" i="9"/>
  <c r="G359" i="9"/>
  <c r="F359" i="9"/>
  <c r="E359" i="9"/>
  <c r="C359" i="9"/>
  <c r="L17" i="11" s="1"/>
  <c r="B359" i="9"/>
  <c r="H357" i="9"/>
  <c r="G357" i="9"/>
  <c r="F357" i="9"/>
  <c r="E357" i="9"/>
  <c r="D357" i="9" s="1"/>
  <c r="L43" i="11" s="1"/>
  <c r="C357" i="9"/>
  <c r="B357" i="9"/>
  <c r="L15" i="11" s="1"/>
  <c r="H356" i="9"/>
  <c r="G356" i="9"/>
  <c r="F356" i="9"/>
  <c r="E356" i="9"/>
  <c r="C356" i="9"/>
  <c r="B356" i="9"/>
  <c r="H355" i="9"/>
  <c r="G355" i="9"/>
  <c r="F355" i="9"/>
  <c r="D355" i="9" s="1"/>
  <c r="L41" i="11" s="1"/>
  <c r="E355" i="9"/>
  <c r="C355" i="9"/>
  <c r="B355" i="9"/>
  <c r="L13" i="11" s="1"/>
  <c r="H354" i="9"/>
  <c r="G354" i="9"/>
  <c r="F354" i="9"/>
  <c r="E354" i="9"/>
  <c r="C354" i="9"/>
  <c r="B354" i="9"/>
  <c r="H352" i="9"/>
  <c r="G352" i="9"/>
  <c r="F352" i="9"/>
  <c r="E352" i="9"/>
  <c r="C352" i="9"/>
  <c r="B352" i="9"/>
  <c r="H351" i="9"/>
  <c r="Q351" i="9" s="1"/>
  <c r="G351" i="9"/>
  <c r="F351" i="9"/>
  <c r="E351" i="9"/>
  <c r="D351" i="9" s="1"/>
  <c r="L37" i="11" s="1"/>
  <c r="C351" i="9"/>
  <c r="B351" i="9"/>
  <c r="H350" i="9"/>
  <c r="G350" i="9"/>
  <c r="F350" i="9"/>
  <c r="D350" i="9" s="1"/>
  <c r="E350" i="9"/>
  <c r="C350" i="9"/>
  <c r="B350" i="9"/>
  <c r="L8" i="11" s="1"/>
  <c r="H349" i="9"/>
  <c r="G349" i="9"/>
  <c r="F349" i="9"/>
  <c r="E349" i="9"/>
  <c r="C349" i="9"/>
  <c r="L7" i="11" s="1"/>
  <c r="B349" i="9"/>
  <c r="H336" i="9"/>
  <c r="G336" i="9"/>
  <c r="F336" i="9"/>
  <c r="E336" i="9"/>
  <c r="C336" i="9"/>
  <c r="B336" i="9"/>
  <c r="K25" i="11" s="1"/>
  <c r="H335" i="9"/>
  <c r="G335" i="9"/>
  <c r="F335" i="9"/>
  <c r="E335" i="9"/>
  <c r="D335" i="9" s="1"/>
  <c r="C335" i="9"/>
  <c r="B335" i="9"/>
  <c r="H334" i="9"/>
  <c r="G334" i="9"/>
  <c r="F334" i="9"/>
  <c r="D334" i="9" s="1"/>
  <c r="K51" i="11" s="1"/>
  <c r="E334" i="9"/>
  <c r="C334" i="9"/>
  <c r="B334" i="9"/>
  <c r="K23" i="11" s="1"/>
  <c r="H333" i="9"/>
  <c r="G333" i="9"/>
  <c r="F333" i="9"/>
  <c r="E333" i="9"/>
  <c r="C333" i="9"/>
  <c r="B333" i="9"/>
  <c r="H331" i="9"/>
  <c r="G331" i="9"/>
  <c r="F331" i="9"/>
  <c r="E331" i="9"/>
  <c r="D331" i="9" s="1"/>
  <c r="C331" i="9"/>
  <c r="B331" i="9"/>
  <c r="K20" i="11" s="1"/>
  <c r="H330" i="9"/>
  <c r="G330" i="9"/>
  <c r="F330" i="9"/>
  <c r="E330" i="9"/>
  <c r="D330" i="9" s="1"/>
  <c r="C330" i="9"/>
  <c r="B330" i="9"/>
  <c r="H329" i="9"/>
  <c r="G329" i="9"/>
  <c r="F329" i="9"/>
  <c r="D329" i="9" s="1"/>
  <c r="E329" i="9"/>
  <c r="C329" i="9"/>
  <c r="B329" i="9"/>
  <c r="K18" i="11" s="1"/>
  <c r="H328" i="9"/>
  <c r="G328" i="9"/>
  <c r="F328" i="9"/>
  <c r="E328" i="9"/>
  <c r="C328" i="9"/>
  <c r="K17" i="11" s="1"/>
  <c r="B328" i="9"/>
  <c r="H326" i="9"/>
  <c r="G326" i="9"/>
  <c r="F326" i="9"/>
  <c r="E326" i="9"/>
  <c r="C326" i="9"/>
  <c r="B326" i="9"/>
  <c r="K15" i="11" s="1"/>
  <c r="H325" i="9"/>
  <c r="G325" i="9"/>
  <c r="F325" i="9"/>
  <c r="E325" i="9"/>
  <c r="D325" i="9" s="1"/>
  <c r="C325" i="9"/>
  <c r="B325" i="9"/>
  <c r="K14" i="11" s="1"/>
  <c r="H324" i="9"/>
  <c r="G324" i="9"/>
  <c r="F324" i="9"/>
  <c r="E324" i="9"/>
  <c r="C324" i="9"/>
  <c r="B324" i="9"/>
  <c r="K13" i="11" s="1"/>
  <c r="H323" i="9"/>
  <c r="G323" i="9"/>
  <c r="F323" i="9"/>
  <c r="E323" i="9"/>
  <c r="C323" i="9"/>
  <c r="B323" i="9"/>
  <c r="H321" i="9"/>
  <c r="G321" i="9"/>
  <c r="F321" i="9"/>
  <c r="E321" i="9"/>
  <c r="D321" i="9" s="1"/>
  <c r="K38" i="11" s="1"/>
  <c r="C321" i="9"/>
  <c r="B321" i="9"/>
  <c r="K10" i="11" s="1"/>
  <c r="H320" i="9"/>
  <c r="G320" i="9"/>
  <c r="F320" i="9"/>
  <c r="E320" i="9"/>
  <c r="C320" i="9"/>
  <c r="B320" i="9"/>
  <c r="H319" i="9"/>
  <c r="G319" i="9"/>
  <c r="F319" i="9"/>
  <c r="D319" i="9" s="1"/>
  <c r="K36" i="11" s="1"/>
  <c r="E319" i="9"/>
  <c r="C319" i="9"/>
  <c r="B319" i="9"/>
  <c r="K8" i="11" s="1"/>
  <c r="H318" i="9"/>
  <c r="G318" i="9"/>
  <c r="F318" i="9"/>
  <c r="E318" i="9"/>
  <c r="C318" i="9"/>
  <c r="K7" i="11" s="1"/>
  <c r="B318" i="9"/>
  <c r="H305" i="9"/>
  <c r="G305" i="9"/>
  <c r="F305" i="9"/>
  <c r="E305" i="9"/>
  <c r="C305" i="9"/>
  <c r="B305" i="9"/>
  <c r="J25" i="11" s="1"/>
  <c r="H304" i="9"/>
  <c r="G304" i="9"/>
  <c r="F304" i="9"/>
  <c r="E304" i="9"/>
  <c r="D304" i="9" s="1"/>
  <c r="J52" i="11" s="1"/>
  <c r="C304" i="9"/>
  <c r="B304" i="9"/>
  <c r="J24" i="11" s="1"/>
  <c r="H303" i="9"/>
  <c r="G303" i="9"/>
  <c r="F303" i="9"/>
  <c r="D303" i="9" s="1"/>
  <c r="J51" i="11" s="1"/>
  <c r="E303" i="9"/>
  <c r="C303" i="9"/>
  <c r="B303" i="9"/>
  <c r="J23" i="11" s="1"/>
  <c r="H302" i="9"/>
  <c r="G302" i="9"/>
  <c r="F302" i="9"/>
  <c r="E302" i="9"/>
  <c r="C302" i="9"/>
  <c r="J22" i="11" s="1"/>
  <c r="B302" i="9"/>
  <c r="H300" i="9"/>
  <c r="G300" i="9"/>
  <c r="F300" i="9"/>
  <c r="E300" i="9"/>
  <c r="C300" i="9"/>
  <c r="B300" i="9"/>
  <c r="J20" i="11" s="1"/>
  <c r="H299" i="9"/>
  <c r="G299" i="9"/>
  <c r="F299" i="9"/>
  <c r="E299" i="9"/>
  <c r="C299" i="9"/>
  <c r="B299" i="9"/>
  <c r="H298" i="9"/>
  <c r="G298" i="9"/>
  <c r="F298" i="9"/>
  <c r="D298" i="9" s="1"/>
  <c r="J46" i="11" s="1"/>
  <c r="E298" i="9"/>
  <c r="C298" i="9"/>
  <c r="B298" i="9"/>
  <c r="J18" i="11" s="1"/>
  <c r="H297" i="9"/>
  <c r="G297" i="9"/>
  <c r="F297" i="9"/>
  <c r="E297" i="9"/>
  <c r="D297" i="9" s="1"/>
  <c r="J45" i="11" s="1"/>
  <c r="C297" i="9"/>
  <c r="J17" i="11" s="1"/>
  <c r="B297" i="9"/>
  <c r="H295" i="9"/>
  <c r="G295" i="9"/>
  <c r="F295" i="9"/>
  <c r="E295" i="9"/>
  <c r="D295" i="9" s="1"/>
  <c r="C295" i="9"/>
  <c r="B295" i="9"/>
  <c r="J15" i="11" s="1"/>
  <c r="H294" i="9"/>
  <c r="G294" i="9"/>
  <c r="F294" i="9"/>
  <c r="E294" i="9"/>
  <c r="D294" i="9" s="1"/>
  <c r="J42" i="11" s="1"/>
  <c r="C294" i="9"/>
  <c r="B294" i="9"/>
  <c r="H293" i="9"/>
  <c r="G293" i="9"/>
  <c r="F293" i="9"/>
  <c r="D293" i="9" s="1"/>
  <c r="E293" i="9"/>
  <c r="C293" i="9"/>
  <c r="B293" i="9"/>
  <c r="J13" i="11" s="1"/>
  <c r="H292" i="9"/>
  <c r="G292" i="9"/>
  <c r="F292" i="9"/>
  <c r="E292" i="9"/>
  <c r="C292" i="9"/>
  <c r="J12" i="11" s="1"/>
  <c r="B292" i="9"/>
  <c r="H290" i="9"/>
  <c r="G290" i="9"/>
  <c r="F290" i="9"/>
  <c r="E290" i="9"/>
  <c r="C290" i="9"/>
  <c r="B290" i="9"/>
  <c r="J10" i="11" s="1"/>
  <c r="H289" i="9"/>
  <c r="G289" i="9"/>
  <c r="F289" i="9"/>
  <c r="E289" i="9"/>
  <c r="C289" i="9"/>
  <c r="B289" i="9"/>
  <c r="H288" i="9"/>
  <c r="G288" i="9"/>
  <c r="F288" i="9"/>
  <c r="D288" i="9" s="1"/>
  <c r="J36" i="11" s="1"/>
  <c r="E288" i="9"/>
  <c r="C288" i="9"/>
  <c r="B288" i="9"/>
  <c r="H287" i="9"/>
  <c r="G287" i="9"/>
  <c r="F287" i="9"/>
  <c r="E287" i="9"/>
  <c r="C287" i="9"/>
  <c r="J7" i="11" s="1"/>
  <c r="B287" i="9"/>
  <c r="H274" i="9"/>
  <c r="G274" i="9"/>
  <c r="F274" i="9"/>
  <c r="E274" i="9"/>
  <c r="C274" i="9"/>
  <c r="B274" i="9"/>
  <c r="I25" i="11" s="1"/>
  <c r="H273" i="9"/>
  <c r="Q273" i="9" s="1"/>
  <c r="G273" i="9"/>
  <c r="F273" i="9"/>
  <c r="E273" i="9"/>
  <c r="D273" i="9" s="1"/>
  <c r="I52" i="11" s="1"/>
  <c r="C273" i="9"/>
  <c r="B273" i="9"/>
  <c r="H272" i="9"/>
  <c r="G272" i="9"/>
  <c r="F272" i="9"/>
  <c r="D272" i="9" s="1"/>
  <c r="Q272" i="9" s="1"/>
  <c r="E272" i="9"/>
  <c r="C272" i="9"/>
  <c r="B272" i="9"/>
  <c r="I23" i="11" s="1"/>
  <c r="H271" i="9"/>
  <c r="G271" i="9"/>
  <c r="F271" i="9"/>
  <c r="E271" i="9"/>
  <c r="C271" i="9"/>
  <c r="I22" i="11" s="1"/>
  <c r="B271" i="9"/>
  <c r="H269" i="9"/>
  <c r="G269" i="9"/>
  <c r="F269" i="9"/>
  <c r="E269" i="9"/>
  <c r="C269" i="9"/>
  <c r="B269" i="9"/>
  <c r="I20" i="11" s="1"/>
  <c r="H268" i="9"/>
  <c r="G268" i="9"/>
  <c r="F268" i="9"/>
  <c r="E268" i="9"/>
  <c r="D268" i="9" s="1"/>
  <c r="I47" i="11" s="1"/>
  <c r="C268" i="9"/>
  <c r="B268" i="9"/>
  <c r="H267" i="9"/>
  <c r="G267" i="9"/>
  <c r="F267" i="9"/>
  <c r="D267" i="9" s="1"/>
  <c r="I46" i="11" s="1"/>
  <c r="E267" i="9"/>
  <c r="C267" i="9"/>
  <c r="B267" i="9"/>
  <c r="I18" i="11" s="1"/>
  <c r="H266" i="9"/>
  <c r="G266" i="9"/>
  <c r="F266" i="9"/>
  <c r="E266" i="9"/>
  <c r="C266" i="9"/>
  <c r="B266" i="9"/>
  <c r="H264" i="9"/>
  <c r="G264" i="9"/>
  <c r="F264" i="9"/>
  <c r="E264" i="9"/>
  <c r="C264" i="9"/>
  <c r="B264" i="9"/>
  <c r="I15" i="11" s="1"/>
  <c r="H263" i="9"/>
  <c r="G263" i="9"/>
  <c r="F263" i="9"/>
  <c r="E263" i="9"/>
  <c r="C263" i="9"/>
  <c r="B263" i="9"/>
  <c r="H262" i="9"/>
  <c r="G262" i="9"/>
  <c r="F262" i="9"/>
  <c r="D262" i="9" s="1"/>
  <c r="I41" i="11" s="1"/>
  <c r="E262" i="9"/>
  <c r="C262" i="9"/>
  <c r="B262" i="9"/>
  <c r="I13" i="11" s="1"/>
  <c r="H261" i="9"/>
  <c r="G261" i="9"/>
  <c r="F261" i="9"/>
  <c r="E261" i="9"/>
  <c r="C261" i="9"/>
  <c r="I12" i="11" s="1"/>
  <c r="B261" i="9"/>
  <c r="H259" i="9"/>
  <c r="G259" i="9"/>
  <c r="F259" i="9"/>
  <c r="E259" i="9"/>
  <c r="C259" i="9"/>
  <c r="B259" i="9"/>
  <c r="I10" i="11" s="1"/>
  <c r="H258" i="9"/>
  <c r="G258" i="9"/>
  <c r="F258" i="9"/>
  <c r="E258" i="9"/>
  <c r="D258" i="9" s="1"/>
  <c r="C258" i="9"/>
  <c r="B258" i="9"/>
  <c r="H257" i="9"/>
  <c r="G257" i="9"/>
  <c r="F257" i="9"/>
  <c r="D257" i="9" s="1"/>
  <c r="E257" i="9"/>
  <c r="C257" i="9"/>
  <c r="B257" i="9"/>
  <c r="I8" i="11" s="1"/>
  <c r="H256" i="9"/>
  <c r="G256" i="9"/>
  <c r="F256" i="9"/>
  <c r="E256" i="9"/>
  <c r="C256" i="9"/>
  <c r="B256" i="9"/>
  <c r="H243" i="9"/>
  <c r="G243" i="9"/>
  <c r="F243" i="9"/>
  <c r="E243" i="9"/>
  <c r="D243" i="9" s="1"/>
  <c r="C243" i="9"/>
  <c r="B243" i="9"/>
  <c r="M25" i="11" s="1"/>
  <c r="H242" i="9"/>
  <c r="G242" i="9"/>
  <c r="F242" i="9"/>
  <c r="E242" i="9"/>
  <c r="D242" i="9" s="1"/>
  <c r="C242" i="9"/>
  <c r="B242" i="9"/>
  <c r="H241" i="9"/>
  <c r="G241" i="9"/>
  <c r="F241" i="9"/>
  <c r="D241" i="9" s="1"/>
  <c r="E241" i="9"/>
  <c r="C241" i="9"/>
  <c r="B241" i="9"/>
  <c r="M23" i="11" s="1"/>
  <c r="H240" i="9"/>
  <c r="G240" i="9"/>
  <c r="F240" i="9"/>
  <c r="E240" i="9"/>
  <c r="C240" i="9"/>
  <c r="B240" i="9"/>
  <c r="H238" i="9"/>
  <c r="G238" i="9"/>
  <c r="F238" i="9"/>
  <c r="E238" i="9"/>
  <c r="C238" i="9"/>
  <c r="B238" i="9"/>
  <c r="H237" i="9"/>
  <c r="G237" i="9"/>
  <c r="F237" i="9"/>
  <c r="E237" i="9"/>
  <c r="D237" i="9" s="1"/>
  <c r="M47" i="11" s="1"/>
  <c r="R47" i="11" s="1"/>
  <c r="C237" i="9"/>
  <c r="B237" i="9"/>
  <c r="H236" i="9"/>
  <c r="G236" i="9"/>
  <c r="F236" i="9"/>
  <c r="D236" i="9" s="1"/>
  <c r="E236" i="9"/>
  <c r="C236" i="9"/>
  <c r="B236" i="9"/>
  <c r="H235" i="9"/>
  <c r="G235" i="9"/>
  <c r="F235" i="9"/>
  <c r="E235" i="9"/>
  <c r="C235" i="9"/>
  <c r="M17" i="11" s="1"/>
  <c r="B235" i="9"/>
  <c r="H233" i="9"/>
  <c r="G233" i="9"/>
  <c r="F233" i="9"/>
  <c r="E233" i="9"/>
  <c r="C233" i="9"/>
  <c r="B233" i="9"/>
  <c r="M15" i="11" s="1"/>
  <c r="H232" i="9"/>
  <c r="G232" i="9"/>
  <c r="F232" i="9"/>
  <c r="E232" i="9"/>
  <c r="D232" i="9" s="1"/>
  <c r="M42" i="11" s="1"/>
  <c r="R42" i="11" s="1"/>
  <c r="C232" i="9"/>
  <c r="B232" i="9"/>
  <c r="H231" i="9"/>
  <c r="G231" i="9"/>
  <c r="F231" i="9"/>
  <c r="D231" i="9" s="1"/>
  <c r="M41" i="11" s="1"/>
  <c r="R41" i="11" s="1"/>
  <c r="E231" i="9"/>
  <c r="C231" i="9"/>
  <c r="B231" i="9"/>
  <c r="H230" i="9"/>
  <c r="G230" i="9"/>
  <c r="F230" i="9"/>
  <c r="E230" i="9"/>
  <c r="C230" i="9"/>
  <c r="B230" i="9"/>
  <c r="H228" i="9"/>
  <c r="G228" i="9"/>
  <c r="F228" i="9"/>
  <c r="E228" i="9"/>
  <c r="D228" i="9" s="1"/>
  <c r="M38" i="11" s="1"/>
  <c r="R38" i="11" s="1"/>
  <c r="C228" i="9"/>
  <c r="B228" i="9"/>
  <c r="M10" i="11" s="1"/>
  <c r="H227" i="9"/>
  <c r="Q227" i="9" s="1"/>
  <c r="G227" i="9"/>
  <c r="F227" i="9"/>
  <c r="E227" i="9"/>
  <c r="D227" i="9" s="1"/>
  <c r="M37" i="11" s="1"/>
  <c r="R37" i="11" s="1"/>
  <c r="C227" i="9"/>
  <c r="B227" i="9"/>
  <c r="M9" i="11" s="1"/>
  <c r="H226" i="9"/>
  <c r="G226" i="9"/>
  <c r="F226" i="9"/>
  <c r="D226" i="9" s="1"/>
  <c r="M36" i="11" s="1"/>
  <c r="R36" i="11" s="1"/>
  <c r="E226" i="9"/>
  <c r="C226" i="9"/>
  <c r="B226" i="9"/>
  <c r="M8" i="11" s="1"/>
  <c r="H225" i="9"/>
  <c r="G225" i="9"/>
  <c r="F225" i="9"/>
  <c r="E225" i="9"/>
  <c r="C225" i="9"/>
  <c r="M7" i="11" s="1"/>
  <c r="B225" i="9"/>
  <c r="P212" i="9"/>
  <c r="O212" i="9"/>
  <c r="N212" i="9"/>
  <c r="M212" i="9"/>
  <c r="K212" i="9"/>
  <c r="J212" i="9"/>
  <c r="G84" i="11" s="1"/>
  <c r="H212" i="9"/>
  <c r="G212" i="9"/>
  <c r="F212" i="9"/>
  <c r="E212" i="9"/>
  <c r="D212" i="9" s="1"/>
  <c r="G53" i="11" s="1"/>
  <c r="C212" i="9"/>
  <c r="B212" i="9"/>
  <c r="P211" i="9"/>
  <c r="O211" i="9"/>
  <c r="N211" i="9"/>
  <c r="L211" i="9" s="1"/>
  <c r="G111" i="11" s="1"/>
  <c r="M211" i="9"/>
  <c r="K211" i="9"/>
  <c r="J211" i="9"/>
  <c r="G83" i="11" s="1"/>
  <c r="H211" i="9"/>
  <c r="G211" i="9"/>
  <c r="F211" i="9"/>
  <c r="E211" i="9"/>
  <c r="C211" i="9"/>
  <c r="B211" i="9"/>
  <c r="P210" i="9"/>
  <c r="O210" i="9"/>
  <c r="N210" i="9"/>
  <c r="M210" i="9"/>
  <c r="K210" i="9"/>
  <c r="J210" i="9"/>
  <c r="G82" i="11" s="1"/>
  <c r="H210" i="9"/>
  <c r="G210" i="9"/>
  <c r="F210" i="9"/>
  <c r="E210" i="9"/>
  <c r="C210" i="9"/>
  <c r="B210" i="9"/>
  <c r="P209" i="9"/>
  <c r="O209" i="9"/>
  <c r="N209" i="9"/>
  <c r="L209" i="9" s="1"/>
  <c r="G109" i="11" s="1"/>
  <c r="M209" i="9"/>
  <c r="K209" i="9"/>
  <c r="J209" i="9"/>
  <c r="H209" i="9"/>
  <c r="G209" i="9"/>
  <c r="F209" i="9"/>
  <c r="E209" i="9"/>
  <c r="C209" i="9"/>
  <c r="G22" i="11" s="1"/>
  <c r="B209" i="9"/>
  <c r="P207" i="9"/>
  <c r="O207" i="9"/>
  <c r="N207" i="9"/>
  <c r="M207" i="9"/>
  <c r="L207" i="9" s="1"/>
  <c r="G107" i="11" s="1"/>
  <c r="K207" i="9"/>
  <c r="J207" i="9"/>
  <c r="H207" i="9"/>
  <c r="G207" i="9"/>
  <c r="F207" i="9"/>
  <c r="E207" i="9"/>
  <c r="C207" i="9"/>
  <c r="B207" i="9"/>
  <c r="G20" i="11" s="1"/>
  <c r="P206" i="9"/>
  <c r="O206" i="9"/>
  <c r="N206" i="9"/>
  <c r="L206" i="9" s="1"/>
  <c r="G106" i="11" s="1"/>
  <c r="M206" i="9"/>
  <c r="K206" i="9"/>
  <c r="J206" i="9"/>
  <c r="G78" i="11" s="1"/>
  <c r="H206" i="9"/>
  <c r="G206" i="9"/>
  <c r="F206" i="9"/>
  <c r="E206" i="9"/>
  <c r="C206" i="9"/>
  <c r="G19" i="11" s="1"/>
  <c r="B206" i="9"/>
  <c r="P205" i="9"/>
  <c r="O205" i="9"/>
  <c r="N205" i="9"/>
  <c r="M205" i="9"/>
  <c r="K205" i="9"/>
  <c r="J205" i="9"/>
  <c r="G77" i="11" s="1"/>
  <c r="H205" i="9"/>
  <c r="G205" i="9"/>
  <c r="F205" i="9"/>
  <c r="E205" i="9"/>
  <c r="C205" i="9"/>
  <c r="B205" i="9"/>
  <c r="G18" i="11" s="1"/>
  <c r="P204" i="9"/>
  <c r="O204" i="9"/>
  <c r="N204" i="9"/>
  <c r="M204" i="9"/>
  <c r="K204" i="9"/>
  <c r="J204" i="9"/>
  <c r="G76" i="11" s="1"/>
  <c r="H204" i="9"/>
  <c r="G204" i="9"/>
  <c r="F204" i="9"/>
  <c r="E204" i="9"/>
  <c r="C204" i="9"/>
  <c r="B204" i="9"/>
  <c r="P202" i="9"/>
  <c r="O202" i="9"/>
  <c r="N202" i="9"/>
  <c r="M202" i="9"/>
  <c r="L202" i="9" s="1"/>
  <c r="G102" i="11" s="1"/>
  <c r="K202" i="9"/>
  <c r="J202" i="9"/>
  <c r="G74" i="11" s="1"/>
  <c r="H202" i="9"/>
  <c r="Q202" i="9" s="1"/>
  <c r="G202" i="9"/>
  <c r="F202" i="9"/>
  <c r="E202" i="9"/>
  <c r="D202" i="9" s="1"/>
  <c r="G43" i="11" s="1"/>
  <c r="C202" i="9"/>
  <c r="B202" i="9"/>
  <c r="G15" i="11" s="1"/>
  <c r="P201" i="9"/>
  <c r="O201" i="9"/>
  <c r="N201" i="9"/>
  <c r="L201" i="9" s="1"/>
  <c r="G101" i="11" s="1"/>
  <c r="M201" i="9"/>
  <c r="K201" i="9"/>
  <c r="J201" i="9"/>
  <c r="G73" i="11" s="1"/>
  <c r="H201" i="9"/>
  <c r="G201" i="9"/>
  <c r="F201" i="9"/>
  <c r="E201" i="9"/>
  <c r="C201" i="9"/>
  <c r="B201" i="9"/>
  <c r="P200" i="9"/>
  <c r="O200" i="9"/>
  <c r="N200" i="9"/>
  <c r="M200" i="9"/>
  <c r="L200" i="9" s="1"/>
  <c r="G100" i="11" s="1"/>
  <c r="K200" i="9"/>
  <c r="J200" i="9"/>
  <c r="G72" i="11" s="1"/>
  <c r="H200" i="9"/>
  <c r="G200" i="9"/>
  <c r="F200" i="9"/>
  <c r="E200" i="9"/>
  <c r="D200" i="9" s="1"/>
  <c r="G41" i="11" s="1"/>
  <c r="C200" i="9"/>
  <c r="B200" i="9"/>
  <c r="G13" i="11" s="1"/>
  <c r="P199" i="9"/>
  <c r="O199" i="9"/>
  <c r="N199" i="9"/>
  <c r="L199" i="9" s="1"/>
  <c r="G99" i="11" s="1"/>
  <c r="M199" i="9"/>
  <c r="K199" i="9"/>
  <c r="J199" i="9"/>
  <c r="G71" i="11" s="1"/>
  <c r="H199" i="9"/>
  <c r="G199" i="9"/>
  <c r="F199" i="9"/>
  <c r="E199" i="9"/>
  <c r="C199" i="9"/>
  <c r="G12" i="11" s="1"/>
  <c r="B199" i="9"/>
  <c r="P197" i="9"/>
  <c r="O197" i="9"/>
  <c r="N197" i="9"/>
  <c r="M197" i="9"/>
  <c r="K197" i="9"/>
  <c r="J197" i="9"/>
  <c r="G69" i="11" s="1"/>
  <c r="H197" i="9"/>
  <c r="G197" i="9"/>
  <c r="F197" i="9"/>
  <c r="E197" i="9"/>
  <c r="C197" i="9"/>
  <c r="B197" i="9"/>
  <c r="G10" i="11" s="1"/>
  <c r="P196" i="9"/>
  <c r="O196" i="9"/>
  <c r="N196" i="9"/>
  <c r="L196" i="9" s="1"/>
  <c r="M196" i="9"/>
  <c r="K196" i="9"/>
  <c r="J196" i="9"/>
  <c r="G68" i="11" s="1"/>
  <c r="H196" i="9"/>
  <c r="G196" i="9"/>
  <c r="F196" i="9"/>
  <c r="E196" i="9"/>
  <c r="C196" i="9"/>
  <c r="G9" i="11" s="1"/>
  <c r="B196" i="9"/>
  <c r="P195" i="9"/>
  <c r="O195" i="9"/>
  <c r="N195" i="9"/>
  <c r="M195" i="9"/>
  <c r="K195" i="9"/>
  <c r="J195" i="9"/>
  <c r="G67" i="11" s="1"/>
  <c r="H195" i="9"/>
  <c r="G195" i="9"/>
  <c r="F195" i="9"/>
  <c r="E195" i="9"/>
  <c r="C195" i="9"/>
  <c r="B195" i="9"/>
  <c r="G8" i="11" s="1"/>
  <c r="P194" i="9"/>
  <c r="O194" i="9"/>
  <c r="N194" i="9"/>
  <c r="L194" i="9" s="1"/>
  <c r="G94" i="11" s="1"/>
  <c r="M194" i="9"/>
  <c r="K194" i="9"/>
  <c r="J194" i="9"/>
  <c r="G66" i="11" s="1"/>
  <c r="H194" i="9"/>
  <c r="G194" i="9"/>
  <c r="F194" i="9"/>
  <c r="E194" i="9"/>
  <c r="C194" i="9"/>
  <c r="B194" i="9"/>
  <c r="P182" i="9"/>
  <c r="O182" i="9"/>
  <c r="N182" i="9"/>
  <c r="M182" i="9"/>
  <c r="L182" i="9" s="1"/>
  <c r="F112" i="11" s="1"/>
  <c r="K182" i="9"/>
  <c r="J182" i="9"/>
  <c r="H182" i="9"/>
  <c r="G182" i="9"/>
  <c r="F182" i="9"/>
  <c r="E182" i="9"/>
  <c r="C182" i="9"/>
  <c r="B182" i="9"/>
  <c r="F25" i="11" s="1"/>
  <c r="P181" i="9"/>
  <c r="O181" i="9"/>
  <c r="N181" i="9"/>
  <c r="L181" i="9" s="1"/>
  <c r="F111" i="11" s="1"/>
  <c r="M181" i="9"/>
  <c r="K181" i="9"/>
  <c r="J181" i="9"/>
  <c r="H181" i="9"/>
  <c r="G181" i="9"/>
  <c r="F181" i="9"/>
  <c r="E181" i="9"/>
  <c r="C181" i="9"/>
  <c r="B181" i="9"/>
  <c r="P180" i="9"/>
  <c r="O180" i="9"/>
  <c r="N180" i="9"/>
  <c r="M180" i="9"/>
  <c r="L180" i="9" s="1"/>
  <c r="F110" i="11" s="1"/>
  <c r="K180" i="9"/>
  <c r="J180" i="9"/>
  <c r="F82" i="11" s="1"/>
  <c r="H180" i="9"/>
  <c r="G180" i="9"/>
  <c r="F180" i="9"/>
  <c r="E180" i="9"/>
  <c r="D180" i="9" s="1"/>
  <c r="C180" i="9"/>
  <c r="B180" i="9"/>
  <c r="F23" i="11" s="1"/>
  <c r="P179" i="9"/>
  <c r="O179" i="9"/>
  <c r="N179" i="9"/>
  <c r="L179" i="9" s="1"/>
  <c r="F109" i="11" s="1"/>
  <c r="M179" i="9"/>
  <c r="K179" i="9"/>
  <c r="J179" i="9"/>
  <c r="F81" i="11" s="1"/>
  <c r="H179" i="9"/>
  <c r="G179" i="9"/>
  <c r="F179" i="9"/>
  <c r="E179" i="9"/>
  <c r="C179" i="9"/>
  <c r="F22" i="11" s="1"/>
  <c r="B179" i="9"/>
  <c r="P177" i="9"/>
  <c r="O177" i="9"/>
  <c r="N177" i="9"/>
  <c r="M177" i="9"/>
  <c r="L177" i="9" s="1"/>
  <c r="F107" i="11" s="1"/>
  <c r="K177" i="9"/>
  <c r="J177" i="9"/>
  <c r="F79" i="11" s="1"/>
  <c r="H177" i="9"/>
  <c r="G177" i="9"/>
  <c r="F177" i="9"/>
  <c r="E177" i="9"/>
  <c r="C177" i="9"/>
  <c r="B177" i="9"/>
  <c r="F20" i="11" s="1"/>
  <c r="P176" i="9"/>
  <c r="O176" i="9"/>
  <c r="N176" i="9"/>
  <c r="L176" i="9" s="1"/>
  <c r="F106" i="11" s="1"/>
  <c r="M176" i="9"/>
  <c r="K176" i="9"/>
  <c r="J176" i="9"/>
  <c r="F78" i="11" s="1"/>
  <c r="H176" i="9"/>
  <c r="G176" i="9"/>
  <c r="F176" i="9"/>
  <c r="E176" i="9"/>
  <c r="C176" i="9"/>
  <c r="F19" i="11" s="1"/>
  <c r="B176" i="9"/>
  <c r="P175" i="9"/>
  <c r="O175" i="9"/>
  <c r="N175" i="9"/>
  <c r="M175" i="9"/>
  <c r="L175" i="9" s="1"/>
  <c r="F105" i="11" s="1"/>
  <c r="K175" i="9"/>
  <c r="J175" i="9"/>
  <c r="H175" i="9"/>
  <c r="G175" i="9"/>
  <c r="F175" i="9"/>
  <c r="E175" i="9"/>
  <c r="D175" i="9" s="1"/>
  <c r="F46" i="11" s="1"/>
  <c r="C175" i="9"/>
  <c r="B175" i="9"/>
  <c r="F18" i="11" s="1"/>
  <c r="P174" i="9"/>
  <c r="O174" i="9"/>
  <c r="N174" i="9"/>
  <c r="L174" i="9" s="1"/>
  <c r="R174" i="9" s="1"/>
  <c r="M174" i="9"/>
  <c r="K174" i="9"/>
  <c r="J174" i="9"/>
  <c r="F76" i="11" s="1"/>
  <c r="H174" i="9"/>
  <c r="G174" i="9"/>
  <c r="F174" i="9"/>
  <c r="E174" i="9"/>
  <c r="C174" i="9"/>
  <c r="F17" i="11" s="1"/>
  <c r="B174" i="9"/>
  <c r="P172" i="9"/>
  <c r="O172" i="9"/>
  <c r="N172" i="9"/>
  <c r="M172" i="9"/>
  <c r="L172" i="9" s="1"/>
  <c r="F102" i="11" s="1"/>
  <c r="K172" i="9"/>
  <c r="J172" i="9"/>
  <c r="F74" i="11" s="1"/>
  <c r="H172" i="9"/>
  <c r="G172" i="9"/>
  <c r="F172" i="9"/>
  <c r="E172" i="9"/>
  <c r="D172" i="9" s="1"/>
  <c r="C172" i="9"/>
  <c r="B172" i="9"/>
  <c r="F15" i="11" s="1"/>
  <c r="P171" i="9"/>
  <c r="O171" i="9"/>
  <c r="N171" i="9"/>
  <c r="L171" i="9" s="1"/>
  <c r="F101" i="11" s="1"/>
  <c r="M171" i="9"/>
  <c r="K171" i="9"/>
  <c r="J171" i="9"/>
  <c r="F73" i="11" s="1"/>
  <c r="H171" i="9"/>
  <c r="G171" i="9"/>
  <c r="F171" i="9"/>
  <c r="E171" i="9"/>
  <c r="C171" i="9"/>
  <c r="B171" i="9"/>
  <c r="P170" i="9"/>
  <c r="O170" i="9"/>
  <c r="N170" i="9"/>
  <c r="M170" i="9"/>
  <c r="L170" i="9" s="1"/>
  <c r="F100" i="11" s="1"/>
  <c r="K170" i="9"/>
  <c r="J170" i="9"/>
  <c r="F72" i="11" s="1"/>
  <c r="H170" i="9"/>
  <c r="G170" i="9"/>
  <c r="F170" i="9"/>
  <c r="E170" i="9"/>
  <c r="C170" i="9"/>
  <c r="B170" i="9"/>
  <c r="P169" i="9"/>
  <c r="O169" i="9"/>
  <c r="N169" i="9"/>
  <c r="L169" i="9" s="1"/>
  <c r="F99" i="11" s="1"/>
  <c r="M169" i="9"/>
  <c r="K169" i="9"/>
  <c r="J169" i="9"/>
  <c r="F71" i="11" s="1"/>
  <c r="H169" i="9"/>
  <c r="G169" i="9"/>
  <c r="F169" i="9"/>
  <c r="E169" i="9"/>
  <c r="C169" i="9"/>
  <c r="F12" i="11" s="1"/>
  <c r="B169" i="9"/>
  <c r="P167" i="9"/>
  <c r="O167" i="9"/>
  <c r="N167" i="9"/>
  <c r="M167" i="9"/>
  <c r="L167" i="9" s="1"/>
  <c r="F97" i="11" s="1"/>
  <c r="K167" i="9"/>
  <c r="J167" i="9"/>
  <c r="H167" i="9"/>
  <c r="G167" i="9"/>
  <c r="F167" i="9"/>
  <c r="E167" i="9"/>
  <c r="C167" i="9"/>
  <c r="B167" i="9"/>
  <c r="F10" i="11" s="1"/>
  <c r="P166" i="9"/>
  <c r="O166" i="9"/>
  <c r="N166" i="9"/>
  <c r="L166" i="9" s="1"/>
  <c r="F96" i="11" s="1"/>
  <c r="M166" i="9"/>
  <c r="K166" i="9"/>
  <c r="J166" i="9"/>
  <c r="F68" i="11" s="1"/>
  <c r="H166" i="9"/>
  <c r="G166" i="9"/>
  <c r="F166" i="9"/>
  <c r="E166" i="9"/>
  <c r="C166" i="9"/>
  <c r="F9" i="11" s="1"/>
  <c r="B166" i="9"/>
  <c r="P165" i="9"/>
  <c r="O165" i="9"/>
  <c r="N165" i="9"/>
  <c r="M165" i="9"/>
  <c r="K165" i="9"/>
  <c r="J165" i="9"/>
  <c r="F67" i="11" s="1"/>
  <c r="H165" i="9"/>
  <c r="G165" i="9"/>
  <c r="F165" i="9"/>
  <c r="E165" i="9"/>
  <c r="C165" i="9"/>
  <c r="B165" i="9"/>
  <c r="P164" i="9"/>
  <c r="O164" i="9"/>
  <c r="N164" i="9"/>
  <c r="L164" i="9" s="1"/>
  <c r="F94" i="11" s="1"/>
  <c r="M164" i="9"/>
  <c r="K164" i="9"/>
  <c r="J164" i="9"/>
  <c r="F66" i="11" s="1"/>
  <c r="H164" i="9"/>
  <c r="G164" i="9"/>
  <c r="F164" i="9"/>
  <c r="E164" i="9"/>
  <c r="C164" i="9"/>
  <c r="F7" i="11" s="1"/>
  <c r="B164" i="9"/>
  <c r="P151" i="9"/>
  <c r="O151" i="9"/>
  <c r="N151" i="9"/>
  <c r="M151" i="9"/>
  <c r="L151" i="9" s="1"/>
  <c r="E112" i="11" s="1"/>
  <c r="K151" i="9"/>
  <c r="J151" i="9"/>
  <c r="E84" i="11" s="1"/>
  <c r="H151" i="9"/>
  <c r="G151" i="9"/>
  <c r="F151" i="9"/>
  <c r="E151" i="9"/>
  <c r="D151" i="9" s="1"/>
  <c r="E53" i="11" s="1"/>
  <c r="C151" i="9"/>
  <c r="B151" i="9"/>
  <c r="P150" i="9"/>
  <c r="O150" i="9"/>
  <c r="N150" i="9"/>
  <c r="L150" i="9" s="1"/>
  <c r="E111" i="11" s="1"/>
  <c r="M150" i="9"/>
  <c r="K150" i="9"/>
  <c r="J150" i="9"/>
  <c r="E83" i="11" s="1"/>
  <c r="H150" i="9"/>
  <c r="G150" i="9"/>
  <c r="F150" i="9"/>
  <c r="E150" i="9"/>
  <c r="C150" i="9"/>
  <c r="B150" i="9"/>
  <c r="P149" i="9"/>
  <c r="O149" i="9"/>
  <c r="N149" i="9"/>
  <c r="M149" i="9"/>
  <c r="L149" i="9" s="1"/>
  <c r="K149" i="9"/>
  <c r="J149" i="9"/>
  <c r="E82" i="11" s="1"/>
  <c r="H149" i="9"/>
  <c r="G149" i="9"/>
  <c r="F149" i="9"/>
  <c r="E149" i="9"/>
  <c r="D149" i="9" s="1"/>
  <c r="C149" i="9"/>
  <c r="B149" i="9"/>
  <c r="E23" i="11" s="1"/>
  <c r="P148" i="9"/>
  <c r="O148" i="9"/>
  <c r="N148" i="9"/>
  <c r="L148" i="9" s="1"/>
  <c r="E109" i="11" s="1"/>
  <c r="M148" i="9"/>
  <c r="K148" i="9"/>
  <c r="J148" i="9"/>
  <c r="E81" i="11" s="1"/>
  <c r="H148" i="9"/>
  <c r="G148" i="9"/>
  <c r="F148" i="9"/>
  <c r="E148" i="9"/>
  <c r="C148" i="9"/>
  <c r="B148" i="9"/>
  <c r="P146" i="9"/>
  <c r="O146" i="9"/>
  <c r="N146" i="9"/>
  <c r="M146" i="9"/>
  <c r="K146" i="9"/>
  <c r="J146" i="9"/>
  <c r="E79" i="11" s="1"/>
  <c r="H146" i="9"/>
  <c r="G146" i="9"/>
  <c r="F146" i="9"/>
  <c r="E146" i="9"/>
  <c r="D146" i="9" s="1"/>
  <c r="E48" i="11" s="1"/>
  <c r="C146" i="9"/>
  <c r="B146" i="9"/>
  <c r="E20" i="11" s="1"/>
  <c r="P145" i="9"/>
  <c r="O145" i="9"/>
  <c r="N145" i="9"/>
  <c r="L145" i="9" s="1"/>
  <c r="E106" i="11" s="1"/>
  <c r="M145" i="9"/>
  <c r="K145" i="9"/>
  <c r="J145" i="9"/>
  <c r="H145" i="9"/>
  <c r="G145" i="9"/>
  <c r="F145" i="9"/>
  <c r="E145" i="9"/>
  <c r="C145" i="9"/>
  <c r="E19" i="11" s="1"/>
  <c r="B145" i="9"/>
  <c r="P144" i="9"/>
  <c r="O144" i="9"/>
  <c r="N144" i="9"/>
  <c r="M144" i="9"/>
  <c r="K144" i="9"/>
  <c r="J144" i="9"/>
  <c r="E77" i="11" s="1"/>
  <c r="H144" i="9"/>
  <c r="G144" i="9"/>
  <c r="F144" i="9"/>
  <c r="E144" i="9"/>
  <c r="D144" i="9" s="1"/>
  <c r="E46" i="11" s="1"/>
  <c r="C144" i="9"/>
  <c r="B144" i="9"/>
  <c r="E18" i="11" s="1"/>
  <c r="P143" i="9"/>
  <c r="O143" i="9"/>
  <c r="N143" i="9"/>
  <c r="L143" i="9" s="1"/>
  <c r="R143" i="9" s="1"/>
  <c r="M143" i="9"/>
  <c r="K143" i="9"/>
  <c r="J143" i="9"/>
  <c r="E76" i="11" s="1"/>
  <c r="H143" i="9"/>
  <c r="G143" i="9"/>
  <c r="F143" i="9"/>
  <c r="E143" i="9"/>
  <c r="C143" i="9"/>
  <c r="E17" i="11" s="1"/>
  <c r="B143" i="9"/>
  <c r="P141" i="9"/>
  <c r="O141" i="9"/>
  <c r="N141" i="9"/>
  <c r="M141" i="9"/>
  <c r="L141" i="9" s="1"/>
  <c r="E102" i="11" s="1"/>
  <c r="K141" i="9"/>
  <c r="J141" i="9"/>
  <c r="E74" i="11" s="1"/>
  <c r="H141" i="9"/>
  <c r="Q141" i="9" s="1"/>
  <c r="G141" i="9"/>
  <c r="F141" i="9"/>
  <c r="E141" i="9"/>
  <c r="D141" i="9" s="1"/>
  <c r="E43" i="11" s="1"/>
  <c r="C141" i="9"/>
  <c r="B141" i="9"/>
  <c r="E15" i="11" s="1"/>
  <c r="P140" i="9"/>
  <c r="O140" i="9"/>
  <c r="N140" i="9"/>
  <c r="L140" i="9" s="1"/>
  <c r="M140" i="9"/>
  <c r="K140" i="9"/>
  <c r="J140" i="9"/>
  <c r="E73" i="11" s="1"/>
  <c r="H140" i="9"/>
  <c r="G140" i="9"/>
  <c r="F140" i="9"/>
  <c r="E140" i="9"/>
  <c r="C140" i="9"/>
  <c r="B140" i="9"/>
  <c r="P139" i="9"/>
  <c r="O139" i="9"/>
  <c r="N139" i="9"/>
  <c r="M139" i="9"/>
  <c r="L139" i="9" s="1"/>
  <c r="E100" i="11" s="1"/>
  <c r="K139" i="9"/>
  <c r="J139" i="9"/>
  <c r="E72" i="11" s="1"/>
  <c r="H139" i="9"/>
  <c r="G139" i="9"/>
  <c r="F139" i="9"/>
  <c r="E139" i="9"/>
  <c r="D139" i="9" s="1"/>
  <c r="C139" i="9"/>
  <c r="B139" i="9"/>
  <c r="E13" i="11" s="1"/>
  <c r="P138" i="9"/>
  <c r="O138" i="9"/>
  <c r="N138" i="9"/>
  <c r="L138" i="9" s="1"/>
  <c r="E99" i="11" s="1"/>
  <c r="M138" i="9"/>
  <c r="K138" i="9"/>
  <c r="J138" i="9"/>
  <c r="H138" i="9"/>
  <c r="G138" i="9"/>
  <c r="F138" i="9"/>
  <c r="E138" i="9"/>
  <c r="D138" i="9" s="1"/>
  <c r="E40" i="11" s="1"/>
  <c r="C138" i="9"/>
  <c r="B138" i="9"/>
  <c r="P136" i="9"/>
  <c r="O136" i="9"/>
  <c r="N136" i="9"/>
  <c r="M136" i="9"/>
  <c r="L136" i="9" s="1"/>
  <c r="K136" i="9"/>
  <c r="J136" i="9"/>
  <c r="E69" i="11" s="1"/>
  <c r="H136" i="9"/>
  <c r="G136" i="9"/>
  <c r="F136" i="9"/>
  <c r="E136" i="9"/>
  <c r="D136" i="9" s="1"/>
  <c r="E38" i="11" s="1"/>
  <c r="C136" i="9"/>
  <c r="B136" i="9"/>
  <c r="E10" i="11" s="1"/>
  <c r="P135" i="9"/>
  <c r="O135" i="9"/>
  <c r="N135" i="9"/>
  <c r="L135" i="9" s="1"/>
  <c r="E96" i="11" s="1"/>
  <c r="M135" i="9"/>
  <c r="K135" i="9"/>
  <c r="J135" i="9"/>
  <c r="E68" i="11" s="1"/>
  <c r="H135" i="9"/>
  <c r="G135" i="9"/>
  <c r="F135" i="9"/>
  <c r="E135" i="9"/>
  <c r="C135" i="9"/>
  <c r="E9" i="11" s="1"/>
  <c r="B135" i="9"/>
  <c r="P134" i="9"/>
  <c r="O134" i="9"/>
  <c r="N134" i="9"/>
  <c r="M134" i="9"/>
  <c r="L134" i="9" s="1"/>
  <c r="E95" i="11" s="1"/>
  <c r="K134" i="9"/>
  <c r="J134" i="9"/>
  <c r="E67" i="11" s="1"/>
  <c r="H134" i="9"/>
  <c r="G134" i="9"/>
  <c r="F134" i="9"/>
  <c r="E134" i="9"/>
  <c r="C134" i="9"/>
  <c r="B134" i="9"/>
  <c r="E8" i="11" s="1"/>
  <c r="P133" i="9"/>
  <c r="O133" i="9"/>
  <c r="N133" i="9"/>
  <c r="L133" i="9" s="1"/>
  <c r="M133" i="9"/>
  <c r="K133" i="9"/>
  <c r="J133" i="9"/>
  <c r="E66" i="11" s="1"/>
  <c r="H133" i="9"/>
  <c r="G133" i="9"/>
  <c r="F133" i="9"/>
  <c r="E133" i="9"/>
  <c r="C133" i="9"/>
  <c r="E7" i="11" s="1"/>
  <c r="B133" i="9"/>
  <c r="P120" i="9"/>
  <c r="O120" i="9"/>
  <c r="N120" i="9"/>
  <c r="M120" i="9"/>
  <c r="L120" i="9" s="1"/>
  <c r="D112" i="11" s="1"/>
  <c r="K120" i="9"/>
  <c r="J120" i="9"/>
  <c r="H120" i="9"/>
  <c r="G120" i="9"/>
  <c r="F120" i="9"/>
  <c r="E120" i="9"/>
  <c r="D120" i="9" s="1"/>
  <c r="D53" i="11" s="1"/>
  <c r="C120" i="9"/>
  <c r="B120" i="9"/>
  <c r="D25" i="11" s="1"/>
  <c r="P119" i="9"/>
  <c r="O119" i="9"/>
  <c r="N119" i="9"/>
  <c r="L119" i="9" s="1"/>
  <c r="D111" i="11" s="1"/>
  <c r="M119" i="9"/>
  <c r="K119" i="9"/>
  <c r="J119" i="9"/>
  <c r="D83" i="11" s="1"/>
  <c r="H119" i="9"/>
  <c r="G119" i="9"/>
  <c r="F119" i="9"/>
  <c r="E119" i="9"/>
  <c r="C119" i="9"/>
  <c r="D24" i="11" s="1"/>
  <c r="B119" i="9"/>
  <c r="P118" i="9"/>
  <c r="O118" i="9"/>
  <c r="N118" i="9"/>
  <c r="M118" i="9"/>
  <c r="L118" i="9" s="1"/>
  <c r="D110" i="11" s="1"/>
  <c r="K118" i="9"/>
  <c r="J118" i="9"/>
  <c r="H118" i="9"/>
  <c r="G118" i="9"/>
  <c r="F118" i="9"/>
  <c r="E118" i="9"/>
  <c r="D118" i="9" s="1"/>
  <c r="D51" i="11" s="1"/>
  <c r="C118" i="9"/>
  <c r="B118" i="9"/>
  <c r="D23" i="11" s="1"/>
  <c r="P117" i="9"/>
  <c r="O117" i="9"/>
  <c r="N117" i="9"/>
  <c r="L117" i="9" s="1"/>
  <c r="M117" i="9"/>
  <c r="K117" i="9"/>
  <c r="J117" i="9"/>
  <c r="D81" i="11" s="1"/>
  <c r="H117" i="9"/>
  <c r="G117" i="9"/>
  <c r="F117" i="9"/>
  <c r="E117" i="9"/>
  <c r="C117" i="9"/>
  <c r="B117" i="9"/>
  <c r="P115" i="9"/>
  <c r="O115" i="9"/>
  <c r="N115" i="9"/>
  <c r="M115" i="9"/>
  <c r="L115" i="9" s="1"/>
  <c r="D107" i="11" s="1"/>
  <c r="K115" i="9"/>
  <c r="J115" i="9"/>
  <c r="D79" i="11" s="1"/>
  <c r="H115" i="9"/>
  <c r="G115" i="9"/>
  <c r="F115" i="9"/>
  <c r="E115" i="9"/>
  <c r="D115" i="9" s="1"/>
  <c r="D48" i="11" s="1"/>
  <c r="C115" i="9"/>
  <c r="B115" i="9"/>
  <c r="D20" i="11" s="1"/>
  <c r="P114" i="9"/>
  <c r="O114" i="9"/>
  <c r="N114" i="9"/>
  <c r="L114" i="9" s="1"/>
  <c r="D106" i="11" s="1"/>
  <c r="M114" i="9"/>
  <c r="K114" i="9"/>
  <c r="J114" i="9"/>
  <c r="D78" i="11" s="1"/>
  <c r="H114" i="9"/>
  <c r="G114" i="9"/>
  <c r="F114" i="9"/>
  <c r="E114" i="9"/>
  <c r="C114" i="9"/>
  <c r="B114" i="9"/>
  <c r="P113" i="9"/>
  <c r="O113" i="9"/>
  <c r="N113" i="9"/>
  <c r="M113" i="9"/>
  <c r="L113" i="9" s="1"/>
  <c r="D105" i="11" s="1"/>
  <c r="K113" i="9"/>
  <c r="J113" i="9"/>
  <c r="H113" i="9"/>
  <c r="G113" i="9"/>
  <c r="F113" i="9"/>
  <c r="E113" i="9"/>
  <c r="C113" i="9"/>
  <c r="B113" i="9"/>
  <c r="D18" i="11" s="1"/>
  <c r="P112" i="9"/>
  <c r="O112" i="9"/>
  <c r="N112" i="9"/>
  <c r="L112" i="9" s="1"/>
  <c r="D104" i="11" s="1"/>
  <c r="M112" i="9"/>
  <c r="K112" i="9"/>
  <c r="J112" i="9"/>
  <c r="D76" i="11" s="1"/>
  <c r="H112" i="9"/>
  <c r="G112" i="9"/>
  <c r="F112" i="9"/>
  <c r="E112" i="9"/>
  <c r="C112" i="9"/>
  <c r="B112" i="9"/>
  <c r="P110" i="9"/>
  <c r="O110" i="9"/>
  <c r="N110" i="9"/>
  <c r="M110" i="9"/>
  <c r="L110" i="9" s="1"/>
  <c r="K110" i="9"/>
  <c r="J110" i="9"/>
  <c r="D74" i="11" s="1"/>
  <c r="H110" i="9"/>
  <c r="G110" i="9"/>
  <c r="F110" i="9"/>
  <c r="E110" i="9"/>
  <c r="D110" i="9" s="1"/>
  <c r="D43" i="11" s="1"/>
  <c r="C110" i="9"/>
  <c r="B110" i="9"/>
  <c r="D15" i="11" s="1"/>
  <c r="P109" i="9"/>
  <c r="O109" i="9"/>
  <c r="N109" i="9"/>
  <c r="L109" i="9" s="1"/>
  <c r="D101" i="11" s="1"/>
  <c r="M109" i="9"/>
  <c r="K109" i="9"/>
  <c r="J109" i="9"/>
  <c r="D73" i="11" s="1"/>
  <c r="H109" i="9"/>
  <c r="G109" i="9"/>
  <c r="F109" i="9"/>
  <c r="E109" i="9"/>
  <c r="C109" i="9"/>
  <c r="D14" i="11" s="1"/>
  <c r="B109" i="9"/>
  <c r="P108" i="9"/>
  <c r="O108" i="9"/>
  <c r="N108" i="9"/>
  <c r="M108" i="9"/>
  <c r="K108" i="9"/>
  <c r="J108" i="9"/>
  <c r="D72" i="11" s="1"/>
  <c r="H108" i="9"/>
  <c r="G108" i="9"/>
  <c r="F108" i="9"/>
  <c r="E108" i="9"/>
  <c r="D108" i="9" s="1"/>
  <c r="D41" i="11" s="1"/>
  <c r="C108" i="9"/>
  <c r="B108" i="9"/>
  <c r="D13" i="11" s="1"/>
  <c r="P107" i="9"/>
  <c r="O107" i="9"/>
  <c r="N107" i="9"/>
  <c r="L107" i="9" s="1"/>
  <c r="M107" i="9"/>
  <c r="K107" i="9"/>
  <c r="J107" i="9"/>
  <c r="H107" i="9"/>
  <c r="G107" i="9"/>
  <c r="F107" i="9"/>
  <c r="E107" i="9"/>
  <c r="C107" i="9"/>
  <c r="B107" i="9"/>
  <c r="P105" i="9"/>
  <c r="O105" i="9"/>
  <c r="N105" i="9"/>
  <c r="M105" i="9"/>
  <c r="L105" i="9" s="1"/>
  <c r="D97" i="11" s="1"/>
  <c r="K105" i="9"/>
  <c r="J105" i="9"/>
  <c r="D69" i="11" s="1"/>
  <c r="H105" i="9"/>
  <c r="G105" i="9"/>
  <c r="F105" i="9"/>
  <c r="E105" i="9"/>
  <c r="C105" i="9"/>
  <c r="B105" i="9"/>
  <c r="D10" i="11" s="1"/>
  <c r="P104" i="9"/>
  <c r="O104" i="9"/>
  <c r="N104" i="9"/>
  <c r="L104" i="9" s="1"/>
  <c r="M104" i="9"/>
  <c r="K104" i="9"/>
  <c r="J104" i="9"/>
  <c r="H104" i="9"/>
  <c r="G104" i="9"/>
  <c r="F104" i="9"/>
  <c r="E104" i="9"/>
  <c r="C104" i="9"/>
  <c r="B104" i="9"/>
  <c r="P103" i="9"/>
  <c r="O103" i="9"/>
  <c r="N103" i="9"/>
  <c r="M103" i="9"/>
  <c r="L103" i="9" s="1"/>
  <c r="D95" i="11" s="1"/>
  <c r="K103" i="9"/>
  <c r="J103" i="9"/>
  <c r="D67" i="11" s="1"/>
  <c r="H103" i="9"/>
  <c r="G103" i="9"/>
  <c r="F103" i="9"/>
  <c r="E103" i="9"/>
  <c r="D103" i="9" s="1"/>
  <c r="D36" i="11" s="1"/>
  <c r="C103" i="9"/>
  <c r="B103" i="9"/>
  <c r="D8" i="11" s="1"/>
  <c r="P102" i="9"/>
  <c r="O102" i="9"/>
  <c r="N102" i="9"/>
  <c r="L102" i="9" s="1"/>
  <c r="D94" i="11" s="1"/>
  <c r="M102" i="9"/>
  <c r="K102" i="9"/>
  <c r="J102" i="9"/>
  <c r="D66" i="11" s="1"/>
  <c r="H102" i="9"/>
  <c r="G102" i="9"/>
  <c r="F102" i="9"/>
  <c r="E102" i="9"/>
  <c r="C102" i="9"/>
  <c r="B102" i="9"/>
  <c r="P90" i="9"/>
  <c r="O90" i="9"/>
  <c r="N90" i="9"/>
  <c r="M90" i="9"/>
  <c r="L90" i="9" s="1"/>
  <c r="C112" i="11" s="1"/>
  <c r="K90" i="9"/>
  <c r="J90" i="9"/>
  <c r="H90" i="9"/>
  <c r="G90" i="9"/>
  <c r="F90" i="9"/>
  <c r="E90" i="9"/>
  <c r="C90" i="9"/>
  <c r="B90" i="9"/>
  <c r="C25" i="11" s="1"/>
  <c r="P89" i="9"/>
  <c r="O89" i="9"/>
  <c r="N89" i="9"/>
  <c r="L89" i="9" s="1"/>
  <c r="C111" i="11" s="1"/>
  <c r="M89" i="9"/>
  <c r="K89" i="9"/>
  <c r="J89" i="9"/>
  <c r="H89" i="9"/>
  <c r="G89" i="9"/>
  <c r="F89" i="9"/>
  <c r="E89" i="9"/>
  <c r="C89" i="9"/>
  <c r="C24" i="11" s="1"/>
  <c r="B89" i="9"/>
  <c r="P88" i="9"/>
  <c r="O88" i="9"/>
  <c r="N88" i="9"/>
  <c r="M88" i="9"/>
  <c r="K88" i="9"/>
  <c r="J88" i="9"/>
  <c r="C82" i="11" s="1"/>
  <c r="H88" i="9"/>
  <c r="Q88" i="9" s="1"/>
  <c r="G88" i="9"/>
  <c r="F88" i="9"/>
  <c r="E88" i="9"/>
  <c r="D88" i="9" s="1"/>
  <c r="C51" i="11" s="1"/>
  <c r="C88" i="9"/>
  <c r="B88" i="9"/>
  <c r="C23" i="11" s="1"/>
  <c r="P87" i="9"/>
  <c r="O87" i="9"/>
  <c r="N87" i="9"/>
  <c r="L87" i="9" s="1"/>
  <c r="M87" i="9"/>
  <c r="K87" i="9"/>
  <c r="J87" i="9"/>
  <c r="C81" i="11" s="1"/>
  <c r="H87" i="9"/>
  <c r="G87" i="9"/>
  <c r="F87" i="9"/>
  <c r="E87" i="9"/>
  <c r="C87" i="9"/>
  <c r="B87" i="9"/>
  <c r="P85" i="9"/>
  <c r="O85" i="9"/>
  <c r="N85" i="9"/>
  <c r="M85" i="9"/>
  <c r="L85" i="9" s="1"/>
  <c r="C107" i="11" s="1"/>
  <c r="K85" i="9"/>
  <c r="J85" i="9"/>
  <c r="H85" i="9"/>
  <c r="G85" i="9"/>
  <c r="F85" i="9"/>
  <c r="E85" i="9"/>
  <c r="D85" i="9" s="1"/>
  <c r="C48" i="11" s="1"/>
  <c r="C85" i="9"/>
  <c r="B85" i="9"/>
  <c r="C20" i="11" s="1"/>
  <c r="P84" i="9"/>
  <c r="O84" i="9"/>
  <c r="N84" i="9"/>
  <c r="L84" i="9" s="1"/>
  <c r="C106" i="11" s="1"/>
  <c r="M84" i="9"/>
  <c r="K84" i="9"/>
  <c r="J84" i="9"/>
  <c r="C78" i="11" s="1"/>
  <c r="H84" i="9"/>
  <c r="G84" i="9"/>
  <c r="F84" i="9"/>
  <c r="E84" i="9"/>
  <c r="C84" i="9"/>
  <c r="B84" i="9"/>
  <c r="P83" i="9"/>
  <c r="O83" i="9"/>
  <c r="N83" i="9"/>
  <c r="M83" i="9"/>
  <c r="L83" i="9" s="1"/>
  <c r="C105" i="11" s="1"/>
  <c r="K83" i="9"/>
  <c r="J83" i="9"/>
  <c r="H83" i="9"/>
  <c r="G83" i="9"/>
  <c r="F83" i="9"/>
  <c r="E83" i="9"/>
  <c r="D83" i="9" s="1"/>
  <c r="C46" i="11" s="1"/>
  <c r="C83" i="9"/>
  <c r="B83" i="9"/>
  <c r="C18" i="11" s="1"/>
  <c r="P82" i="9"/>
  <c r="O82" i="9"/>
  <c r="N82" i="9"/>
  <c r="L82" i="9" s="1"/>
  <c r="M82" i="9"/>
  <c r="K82" i="9"/>
  <c r="J82" i="9"/>
  <c r="C76" i="11" s="1"/>
  <c r="H82" i="9"/>
  <c r="G82" i="9"/>
  <c r="F82" i="9"/>
  <c r="E82" i="9"/>
  <c r="C82" i="9"/>
  <c r="C17" i="11" s="1"/>
  <c r="B82" i="9"/>
  <c r="P80" i="9"/>
  <c r="O80" i="9"/>
  <c r="N80" i="9"/>
  <c r="M80" i="9"/>
  <c r="L80" i="9" s="1"/>
  <c r="K80" i="9"/>
  <c r="J80" i="9"/>
  <c r="C74" i="11" s="1"/>
  <c r="H80" i="9"/>
  <c r="G80" i="9"/>
  <c r="F80" i="9"/>
  <c r="E80" i="9"/>
  <c r="D80" i="9" s="1"/>
  <c r="C43" i="11" s="1"/>
  <c r="C80" i="9"/>
  <c r="B80" i="9"/>
  <c r="C15" i="11" s="1"/>
  <c r="P79" i="9"/>
  <c r="O79" i="9"/>
  <c r="N79" i="9"/>
  <c r="L79" i="9" s="1"/>
  <c r="M79" i="9"/>
  <c r="K79" i="9"/>
  <c r="J79" i="9"/>
  <c r="C73" i="11" s="1"/>
  <c r="H79" i="9"/>
  <c r="G79" i="9"/>
  <c r="F79" i="9"/>
  <c r="E79" i="9"/>
  <c r="C79" i="9"/>
  <c r="C14" i="11" s="1"/>
  <c r="B79" i="9"/>
  <c r="P78" i="9"/>
  <c r="O78" i="9"/>
  <c r="N78" i="9"/>
  <c r="M78" i="9"/>
  <c r="L78" i="9" s="1"/>
  <c r="C100" i="11" s="1"/>
  <c r="K78" i="9"/>
  <c r="J78" i="9"/>
  <c r="C72" i="11" s="1"/>
  <c r="H78" i="9"/>
  <c r="G78" i="9"/>
  <c r="F78" i="9"/>
  <c r="E78" i="9"/>
  <c r="D78" i="9" s="1"/>
  <c r="C41" i="11" s="1"/>
  <c r="C78" i="9"/>
  <c r="B78" i="9"/>
  <c r="C13" i="11" s="1"/>
  <c r="P77" i="9"/>
  <c r="O77" i="9"/>
  <c r="N77" i="9"/>
  <c r="L77" i="9" s="1"/>
  <c r="C99" i="11" s="1"/>
  <c r="M77" i="9"/>
  <c r="K77" i="9"/>
  <c r="J77" i="9"/>
  <c r="C71" i="11" s="1"/>
  <c r="H77" i="9"/>
  <c r="G77" i="9"/>
  <c r="F77" i="9"/>
  <c r="E77" i="9"/>
  <c r="C77" i="9"/>
  <c r="B77" i="9"/>
  <c r="P75" i="9"/>
  <c r="O75" i="9"/>
  <c r="N75" i="9"/>
  <c r="M75" i="9"/>
  <c r="L75" i="9" s="1"/>
  <c r="C97" i="11" s="1"/>
  <c r="K75" i="9"/>
  <c r="J75" i="9"/>
  <c r="C69" i="11" s="1"/>
  <c r="H75" i="9"/>
  <c r="G75" i="9"/>
  <c r="F75" i="9"/>
  <c r="E75" i="9"/>
  <c r="C75" i="9"/>
  <c r="B75" i="9"/>
  <c r="C10" i="11" s="1"/>
  <c r="P74" i="9"/>
  <c r="O74" i="9"/>
  <c r="N74" i="9"/>
  <c r="L74" i="9" s="1"/>
  <c r="C96" i="11" s="1"/>
  <c r="M74" i="9"/>
  <c r="K74" i="9"/>
  <c r="J74" i="9"/>
  <c r="C68" i="11" s="1"/>
  <c r="H74" i="9"/>
  <c r="G74" i="9"/>
  <c r="F74" i="9"/>
  <c r="E74" i="9"/>
  <c r="C74" i="9"/>
  <c r="B74" i="9"/>
  <c r="P73" i="9"/>
  <c r="O73" i="9"/>
  <c r="N73" i="9"/>
  <c r="M73" i="9"/>
  <c r="L73" i="9" s="1"/>
  <c r="C95" i="11" s="1"/>
  <c r="K73" i="9"/>
  <c r="J73" i="9"/>
  <c r="C67" i="11" s="1"/>
  <c r="H73" i="9"/>
  <c r="G73" i="9"/>
  <c r="F73" i="9"/>
  <c r="E73" i="9"/>
  <c r="D73" i="9" s="1"/>
  <c r="C36" i="11" s="1"/>
  <c r="C73" i="9"/>
  <c r="B73" i="9"/>
  <c r="C8" i="11" s="1"/>
  <c r="P72" i="9"/>
  <c r="O72" i="9"/>
  <c r="N72" i="9"/>
  <c r="L72" i="9" s="1"/>
  <c r="C94" i="11" s="1"/>
  <c r="M72" i="9"/>
  <c r="K72" i="9"/>
  <c r="J72" i="9"/>
  <c r="C66" i="11" s="1"/>
  <c r="H72" i="9"/>
  <c r="G72" i="9"/>
  <c r="F72" i="9"/>
  <c r="E72" i="9"/>
  <c r="C72" i="9"/>
  <c r="C7" i="11" s="1"/>
  <c r="B72" i="9"/>
  <c r="P59" i="9"/>
  <c r="O59" i="9"/>
  <c r="N59" i="9"/>
  <c r="M59" i="9"/>
  <c r="L59" i="9" s="1"/>
  <c r="B112" i="11" s="1"/>
  <c r="K59" i="9"/>
  <c r="J59" i="9"/>
  <c r="B84" i="11" s="1"/>
  <c r="H59" i="9"/>
  <c r="G59" i="9"/>
  <c r="F59" i="9"/>
  <c r="E59" i="9"/>
  <c r="D59" i="9" s="1"/>
  <c r="C59" i="9"/>
  <c r="B59" i="9"/>
  <c r="B25" i="11" s="1"/>
  <c r="P58" i="9"/>
  <c r="O58" i="9"/>
  <c r="N58" i="9"/>
  <c r="L58" i="9" s="1"/>
  <c r="M58" i="9"/>
  <c r="K58" i="9"/>
  <c r="J58" i="9"/>
  <c r="B83" i="11" s="1"/>
  <c r="H58" i="9"/>
  <c r="G58" i="9"/>
  <c r="F58" i="9"/>
  <c r="E58" i="9"/>
  <c r="C58" i="9"/>
  <c r="B24" i="11" s="1"/>
  <c r="B58" i="9"/>
  <c r="P57" i="9"/>
  <c r="O57" i="9"/>
  <c r="N57" i="9"/>
  <c r="M57" i="9"/>
  <c r="L57" i="9" s="1"/>
  <c r="B110" i="11" s="1"/>
  <c r="K57" i="9"/>
  <c r="J57" i="9"/>
  <c r="B82" i="11" s="1"/>
  <c r="H57" i="9"/>
  <c r="G57" i="9"/>
  <c r="F57" i="9"/>
  <c r="E57" i="9"/>
  <c r="D57" i="9" s="1"/>
  <c r="B51" i="11" s="1"/>
  <c r="C57" i="9"/>
  <c r="B57" i="9"/>
  <c r="B23" i="11" s="1"/>
  <c r="P56" i="9"/>
  <c r="O56" i="9"/>
  <c r="N56" i="9"/>
  <c r="L56" i="9" s="1"/>
  <c r="B109" i="11" s="1"/>
  <c r="M56" i="9"/>
  <c r="K56" i="9"/>
  <c r="J56" i="9"/>
  <c r="H56" i="9"/>
  <c r="G56" i="9"/>
  <c r="F56" i="9"/>
  <c r="E56" i="9"/>
  <c r="D56" i="9" s="1"/>
  <c r="B50" i="11" s="1"/>
  <c r="C56" i="9"/>
  <c r="B22" i="11" s="1"/>
  <c r="B56" i="9"/>
  <c r="P54" i="9"/>
  <c r="O54" i="9"/>
  <c r="N54" i="9"/>
  <c r="M54" i="9"/>
  <c r="K54" i="9"/>
  <c r="J54" i="9"/>
  <c r="B79" i="11" s="1"/>
  <c r="H54" i="9"/>
  <c r="G54" i="9"/>
  <c r="F54" i="9"/>
  <c r="E54" i="9"/>
  <c r="D54" i="9" s="1"/>
  <c r="B48" i="11" s="1"/>
  <c r="C54" i="9"/>
  <c r="B54" i="9"/>
  <c r="B20" i="11" s="1"/>
  <c r="P53" i="9"/>
  <c r="O53" i="9"/>
  <c r="N53" i="9"/>
  <c r="M53" i="9"/>
  <c r="K53" i="9"/>
  <c r="J53" i="9"/>
  <c r="B78" i="11" s="1"/>
  <c r="H53" i="9"/>
  <c r="G53" i="9"/>
  <c r="F53" i="9"/>
  <c r="E53" i="9"/>
  <c r="C53" i="9"/>
  <c r="B53" i="9"/>
  <c r="P52" i="9"/>
  <c r="O52" i="9"/>
  <c r="N52" i="9"/>
  <c r="M52" i="9"/>
  <c r="K52" i="9"/>
  <c r="J52" i="9"/>
  <c r="B77" i="11" s="1"/>
  <c r="H52" i="9"/>
  <c r="G52" i="9"/>
  <c r="F52" i="9"/>
  <c r="E52" i="9"/>
  <c r="C52" i="9"/>
  <c r="B52" i="9"/>
  <c r="B18" i="11" s="1"/>
  <c r="P51" i="9"/>
  <c r="O51" i="9"/>
  <c r="N51" i="9"/>
  <c r="L51" i="9" s="1"/>
  <c r="M51" i="9"/>
  <c r="K51" i="9"/>
  <c r="J51" i="9"/>
  <c r="B76" i="11" s="1"/>
  <c r="H51" i="9"/>
  <c r="G51" i="9"/>
  <c r="F51" i="9"/>
  <c r="E51" i="9"/>
  <c r="C51" i="9"/>
  <c r="B17" i="11" s="1"/>
  <c r="B51" i="9"/>
  <c r="P49" i="9"/>
  <c r="O49" i="9"/>
  <c r="N49" i="9"/>
  <c r="M49" i="9"/>
  <c r="L49" i="9" s="1"/>
  <c r="B102" i="11" s="1"/>
  <c r="K49" i="9"/>
  <c r="J49" i="9"/>
  <c r="B74" i="11" s="1"/>
  <c r="H49" i="9"/>
  <c r="G49" i="9"/>
  <c r="F49" i="9"/>
  <c r="E49" i="9"/>
  <c r="D49" i="9" s="1"/>
  <c r="B43" i="11" s="1"/>
  <c r="C49" i="9"/>
  <c r="B49" i="9"/>
  <c r="B15" i="11" s="1"/>
  <c r="P48" i="9"/>
  <c r="O48" i="9"/>
  <c r="N48" i="9"/>
  <c r="L48" i="9" s="1"/>
  <c r="B101" i="11" s="1"/>
  <c r="M48" i="9"/>
  <c r="K48" i="9"/>
  <c r="J48" i="9"/>
  <c r="B73" i="11" s="1"/>
  <c r="H48" i="9"/>
  <c r="G48" i="9"/>
  <c r="F48" i="9"/>
  <c r="E48" i="9"/>
  <c r="C48" i="9"/>
  <c r="B48" i="9"/>
  <c r="P47" i="9"/>
  <c r="O47" i="9"/>
  <c r="N47" i="9"/>
  <c r="M47" i="9"/>
  <c r="L47" i="9" s="1"/>
  <c r="B100" i="11" s="1"/>
  <c r="K47" i="9"/>
  <c r="J47" i="9"/>
  <c r="B72" i="11" s="1"/>
  <c r="H47" i="9"/>
  <c r="G47" i="9"/>
  <c r="F47" i="9"/>
  <c r="E47" i="9"/>
  <c r="D47" i="9" s="1"/>
  <c r="B41" i="11" s="1"/>
  <c r="C47" i="9"/>
  <c r="B47" i="9"/>
  <c r="B13" i="11" s="1"/>
  <c r="P46" i="9"/>
  <c r="O46" i="9"/>
  <c r="N46" i="9"/>
  <c r="M46" i="9"/>
  <c r="K46" i="9"/>
  <c r="J46" i="9"/>
  <c r="B71" i="11" s="1"/>
  <c r="H46" i="9"/>
  <c r="G46" i="9"/>
  <c r="F46" i="9"/>
  <c r="E46" i="9"/>
  <c r="C46" i="9"/>
  <c r="B46" i="9"/>
  <c r="P44" i="9"/>
  <c r="O44" i="9"/>
  <c r="N44" i="9"/>
  <c r="M44" i="9"/>
  <c r="L44" i="9" s="1"/>
  <c r="B97" i="11" s="1"/>
  <c r="K44" i="9"/>
  <c r="J44" i="9"/>
  <c r="B69" i="11" s="1"/>
  <c r="H44" i="9"/>
  <c r="G44" i="9"/>
  <c r="F44" i="9"/>
  <c r="E44" i="9"/>
  <c r="C44" i="9"/>
  <c r="B44" i="9"/>
  <c r="B10" i="11" s="1"/>
  <c r="P43" i="9"/>
  <c r="O43" i="9"/>
  <c r="N43" i="9"/>
  <c r="M43" i="9"/>
  <c r="K43" i="9"/>
  <c r="J43" i="9"/>
  <c r="B68" i="11" s="1"/>
  <c r="H43" i="9"/>
  <c r="G43" i="9"/>
  <c r="F43" i="9"/>
  <c r="E43" i="9"/>
  <c r="C43" i="9"/>
  <c r="B43" i="9"/>
  <c r="P42" i="9"/>
  <c r="O42" i="9"/>
  <c r="N42" i="9"/>
  <c r="M42" i="9"/>
  <c r="L42" i="9" s="1"/>
  <c r="B95" i="11" s="1"/>
  <c r="K42" i="9"/>
  <c r="J42" i="9"/>
  <c r="H42" i="9"/>
  <c r="G42" i="9"/>
  <c r="F42" i="9"/>
  <c r="E42" i="9"/>
  <c r="C42" i="9"/>
  <c r="B42" i="9"/>
  <c r="B8" i="11" s="1"/>
  <c r="P41" i="9"/>
  <c r="O41" i="9"/>
  <c r="N41" i="9"/>
  <c r="M41" i="9"/>
  <c r="K41" i="9"/>
  <c r="J41" i="9"/>
  <c r="B66" i="11" s="1"/>
  <c r="H41" i="9"/>
  <c r="G41" i="9"/>
  <c r="F41" i="9"/>
  <c r="E41" i="9"/>
  <c r="C41" i="9"/>
  <c r="B41" i="9"/>
  <c r="P27" i="9"/>
  <c r="O27" i="9"/>
  <c r="N27" i="9"/>
  <c r="M27" i="9"/>
  <c r="L27" i="9" s="1"/>
  <c r="H112" i="11" s="1"/>
  <c r="K27" i="9"/>
  <c r="J27" i="9"/>
  <c r="H84" i="11" s="1"/>
  <c r="H27" i="9"/>
  <c r="G27" i="9"/>
  <c r="F27" i="9"/>
  <c r="E27" i="9"/>
  <c r="C27" i="9"/>
  <c r="B27" i="9"/>
  <c r="H25" i="11" s="1"/>
  <c r="P26" i="9"/>
  <c r="O26" i="9"/>
  <c r="N26" i="9"/>
  <c r="M26" i="9"/>
  <c r="K26" i="9"/>
  <c r="J26" i="9"/>
  <c r="H83" i="11" s="1"/>
  <c r="H26" i="9"/>
  <c r="G26" i="9"/>
  <c r="F26" i="9"/>
  <c r="E26" i="9"/>
  <c r="C26" i="9"/>
  <c r="B26" i="9"/>
  <c r="P25" i="9"/>
  <c r="O25" i="9"/>
  <c r="N25" i="9"/>
  <c r="M25" i="9"/>
  <c r="K25" i="9"/>
  <c r="J25" i="9"/>
  <c r="H82" i="11" s="1"/>
  <c r="H25" i="9"/>
  <c r="G25" i="9"/>
  <c r="F25" i="9"/>
  <c r="E25" i="9"/>
  <c r="C25" i="9"/>
  <c r="B25" i="9"/>
  <c r="H23" i="11" s="1"/>
  <c r="P24" i="9"/>
  <c r="O24" i="9"/>
  <c r="N24" i="9"/>
  <c r="M24" i="9"/>
  <c r="K24" i="9"/>
  <c r="J24" i="9"/>
  <c r="H81" i="11" s="1"/>
  <c r="H24" i="9"/>
  <c r="G24" i="9"/>
  <c r="F24" i="9"/>
  <c r="E24" i="9"/>
  <c r="C24" i="9"/>
  <c r="B24" i="9"/>
  <c r="P22" i="9"/>
  <c r="O22" i="9"/>
  <c r="N22" i="9"/>
  <c r="M22" i="9"/>
  <c r="L22" i="9" s="1"/>
  <c r="H107" i="11" s="1"/>
  <c r="K22" i="9"/>
  <c r="J22" i="9"/>
  <c r="H22" i="9"/>
  <c r="G22" i="9"/>
  <c r="F22" i="9"/>
  <c r="E22" i="9"/>
  <c r="C22" i="9"/>
  <c r="B22" i="9"/>
  <c r="H20" i="11" s="1"/>
  <c r="P21" i="9"/>
  <c r="O21" i="9"/>
  <c r="N21" i="9"/>
  <c r="M21" i="9"/>
  <c r="K21" i="9"/>
  <c r="J21" i="9"/>
  <c r="H78" i="11" s="1"/>
  <c r="H21" i="9"/>
  <c r="G21" i="9"/>
  <c r="F21" i="9"/>
  <c r="E21" i="9"/>
  <c r="C21" i="9"/>
  <c r="H19" i="11" s="1"/>
  <c r="B21" i="9"/>
  <c r="P20" i="9"/>
  <c r="O20" i="9"/>
  <c r="N20" i="9"/>
  <c r="M20" i="9"/>
  <c r="K20" i="9"/>
  <c r="J20" i="9"/>
  <c r="H77" i="11" s="1"/>
  <c r="H20" i="9"/>
  <c r="G20" i="9"/>
  <c r="F20" i="9"/>
  <c r="E20" i="9"/>
  <c r="C20" i="9"/>
  <c r="B20" i="9"/>
  <c r="H18" i="11" s="1"/>
  <c r="P19" i="9"/>
  <c r="O19" i="9"/>
  <c r="N19" i="9"/>
  <c r="M19" i="9"/>
  <c r="K19" i="9"/>
  <c r="J19" i="9"/>
  <c r="H19" i="9"/>
  <c r="G19" i="9"/>
  <c r="F19" i="9"/>
  <c r="E19" i="9"/>
  <c r="D19" i="9" s="1"/>
  <c r="H45" i="11" s="1"/>
  <c r="Q45" i="11" s="1"/>
  <c r="C19" i="9"/>
  <c r="B19" i="9"/>
  <c r="P17" i="9"/>
  <c r="O17" i="9"/>
  <c r="N17" i="9"/>
  <c r="M17" i="9"/>
  <c r="L17" i="9" s="1"/>
  <c r="H102" i="11" s="1"/>
  <c r="K17" i="9"/>
  <c r="J17" i="9"/>
  <c r="H74" i="11" s="1"/>
  <c r="H17" i="9"/>
  <c r="G17" i="9"/>
  <c r="F17" i="9"/>
  <c r="E17" i="9"/>
  <c r="C17" i="9"/>
  <c r="B17" i="9"/>
  <c r="H15" i="11" s="1"/>
  <c r="P16" i="9"/>
  <c r="O16" i="9"/>
  <c r="N16" i="9"/>
  <c r="M16" i="9"/>
  <c r="K16" i="9"/>
  <c r="J16" i="9"/>
  <c r="H73" i="11" s="1"/>
  <c r="H16" i="9"/>
  <c r="G16" i="9"/>
  <c r="F16" i="9"/>
  <c r="E16" i="9"/>
  <c r="C16" i="9"/>
  <c r="B16" i="9"/>
  <c r="P15" i="9"/>
  <c r="O15" i="9"/>
  <c r="N15" i="9"/>
  <c r="M15" i="9"/>
  <c r="L15" i="9" s="1"/>
  <c r="H100" i="11" s="1"/>
  <c r="K15" i="9"/>
  <c r="J15" i="9"/>
  <c r="H72" i="11" s="1"/>
  <c r="H15" i="9"/>
  <c r="G15" i="9"/>
  <c r="F15" i="9"/>
  <c r="E15" i="9"/>
  <c r="C15" i="9"/>
  <c r="B15" i="9"/>
  <c r="H13" i="11" s="1"/>
  <c r="P14" i="9"/>
  <c r="O14" i="9"/>
  <c r="N14" i="9"/>
  <c r="M14" i="9"/>
  <c r="K14" i="9"/>
  <c r="J14" i="9"/>
  <c r="H71" i="11" s="1"/>
  <c r="H14" i="9"/>
  <c r="G14" i="9"/>
  <c r="F14" i="9"/>
  <c r="E14" i="9"/>
  <c r="C14" i="9"/>
  <c r="B14" i="9"/>
  <c r="P12" i="9"/>
  <c r="O12" i="9"/>
  <c r="N12" i="9"/>
  <c r="M12" i="9"/>
  <c r="L12" i="9" s="1"/>
  <c r="K12" i="9"/>
  <c r="J12" i="9"/>
  <c r="H69" i="11" s="1"/>
  <c r="H12" i="9"/>
  <c r="G12" i="9"/>
  <c r="F12" i="9"/>
  <c r="E12" i="9"/>
  <c r="C12" i="9"/>
  <c r="B12" i="9"/>
  <c r="H10" i="11" s="1"/>
  <c r="P11" i="9"/>
  <c r="O11" i="9"/>
  <c r="N11" i="9"/>
  <c r="M11" i="9"/>
  <c r="K11" i="9"/>
  <c r="J11" i="9"/>
  <c r="H11" i="9"/>
  <c r="G11" i="9"/>
  <c r="F11" i="9"/>
  <c r="E11" i="9"/>
  <c r="C11" i="9"/>
  <c r="B11" i="9"/>
  <c r="P10" i="9"/>
  <c r="O10" i="9"/>
  <c r="N10" i="9"/>
  <c r="M10" i="9"/>
  <c r="K10" i="9"/>
  <c r="J10" i="9"/>
  <c r="H67" i="11" s="1"/>
  <c r="H10" i="9"/>
  <c r="G10" i="9"/>
  <c r="F10" i="9"/>
  <c r="E10" i="9"/>
  <c r="C10" i="9"/>
  <c r="B10" i="9"/>
  <c r="H8" i="11" s="1"/>
  <c r="P9" i="9"/>
  <c r="O9" i="9"/>
  <c r="N9" i="9"/>
  <c r="M9" i="9"/>
  <c r="K9" i="9"/>
  <c r="J9" i="9"/>
  <c r="H66" i="11" s="1"/>
  <c r="H9" i="9"/>
  <c r="G9" i="9"/>
  <c r="F9" i="9"/>
  <c r="E9" i="9"/>
  <c r="C9" i="9"/>
  <c r="B9" i="9"/>
  <c r="F83" i="11"/>
  <c r="C83" i="11"/>
  <c r="G81" i="11"/>
  <c r="B81" i="11"/>
  <c r="E78" i="11"/>
  <c r="H76" i="11"/>
  <c r="E71" i="11"/>
  <c r="D71" i="11"/>
  <c r="H68" i="11"/>
  <c r="D68" i="11"/>
  <c r="K52" i="11"/>
  <c r="O23" i="11"/>
  <c r="N18" i="11"/>
  <c r="M18" i="11"/>
  <c r="L18" i="11"/>
  <c r="O13" i="11"/>
  <c r="N13" i="11"/>
  <c r="M13" i="11"/>
  <c r="P8" i="11"/>
  <c r="J8" i="11"/>
  <c r="F8" i="11"/>
  <c r="Q454" i="9"/>
  <c r="Q449" i="9"/>
  <c r="Q444" i="9"/>
  <c r="Q439" i="9"/>
  <c r="Q438" i="9"/>
  <c r="Q437" i="9"/>
  <c r="Q436" i="9"/>
  <c r="Q435" i="9"/>
  <c r="Q434" i="9"/>
  <c r="Q433" i="9"/>
  <c r="Q432" i="9"/>
  <c r="Q431" i="9"/>
  <c r="Q430" i="9"/>
  <c r="Q429" i="9"/>
  <c r="Q424" i="9"/>
  <c r="Q419" i="9"/>
  <c r="Q414" i="9"/>
  <c r="Q409" i="9"/>
  <c r="Q408" i="9"/>
  <c r="Q407" i="9"/>
  <c r="Q406" i="9"/>
  <c r="Q405" i="9"/>
  <c r="Q404" i="9"/>
  <c r="Q403" i="9"/>
  <c r="Q402" i="9"/>
  <c r="Q401" i="9"/>
  <c r="Q400" i="9"/>
  <c r="Q399" i="9"/>
  <c r="Q394" i="9"/>
  <c r="Q389" i="9"/>
  <c r="Q384" i="9"/>
  <c r="Q379" i="9"/>
  <c r="Q378" i="9"/>
  <c r="Q377" i="9"/>
  <c r="Q376" i="9"/>
  <c r="Q375" i="9"/>
  <c r="Q374" i="9"/>
  <c r="Q373" i="9"/>
  <c r="Q372" i="9"/>
  <c r="Q371" i="9"/>
  <c r="Q370" i="9"/>
  <c r="Q369" i="9"/>
  <c r="Q368" i="9"/>
  <c r="Q363" i="9"/>
  <c r="Q358" i="9"/>
  <c r="D356" i="9"/>
  <c r="L42" i="11" s="1"/>
  <c r="Q353" i="9"/>
  <c r="Q348" i="9"/>
  <c r="Q347" i="9"/>
  <c r="Q346" i="9"/>
  <c r="Q345" i="9"/>
  <c r="Q344" i="9"/>
  <c r="Q343" i="9"/>
  <c r="Q342" i="9"/>
  <c r="Q341" i="9"/>
  <c r="Q340" i="9"/>
  <c r="Q338" i="9"/>
  <c r="Q337" i="9"/>
  <c r="Q332" i="9"/>
  <c r="Q327" i="9"/>
  <c r="Q322" i="9"/>
  <c r="Q317" i="9"/>
  <c r="Q316" i="9"/>
  <c r="Q315" i="9"/>
  <c r="Q314" i="9"/>
  <c r="Q313" i="9"/>
  <c r="Q312" i="9"/>
  <c r="Q311" i="9"/>
  <c r="Q310" i="9"/>
  <c r="Q309" i="9"/>
  <c r="Q308" i="9"/>
  <c r="Q307" i="9"/>
  <c r="Q306" i="9"/>
  <c r="Q301" i="9"/>
  <c r="D299" i="9"/>
  <c r="J47" i="11" s="1"/>
  <c r="Q296" i="9"/>
  <c r="Q291" i="9"/>
  <c r="D289" i="9"/>
  <c r="Q286" i="9"/>
  <c r="Q285" i="9"/>
  <c r="Q284" i="9"/>
  <c r="Q283" i="9"/>
  <c r="Q282" i="9"/>
  <c r="Q281" i="9"/>
  <c r="Q280" i="9"/>
  <c r="Q279" i="9"/>
  <c r="Q278" i="9"/>
  <c r="Q277" i="9"/>
  <c r="Q276" i="9"/>
  <c r="Q275" i="9"/>
  <c r="Q270" i="9"/>
  <c r="Q265" i="9"/>
  <c r="D263" i="9"/>
  <c r="I42" i="11" s="1"/>
  <c r="Q260" i="9"/>
  <c r="Q255" i="9"/>
  <c r="Q254" i="9"/>
  <c r="Q253" i="9"/>
  <c r="Q252" i="9"/>
  <c r="Q251" i="9"/>
  <c r="Q250" i="9"/>
  <c r="Q249" i="9"/>
  <c r="Q248" i="9"/>
  <c r="Q247" i="9"/>
  <c r="Q246" i="9"/>
  <c r="Q245" i="9"/>
  <c r="Q244" i="9"/>
  <c r="Q239" i="9"/>
  <c r="Q234" i="9"/>
  <c r="Q229" i="9"/>
  <c r="Q224" i="9"/>
  <c r="Q223" i="9"/>
  <c r="Q222" i="9"/>
  <c r="Q221" i="9"/>
  <c r="Q220" i="9"/>
  <c r="Q219" i="9"/>
  <c r="Q218" i="9"/>
  <c r="Q217" i="9"/>
  <c r="R216" i="9"/>
  <c r="Q216" i="9"/>
  <c r="R215" i="9"/>
  <c r="Q215" i="9"/>
  <c r="R214" i="9"/>
  <c r="Q214" i="9"/>
  <c r="R213" i="9"/>
  <c r="Q213" i="9"/>
  <c r="D210" i="9"/>
  <c r="R208" i="9"/>
  <c r="Q208" i="9"/>
  <c r="R203" i="9"/>
  <c r="Q203" i="9"/>
  <c r="R198" i="9"/>
  <c r="Q198" i="9"/>
  <c r="D197" i="9"/>
  <c r="G38" i="11" s="1"/>
  <c r="L195" i="9"/>
  <c r="G95" i="11" s="1"/>
  <c r="D195" i="9"/>
  <c r="G36" i="11" s="1"/>
  <c r="R193" i="9"/>
  <c r="Q193" i="9"/>
  <c r="R192" i="9"/>
  <c r="Q192" i="9"/>
  <c r="R191" i="9"/>
  <c r="Q191" i="9"/>
  <c r="R190" i="9"/>
  <c r="Q190" i="9"/>
  <c r="R189" i="9"/>
  <c r="Q189" i="9"/>
  <c r="R188" i="9"/>
  <c r="Q188" i="9"/>
  <c r="R187" i="9"/>
  <c r="Q187" i="9"/>
  <c r="R186" i="9"/>
  <c r="Q186" i="9"/>
  <c r="R185" i="9"/>
  <c r="Q185" i="9"/>
  <c r="R184" i="9"/>
  <c r="Q184" i="9"/>
  <c r="R183" i="9"/>
  <c r="Q183" i="9"/>
  <c r="D182" i="9"/>
  <c r="F53" i="11" s="1"/>
  <c r="R178" i="9"/>
  <c r="Q178" i="9"/>
  <c r="R173" i="9"/>
  <c r="Q173" i="9"/>
  <c r="D170" i="9"/>
  <c r="F41" i="11" s="1"/>
  <c r="R168" i="9"/>
  <c r="Q168" i="9"/>
  <c r="R163" i="9"/>
  <c r="Q163" i="9"/>
  <c r="R162" i="9"/>
  <c r="Q162" i="9"/>
  <c r="R161" i="9"/>
  <c r="Q161" i="9"/>
  <c r="R160" i="9"/>
  <c r="Q160" i="9"/>
  <c r="R159" i="9"/>
  <c r="Q159" i="9"/>
  <c r="R158" i="9"/>
  <c r="Q158" i="9"/>
  <c r="R157" i="9"/>
  <c r="Q157" i="9"/>
  <c r="R156" i="9"/>
  <c r="Q156" i="9"/>
  <c r="R155" i="9"/>
  <c r="Q155" i="9"/>
  <c r="R153" i="9"/>
  <c r="Q153" i="9"/>
  <c r="R152" i="9"/>
  <c r="Q152" i="9"/>
  <c r="R147" i="9"/>
  <c r="Q147" i="9"/>
  <c r="L146" i="9"/>
  <c r="E107" i="11" s="1"/>
  <c r="R142" i="9"/>
  <c r="Q142" i="9"/>
  <c r="R137" i="9"/>
  <c r="Q137" i="9"/>
  <c r="D134" i="9"/>
  <c r="E36" i="11" s="1"/>
  <c r="R132" i="9"/>
  <c r="Q132" i="9"/>
  <c r="R131" i="9"/>
  <c r="Q131" i="9"/>
  <c r="R130" i="9"/>
  <c r="Q130" i="9"/>
  <c r="R129" i="9"/>
  <c r="Q129" i="9"/>
  <c r="R128" i="9"/>
  <c r="Q128" i="9"/>
  <c r="R127" i="9"/>
  <c r="Q127" i="9"/>
  <c r="R126" i="9"/>
  <c r="Q126" i="9"/>
  <c r="R125" i="9"/>
  <c r="Q125" i="9"/>
  <c r="R124" i="9"/>
  <c r="Q124" i="9"/>
  <c r="R123" i="9"/>
  <c r="Q123" i="9"/>
  <c r="R122" i="9"/>
  <c r="Q122" i="9"/>
  <c r="R121" i="9"/>
  <c r="Q121" i="9"/>
  <c r="R116" i="9"/>
  <c r="Q116" i="9"/>
  <c r="D113" i="9"/>
  <c r="D46" i="11" s="1"/>
  <c r="R111" i="9"/>
  <c r="Q111" i="9"/>
  <c r="R106" i="9"/>
  <c r="Q106" i="9"/>
  <c r="D105" i="9"/>
  <c r="D38" i="11" s="1"/>
  <c r="R101" i="9"/>
  <c r="Q101" i="9"/>
  <c r="R100" i="9"/>
  <c r="Q100" i="9"/>
  <c r="R99" i="9"/>
  <c r="Q99" i="9"/>
  <c r="R98" i="9"/>
  <c r="Q98" i="9"/>
  <c r="R97" i="9"/>
  <c r="Q97" i="9"/>
  <c r="R96" i="9"/>
  <c r="Q96" i="9"/>
  <c r="R95" i="9"/>
  <c r="Q95" i="9"/>
  <c r="R94" i="9"/>
  <c r="Q94" i="9"/>
  <c r="R93" i="9"/>
  <c r="Q93" i="9"/>
  <c r="R92" i="9"/>
  <c r="Q92" i="9"/>
  <c r="R91" i="9"/>
  <c r="Q91" i="9"/>
  <c r="R86" i="9"/>
  <c r="Q86" i="9"/>
  <c r="R81" i="9"/>
  <c r="Q81" i="9"/>
  <c r="R76" i="9"/>
  <c r="Q76" i="9"/>
  <c r="D75" i="9"/>
  <c r="C38" i="11" s="1"/>
  <c r="R71" i="9"/>
  <c r="Q71" i="9"/>
  <c r="R70" i="9"/>
  <c r="Q70" i="9"/>
  <c r="R69" i="9"/>
  <c r="Q69" i="9"/>
  <c r="R68" i="9"/>
  <c r="Q68" i="9"/>
  <c r="R67" i="9"/>
  <c r="Q67" i="9"/>
  <c r="R66" i="9"/>
  <c r="Q66" i="9"/>
  <c r="R65" i="9"/>
  <c r="Q65" i="9"/>
  <c r="R64" i="9"/>
  <c r="Q64" i="9"/>
  <c r="R63" i="9"/>
  <c r="Q63" i="9"/>
  <c r="R62" i="9"/>
  <c r="Q62" i="9"/>
  <c r="R61" i="9"/>
  <c r="Q61" i="9"/>
  <c r="R60" i="9"/>
  <c r="Q60" i="9"/>
  <c r="R55" i="9"/>
  <c r="Q55" i="9"/>
  <c r="R50" i="9"/>
  <c r="Q50" i="9"/>
  <c r="R45" i="9"/>
  <c r="Q45" i="9"/>
  <c r="R40" i="9"/>
  <c r="Q40" i="9"/>
  <c r="R39" i="9"/>
  <c r="Q39" i="9"/>
  <c r="R38" i="9"/>
  <c r="Q38" i="9"/>
  <c r="R37" i="9"/>
  <c r="Q37" i="9"/>
  <c r="R36" i="9"/>
  <c r="Q36" i="9"/>
  <c r="R35" i="9"/>
  <c r="Q35" i="9"/>
  <c r="R34" i="9"/>
  <c r="Q34" i="9"/>
  <c r="R33" i="9"/>
  <c r="Q33" i="9"/>
  <c r="R32" i="9"/>
  <c r="Q32" i="9"/>
  <c r="R31" i="9"/>
  <c r="Q31" i="9"/>
  <c r="R30" i="9"/>
  <c r="Q30" i="9"/>
  <c r="R29" i="9"/>
  <c r="Q29" i="9"/>
  <c r="R28" i="9"/>
  <c r="Q28" i="9"/>
  <c r="L25" i="9"/>
  <c r="H110" i="11" s="1"/>
  <c r="R23" i="9"/>
  <c r="Q23" i="9"/>
  <c r="R18" i="9"/>
  <c r="Q18" i="9"/>
  <c r="R13" i="9"/>
  <c r="Q13" i="9"/>
  <c r="D458" i="8"/>
  <c r="O52" i="10" s="1"/>
  <c r="D457" i="8"/>
  <c r="O51" i="10" s="1"/>
  <c r="Q454" i="8"/>
  <c r="Q449" i="8"/>
  <c r="Q444" i="8"/>
  <c r="Q439" i="8"/>
  <c r="Q438" i="8"/>
  <c r="Q437" i="8"/>
  <c r="Q436" i="8"/>
  <c r="Q435" i="8"/>
  <c r="Q434" i="8"/>
  <c r="Q433" i="8"/>
  <c r="Q432" i="8"/>
  <c r="Q431" i="8"/>
  <c r="Q430" i="8"/>
  <c r="Q429" i="8"/>
  <c r="Q424" i="8"/>
  <c r="D423" i="8"/>
  <c r="N47" i="10" s="1"/>
  <c r="Q419" i="8"/>
  <c r="Q414" i="8"/>
  <c r="Q409" i="8"/>
  <c r="Q408" i="8"/>
  <c r="Q407" i="8"/>
  <c r="Q406" i="8"/>
  <c r="Q405" i="8"/>
  <c r="Q404" i="8"/>
  <c r="Q403" i="8"/>
  <c r="Q402" i="8"/>
  <c r="Q401" i="8"/>
  <c r="Q400" i="8"/>
  <c r="Q399" i="8"/>
  <c r="Q394" i="8"/>
  <c r="Q389" i="8"/>
  <c r="Q384" i="8"/>
  <c r="Q379" i="8"/>
  <c r="Q378" i="8"/>
  <c r="Q377" i="8"/>
  <c r="Q376" i="8"/>
  <c r="Q375" i="8"/>
  <c r="Q374" i="8"/>
  <c r="Q373" i="8"/>
  <c r="Q372" i="8"/>
  <c r="Q371" i="8"/>
  <c r="Q370" i="8"/>
  <c r="Q369" i="8"/>
  <c r="Q368" i="8"/>
  <c r="Q363" i="8"/>
  <c r="Q358" i="8"/>
  <c r="Q353" i="8"/>
  <c r="Q348" i="8"/>
  <c r="Q347" i="8"/>
  <c r="Q346" i="8"/>
  <c r="Q345" i="8"/>
  <c r="Q344" i="8"/>
  <c r="Q343" i="8"/>
  <c r="Q342" i="8"/>
  <c r="Q341" i="8"/>
  <c r="Q340" i="8"/>
  <c r="Q338" i="8"/>
  <c r="Q337" i="8"/>
  <c r="Q332" i="8"/>
  <c r="D331" i="8"/>
  <c r="K47" i="10" s="1"/>
  <c r="Q327" i="8"/>
  <c r="Q322" i="8"/>
  <c r="Q317" i="8"/>
  <c r="Q316" i="8"/>
  <c r="Q315" i="8"/>
  <c r="Q314" i="8"/>
  <c r="Q313" i="8"/>
  <c r="Q312" i="8"/>
  <c r="Q311" i="8"/>
  <c r="Q310" i="8"/>
  <c r="Q309" i="8"/>
  <c r="Q308" i="8"/>
  <c r="Q307" i="8"/>
  <c r="Q306" i="8"/>
  <c r="Q301" i="8"/>
  <c r="Q296" i="8"/>
  <c r="Q291" i="8"/>
  <c r="Q286" i="8"/>
  <c r="Q285" i="8"/>
  <c r="Q284" i="8"/>
  <c r="Q283" i="8"/>
  <c r="Q282" i="8"/>
  <c r="Q281" i="8"/>
  <c r="Q280" i="8"/>
  <c r="Q279" i="8"/>
  <c r="Q278" i="8"/>
  <c r="Q277" i="8"/>
  <c r="Q276" i="8"/>
  <c r="Q275" i="8"/>
  <c r="Q270" i="8"/>
  <c r="Q265" i="8"/>
  <c r="Q260" i="8"/>
  <c r="Q255" i="8"/>
  <c r="Q254" i="8"/>
  <c r="Q253" i="8"/>
  <c r="Q252" i="8"/>
  <c r="Q251" i="8"/>
  <c r="Q250" i="8"/>
  <c r="Q249" i="8"/>
  <c r="Q248" i="8"/>
  <c r="Q247" i="8"/>
  <c r="Q246" i="8"/>
  <c r="Q245" i="8"/>
  <c r="Q244" i="8"/>
  <c r="D242" i="8"/>
  <c r="M51" i="10" s="1"/>
  <c r="Q239" i="8"/>
  <c r="Q234" i="8"/>
  <c r="Q229" i="8"/>
  <c r="Q224" i="8"/>
  <c r="Q223" i="8"/>
  <c r="Q222" i="8"/>
  <c r="Q221" i="8"/>
  <c r="Q220" i="8"/>
  <c r="Q219" i="8"/>
  <c r="Q218" i="8"/>
  <c r="Q217" i="8"/>
  <c r="R216" i="8"/>
  <c r="Q216" i="8"/>
  <c r="R214" i="8"/>
  <c r="Q214" i="8"/>
  <c r="R213" i="8"/>
  <c r="Q213" i="8"/>
  <c r="D212" i="8"/>
  <c r="G52" i="10" s="1"/>
  <c r="R208" i="8"/>
  <c r="Q208" i="8"/>
  <c r="R203" i="8"/>
  <c r="Q203" i="8"/>
  <c r="D202" i="8"/>
  <c r="G42" i="10" s="1"/>
  <c r="D200" i="8"/>
  <c r="G40" i="10" s="1"/>
  <c r="R198" i="8"/>
  <c r="Q198" i="8"/>
  <c r="R178" i="8"/>
  <c r="Q178" i="8"/>
  <c r="L177" i="8"/>
  <c r="F105" i="10" s="1"/>
  <c r="D177" i="8"/>
  <c r="F47" i="10" s="1"/>
  <c r="D175" i="8"/>
  <c r="R173" i="8"/>
  <c r="Q173" i="8"/>
  <c r="R168" i="8"/>
  <c r="Q168" i="8"/>
  <c r="D167" i="8"/>
  <c r="F37" i="10" s="1"/>
  <c r="D149" i="8"/>
  <c r="E50" i="10" s="1"/>
  <c r="R147" i="8"/>
  <c r="Q147" i="8"/>
  <c r="R142" i="8"/>
  <c r="Q142" i="8"/>
  <c r="D139" i="8"/>
  <c r="E40" i="10" s="1"/>
  <c r="R137" i="8"/>
  <c r="Q137" i="8"/>
  <c r="D134" i="8"/>
  <c r="E35" i="10" s="1"/>
  <c r="R116" i="8"/>
  <c r="Q116" i="8"/>
  <c r="R111" i="8"/>
  <c r="Q111" i="8"/>
  <c r="R106" i="8"/>
  <c r="Q106" i="8"/>
  <c r="D105" i="8"/>
  <c r="D37" i="10" s="1"/>
  <c r="D103" i="8"/>
  <c r="D35" i="10" s="1"/>
  <c r="D90" i="8"/>
  <c r="C52" i="10" s="1"/>
  <c r="R86" i="8"/>
  <c r="Q86" i="8"/>
  <c r="D85" i="8"/>
  <c r="C47" i="10" s="1"/>
  <c r="R81" i="8"/>
  <c r="Q81" i="8"/>
  <c r="D80" i="8"/>
  <c r="C42" i="10" s="1"/>
  <c r="R76" i="8"/>
  <c r="Q76" i="8"/>
  <c r="R55" i="8"/>
  <c r="Q55" i="8"/>
  <c r="D54" i="8"/>
  <c r="B47" i="10" s="1"/>
  <c r="R50" i="8"/>
  <c r="Q50" i="8"/>
  <c r="D47" i="8"/>
  <c r="B40" i="10" s="1"/>
  <c r="R45" i="8"/>
  <c r="Q45" i="8"/>
  <c r="R23" i="8"/>
  <c r="Q23" i="8"/>
  <c r="R18" i="8"/>
  <c r="Q18" i="8"/>
  <c r="D17" i="8"/>
  <c r="H42" i="10" s="1"/>
  <c r="R13" i="8"/>
  <c r="Q13" i="8"/>
  <c r="Q47" i="9" l="1"/>
  <c r="Q170" i="8"/>
  <c r="H7" i="10"/>
  <c r="P12" i="10"/>
  <c r="P22" i="10"/>
  <c r="Q366" i="9"/>
  <c r="D209" i="9"/>
  <c r="G50" i="11" s="1"/>
  <c r="D48" i="8"/>
  <c r="B41" i="10" s="1"/>
  <c r="D89" i="8"/>
  <c r="C51" i="10" s="1"/>
  <c r="D109" i="8"/>
  <c r="D41" i="10" s="1"/>
  <c r="D349" i="8"/>
  <c r="L34" i="10" s="1"/>
  <c r="D259" i="9"/>
  <c r="Q259" i="9" s="1"/>
  <c r="P19" i="11"/>
  <c r="P24" i="11"/>
  <c r="L17" i="8"/>
  <c r="L22" i="8"/>
  <c r="R22" i="8" s="1"/>
  <c r="H25" i="10"/>
  <c r="B13" i="10"/>
  <c r="L59" i="8"/>
  <c r="B110" i="10" s="1"/>
  <c r="C10" i="10"/>
  <c r="Q83" i="8"/>
  <c r="L88" i="8"/>
  <c r="C108" i="10" s="1"/>
  <c r="Q105" i="8"/>
  <c r="L141" i="8"/>
  <c r="R141" i="8" s="1"/>
  <c r="E25" i="10"/>
  <c r="L165" i="8"/>
  <c r="F93" i="10" s="1"/>
  <c r="F18" i="10"/>
  <c r="L195" i="8"/>
  <c r="G93" i="10" s="1"/>
  <c r="D233" i="8"/>
  <c r="M42" i="10" s="1"/>
  <c r="D269" i="8"/>
  <c r="I47" i="10" s="1"/>
  <c r="D274" i="8"/>
  <c r="I52" i="10" s="1"/>
  <c r="J24" i="10"/>
  <c r="D362" i="8"/>
  <c r="L47" i="10" s="1"/>
  <c r="D388" i="8"/>
  <c r="P42" i="10" s="1"/>
  <c r="N9" i="10"/>
  <c r="D428" i="8"/>
  <c r="N52" i="10" s="1"/>
  <c r="O9" i="10"/>
  <c r="D448" i="8"/>
  <c r="O42" i="10" s="1"/>
  <c r="Q83" i="9"/>
  <c r="Q105" i="9"/>
  <c r="Q138" i="9"/>
  <c r="Q15" i="8"/>
  <c r="Q49" i="8"/>
  <c r="K25" i="10"/>
  <c r="L15" i="10"/>
  <c r="O15" i="10"/>
  <c r="D67" i="10"/>
  <c r="Q136" i="8"/>
  <c r="N15" i="10"/>
  <c r="O25" i="10"/>
  <c r="D109" i="9"/>
  <c r="D42" i="11" s="1"/>
  <c r="D145" i="9"/>
  <c r="E47" i="11" s="1"/>
  <c r="D266" i="9"/>
  <c r="I45" i="11" s="1"/>
  <c r="K22" i="10"/>
  <c r="L7" i="10"/>
  <c r="L12" i="10"/>
  <c r="L17" i="10"/>
  <c r="P17" i="10"/>
  <c r="N12" i="10"/>
  <c r="N22" i="10"/>
  <c r="O7" i="10"/>
  <c r="O12" i="10"/>
  <c r="O17" i="10"/>
  <c r="O22" i="10"/>
  <c r="D96" i="11"/>
  <c r="R104" i="9"/>
  <c r="R9" i="8"/>
  <c r="H92" i="10"/>
  <c r="Q78" i="8"/>
  <c r="C40" i="10"/>
  <c r="C24" i="10"/>
  <c r="Q359" i="8"/>
  <c r="L44" i="10"/>
  <c r="Q274" i="8"/>
  <c r="H98" i="10"/>
  <c r="R15" i="8"/>
  <c r="Q298" i="8"/>
  <c r="J45" i="10"/>
  <c r="Q56" i="9"/>
  <c r="D7" i="11"/>
  <c r="Q14" i="8"/>
  <c r="R16" i="8"/>
  <c r="H99" i="10"/>
  <c r="R48" i="8"/>
  <c r="B99" i="10"/>
  <c r="R53" i="8"/>
  <c r="B104" i="10"/>
  <c r="R84" i="8"/>
  <c r="C104" i="10"/>
  <c r="R87" i="8"/>
  <c r="C107" i="10"/>
  <c r="R102" i="8"/>
  <c r="D92" i="10"/>
  <c r="R104" i="8"/>
  <c r="D94" i="10"/>
  <c r="R107" i="8"/>
  <c r="D97" i="10"/>
  <c r="R117" i="8"/>
  <c r="D107" i="10"/>
  <c r="R133" i="8"/>
  <c r="E92" i="10"/>
  <c r="R145" i="8"/>
  <c r="E104" i="10"/>
  <c r="R181" i="8"/>
  <c r="F109" i="10"/>
  <c r="R196" i="8"/>
  <c r="G94" i="10"/>
  <c r="R204" i="8"/>
  <c r="G102" i="10"/>
  <c r="R211" i="8"/>
  <c r="G109" i="10"/>
  <c r="M7" i="10"/>
  <c r="Q236" i="8"/>
  <c r="M45" i="10"/>
  <c r="I17" i="10"/>
  <c r="Q272" i="8"/>
  <c r="I50" i="10"/>
  <c r="Q319" i="8"/>
  <c r="K35" i="10"/>
  <c r="H76" i="10"/>
  <c r="R21" i="8"/>
  <c r="B74" i="10"/>
  <c r="R51" i="8"/>
  <c r="Q273" i="8"/>
  <c r="I51" i="10"/>
  <c r="R11" i="8"/>
  <c r="H94" i="10"/>
  <c r="R41" i="8"/>
  <c r="B92" i="10"/>
  <c r="R46" i="8"/>
  <c r="B97" i="10"/>
  <c r="R72" i="8"/>
  <c r="C92" i="10"/>
  <c r="R109" i="8"/>
  <c r="D99" i="10"/>
  <c r="Q139" i="8"/>
  <c r="R140" i="8"/>
  <c r="E99" i="10"/>
  <c r="R169" i="8"/>
  <c r="F97" i="10"/>
  <c r="R171" i="8"/>
  <c r="F99" i="10"/>
  <c r="R174" i="8"/>
  <c r="F102" i="10"/>
  <c r="R176" i="8"/>
  <c r="F104" i="10"/>
  <c r="C94" i="10"/>
  <c r="C102" i="11"/>
  <c r="R80" i="9"/>
  <c r="E110" i="11"/>
  <c r="R149" i="9"/>
  <c r="M12" i="10"/>
  <c r="M35" i="10"/>
  <c r="R58" i="8"/>
  <c r="Q390" i="8"/>
  <c r="P44" i="10"/>
  <c r="Q325" i="9"/>
  <c r="R73" i="8"/>
  <c r="Q175" i="8"/>
  <c r="F45" i="10"/>
  <c r="Q227" i="8"/>
  <c r="M36" i="10"/>
  <c r="Q304" i="9"/>
  <c r="D22" i="10"/>
  <c r="G23" i="11"/>
  <c r="L210" i="9"/>
  <c r="G110" i="11" s="1"/>
  <c r="L212" i="9"/>
  <c r="G112" i="11" s="1"/>
  <c r="M14" i="11"/>
  <c r="M19" i="11"/>
  <c r="Q237" i="9"/>
  <c r="D238" i="9"/>
  <c r="M48" i="11" s="1"/>
  <c r="R48" i="11" s="1"/>
  <c r="M24" i="11"/>
  <c r="I9" i="11"/>
  <c r="I14" i="11"/>
  <c r="D264" i="9"/>
  <c r="I43" i="11" s="1"/>
  <c r="D269" i="9"/>
  <c r="I48" i="11" s="1"/>
  <c r="I24" i="11"/>
  <c r="J9" i="11"/>
  <c r="D290" i="9"/>
  <c r="J14" i="11"/>
  <c r="J19" i="11"/>
  <c r="D300" i="9"/>
  <c r="J48" i="11" s="1"/>
  <c r="D305" i="9"/>
  <c r="J53" i="11" s="1"/>
  <c r="K9" i="11"/>
  <c r="D326" i="9"/>
  <c r="K43" i="11" s="1"/>
  <c r="K19" i="11"/>
  <c r="D336" i="9"/>
  <c r="K53" i="11" s="1"/>
  <c r="L9" i="11"/>
  <c r="D352" i="9"/>
  <c r="L38" i="11" s="1"/>
  <c r="L14" i="11"/>
  <c r="L19" i="11"/>
  <c r="D362" i="9"/>
  <c r="L48" i="11" s="1"/>
  <c r="L24" i="11"/>
  <c r="D367" i="9"/>
  <c r="P9" i="11"/>
  <c r="P14" i="11"/>
  <c r="D398" i="9"/>
  <c r="P53" i="11" s="1"/>
  <c r="S53" i="11" s="1"/>
  <c r="N9" i="11"/>
  <c r="D413" i="9"/>
  <c r="N38" i="11" s="1"/>
  <c r="N14" i="11"/>
  <c r="D418" i="9"/>
  <c r="N43" i="11" s="1"/>
  <c r="N19" i="11"/>
  <c r="D423" i="9"/>
  <c r="N24" i="11"/>
  <c r="O9" i="11"/>
  <c r="D443" i="9"/>
  <c r="Q443" i="9" s="1"/>
  <c r="O14" i="11"/>
  <c r="D448" i="9"/>
  <c r="O43" i="11" s="1"/>
  <c r="D453" i="9"/>
  <c r="O48" i="11" s="1"/>
  <c r="O24" i="11"/>
  <c r="D458" i="9"/>
  <c r="O53" i="11" s="1"/>
  <c r="L10" i="8"/>
  <c r="H93" i="10" s="1"/>
  <c r="H10" i="10"/>
  <c r="H13" i="10"/>
  <c r="H15" i="10"/>
  <c r="H18" i="10"/>
  <c r="H20" i="10"/>
  <c r="H23" i="10"/>
  <c r="L25" i="8"/>
  <c r="H108" i="10" s="1"/>
  <c r="B8" i="10"/>
  <c r="L42" i="8"/>
  <c r="B93" i="10" s="1"/>
  <c r="B10" i="10"/>
  <c r="B15" i="10"/>
  <c r="L49" i="8"/>
  <c r="B100" i="10" s="1"/>
  <c r="B18" i="10"/>
  <c r="L52" i="8"/>
  <c r="B103" i="10" s="1"/>
  <c r="B20" i="10"/>
  <c r="B23" i="10"/>
  <c r="L57" i="8"/>
  <c r="B25" i="10"/>
  <c r="C8" i="10"/>
  <c r="L75" i="8"/>
  <c r="C95" i="10" s="1"/>
  <c r="C13" i="10"/>
  <c r="L78" i="8"/>
  <c r="C98" i="10" s="1"/>
  <c r="L80" i="8"/>
  <c r="C100" i="10" s="1"/>
  <c r="C18" i="10"/>
  <c r="L83" i="8"/>
  <c r="C103" i="10" s="1"/>
  <c r="C20" i="10"/>
  <c r="C23" i="10"/>
  <c r="C25" i="10"/>
  <c r="L90" i="8"/>
  <c r="C110" i="10" s="1"/>
  <c r="D8" i="10"/>
  <c r="L103" i="8"/>
  <c r="D93" i="10" s="1"/>
  <c r="D10" i="10"/>
  <c r="D13" i="10"/>
  <c r="D15" i="10"/>
  <c r="L110" i="8"/>
  <c r="D100" i="10" s="1"/>
  <c r="D18" i="10"/>
  <c r="L113" i="8"/>
  <c r="D103" i="10" s="1"/>
  <c r="D20" i="10"/>
  <c r="L115" i="8"/>
  <c r="D105" i="10" s="1"/>
  <c r="D23" i="10"/>
  <c r="D25" i="10"/>
  <c r="L120" i="8"/>
  <c r="D110" i="10" s="1"/>
  <c r="E8" i="10"/>
  <c r="E10" i="10"/>
  <c r="L136" i="8"/>
  <c r="E95" i="10" s="1"/>
  <c r="E13" i="10"/>
  <c r="L139" i="8"/>
  <c r="E98" i="10" s="1"/>
  <c r="E18" i="10"/>
  <c r="L144" i="8"/>
  <c r="E103" i="10" s="1"/>
  <c r="E20" i="10"/>
  <c r="L146" i="8"/>
  <c r="E105" i="10" s="1"/>
  <c r="E23" i="10"/>
  <c r="L151" i="8"/>
  <c r="E110" i="10" s="1"/>
  <c r="F8" i="10"/>
  <c r="F10" i="10"/>
  <c r="L167" i="8"/>
  <c r="F95" i="10" s="1"/>
  <c r="F13" i="10"/>
  <c r="L170" i="8"/>
  <c r="F15" i="10"/>
  <c r="L175" i="8"/>
  <c r="F103" i="10" s="1"/>
  <c r="F20" i="10"/>
  <c r="F23" i="10"/>
  <c r="L180" i="8"/>
  <c r="F108" i="10" s="1"/>
  <c r="F25" i="10"/>
  <c r="G10" i="10"/>
  <c r="L197" i="8"/>
  <c r="G95" i="10" s="1"/>
  <c r="G13" i="10"/>
  <c r="G15" i="10"/>
  <c r="L202" i="8"/>
  <c r="G100" i="10" s="1"/>
  <c r="G18" i="10"/>
  <c r="L205" i="8"/>
  <c r="G20" i="10"/>
  <c r="L207" i="8"/>
  <c r="G105" i="10" s="1"/>
  <c r="G23" i="10"/>
  <c r="G25" i="10"/>
  <c r="L212" i="8"/>
  <c r="G110" i="10" s="1"/>
  <c r="M9" i="10"/>
  <c r="D228" i="8"/>
  <c r="M37" i="10" s="1"/>
  <c r="M14" i="10"/>
  <c r="M19" i="10"/>
  <c r="M24" i="10"/>
  <c r="I9" i="10"/>
  <c r="D259" i="8"/>
  <c r="I37" i="10" s="1"/>
  <c r="I14" i="10"/>
  <c r="D264" i="8"/>
  <c r="I42" i="10" s="1"/>
  <c r="I24" i="10"/>
  <c r="J9" i="10"/>
  <c r="D295" i="8"/>
  <c r="J42" i="10" s="1"/>
  <c r="D300" i="8"/>
  <c r="J47" i="10" s="1"/>
  <c r="D305" i="8"/>
  <c r="J52" i="10" s="1"/>
  <c r="K14" i="10"/>
  <c r="D326" i="8"/>
  <c r="K42" i="10" s="1"/>
  <c r="K19" i="10"/>
  <c r="K24" i="10"/>
  <c r="D336" i="8"/>
  <c r="K52" i="10" s="1"/>
  <c r="L9" i="10"/>
  <c r="L14" i="10"/>
  <c r="L19" i="10"/>
  <c r="L24" i="10"/>
  <c r="D367" i="8"/>
  <c r="L52" i="10" s="1"/>
  <c r="P9" i="10"/>
  <c r="D383" i="8"/>
  <c r="P14" i="10"/>
  <c r="P19" i="10"/>
  <c r="P24" i="10"/>
  <c r="D413" i="8"/>
  <c r="N37" i="10" s="1"/>
  <c r="N14" i="10"/>
  <c r="N24" i="10"/>
  <c r="D443" i="8"/>
  <c r="O37" i="10" s="1"/>
  <c r="O14" i="10"/>
  <c r="O19" i="10"/>
  <c r="O24" i="10"/>
  <c r="H7" i="11"/>
  <c r="L9" i="9"/>
  <c r="R9" i="9" s="1"/>
  <c r="D10" i="9"/>
  <c r="Q10" i="9" s="1"/>
  <c r="H9" i="11"/>
  <c r="D12" i="9"/>
  <c r="H38" i="11" s="1"/>
  <c r="Q38" i="11" s="1"/>
  <c r="H12" i="11"/>
  <c r="L14" i="9"/>
  <c r="D15" i="9"/>
  <c r="H41" i="11" s="1"/>
  <c r="Q41" i="11" s="1"/>
  <c r="H14" i="11"/>
  <c r="L16" i="9"/>
  <c r="R16" i="9" s="1"/>
  <c r="D17" i="9"/>
  <c r="H43" i="11" s="1"/>
  <c r="Q43" i="11" s="1"/>
  <c r="L19" i="9"/>
  <c r="H104" i="11" s="1"/>
  <c r="D20" i="9"/>
  <c r="H46" i="11" s="1"/>
  <c r="Q46" i="11" s="1"/>
  <c r="L21" i="9"/>
  <c r="H106" i="11" s="1"/>
  <c r="D22" i="9"/>
  <c r="H22" i="11"/>
  <c r="L24" i="9"/>
  <c r="H109" i="11" s="1"/>
  <c r="D25" i="9"/>
  <c r="H51" i="11" s="1"/>
  <c r="Q51" i="11" s="1"/>
  <c r="H24" i="11"/>
  <c r="L26" i="9"/>
  <c r="H111" i="11" s="1"/>
  <c r="D27" i="9"/>
  <c r="H53" i="11" s="1"/>
  <c r="Q53" i="11" s="1"/>
  <c r="B7" i="11"/>
  <c r="L41" i="9"/>
  <c r="H12" i="10"/>
  <c r="H22" i="10"/>
  <c r="B7" i="10"/>
  <c r="B19" i="10"/>
  <c r="C9" i="10"/>
  <c r="C22" i="10"/>
  <c r="D12" i="10"/>
  <c r="F7" i="10"/>
  <c r="F9" i="10"/>
  <c r="F19" i="10"/>
  <c r="F24" i="10"/>
  <c r="G7" i="10"/>
  <c r="G14" i="10"/>
  <c r="J12" i="10"/>
  <c r="D9" i="9"/>
  <c r="H35" i="11" s="1"/>
  <c r="Q35" i="11" s="1"/>
  <c r="D11" i="9"/>
  <c r="D14" i="9"/>
  <c r="H40" i="11" s="1"/>
  <c r="Q40" i="11" s="1"/>
  <c r="D16" i="9"/>
  <c r="H42" i="11" s="1"/>
  <c r="Q42" i="11" s="1"/>
  <c r="D21" i="9"/>
  <c r="H47" i="11" s="1"/>
  <c r="Q47" i="11" s="1"/>
  <c r="R22" i="9"/>
  <c r="D24" i="9"/>
  <c r="H50" i="11" s="1"/>
  <c r="Q50" i="11" s="1"/>
  <c r="D26" i="9"/>
  <c r="H52" i="11" s="1"/>
  <c r="Q52" i="11" s="1"/>
  <c r="D46" i="9"/>
  <c r="B40" i="11" s="1"/>
  <c r="D48" i="9"/>
  <c r="B42" i="11" s="1"/>
  <c r="D53" i="9"/>
  <c r="B47" i="11" s="1"/>
  <c r="D58" i="9"/>
  <c r="B52" i="11" s="1"/>
  <c r="D72" i="9"/>
  <c r="C35" i="11" s="1"/>
  <c r="D74" i="9"/>
  <c r="C37" i="11" s="1"/>
  <c r="D82" i="9"/>
  <c r="C45" i="11" s="1"/>
  <c r="R83" i="9"/>
  <c r="D84" i="9"/>
  <c r="C47" i="11" s="1"/>
  <c r="D89" i="9"/>
  <c r="C52" i="11" s="1"/>
  <c r="D102" i="9"/>
  <c r="D35" i="11" s="1"/>
  <c r="D104" i="9"/>
  <c r="D37" i="11" s="1"/>
  <c r="D112" i="9"/>
  <c r="D45" i="11" s="1"/>
  <c r="D114" i="9"/>
  <c r="D47" i="11" s="1"/>
  <c r="R134" i="9"/>
  <c r="D140" i="9"/>
  <c r="E42" i="11" s="1"/>
  <c r="D42" i="9"/>
  <c r="B36" i="11" s="1"/>
  <c r="B9" i="11"/>
  <c r="L43" i="9"/>
  <c r="B96" i="11" s="1"/>
  <c r="D44" i="9"/>
  <c r="B38" i="11" s="1"/>
  <c r="L46" i="9"/>
  <c r="R46" i="9" s="1"/>
  <c r="B14" i="11"/>
  <c r="D9" i="11"/>
  <c r="D442" i="9"/>
  <c r="O37" i="11" s="1"/>
  <c r="D452" i="9"/>
  <c r="O47" i="11" s="1"/>
  <c r="H14" i="10"/>
  <c r="H19" i="10"/>
  <c r="H24" i="10"/>
  <c r="B12" i="10"/>
  <c r="B17" i="10"/>
  <c r="B24" i="10"/>
  <c r="C7" i="10"/>
  <c r="C14" i="10"/>
  <c r="C17" i="10"/>
  <c r="C19" i="10"/>
  <c r="D7" i="10"/>
  <c r="D9" i="10"/>
  <c r="D14" i="10"/>
  <c r="D19" i="10"/>
  <c r="E9" i="10"/>
  <c r="E17" i="10"/>
  <c r="E19" i="10"/>
  <c r="E22" i="10"/>
  <c r="F12" i="10"/>
  <c r="F17" i="10"/>
  <c r="F22" i="10"/>
  <c r="G9" i="10"/>
  <c r="G12" i="10"/>
  <c r="G19" i="10"/>
  <c r="G22" i="10"/>
  <c r="G24" i="10"/>
  <c r="M17" i="10"/>
  <c r="I7" i="10"/>
  <c r="I12" i="10"/>
  <c r="I22" i="10"/>
  <c r="J17" i="10"/>
  <c r="J22" i="10"/>
  <c r="K7" i="10"/>
  <c r="K12" i="10"/>
  <c r="K17" i="10"/>
  <c r="D148" i="9"/>
  <c r="E50" i="11" s="1"/>
  <c r="D150" i="9"/>
  <c r="E52" i="11" s="1"/>
  <c r="D166" i="9"/>
  <c r="F37" i="11" s="1"/>
  <c r="D169" i="9"/>
  <c r="F40" i="11" s="1"/>
  <c r="D179" i="9"/>
  <c r="F50" i="11" s="1"/>
  <c r="D181" i="9"/>
  <c r="D199" i="9"/>
  <c r="G40" i="11" s="1"/>
  <c r="D201" i="9"/>
  <c r="Q201" i="9" s="1"/>
  <c r="D206" i="9"/>
  <c r="G47" i="11" s="1"/>
  <c r="D225" i="9"/>
  <c r="M35" i="11" s="1"/>
  <c r="R35" i="11" s="1"/>
  <c r="D230" i="9"/>
  <c r="M40" i="11" s="1"/>
  <c r="R40" i="11" s="1"/>
  <c r="D240" i="9"/>
  <c r="M50" i="11" s="1"/>
  <c r="R50" i="11" s="1"/>
  <c r="D256" i="9"/>
  <c r="Q256" i="9" s="1"/>
  <c r="D261" i="9"/>
  <c r="I40" i="11" s="1"/>
  <c r="D292" i="9"/>
  <c r="J40" i="11" s="1"/>
  <c r="D302" i="9"/>
  <c r="J50" i="11" s="1"/>
  <c r="D328" i="9"/>
  <c r="Q328" i="9" s="1"/>
  <c r="D333" i="9"/>
  <c r="K50" i="11" s="1"/>
  <c r="D349" i="9"/>
  <c r="L35" i="11" s="1"/>
  <c r="D354" i="9"/>
  <c r="L40" i="11" s="1"/>
  <c r="D385" i="9"/>
  <c r="P40" i="11" s="1"/>
  <c r="S40" i="11" s="1"/>
  <c r="D390" i="9"/>
  <c r="P45" i="11" s="1"/>
  <c r="S45" i="11" s="1"/>
  <c r="D410" i="9"/>
  <c r="N35" i="11" s="1"/>
  <c r="D425" i="9"/>
  <c r="N50" i="11" s="1"/>
  <c r="D445" i="9"/>
  <c r="Q445" i="9" s="1"/>
  <c r="D450" i="9"/>
  <c r="O45" i="11" s="1"/>
  <c r="D455" i="9"/>
  <c r="O50" i="11" s="1"/>
  <c r="D9" i="8"/>
  <c r="H34" i="10" s="1"/>
  <c r="R12" i="8"/>
  <c r="D14" i="8"/>
  <c r="H39" i="10" s="1"/>
  <c r="D16" i="8"/>
  <c r="H41" i="10" s="1"/>
  <c r="D19" i="8"/>
  <c r="H44" i="10" s="1"/>
  <c r="D24" i="8"/>
  <c r="H49" i="10" s="1"/>
  <c r="D26" i="8"/>
  <c r="H51" i="10" s="1"/>
  <c r="D46" i="8"/>
  <c r="B39" i="10" s="1"/>
  <c r="D51" i="8"/>
  <c r="B44" i="10" s="1"/>
  <c r="D53" i="8"/>
  <c r="B46" i="10" s="1"/>
  <c r="D56" i="8"/>
  <c r="B49" i="10" s="1"/>
  <c r="D58" i="8"/>
  <c r="D72" i="8"/>
  <c r="C34" i="10" s="1"/>
  <c r="D82" i="8"/>
  <c r="C44" i="10" s="1"/>
  <c r="D84" i="8"/>
  <c r="C46" i="10" s="1"/>
  <c r="D87" i="8"/>
  <c r="C49" i="10" s="1"/>
  <c r="D102" i="8"/>
  <c r="D34" i="10" s="1"/>
  <c r="R103" i="8"/>
  <c r="D65" i="10"/>
  <c r="D104" i="8"/>
  <c r="D36" i="10" s="1"/>
  <c r="R108" i="8"/>
  <c r="D117" i="8"/>
  <c r="D49" i="10" s="1"/>
  <c r="D119" i="8"/>
  <c r="D51" i="10" s="1"/>
  <c r="R120" i="8"/>
  <c r="D133" i="8"/>
  <c r="E34" i="10" s="1"/>
  <c r="D135" i="8"/>
  <c r="E36" i="10" s="1"/>
  <c r="D138" i="8"/>
  <c r="E39" i="10" s="1"/>
  <c r="D140" i="8"/>
  <c r="E41" i="10" s="1"/>
  <c r="D143" i="8"/>
  <c r="E44" i="10" s="1"/>
  <c r="D171" i="8"/>
  <c r="F41" i="10" s="1"/>
  <c r="D174" i="8"/>
  <c r="F44" i="10" s="1"/>
  <c r="D176" i="8"/>
  <c r="F46" i="10" s="1"/>
  <c r="R177" i="8"/>
  <c r="F77" i="10"/>
  <c r="D179" i="8"/>
  <c r="F49" i="10" s="1"/>
  <c r="D181" i="8"/>
  <c r="F51" i="10" s="1"/>
  <c r="D194" i="8"/>
  <c r="G34" i="10" s="1"/>
  <c r="D196" i="8"/>
  <c r="G36" i="10" s="1"/>
  <c r="G77" i="10"/>
  <c r="D209" i="8"/>
  <c r="G49" i="10" s="1"/>
  <c r="D225" i="8"/>
  <c r="M34" i="10" s="1"/>
  <c r="D230" i="8"/>
  <c r="M39" i="10" s="1"/>
  <c r="D235" i="8"/>
  <c r="M44" i="10" s="1"/>
  <c r="M20" i="10"/>
  <c r="D240" i="8"/>
  <c r="M49" i="10" s="1"/>
  <c r="D256" i="8"/>
  <c r="I34" i="10" s="1"/>
  <c r="I15" i="10"/>
  <c r="D266" i="8"/>
  <c r="I44" i="10" s="1"/>
  <c r="Q269" i="8"/>
  <c r="D271" i="8"/>
  <c r="I49" i="10" s="1"/>
  <c r="I25" i="10"/>
  <c r="D292" i="8"/>
  <c r="J39" i="10" s="1"/>
  <c r="J15" i="10"/>
  <c r="D297" i="8"/>
  <c r="J44" i="10" s="1"/>
  <c r="J20" i="10"/>
  <c r="K15" i="10"/>
  <c r="L10" i="10"/>
  <c r="L20" i="10"/>
  <c r="P10" i="10"/>
  <c r="P15" i="10"/>
  <c r="P25" i="10"/>
  <c r="N25" i="10"/>
  <c r="D70" i="10"/>
  <c r="D329" i="8"/>
  <c r="K45" i="10" s="1"/>
  <c r="D334" i="8"/>
  <c r="K50" i="10" s="1"/>
  <c r="D365" i="8"/>
  <c r="L50" i="10" s="1"/>
  <c r="D381" i="8"/>
  <c r="Q382" i="8"/>
  <c r="Q385" i="8"/>
  <c r="D411" i="8"/>
  <c r="N35" i="10" s="1"/>
  <c r="Q412" i="8"/>
  <c r="D416" i="8"/>
  <c r="N40" i="10" s="1"/>
  <c r="D421" i="8"/>
  <c r="Q422" i="8"/>
  <c r="D426" i="8"/>
  <c r="N50" i="10" s="1"/>
  <c r="D441" i="8"/>
  <c r="O35" i="10" s="1"/>
  <c r="D451" i="8"/>
  <c r="D456" i="8"/>
  <c r="O50" i="10" s="1"/>
  <c r="D302" i="8"/>
  <c r="J49" i="10" s="1"/>
  <c r="J25" i="10"/>
  <c r="D318" i="8"/>
  <c r="K34" i="10" s="1"/>
  <c r="D328" i="8"/>
  <c r="K44" i="10" s="1"/>
  <c r="D333" i="8"/>
  <c r="K49" i="10" s="1"/>
  <c r="D354" i="8"/>
  <c r="L39" i="10" s="1"/>
  <c r="D380" i="8"/>
  <c r="P34" i="10" s="1"/>
  <c r="D385" i="8"/>
  <c r="P39" i="10" s="1"/>
  <c r="D395" i="8"/>
  <c r="P49" i="10" s="1"/>
  <c r="D410" i="8"/>
  <c r="N34" i="10" s="1"/>
  <c r="N10" i="10"/>
  <c r="D415" i="8"/>
  <c r="N39" i="10" s="1"/>
  <c r="D420" i="8"/>
  <c r="N44" i="10" s="1"/>
  <c r="Q423" i="8"/>
  <c r="N20" i="10"/>
  <c r="D425" i="8"/>
  <c r="N49" i="10" s="1"/>
  <c r="D450" i="8"/>
  <c r="O44" i="10" s="1"/>
  <c r="Q453" i="8"/>
  <c r="D455" i="8"/>
  <c r="O49" i="10" s="1"/>
  <c r="O20" i="10"/>
  <c r="Q261" i="8"/>
  <c r="Q320" i="8"/>
  <c r="Q361" i="8"/>
  <c r="R54" i="8"/>
  <c r="R80" i="8"/>
  <c r="R83" i="8"/>
  <c r="R115" i="8"/>
  <c r="R134" i="8"/>
  <c r="R139" i="8"/>
  <c r="R167" i="8"/>
  <c r="R180" i="8"/>
  <c r="Q181" i="8"/>
  <c r="R212" i="8"/>
  <c r="Q264" i="8"/>
  <c r="Q321" i="8"/>
  <c r="Q17" i="8"/>
  <c r="Q52" i="8"/>
  <c r="Q73" i="8"/>
  <c r="Q151" i="8"/>
  <c r="Q165" i="8"/>
  <c r="Q202" i="8"/>
  <c r="Q387" i="8"/>
  <c r="Q452" i="8"/>
  <c r="Q145" i="8"/>
  <c r="Q447" i="8"/>
  <c r="Q80" i="8"/>
  <c r="Q200" i="8"/>
  <c r="Q397" i="8"/>
  <c r="Q42" i="8"/>
  <c r="H48" i="11"/>
  <c r="Q48" i="11" s="1"/>
  <c r="Q22" i="9"/>
  <c r="R51" i="9"/>
  <c r="C109" i="11"/>
  <c r="R87" i="9"/>
  <c r="M46" i="11"/>
  <c r="R46" i="11" s="1"/>
  <c r="Q236" i="9"/>
  <c r="Q11" i="9"/>
  <c r="H37" i="11"/>
  <c r="Q37" i="11" s="1"/>
  <c r="F52" i="11"/>
  <c r="Q181" i="9"/>
  <c r="H99" i="11"/>
  <c r="R14" i="9"/>
  <c r="R58" i="9"/>
  <c r="B111" i="11"/>
  <c r="R133" i="9"/>
  <c r="E94" i="11"/>
  <c r="Q257" i="9"/>
  <c r="I36" i="11"/>
  <c r="Q350" i="9"/>
  <c r="L36" i="11"/>
  <c r="D99" i="11"/>
  <c r="R107" i="9"/>
  <c r="R117" i="9"/>
  <c r="D109" i="11"/>
  <c r="E101" i="11"/>
  <c r="R140" i="9"/>
  <c r="Q241" i="9"/>
  <c r="M51" i="11"/>
  <c r="R51" i="11" s="1"/>
  <c r="P36" i="11"/>
  <c r="S36" i="11" s="1"/>
  <c r="Q381" i="9"/>
  <c r="Q446" i="9"/>
  <c r="O41" i="11"/>
  <c r="C79" i="11"/>
  <c r="R85" i="9"/>
  <c r="C84" i="11"/>
  <c r="R90" i="9"/>
  <c r="R113" i="9"/>
  <c r="D77" i="11"/>
  <c r="D82" i="11"/>
  <c r="R118" i="9"/>
  <c r="R207" i="9"/>
  <c r="G79" i="11"/>
  <c r="Q115" i="9"/>
  <c r="R177" i="9"/>
  <c r="Q331" i="9"/>
  <c r="K48" i="11"/>
  <c r="Q396" i="9"/>
  <c r="Q59" i="9"/>
  <c r="B53" i="11"/>
  <c r="Q242" i="9"/>
  <c r="M52" i="11"/>
  <c r="R52" i="11" s="1"/>
  <c r="C77" i="11"/>
  <c r="E104" i="11"/>
  <c r="R110" i="9"/>
  <c r="D102" i="11"/>
  <c r="Q151" i="9"/>
  <c r="Q290" i="9"/>
  <c r="J38" i="11"/>
  <c r="Q392" i="9"/>
  <c r="R146" i="9"/>
  <c r="Q243" i="9"/>
  <c r="M53" i="11"/>
  <c r="R53" i="11" s="1"/>
  <c r="B12" i="11"/>
  <c r="K42" i="11"/>
  <c r="F104" i="11"/>
  <c r="Q447" i="9"/>
  <c r="O42" i="11"/>
  <c r="H17" i="11"/>
  <c r="Q19" i="9"/>
  <c r="R41" i="9"/>
  <c r="B94" i="11"/>
  <c r="Q149" i="9"/>
  <c r="E51" i="11"/>
  <c r="Q383" i="9"/>
  <c r="R79" i="9"/>
  <c r="C101" i="11"/>
  <c r="C104" i="11"/>
  <c r="R82" i="9"/>
  <c r="D19" i="11"/>
  <c r="G96" i="11"/>
  <c r="R196" i="9"/>
  <c r="Q293" i="9"/>
  <c r="J41" i="11"/>
  <c r="Q329" i="9"/>
  <c r="K46" i="11"/>
  <c r="Q386" i="9"/>
  <c r="P41" i="11"/>
  <c r="S41" i="11" s="1"/>
  <c r="N46" i="11"/>
  <c r="Q421" i="9"/>
  <c r="Q330" i="9"/>
  <c r="K47" i="11"/>
  <c r="B67" i="11"/>
  <c r="R42" i="9"/>
  <c r="R120" i="9"/>
  <c r="F77" i="11"/>
  <c r="R175" i="9"/>
  <c r="F84" i="11"/>
  <c r="R182" i="9"/>
  <c r="M20" i="11"/>
  <c r="Q238" i="9"/>
  <c r="Q292" i="9"/>
  <c r="N10" i="11"/>
  <c r="Q425" i="9"/>
  <c r="Q172" i="9"/>
  <c r="F43" i="11"/>
  <c r="R195" i="9"/>
  <c r="Q210" i="9"/>
  <c r="G51" i="11"/>
  <c r="Q258" i="9"/>
  <c r="I37" i="11"/>
  <c r="D17" i="11"/>
  <c r="Q387" i="9"/>
  <c r="H79" i="11"/>
  <c r="R12" i="9"/>
  <c r="R47" i="9"/>
  <c r="Q294" i="9"/>
  <c r="Q334" i="9"/>
  <c r="Q388" i="9"/>
  <c r="Q423" i="9"/>
  <c r="N48" i="11"/>
  <c r="D84" i="11"/>
  <c r="H97" i="11"/>
  <c r="R167" i="9"/>
  <c r="F69" i="11"/>
  <c r="G42" i="11"/>
  <c r="L10" i="11"/>
  <c r="Q57" i="9"/>
  <c r="R84" i="9"/>
  <c r="R199" i="9"/>
  <c r="Q295" i="9"/>
  <c r="P12" i="11"/>
  <c r="J43" i="11"/>
  <c r="I51" i="11"/>
  <c r="R136" i="9"/>
  <c r="I19" i="11"/>
  <c r="Q268" i="9"/>
  <c r="Q73" i="9"/>
  <c r="Q139" i="9"/>
  <c r="E41" i="11"/>
  <c r="Q180" i="9"/>
  <c r="F51" i="11"/>
  <c r="Q289" i="9"/>
  <c r="J37" i="11"/>
  <c r="E25" i="11"/>
  <c r="F13" i="11"/>
  <c r="Q170" i="9"/>
  <c r="G25" i="11"/>
  <c r="Q212" i="9"/>
  <c r="Q335" i="9"/>
  <c r="K24" i="11"/>
  <c r="Q103" i="9"/>
  <c r="Q422" i="9"/>
  <c r="E97" i="11"/>
  <c r="B19" i="11"/>
  <c r="C9" i="11"/>
  <c r="C12" i="11"/>
  <c r="C19" i="11"/>
  <c r="C22" i="11"/>
  <c r="D12" i="11"/>
  <c r="D22" i="11"/>
  <c r="E12" i="11"/>
  <c r="E14" i="11"/>
  <c r="E22" i="11"/>
  <c r="E24" i="11"/>
  <c r="F14" i="11"/>
  <c r="F24" i="11"/>
  <c r="G7" i="11"/>
  <c r="G14" i="11"/>
  <c r="G17" i="11"/>
  <c r="G24" i="11"/>
  <c r="M12" i="11"/>
  <c r="M22" i="11"/>
  <c r="I7" i="11"/>
  <c r="I17" i="11"/>
  <c r="K12" i="11"/>
  <c r="K22" i="11"/>
  <c r="L12" i="11"/>
  <c r="L22" i="11"/>
  <c r="P7" i="11"/>
  <c r="P17" i="11"/>
  <c r="D426" i="9"/>
  <c r="O7" i="11"/>
  <c r="O17" i="11"/>
  <c r="D451" i="9"/>
  <c r="O46" i="11" s="1"/>
  <c r="Q113" i="9"/>
  <c r="Q48" i="9"/>
  <c r="R164" i="9"/>
  <c r="Q182" i="9"/>
  <c r="R194" i="9"/>
  <c r="R44" i="9"/>
  <c r="Q72" i="9"/>
  <c r="Q14" i="9"/>
  <c r="Q49" i="9"/>
  <c r="Q85" i="9"/>
  <c r="Q200" i="9"/>
  <c r="R78" i="9"/>
  <c r="Q104" i="9"/>
  <c r="Q355" i="9"/>
  <c r="R181" i="9"/>
  <c r="R202" i="9"/>
  <c r="L11" i="9"/>
  <c r="H96" i="11" s="1"/>
  <c r="R17" i="9"/>
  <c r="R73" i="9"/>
  <c r="R135" i="9"/>
  <c r="R170" i="9"/>
  <c r="R180" i="9"/>
  <c r="R201" i="9"/>
  <c r="D205" i="9"/>
  <c r="G46" i="11" s="1"/>
  <c r="Q288" i="9"/>
  <c r="Q336" i="9"/>
  <c r="Q357" i="9"/>
  <c r="Q391" i="9"/>
  <c r="Q415" i="9"/>
  <c r="Q458" i="9"/>
  <c r="L10" i="9"/>
  <c r="Q17" i="9"/>
  <c r="L20" i="9"/>
  <c r="L53" i="9"/>
  <c r="B106" i="11" s="1"/>
  <c r="R57" i="9"/>
  <c r="R72" i="9"/>
  <c r="R105" i="9"/>
  <c r="Q110" i="9"/>
  <c r="R141" i="9"/>
  <c r="Q146" i="9"/>
  <c r="D171" i="9"/>
  <c r="F42" i="11" s="1"/>
  <c r="R179" i="9"/>
  <c r="R200" i="9"/>
  <c r="L204" i="9"/>
  <c r="G104" i="11" s="1"/>
  <c r="R206" i="9"/>
  <c r="D207" i="9"/>
  <c r="R211" i="9"/>
  <c r="Q228" i="9"/>
  <c r="D233" i="9"/>
  <c r="Q266" i="9"/>
  <c r="D274" i="9"/>
  <c r="Q302" i="9"/>
  <c r="Q356" i="9"/>
  <c r="Q390" i="9"/>
  <c r="R43" i="9"/>
  <c r="R139" i="9"/>
  <c r="R145" i="9"/>
  <c r="R150" i="9"/>
  <c r="R15" i="9"/>
  <c r="R49" i="9"/>
  <c r="Q54" i="9"/>
  <c r="R89" i="9"/>
  <c r="R102" i="9"/>
  <c r="R138" i="9"/>
  <c r="D165" i="9"/>
  <c r="Q226" i="9"/>
  <c r="Q263" i="9"/>
  <c r="Q299" i="9"/>
  <c r="Q393" i="9"/>
  <c r="Q427" i="9"/>
  <c r="R25" i="9"/>
  <c r="R77" i="9"/>
  <c r="R103" i="9"/>
  <c r="R109" i="9"/>
  <c r="R114" i="9"/>
  <c r="R119" i="9"/>
  <c r="Q428" i="9"/>
  <c r="Q15" i="9"/>
  <c r="R48" i="9"/>
  <c r="D52" i="9"/>
  <c r="L54" i="9"/>
  <c r="R74" i="9"/>
  <c r="Q75" i="9"/>
  <c r="R166" i="9"/>
  <c r="D167" i="9"/>
  <c r="R171" i="9"/>
  <c r="R176" i="9"/>
  <c r="D177" i="9"/>
  <c r="F48" i="11" s="1"/>
  <c r="L197" i="9"/>
  <c r="D211" i="9"/>
  <c r="Q319" i="9"/>
  <c r="Q360" i="9"/>
  <c r="Q417" i="9"/>
  <c r="D441" i="9"/>
  <c r="Q457" i="9"/>
  <c r="R27" i="9"/>
  <c r="D43" i="9"/>
  <c r="B37" i="11" s="1"/>
  <c r="D51" i="9"/>
  <c r="B45" i="11" s="1"/>
  <c r="Q53" i="9"/>
  <c r="R59" i="9"/>
  <c r="D77" i="9"/>
  <c r="Q80" i="9"/>
  <c r="L88" i="9"/>
  <c r="D107" i="9"/>
  <c r="R115" i="9"/>
  <c r="Q118" i="9"/>
  <c r="D119" i="9"/>
  <c r="D52" i="11" s="1"/>
  <c r="Q134" i="9"/>
  <c r="D135" i="9"/>
  <c r="D143" i="9"/>
  <c r="Q145" i="9"/>
  <c r="R151" i="9"/>
  <c r="D164" i="9"/>
  <c r="R172" i="9"/>
  <c r="Q175" i="9"/>
  <c r="D176" i="9"/>
  <c r="Q195" i="9"/>
  <c r="D196" i="9"/>
  <c r="G37" i="11" s="1"/>
  <c r="D204" i="9"/>
  <c r="G45" i="11" s="1"/>
  <c r="Q267" i="9"/>
  <c r="D271" i="9"/>
  <c r="D287" i="9"/>
  <c r="Q303" i="9"/>
  <c r="D320" i="9"/>
  <c r="K37" i="11" s="1"/>
  <c r="D361" i="9"/>
  <c r="D397" i="9"/>
  <c r="Q416" i="9"/>
  <c r="D420" i="9"/>
  <c r="D440" i="9"/>
  <c r="Q456" i="9"/>
  <c r="R56" i="9"/>
  <c r="D90" i="9"/>
  <c r="C53" i="11" s="1"/>
  <c r="Q108" i="9"/>
  <c r="R112" i="9"/>
  <c r="Q144" i="9"/>
  <c r="R148" i="9"/>
  <c r="R169" i="9"/>
  <c r="R209" i="9"/>
  <c r="Q232" i="9"/>
  <c r="Q262" i="9"/>
  <c r="Q298" i="9"/>
  <c r="Q321" i="9"/>
  <c r="D324" i="9"/>
  <c r="D359" i="9"/>
  <c r="L45" i="11" s="1"/>
  <c r="D365" i="9"/>
  <c r="L51" i="11" s="1"/>
  <c r="Q398" i="9"/>
  <c r="Q411" i="9"/>
  <c r="Q412" i="9"/>
  <c r="D41" i="9"/>
  <c r="Q44" i="9"/>
  <c r="L52" i="9"/>
  <c r="R75" i="9"/>
  <c r="Q78" i="9"/>
  <c r="D79" i="9"/>
  <c r="D87" i="9"/>
  <c r="Q89" i="9"/>
  <c r="L108" i="9"/>
  <c r="D100" i="11" s="1"/>
  <c r="D117" i="9"/>
  <c r="Q120" i="9"/>
  <c r="D133" i="9"/>
  <c r="E35" i="11" s="1"/>
  <c r="Q136" i="9"/>
  <c r="L144" i="9"/>
  <c r="L165" i="9"/>
  <c r="D174" i="9"/>
  <c r="F45" i="11" s="1"/>
  <c r="D194" i="9"/>
  <c r="Q197" i="9"/>
  <c r="L205" i="9"/>
  <c r="Q231" i="9"/>
  <c r="D235" i="9"/>
  <c r="Q261" i="9"/>
  <c r="Q297" i="9"/>
  <c r="D318" i="9"/>
  <c r="K35" i="11" s="1"/>
  <c r="D323" i="9"/>
  <c r="K40" i="11" s="1"/>
  <c r="D364" i="9"/>
  <c r="D380" i="9"/>
  <c r="P35" i="11" s="1"/>
  <c r="S35" i="11" s="1"/>
  <c r="D395" i="9"/>
  <c r="Q410" i="9"/>
  <c r="R10" i="8"/>
  <c r="R14" i="8"/>
  <c r="Q12" i="8"/>
  <c r="L19" i="8"/>
  <c r="Q27" i="8"/>
  <c r="R42" i="8"/>
  <c r="R49" i="8"/>
  <c r="D74" i="8"/>
  <c r="D22" i="8"/>
  <c r="L27" i="8"/>
  <c r="D43" i="8"/>
  <c r="Q167" i="8"/>
  <c r="D258" i="8"/>
  <c r="Q427" i="8"/>
  <c r="R25" i="8"/>
  <c r="Q10" i="8"/>
  <c r="D11" i="8"/>
  <c r="H36" i="10" s="1"/>
  <c r="D21" i="8"/>
  <c r="Q85" i="8"/>
  <c r="R89" i="8"/>
  <c r="Q113" i="8"/>
  <c r="Q138" i="8"/>
  <c r="Q149" i="8"/>
  <c r="Q20" i="8"/>
  <c r="L20" i="8"/>
  <c r="R24" i="8"/>
  <c r="Q25" i="8"/>
  <c r="Q44" i="8"/>
  <c r="L44" i="8"/>
  <c r="D79" i="8"/>
  <c r="R82" i="8"/>
  <c r="R209" i="8"/>
  <c r="Q240" i="8"/>
  <c r="Q330" i="8"/>
  <c r="R138" i="8"/>
  <c r="R172" i="8"/>
  <c r="Q207" i="8"/>
  <c r="Q263" i="8"/>
  <c r="Q294" i="8"/>
  <c r="D355" i="8"/>
  <c r="Q458" i="8"/>
  <c r="R77" i="8"/>
  <c r="L118" i="8"/>
  <c r="L149" i="8"/>
  <c r="Q172" i="8"/>
  <c r="R182" i="8"/>
  <c r="R206" i="8"/>
  <c r="Q262" i="8"/>
  <c r="Q328" i="8"/>
  <c r="Q351" i="8"/>
  <c r="D352" i="8"/>
  <c r="D396" i="8"/>
  <c r="D446" i="8"/>
  <c r="Q457" i="8"/>
  <c r="R88" i="8"/>
  <c r="Q179" i="8"/>
  <c r="Q292" i="8"/>
  <c r="Q336" i="8"/>
  <c r="R26" i="8"/>
  <c r="D41" i="8"/>
  <c r="R43" i="8"/>
  <c r="L47" i="8"/>
  <c r="Q54" i="8"/>
  <c r="D57" i="8"/>
  <c r="Q88" i="8"/>
  <c r="D107" i="8"/>
  <c r="D115" i="8"/>
  <c r="R119" i="8"/>
  <c r="D120" i="8"/>
  <c r="R210" i="8"/>
  <c r="Q232" i="8"/>
  <c r="Q242" i="8"/>
  <c r="D243" i="8"/>
  <c r="Q257" i="8"/>
  <c r="D293" i="8"/>
  <c r="J40" i="10" s="1"/>
  <c r="Q335" i="8"/>
  <c r="D360" i="8"/>
  <c r="R135" i="8"/>
  <c r="R165" i="8"/>
  <c r="Q56" i="8"/>
  <c r="L56" i="8"/>
  <c r="R85" i="8"/>
  <c r="Q103" i="8"/>
  <c r="Q109" i="8"/>
  <c r="Q196" i="8"/>
  <c r="L200" i="8"/>
  <c r="Q205" i="8"/>
  <c r="D206" i="8"/>
  <c r="Q210" i="8"/>
  <c r="D391" i="8"/>
  <c r="D398" i="8"/>
  <c r="Q418" i="8"/>
  <c r="Q47" i="8"/>
  <c r="D59" i="8"/>
  <c r="D75" i="8"/>
  <c r="D77" i="8"/>
  <c r="R79" i="8"/>
  <c r="D108" i="8"/>
  <c r="R112" i="8"/>
  <c r="D114" i="8"/>
  <c r="Q134" i="8"/>
  <c r="D146" i="8"/>
  <c r="D148" i="8"/>
  <c r="R150" i="8"/>
  <c r="D164" i="8"/>
  <c r="R166" i="8"/>
  <c r="Q169" i="8"/>
  <c r="D182" i="8"/>
  <c r="D197" i="8"/>
  <c r="D199" i="8"/>
  <c r="R201" i="8"/>
  <c r="Q204" i="8"/>
  <c r="Q231" i="8"/>
  <c r="D241" i="8"/>
  <c r="D287" i="8"/>
  <c r="Q290" i="8"/>
  <c r="D323" i="8"/>
  <c r="D350" i="8"/>
  <c r="D366" i="8"/>
  <c r="D386" i="8"/>
  <c r="D442" i="8"/>
  <c r="Q456" i="8"/>
  <c r="Q90" i="8"/>
  <c r="Q141" i="8"/>
  <c r="Q177" i="8"/>
  <c r="Q212" i="8"/>
  <c r="Q268" i="8"/>
  <c r="Q304" i="8"/>
  <c r="D357" i="8"/>
  <c r="D393" i="8"/>
  <c r="Q445" i="8"/>
  <c r="D110" i="8"/>
  <c r="D112" i="8"/>
  <c r="R114" i="8"/>
  <c r="Q118" i="8"/>
  <c r="L143" i="8"/>
  <c r="D144" i="8"/>
  <c r="R148" i="8"/>
  <c r="D150" i="8"/>
  <c r="R164" i="8"/>
  <c r="D166" i="8"/>
  <c r="L179" i="8"/>
  <c r="D180" i="8"/>
  <c r="L194" i="8"/>
  <c r="D195" i="8"/>
  <c r="R199" i="8"/>
  <c r="D201" i="8"/>
  <c r="Q211" i="8"/>
  <c r="Q259" i="8"/>
  <c r="Q267" i="8"/>
  <c r="Q288" i="8"/>
  <c r="D289" i="8"/>
  <c r="Q295" i="8"/>
  <c r="Q303" i="8"/>
  <c r="Q324" i="8"/>
  <c r="D325" i="8"/>
  <c r="Q331" i="8"/>
  <c r="D356" i="8"/>
  <c r="D364" i="8"/>
  <c r="D392" i="8"/>
  <c r="P46" i="10" s="1"/>
  <c r="Q417" i="8"/>
  <c r="D440" i="8"/>
  <c r="Q83" i="5"/>
  <c r="I83" i="5"/>
  <c r="Q82" i="5"/>
  <c r="I82" i="5"/>
  <c r="Q81" i="5"/>
  <c r="I81" i="5"/>
  <c r="Q80" i="5"/>
  <c r="I80" i="5"/>
  <c r="Q79" i="5"/>
  <c r="I79" i="5"/>
  <c r="Q78" i="5"/>
  <c r="I78" i="5"/>
  <c r="Q77" i="5"/>
  <c r="I77" i="5"/>
  <c r="Q76" i="5"/>
  <c r="I76" i="5"/>
  <c r="Q75" i="5"/>
  <c r="I75" i="5"/>
  <c r="Q74" i="5"/>
  <c r="I74" i="5"/>
  <c r="Q73" i="5"/>
  <c r="I73" i="5"/>
  <c r="Q72" i="5"/>
  <c r="I72" i="5"/>
  <c r="Q71" i="5"/>
  <c r="I71" i="5"/>
  <c r="Q70" i="5"/>
  <c r="I70" i="5"/>
  <c r="Q69" i="5"/>
  <c r="I69" i="5"/>
  <c r="Q68" i="5"/>
  <c r="I68" i="5"/>
  <c r="Q62" i="5"/>
  <c r="I62" i="5"/>
  <c r="Q61" i="5"/>
  <c r="I61" i="5"/>
  <c r="Q60" i="5"/>
  <c r="I60" i="5"/>
  <c r="Q59" i="5"/>
  <c r="I59" i="5"/>
  <c r="Q58" i="5"/>
  <c r="I58" i="5"/>
  <c r="Q57" i="5"/>
  <c r="I57" i="5"/>
  <c r="Q56" i="5"/>
  <c r="I56" i="5"/>
  <c r="Q55" i="5"/>
  <c r="I55" i="5"/>
  <c r="Q54" i="5"/>
  <c r="I54" i="5"/>
  <c r="Q53" i="5"/>
  <c r="I53" i="5"/>
  <c r="Q52" i="5"/>
  <c r="I52" i="5"/>
  <c r="Q51" i="5"/>
  <c r="I51" i="5"/>
  <c r="Q50" i="5"/>
  <c r="I50" i="5"/>
  <c r="Q49" i="5"/>
  <c r="I49" i="5"/>
  <c r="Q48" i="5"/>
  <c r="I48" i="5"/>
  <c r="Q47" i="5"/>
  <c r="I47" i="5"/>
  <c r="AG41" i="5"/>
  <c r="Y41" i="5"/>
  <c r="Q41" i="5"/>
  <c r="I41" i="5"/>
  <c r="AG40" i="5"/>
  <c r="Y40" i="5"/>
  <c r="Q40" i="5"/>
  <c r="I40" i="5"/>
  <c r="AG39" i="5"/>
  <c r="Y39" i="5"/>
  <c r="Q39" i="5"/>
  <c r="I39" i="5"/>
  <c r="AG38" i="5"/>
  <c r="Y38" i="5"/>
  <c r="Q38" i="5"/>
  <c r="I38" i="5"/>
  <c r="AG37" i="5"/>
  <c r="Y37" i="5"/>
  <c r="Q37" i="5"/>
  <c r="I37" i="5"/>
  <c r="AG36" i="5"/>
  <c r="Y36" i="5"/>
  <c r="Q36" i="5"/>
  <c r="I36" i="5"/>
  <c r="AG35" i="5"/>
  <c r="Y35" i="5"/>
  <c r="Q35" i="5"/>
  <c r="I35" i="5"/>
  <c r="AG34" i="5"/>
  <c r="Y34" i="5"/>
  <c r="Q34" i="5"/>
  <c r="I34" i="5"/>
  <c r="AG33" i="5"/>
  <c r="Y33" i="5"/>
  <c r="Q33" i="5"/>
  <c r="I33" i="5"/>
  <c r="AG32" i="5"/>
  <c r="Y32" i="5"/>
  <c r="Q32" i="5"/>
  <c r="I32" i="5"/>
  <c r="AG31" i="5"/>
  <c r="Y31" i="5"/>
  <c r="Q31" i="5"/>
  <c r="I31" i="5"/>
  <c r="AG30" i="5"/>
  <c r="Y30" i="5"/>
  <c r="Q30" i="5"/>
  <c r="I30" i="5"/>
  <c r="AG29" i="5"/>
  <c r="Y29" i="5"/>
  <c r="Q29" i="5"/>
  <c r="I29" i="5"/>
  <c r="AG28" i="5"/>
  <c r="Y28" i="5"/>
  <c r="Q28" i="5"/>
  <c r="I28" i="5"/>
  <c r="AG27" i="5"/>
  <c r="Y27" i="5"/>
  <c r="Q27" i="5"/>
  <c r="I27" i="5"/>
  <c r="AG26" i="5"/>
  <c r="Y26" i="5"/>
  <c r="Q26" i="5"/>
  <c r="P83" i="5"/>
  <c r="H83" i="5"/>
  <c r="P82" i="5"/>
  <c r="H82" i="5"/>
  <c r="P81" i="5"/>
  <c r="H81" i="5"/>
  <c r="P80" i="5"/>
  <c r="H80" i="5"/>
  <c r="P79" i="5"/>
  <c r="H79" i="5"/>
  <c r="P78" i="5"/>
  <c r="H78" i="5"/>
  <c r="P77" i="5"/>
  <c r="H77" i="5"/>
  <c r="P76" i="5"/>
  <c r="H76" i="5"/>
  <c r="P75" i="5"/>
  <c r="H75" i="5"/>
  <c r="P74" i="5"/>
  <c r="H74" i="5"/>
  <c r="P73" i="5"/>
  <c r="H73" i="5"/>
  <c r="P72" i="5"/>
  <c r="H72" i="5"/>
  <c r="P71" i="5"/>
  <c r="H71" i="5"/>
  <c r="P70" i="5"/>
  <c r="H70" i="5"/>
  <c r="P69" i="5"/>
  <c r="H69" i="5"/>
  <c r="P68" i="5"/>
  <c r="H68" i="5"/>
  <c r="P62" i="5"/>
  <c r="H62" i="5"/>
  <c r="P61" i="5"/>
  <c r="H61" i="5"/>
  <c r="P60" i="5"/>
  <c r="H60" i="5"/>
  <c r="P59" i="5"/>
  <c r="H59" i="5"/>
  <c r="P58" i="5"/>
  <c r="H58" i="5"/>
  <c r="P57" i="5"/>
  <c r="H57" i="5"/>
  <c r="P56" i="5"/>
  <c r="H56" i="5"/>
  <c r="P55" i="5"/>
  <c r="H55" i="5"/>
  <c r="P54" i="5"/>
  <c r="H54" i="5"/>
  <c r="P53" i="5"/>
  <c r="H53" i="5"/>
  <c r="P52" i="5"/>
  <c r="H52" i="5"/>
  <c r="P51" i="5"/>
  <c r="H51" i="5"/>
  <c r="P50" i="5"/>
  <c r="H50" i="5"/>
  <c r="P49" i="5"/>
  <c r="H49" i="5"/>
  <c r="P48" i="5"/>
  <c r="H48" i="5"/>
  <c r="P47" i="5"/>
  <c r="H47" i="5"/>
  <c r="AF41" i="5"/>
  <c r="X41" i="5"/>
  <c r="P41" i="5"/>
  <c r="H41" i="5"/>
  <c r="AF40" i="5"/>
  <c r="X40" i="5"/>
  <c r="P40" i="5"/>
  <c r="H40" i="5"/>
  <c r="AF39" i="5"/>
  <c r="X39" i="5"/>
  <c r="P39" i="5"/>
  <c r="H39" i="5"/>
  <c r="AF38" i="5"/>
  <c r="X38" i="5"/>
  <c r="P38" i="5"/>
  <c r="H38" i="5"/>
  <c r="AF37" i="5"/>
  <c r="X37" i="5"/>
  <c r="P37" i="5"/>
  <c r="H37" i="5"/>
  <c r="AF36" i="5"/>
  <c r="X36" i="5"/>
  <c r="P36" i="5"/>
  <c r="H36" i="5"/>
  <c r="AF35" i="5"/>
  <c r="X35" i="5"/>
  <c r="P35" i="5"/>
  <c r="H35" i="5"/>
  <c r="AF34" i="5"/>
  <c r="X34" i="5"/>
  <c r="P34" i="5"/>
  <c r="H34" i="5"/>
  <c r="AF33" i="5"/>
  <c r="X33" i="5"/>
  <c r="P33" i="5"/>
  <c r="H33" i="5"/>
  <c r="O83" i="5"/>
  <c r="G83" i="5"/>
  <c r="O82" i="5"/>
  <c r="G82" i="5"/>
  <c r="O81" i="5"/>
  <c r="G81" i="5"/>
  <c r="O80" i="5"/>
  <c r="G80" i="5"/>
  <c r="O79" i="5"/>
  <c r="G79" i="5"/>
  <c r="O78" i="5"/>
  <c r="G78" i="5"/>
  <c r="O77" i="5"/>
  <c r="G77" i="5"/>
  <c r="O76" i="5"/>
  <c r="G76" i="5"/>
  <c r="O75" i="5"/>
  <c r="G75" i="5"/>
  <c r="O74" i="5"/>
  <c r="G74" i="5"/>
  <c r="O73" i="5"/>
  <c r="G73" i="5"/>
  <c r="O72" i="5"/>
  <c r="G72" i="5"/>
  <c r="O71" i="5"/>
  <c r="G71" i="5"/>
  <c r="O70" i="5"/>
  <c r="G70" i="5"/>
  <c r="O69" i="5"/>
  <c r="G69" i="5"/>
  <c r="O68" i="5"/>
  <c r="G68" i="5"/>
  <c r="O62" i="5"/>
  <c r="G62" i="5"/>
  <c r="O61" i="5"/>
  <c r="G61" i="5"/>
  <c r="O60" i="5"/>
  <c r="G60" i="5"/>
  <c r="O59" i="5"/>
  <c r="G59" i="5"/>
  <c r="O58" i="5"/>
  <c r="G58" i="5"/>
  <c r="O57" i="5"/>
  <c r="G57" i="5"/>
  <c r="O56" i="5"/>
  <c r="G56" i="5"/>
  <c r="O55" i="5"/>
  <c r="G55" i="5"/>
  <c r="O54" i="5"/>
  <c r="G54" i="5"/>
  <c r="O53" i="5"/>
  <c r="G53" i="5"/>
  <c r="O52" i="5"/>
  <c r="G52" i="5"/>
  <c r="O51" i="5"/>
  <c r="G51" i="5"/>
  <c r="O50" i="5"/>
  <c r="G50" i="5"/>
  <c r="O49" i="5"/>
  <c r="G49" i="5"/>
  <c r="O48" i="5"/>
  <c r="G48" i="5"/>
  <c r="O47" i="5"/>
  <c r="G47" i="5"/>
  <c r="AE41" i="5"/>
  <c r="W41" i="5"/>
  <c r="O41" i="5"/>
  <c r="G41" i="5"/>
  <c r="AE40" i="5"/>
  <c r="W40" i="5"/>
  <c r="O40" i="5"/>
  <c r="G40" i="5"/>
  <c r="AE39" i="5"/>
  <c r="W39" i="5"/>
  <c r="O39" i="5"/>
  <c r="G39" i="5"/>
  <c r="AE38" i="5"/>
  <c r="W38" i="5"/>
  <c r="O38" i="5"/>
  <c r="G38" i="5"/>
  <c r="AE37" i="5"/>
  <c r="W37" i="5"/>
  <c r="O37" i="5"/>
  <c r="G37" i="5"/>
  <c r="AE36" i="5"/>
  <c r="W36" i="5"/>
  <c r="O36" i="5"/>
  <c r="G36" i="5"/>
  <c r="AE35" i="5"/>
  <c r="W35" i="5"/>
  <c r="O35" i="5"/>
  <c r="G35" i="5"/>
  <c r="AE34" i="5"/>
  <c r="W34" i="5"/>
  <c r="O34" i="5"/>
  <c r="G34" i="5"/>
  <c r="AE33" i="5"/>
  <c r="W33" i="5"/>
  <c r="O33" i="5"/>
  <c r="G33" i="5"/>
  <c r="AE32" i="5"/>
  <c r="W32" i="5"/>
  <c r="O32" i="5"/>
  <c r="G32" i="5"/>
  <c r="AE31" i="5"/>
  <c r="W31" i="5"/>
  <c r="O31" i="5"/>
  <c r="G31" i="5"/>
  <c r="AE30" i="5"/>
  <c r="W30" i="5"/>
  <c r="O30" i="5"/>
  <c r="G30" i="5"/>
  <c r="AE29" i="5"/>
  <c r="W29" i="5"/>
  <c r="O29" i="5"/>
  <c r="G29" i="5"/>
  <c r="AE28" i="5"/>
  <c r="W28" i="5"/>
  <c r="O28" i="5"/>
  <c r="G28" i="5"/>
  <c r="AE27" i="5"/>
  <c r="W27" i="5"/>
  <c r="O27" i="5"/>
  <c r="G27" i="5"/>
  <c r="AE26" i="5"/>
  <c r="N83" i="5"/>
  <c r="C83" i="5"/>
  <c r="E82" i="5"/>
  <c r="J81" i="5"/>
  <c r="L80" i="5"/>
  <c r="N79" i="5"/>
  <c r="C79" i="5"/>
  <c r="E78" i="5"/>
  <c r="J77" i="5"/>
  <c r="L76" i="5"/>
  <c r="N75" i="5"/>
  <c r="C75" i="5"/>
  <c r="E74" i="5"/>
  <c r="J73" i="5"/>
  <c r="L72" i="5"/>
  <c r="N71" i="5"/>
  <c r="C71" i="5"/>
  <c r="E70" i="5"/>
  <c r="J69" i="5"/>
  <c r="L68" i="5"/>
  <c r="N62" i="5"/>
  <c r="C62" i="5"/>
  <c r="E61" i="5"/>
  <c r="J60" i="5"/>
  <c r="L59" i="5"/>
  <c r="N58" i="5"/>
  <c r="C58" i="5"/>
  <c r="E57" i="5"/>
  <c r="J56" i="5"/>
  <c r="L55" i="5"/>
  <c r="N54" i="5"/>
  <c r="C54" i="5"/>
  <c r="E53" i="5"/>
  <c r="J52" i="5"/>
  <c r="L51" i="5"/>
  <c r="N50" i="5"/>
  <c r="C50" i="5"/>
  <c r="E49" i="5"/>
  <c r="J48" i="5"/>
  <c r="L47" i="5"/>
  <c r="AD41" i="5"/>
  <c r="S41" i="5"/>
  <c r="E41" i="5"/>
  <c r="Z40" i="5"/>
  <c r="L40" i="5"/>
  <c r="AD39" i="5"/>
  <c r="S39" i="5"/>
  <c r="E39" i="5"/>
  <c r="Z38" i="5"/>
  <c r="L38" i="5"/>
  <c r="AD37" i="5"/>
  <c r="S37" i="5"/>
  <c r="E37" i="5"/>
  <c r="Z36" i="5"/>
  <c r="L36" i="5"/>
  <c r="AD35" i="5"/>
  <c r="S35" i="5"/>
  <c r="E35" i="5"/>
  <c r="Z34" i="5"/>
  <c r="L34" i="5"/>
  <c r="AD33" i="5"/>
  <c r="S33" i="5"/>
  <c r="E33" i="5"/>
  <c r="AA32" i="5"/>
  <c r="P32" i="5"/>
  <c r="E32" i="5"/>
  <c r="AA31" i="5"/>
  <c r="P31" i="5"/>
  <c r="E31" i="5"/>
  <c r="AA30" i="5"/>
  <c r="P30" i="5"/>
  <c r="E30" i="5"/>
  <c r="AA29" i="5"/>
  <c r="P29" i="5"/>
  <c r="E29" i="5"/>
  <c r="AA28" i="5"/>
  <c r="P28" i="5"/>
  <c r="E28" i="5"/>
  <c r="AA27" i="5"/>
  <c r="P27" i="5"/>
  <c r="E27" i="5"/>
  <c r="AA26" i="5"/>
  <c r="R26" i="5"/>
  <c r="I26" i="5"/>
  <c r="AG20" i="5"/>
  <c r="Y20" i="5"/>
  <c r="Q20" i="5"/>
  <c r="I20" i="5"/>
  <c r="AG19" i="5"/>
  <c r="Y19" i="5"/>
  <c r="Q19" i="5"/>
  <c r="I19" i="5"/>
  <c r="AG18" i="5"/>
  <c r="Y18" i="5"/>
  <c r="Q18" i="5"/>
  <c r="I18" i="5"/>
  <c r="AG17" i="5"/>
  <c r="Y17" i="5"/>
  <c r="Q17" i="5"/>
  <c r="I17" i="5"/>
  <c r="AG16" i="5"/>
  <c r="Y16" i="5"/>
  <c r="Q16" i="5"/>
  <c r="I16" i="5"/>
  <c r="AG15" i="5"/>
  <c r="Y15" i="5"/>
  <c r="Q15" i="5"/>
  <c r="I15" i="5"/>
  <c r="AG14" i="5"/>
  <c r="Y14" i="5"/>
  <c r="Q14" i="5"/>
  <c r="I14" i="5"/>
  <c r="M83" i="5"/>
  <c r="B83" i="5"/>
  <c r="D82" i="5"/>
  <c r="F81" i="5"/>
  <c r="K80" i="5"/>
  <c r="M79" i="5"/>
  <c r="B79" i="5"/>
  <c r="D78" i="5"/>
  <c r="F77" i="5"/>
  <c r="K76" i="5"/>
  <c r="M75" i="5"/>
  <c r="B75" i="5"/>
  <c r="D74" i="5"/>
  <c r="F73" i="5"/>
  <c r="K72" i="5"/>
  <c r="M71" i="5"/>
  <c r="B71" i="5"/>
  <c r="D70" i="5"/>
  <c r="F69" i="5"/>
  <c r="K68" i="5"/>
  <c r="M62" i="5"/>
  <c r="B62" i="5"/>
  <c r="D61" i="5"/>
  <c r="F60" i="5"/>
  <c r="K59" i="5"/>
  <c r="M58" i="5"/>
  <c r="B58" i="5"/>
  <c r="D57" i="5"/>
  <c r="F56" i="5"/>
  <c r="K55" i="5"/>
  <c r="M54" i="5"/>
  <c r="B54" i="5"/>
  <c r="D53" i="5"/>
  <c r="F52" i="5"/>
  <c r="K51" i="5"/>
  <c r="M50" i="5"/>
  <c r="B50" i="5"/>
  <c r="D49" i="5"/>
  <c r="F48" i="5"/>
  <c r="K47" i="5"/>
  <c r="AC41" i="5"/>
  <c r="R41" i="5"/>
  <c r="D41" i="5"/>
  <c r="V40" i="5"/>
  <c r="K40" i="5"/>
  <c r="AC39" i="5"/>
  <c r="R39" i="5"/>
  <c r="D39" i="5"/>
  <c r="V38" i="5"/>
  <c r="K38" i="5"/>
  <c r="AC37" i="5"/>
  <c r="R37" i="5"/>
  <c r="D37" i="5"/>
  <c r="V36" i="5"/>
  <c r="K36" i="5"/>
  <c r="AC35" i="5"/>
  <c r="R35" i="5"/>
  <c r="D35" i="5"/>
  <c r="V34" i="5"/>
  <c r="K34" i="5"/>
  <c r="AC33" i="5"/>
  <c r="R33" i="5"/>
  <c r="D33" i="5"/>
  <c r="Z32" i="5"/>
  <c r="N32" i="5"/>
  <c r="D32" i="5"/>
  <c r="Z31" i="5"/>
  <c r="N31" i="5"/>
  <c r="D31" i="5"/>
  <c r="Z30" i="5"/>
  <c r="N30" i="5"/>
  <c r="D30" i="5"/>
  <c r="Z29" i="5"/>
  <c r="N29" i="5"/>
  <c r="D29" i="5"/>
  <c r="Z28" i="5"/>
  <c r="N28" i="5"/>
  <c r="D28" i="5"/>
  <c r="Z27" i="5"/>
  <c r="N27" i="5"/>
  <c r="D27" i="5"/>
  <c r="Z26" i="5"/>
  <c r="P26" i="5"/>
  <c r="H26" i="5"/>
  <c r="AF20" i="5"/>
  <c r="X20" i="5"/>
  <c r="P20" i="5"/>
  <c r="K83" i="5"/>
  <c r="M82" i="5"/>
  <c r="B82" i="5"/>
  <c r="D81" i="5"/>
  <c r="F80" i="5"/>
  <c r="K79" i="5"/>
  <c r="M78" i="5"/>
  <c r="B78" i="5"/>
  <c r="D77" i="5"/>
  <c r="F76" i="5"/>
  <c r="K75" i="5"/>
  <c r="M74" i="5"/>
  <c r="B74" i="5"/>
  <c r="D73" i="5"/>
  <c r="F72" i="5"/>
  <c r="K71" i="5"/>
  <c r="M70" i="5"/>
  <c r="B70" i="5"/>
  <c r="D69" i="5"/>
  <c r="F68" i="5"/>
  <c r="K62" i="5"/>
  <c r="M61" i="5"/>
  <c r="B61" i="5"/>
  <c r="D60" i="5"/>
  <c r="F59" i="5"/>
  <c r="K58" i="5"/>
  <c r="M57" i="5"/>
  <c r="B57" i="5"/>
  <c r="D56" i="5"/>
  <c r="F55" i="5"/>
  <c r="K54" i="5"/>
  <c r="M53" i="5"/>
  <c r="B53" i="5"/>
  <c r="D52" i="5"/>
  <c r="F51" i="5"/>
  <c r="K50" i="5"/>
  <c r="M49" i="5"/>
  <c r="B49" i="5"/>
  <c r="D48" i="5"/>
  <c r="F47" i="5"/>
  <c r="AA41" i="5"/>
  <c r="M41" i="5"/>
  <c r="B41" i="5"/>
  <c r="T40" i="5"/>
  <c r="F40" i="5"/>
  <c r="AA39" i="5"/>
  <c r="M39" i="5"/>
  <c r="B39" i="5"/>
  <c r="T38" i="5"/>
  <c r="F38" i="5"/>
  <c r="AA37" i="5"/>
  <c r="M37" i="5"/>
  <c r="B37" i="5"/>
  <c r="T36" i="5"/>
  <c r="F36" i="5"/>
  <c r="AA35" i="5"/>
  <c r="M35" i="5"/>
  <c r="B35" i="5"/>
  <c r="T34" i="5"/>
  <c r="F34" i="5"/>
  <c r="AA33" i="5"/>
  <c r="M33" i="5"/>
  <c r="B33" i="5"/>
  <c r="V32" i="5"/>
  <c r="L32" i="5"/>
  <c r="B32" i="5"/>
  <c r="V31" i="5"/>
  <c r="L31" i="5"/>
  <c r="B31" i="5"/>
  <c r="V30" i="5"/>
  <c r="L30" i="5"/>
  <c r="B30" i="5"/>
  <c r="V29" i="5"/>
  <c r="L29" i="5"/>
  <c r="B29" i="5"/>
  <c r="V28" i="5"/>
  <c r="L28" i="5"/>
  <c r="B28" i="5"/>
  <c r="V27" i="5"/>
  <c r="L27" i="5"/>
  <c r="B27" i="5"/>
  <c r="W26" i="5"/>
  <c r="N26" i="5"/>
  <c r="F26" i="5"/>
  <c r="AD20" i="5"/>
  <c r="V20" i="5"/>
  <c r="N20" i="5"/>
  <c r="F20" i="5"/>
  <c r="AD19" i="5"/>
  <c r="V19" i="5"/>
  <c r="N19" i="5"/>
  <c r="F19" i="5"/>
  <c r="AD18" i="5"/>
  <c r="V18" i="5"/>
  <c r="N18" i="5"/>
  <c r="F18" i="5"/>
  <c r="AD17" i="5"/>
  <c r="V17" i="5"/>
  <c r="N17" i="5"/>
  <c r="F17" i="5"/>
  <c r="AD16" i="5"/>
  <c r="V16" i="5"/>
  <c r="N16" i="5"/>
  <c r="F16" i="5"/>
  <c r="AD15" i="5"/>
  <c r="V15" i="5"/>
  <c r="N15" i="5"/>
  <c r="F15" i="5"/>
  <c r="AD14" i="5"/>
  <c r="V14" i="5"/>
  <c r="N14" i="5"/>
  <c r="F14" i="5"/>
  <c r="AD13" i="5"/>
  <c r="V13" i="5"/>
  <c r="N13" i="5"/>
  <c r="F13" i="5"/>
  <c r="AD12" i="5"/>
  <c r="V12" i="5"/>
  <c r="N12" i="5"/>
  <c r="F12" i="5"/>
  <c r="AD11" i="5"/>
  <c r="V11" i="5"/>
  <c r="N11" i="5"/>
  <c r="F11" i="5"/>
  <c r="AD10" i="5"/>
  <c r="V10" i="5"/>
  <c r="N10" i="5"/>
  <c r="L83" i="5"/>
  <c r="J82" i="5"/>
  <c r="C81" i="5"/>
  <c r="B80" i="5"/>
  <c r="K78" i="5"/>
  <c r="E77" i="5"/>
  <c r="C76" i="5"/>
  <c r="L74" i="5"/>
  <c r="K73" i="5"/>
  <c r="D72" i="5"/>
  <c r="N70" i="5"/>
  <c r="L69" i="5"/>
  <c r="E68" i="5"/>
  <c r="D62" i="5"/>
  <c r="M60" i="5"/>
  <c r="J59" i="5"/>
  <c r="E58" i="5"/>
  <c r="N56" i="5"/>
  <c r="M55" i="5"/>
  <c r="F54" i="5"/>
  <c r="C53" i="5"/>
  <c r="N51" i="5"/>
  <c r="J50" i="5"/>
  <c r="F49" i="5"/>
  <c r="B48" i="5"/>
  <c r="AB41" i="5"/>
  <c r="J41" i="5"/>
  <c r="S40" i="5"/>
  <c r="B40" i="5"/>
  <c r="K39" i="5"/>
  <c r="U38" i="5"/>
  <c r="C38" i="5"/>
  <c r="L37" i="5"/>
  <c r="AA36" i="5"/>
  <c r="D36" i="5"/>
  <c r="N35" i="5"/>
  <c r="AB34" i="5"/>
  <c r="E34" i="5"/>
  <c r="T33" i="5"/>
  <c r="AD32" i="5"/>
  <c r="M32" i="5"/>
  <c r="AC31" i="5"/>
  <c r="K31" i="5"/>
  <c r="AB30" i="5"/>
  <c r="J30" i="5"/>
  <c r="X29" i="5"/>
  <c r="H29" i="5"/>
  <c r="U28" i="5"/>
  <c r="F28" i="5"/>
  <c r="T27" i="5"/>
  <c r="C27" i="5"/>
  <c r="T26" i="5"/>
  <c r="E26" i="5"/>
  <c r="Z20" i="5"/>
  <c r="L20" i="5"/>
  <c r="B20" i="5"/>
  <c r="W19" i="5"/>
  <c r="L19" i="5"/>
  <c r="B19" i="5"/>
  <c r="W18" i="5"/>
  <c r="L18" i="5"/>
  <c r="B18" i="5"/>
  <c r="W17" i="5"/>
  <c r="L17" i="5"/>
  <c r="B17" i="5"/>
  <c r="W16" i="5"/>
  <c r="L16" i="5"/>
  <c r="B16" i="5"/>
  <c r="W15" i="5"/>
  <c r="L15" i="5"/>
  <c r="B15" i="5"/>
  <c r="W14" i="5"/>
  <c r="L14" i="5"/>
  <c r="B14" i="5"/>
  <c r="Y13" i="5"/>
  <c r="P13" i="5"/>
  <c r="G13" i="5"/>
  <c r="AC12" i="5"/>
  <c r="T12" i="5"/>
  <c r="K12" i="5"/>
  <c r="B12" i="5"/>
  <c r="Y11" i="5"/>
  <c r="P11" i="5"/>
  <c r="G11" i="5"/>
  <c r="AC10" i="5"/>
  <c r="T10" i="5"/>
  <c r="K10" i="5"/>
  <c r="C10" i="5"/>
  <c r="AA9" i="5"/>
  <c r="S9" i="5"/>
  <c r="K9" i="5"/>
  <c r="C9" i="5"/>
  <c r="AA8" i="5"/>
  <c r="S8" i="5"/>
  <c r="K8" i="5"/>
  <c r="C8" i="5"/>
  <c r="AA7" i="5"/>
  <c r="S7" i="5"/>
  <c r="K7" i="5"/>
  <c r="C7" i="5"/>
  <c r="AA6" i="5"/>
  <c r="S6" i="5"/>
  <c r="K6" i="5"/>
  <c r="C6" i="5"/>
  <c r="AA5" i="5"/>
  <c r="S5" i="5"/>
  <c r="K5" i="5"/>
  <c r="C5" i="5"/>
  <c r="R8" i="5"/>
  <c r="B8" i="5"/>
  <c r="Z7" i="5"/>
  <c r="J7" i="5"/>
  <c r="B7" i="5"/>
  <c r="Z6" i="5"/>
  <c r="J6" i="5"/>
  <c r="B6" i="5"/>
  <c r="Z5" i="5"/>
  <c r="J5" i="5"/>
  <c r="B5" i="5"/>
  <c r="C82" i="5"/>
  <c r="N80" i="5"/>
  <c r="J79" i="5"/>
  <c r="B77" i="5"/>
  <c r="L75" i="5"/>
  <c r="C73" i="5"/>
  <c r="K70" i="5"/>
  <c r="E69" i="5"/>
  <c r="L61" i="5"/>
  <c r="K60" i="5"/>
  <c r="N57" i="5"/>
  <c r="L56" i="5"/>
  <c r="D54" i="5"/>
  <c r="M52" i="5"/>
  <c r="E50" i="5"/>
  <c r="M47" i="5"/>
  <c r="V41" i="5"/>
  <c r="N40" i="5"/>
  <c r="Z39" i="5"/>
  <c r="R38" i="5"/>
  <c r="AB37" i="5"/>
  <c r="S36" i="5"/>
  <c r="K35" i="5"/>
  <c r="U34" i="5"/>
  <c r="L33" i="5"/>
  <c r="AB32" i="5"/>
  <c r="X31" i="5"/>
  <c r="H31" i="5"/>
  <c r="F30" i="5"/>
  <c r="T29" i="5"/>
  <c r="S28" i="5"/>
  <c r="AF27" i="5"/>
  <c r="AD26" i="5"/>
  <c r="C26" i="5"/>
  <c r="U20" i="5"/>
  <c r="AE19" i="5"/>
  <c r="T19" i="5"/>
  <c r="AE18" i="5"/>
  <c r="J18" i="5"/>
  <c r="AE17" i="5"/>
  <c r="J17" i="5"/>
  <c r="T16" i="5"/>
  <c r="AE15" i="5"/>
  <c r="T15" i="5"/>
  <c r="AE14" i="5"/>
  <c r="J14" i="5"/>
  <c r="AF13" i="5"/>
  <c r="M13" i="5"/>
  <c r="AA12" i="5"/>
  <c r="I12" i="5"/>
  <c r="AF11" i="5"/>
  <c r="J83" i="5"/>
  <c r="F82" i="5"/>
  <c r="B81" i="5"/>
  <c r="L79" i="5"/>
  <c r="J78" i="5"/>
  <c r="C77" i="5"/>
  <c r="B76" i="5"/>
  <c r="K74" i="5"/>
  <c r="E73" i="5"/>
  <c r="C72" i="5"/>
  <c r="L70" i="5"/>
  <c r="K69" i="5"/>
  <c r="D68" i="5"/>
  <c r="N61" i="5"/>
  <c r="L60" i="5"/>
  <c r="E59" i="5"/>
  <c r="D58" i="5"/>
  <c r="M56" i="5"/>
  <c r="J55" i="5"/>
  <c r="E54" i="5"/>
  <c r="N52" i="5"/>
  <c r="M51" i="5"/>
  <c r="F50" i="5"/>
  <c r="C49" i="5"/>
  <c r="N47" i="5"/>
  <c r="Z41" i="5"/>
  <c r="F41" i="5"/>
  <c r="R40" i="5"/>
  <c r="AB39" i="5"/>
  <c r="J39" i="5"/>
  <c r="S38" i="5"/>
  <c r="B38" i="5"/>
  <c r="K37" i="5"/>
  <c r="U36" i="5"/>
  <c r="C36" i="5"/>
  <c r="L35" i="5"/>
  <c r="AA34" i="5"/>
  <c r="D34" i="5"/>
  <c r="N33" i="5"/>
  <c r="AC32" i="5"/>
  <c r="K32" i="5"/>
  <c r="AB31" i="5"/>
  <c r="J31" i="5"/>
  <c r="X30" i="5"/>
  <c r="H30" i="5"/>
  <c r="U29" i="5"/>
  <c r="F29" i="5"/>
  <c r="T28" i="5"/>
  <c r="C28" i="5"/>
  <c r="S27" i="5"/>
  <c r="AF26" i="5"/>
  <c r="S26" i="5"/>
  <c r="D26" i="5"/>
  <c r="W20" i="5"/>
  <c r="K20" i="5"/>
  <c r="AF19" i="5"/>
  <c r="U19" i="5"/>
  <c r="K19" i="5"/>
  <c r="AF18" i="5"/>
  <c r="U18" i="5"/>
  <c r="K18" i="5"/>
  <c r="AF17" i="5"/>
  <c r="U17" i="5"/>
  <c r="K17" i="5"/>
  <c r="AF16" i="5"/>
  <c r="U16" i="5"/>
  <c r="K16" i="5"/>
  <c r="AF15" i="5"/>
  <c r="U15" i="5"/>
  <c r="K15" i="5"/>
  <c r="AF14" i="5"/>
  <c r="U14" i="5"/>
  <c r="K14" i="5"/>
  <c r="AG13" i="5"/>
  <c r="X13" i="5"/>
  <c r="O13" i="5"/>
  <c r="E13" i="5"/>
  <c r="AB12" i="5"/>
  <c r="S12" i="5"/>
  <c r="J12" i="5"/>
  <c r="AG11" i="5"/>
  <c r="X11" i="5"/>
  <c r="O11" i="5"/>
  <c r="E11" i="5"/>
  <c r="AB10" i="5"/>
  <c r="S10" i="5"/>
  <c r="J10" i="5"/>
  <c r="B10" i="5"/>
  <c r="Z9" i="5"/>
  <c r="R9" i="5"/>
  <c r="J9" i="5"/>
  <c r="B9" i="5"/>
  <c r="Z8" i="5"/>
  <c r="J8" i="5"/>
  <c r="R7" i="5"/>
  <c r="R6" i="5"/>
  <c r="R5" i="5"/>
  <c r="F83" i="5"/>
  <c r="F78" i="5"/>
  <c r="J74" i="5"/>
  <c r="B72" i="5"/>
  <c r="C68" i="5"/>
  <c r="D59" i="5"/>
  <c r="E55" i="5"/>
  <c r="J51" i="5"/>
  <c r="N48" i="5"/>
  <c r="C41" i="5"/>
  <c r="F39" i="5"/>
  <c r="J37" i="5"/>
  <c r="B36" i="5"/>
  <c r="C34" i="5"/>
  <c r="J32" i="5"/>
  <c r="U30" i="5"/>
  <c r="C29" i="5"/>
  <c r="R27" i="5"/>
  <c r="O26" i="5"/>
  <c r="J20" i="5"/>
  <c r="J19" i="5"/>
  <c r="T18" i="5"/>
  <c r="T17" i="5"/>
  <c r="AE16" i="5"/>
  <c r="J16" i="5"/>
  <c r="J15" i="5"/>
  <c r="T14" i="5"/>
  <c r="W13" i="5"/>
  <c r="D13" i="5"/>
  <c r="R12" i="5"/>
  <c r="E83" i="5"/>
  <c r="N81" i="5"/>
  <c r="M80" i="5"/>
  <c r="F79" i="5"/>
  <c r="C78" i="5"/>
  <c r="N76" i="5"/>
  <c r="J75" i="5"/>
  <c r="F74" i="5"/>
  <c r="B73" i="5"/>
  <c r="L71" i="5"/>
  <c r="J70" i="5"/>
  <c r="C69" i="5"/>
  <c r="B68" i="5"/>
  <c r="K61" i="5"/>
  <c r="E60" i="5"/>
  <c r="C59" i="5"/>
  <c r="L57" i="5"/>
  <c r="K56" i="5"/>
  <c r="D55" i="5"/>
  <c r="N53" i="5"/>
  <c r="L52" i="5"/>
  <c r="E51" i="5"/>
  <c r="D50" i="5"/>
  <c r="M48" i="5"/>
  <c r="J47" i="5"/>
  <c r="U41" i="5"/>
  <c r="AD40" i="5"/>
  <c r="M40" i="5"/>
  <c r="V39" i="5"/>
  <c r="C39" i="5"/>
  <c r="N38" i="5"/>
  <c r="Z37" i="5"/>
  <c r="F37" i="5"/>
  <c r="R36" i="5"/>
  <c r="AB35" i="5"/>
  <c r="J35" i="5"/>
  <c r="S34" i="5"/>
  <c r="B34" i="5"/>
  <c r="K33" i="5"/>
  <c r="X32" i="5"/>
  <c r="H32" i="5"/>
  <c r="U31" i="5"/>
  <c r="F31" i="5"/>
  <c r="T30" i="5"/>
  <c r="C30" i="5"/>
  <c r="S29" i="5"/>
  <c r="AF28" i="5"/>
  <c r="R28" i="5"/>
  <c r="AD27" i="5"/>
  <c r="M27" i="5"/>
  <c r="AC26" i="5"/>
  <c r="M26" i="5"/>
  <c r="B26" i="5"/>
  <c r="T20" i="5"/>
  <c r="H20" i="5"/>
  <c r="AC19" i="5"/>
  <c r="S19" i="5"/>
  <c r="H19" i="5"/>
  <c r="AC18" i="5"/>
  <c r="S18" i="5"/>
  <c r="H18" i="5"/>
  <c r="AC17" i="5"/>
  <c r="S17" i="5"/>
  <c r="H17" i="5"/>
  <c r="AC16" i="5"/>
  <c r="S16" i="5"/>
  <c r="H16" i="5"/>
  <c r="AC15" i="5"/>
  <c r="S15" i="5"/>
  <c r="H15" i="5"/>
  <c r="AC14" i="5"/>
  <c r="S14" i="5"/>
  <c r="H14" i="5"/>
  <c r="AE13" i="5"/>
  <c r="U13" i="5"/>
  <c r="L13" i="5"/>
  <c r="C13" i="5"/>
  <c r="Z12" i="5"/>
  <c r="Q12" i="5"/>
  <c r="H12" i="5"/>
  <c r="AE11" i="5"/>
  <c r="U11" i="5"/>
  <c r="L11" i="5"/>
  <c r="C11" i="5"/>
  <c r="Z10" i="5"/>
  <c r="Q10" i="5"/>
  <c r="H10" i="5"/>
  <c r="AF9" i="5"/>
  <c r="X9" i="5"/>
  <c r="P9" i="5"/>
  <c r="H9" i="5"/>
  <c r="AF8" i="5"/>
  <c r="X8" i="5"/>
  <c r="P8" i="5"/>
  <c r="H8" i="5"/>
  <c r="AF7" i="5"/>
  <c r="X7" i="5"/>
  <c r="P7" i="5"/>
  <c r="H7" i="5"/>
  <c r="AF6" i="5"/>
  <c r="X6" i="5"/>
  <c r="P6" i="5"/>
  <c r="H6" i="5"/>
  <c r="AF5" i="5"/>
  <c r="X5" i="5"/>
  <c r="P5" i="5"/>
  <c r="H5" i="5"/>
  <c r="D83" i="5"/>
  <c r="M81" i="5"/>
  <c r="J80" i="5"/>
  <c r="E79" i="5"/>
  <c r="N77" i="5"/>
  <c r="M76" i="5"/>
  <c r="F75" i="5"/>
  <c r="C74" i="5"/>
  <c r="N72" i="5"/>
  <c r="J71" i="5"/>
  <c r="F70" i="5"/>
  <c r="B69" i="5"/>
  <c r="L62" i="5"/>
  <c r="J61" i="5"/>
  <c r="C60" i="5"/>
  <c r="B59" i="5"/>
  <c r="K57" i="5"/>
  <c r="E56" i="5"/>
  <c r="C55" i="5"/>
  <c r="L53" i="5"/>
  <c r="K52" i="5"/>
  <c r="D51" i="5"/>
  <c r="N49" i="5"/>
  <c r="L48" i="5"/>
  <c r="E47" i="5"/>
  <c r="T41" i="5"/>
  <c r="AC40" i="5"/>
  <c r="J40" i="5"/>
  <c r="U39" i="5"/>
  <c r="AD38" i="5"/>
  <c r="M38" i="5"/>
  <c r="V37" i="5"/>
  <c r="C37" i="5"/>
  <c r="N36" i="5"/>
  <c r="Z35" i="5"/>
  <c r="F35" i="5"/>
  <c r="R34" i="5"/>
  <c r="AB33" i="5"/>
  <c r="J33" i="5"/>
  <c r="U32" i="5"/>
  <c r="F32" i="5"/>
  <c r="T31" i="5"/>
  <c r="C31" i="5"/>
  <c r="S30" i="5"/>
  <c r="AF29" i="5"/>
  <c r="R29" i="5"/>
  <c r="AD28" i="5"/>
  <c r="M28" i="5"/>
  <c r="AC27" i="5"/>
  <c r="K27" i="5"/>
  <c r="AB26" i="5"/>
  <c r="L26" i="5"/>
  <c r="AE20" i="5"/>
  <c r="S20" i="5"/>
  <c r="G20" i="5"/>
  <c r="AB19" i="5"/>
  <c r="R19" i="5"/>
  <c r="G19" i="5"/>
  <c r="AB18" i="5"/>
  <c r="R18" i="5"/>
  <c r="G18" i="5"/>
  <c r="AB17" i="5"/>
  <c r="R17" i="5"/>
  <c r="G17" i="5"/>
  <c r="AB16" i="5"/>
  <c r="R16" i="5"/>
  <c r="G16" i="5"/>
  <c r="AB15" i="5"/>
  <c r="R15" i="5"/>
  <c r="G15" i="5"/>
  <c r="AB14" i="5"/>
  <c r="R14" i="5"/>
  <c r="G14" i="5"/>
  <c r="AC13" i="5"/>
  <c r="T13" i="5"/>
  <c r="K13" i="5"/>
  <c r="B13" i="5"/>
  <c r="Y12" i="5"/>
  <c r="P12" i="5"/>
  <c r="G12" i="5"/>
  <c r="AC11" i="5"/>
  <c r="T11" i="5"/>
  <c r="K11" i="5"/>
  <c r="B11" i="5"/>
  <c r="Y10" i="5"/>
  <c r="P10" i="5"/>
  <c r="G10" i="5"/>
  <c r="AE9" i="5"/>
  <c r="W9" i="5"/>
  <c r="O9" i="5"/>
  <c r="G9" i="5"/>
  <c r="AE8" i="5"/>
  <c r="W8" i="5"/>
  <c r="O8" i="5"/>
  <c r="G8" i="5"/>
  <c r="AE7" i="5"/>
  <c r="W7" i="5"/>
  <c r="O7" i="5"/>
  <c r="G7" i="5"/>
  <c r="AE6" i="5"/>
  <c r="W6" i="5"/>
  <c r="O6" i="5"/>
  <c r="G6" i="5"/>
  <c r="AE5" i="5"/>
  <c r="N82" i="5"/>
  <c r="C80" i="5"/>
  <c r="E76" i="5"/>
  <c r="M72" i="5"/>
  <c r="M69" i="5"/>
  <c r="C61" i="5"/>
  <c r="J57" i="5"/>
  <c r="J54" i="5"/>
  <c r="B51" i="5"/>
  <c r="D47" i="5"/>
  <c r="U40" i="5"/>
  <c r="AB38" i="5"/>
  <c r="AD36" i="5"/>
  <c r="T35" i="5"/>
  <c r="V33" i="5"/>
  <c r="C32" i="5"/>
  <c r="AC30" i="5"/>
  <c r="K29" i="5"/>
  <c r="AB27" i="5"/>
  <c r="U26" i="5"/>
  <c r="O20" i="5"/>
  <c r="P19" i="5"/>
  <c r="X18" i="5"/>
  <c r="Z17" i="5"/>
  <c r="AA16" i="5"/>
  <c r="C16" i="5"/>
  <c r="D15" i="5"/>
  <c r="E14" i="5"/>
  <c r="Q13" i="5"/>
  <c r="W12" i="5"/>
  <c r="AB11" i="5"/>
  <c r="J11" i="5"/>
  <c r="X10" i="5"/>
  <c r="F10" i="5"/>
  <c r="V9" i="5"/>
  <c r="F9" i="5"/>
  <c r="V8" i="5"/>
  <c r="F8" i="5"/>
  <c r="V7" i="5"/>
  <c r="F7" i="5"/>
  <c r="V6" i="5"/>
  <c r="F6" i="5"/>
  <c r="W5" i="5"/>
  <c r="L5" i="5"/>
  <c r="V5" i="5"/>
  <c r="I5" i="5"/>
  <c r="K82" i="5"/>
  <c r="E75" i="5"/>
  <c r="E72" i="5"/>
  <c r="B60" i="5"/>
  <c r="C57" i="5"/>
  <c r="L49" i="5"/>
  <c r="D40" i="5"/>
  <c r="J38" i="5"/>
  <c r="AD34" i="5"/>
  <c r="F33" i="5"/>
  <c r="M30" i="5"/>
  <c r="AC28" i="5"/>
  <c r="J26" i="5"/>
  <c r="M19" i="5"/>
  <c r="P17" i="5"/>
  <c r="Z15" i="5"/>
  <c r="AA14" i="5"/>
  <c r="I13" i="5"/>
  <c r="Z11" i="5"/>
  <c r="U10" i="5"/>
  <c r="D10" i="5"/>
  <c r="D9" i="5"/>
  <c r="T8" i="5"/>
  <c r="T7" i="5"/>
  <c r="T6" i="5"/>
  <c r="D6" i="5"/>
  <c r="G5" i="5"/>
  <c r="AA19" i="5"/>
  <c r="O15" i="5"/>
  <c r="Z13" i="5"/>
  <c r="R11" i="5"/>
  <c r="M10" i="5"/>
  <c r="AC8" i="5"/>
  <c r="AC7" i="5"/>
  <c r="AC6" i="5"/>
  <c r="AC5" i="5"/>
  <c r="E80" i="5"/>
  <c r="E62" i="5"/>
  <c r="B55" i="5"/>
  <c r="AB40" i="5"/>
  <c r="T37" i="5"/>
  <c r="J34" i="5"/>
  <c r="AB29" i="5"/>
  <c r="X26" i="5"/>
  <c r="C18" i="5"/>
  <c r="M15" i="5"/>
  <c r="AE12" i="5"/>
  <c r="AB9" i="5"/>
  <c r="L8" i="5"/>
  <c r="AB6" i="5"/>
  <c r="J76" i="5"/>
  <c r="F58" i="5"/>
  <c r="C48" i="5"/>
  <c r="N37" i="5"/>
  <c r="R32" i="5"/>
  <c r="M29" i="5"/>
  <c r="R20" i="5"/>
  <c r="C17" i="5"/>
  <c r="E15" i="5"/>
  <c r="X12" i="5"/>
  <c r="I10" i="5"/>
  <c r="I9" i="5"/>
  <c r="Y7" i="5"/>
  <c r="I6" i="5"/>
  <c r="M5" i="5"/>
  <c r="L82" i="5"/>
  <c r="D79" i="5"/>
  <c r="D76" i="5"/>
  <c r="J72" i="5"/>
  <c r="N68" i="5"/>
  <c r="N60" i="5"/>
  <c r="F57" i="5"/>
  <c r="K53" i="5"/>
  <c r="L50" i="5"/>
  <c r="C47" i="5"/>
  <c r="E40" i="5"/>
  <c r="AA38" i="5"/>
  <c r="AC36" i="5"/>
  <c r="C35" i="5"/>
  <c r="U33" i="5"/>
  <c r="AF31" i="5"/>
  <c r="R30" i="5"/>
  <c r="J29" i="5"/>
  <c r="X27" i="5"/>
  <c r="K26" i="5"/>
  <c r="M20" i="5"/>
  <c r="O19" i="5"/>
  <c r="P18" i="5"/>
  <c r="X17" i="5"/>
  <c r="Z16" i="5"/>
  <c r="AA15" i="5"/>
  <c r="C15" i="5"/>
  <c r="D14" i="5"/>
  <c r="J13" i="5"/>
  <c r="U12" i="5"/>
  <c r="AA11" i="5"/>
  <c r="I11" i="5"/>
  <c r="W10" i="5"/>
  <c r="E10" i="5"/>
  <c r="U9" i="5"/>
  <c r="E9" i="5"/>
  <c r="U8" i="5"/>
  <c r="E8" i="5"/>
  <c r="U7" i="5"/>
  <c r="E7" i="5"/>
  <c r="U6" i="5"/>
  <c r="E6" i="5"/>
  <c r="N78" i="5"/>
  <c r="M68" i="5"/>
  <c r="J53" i="5"/>
  <c r="B47" i="5"/>
  <c r="AB36" i="5"/>
  <c r="AD31" i="5"/>
  <c r="U27" i="5"/>
  <c r="E20" i="5"/>
  <c r="O18" i="5"/>
  <c r="X16" i="5"/>
  <c r="C14" i="5"/>
  <c r="O12" i="5"/>
  <c r="H11" i="5"/>
  <c r="T9" i="5"/>
  <c r="D8" i="5"/>
  <c r="D7" i="5"/>
  <c r="U5" i="5"/>
  <c r="D18" i="5"/>
  <c r="AF12" i="5"/>
  <c r="AC9" i="5"/>
  <c r="M7" i="5"/>
  <c r="O5" i="5"/>
  <c r="M73" i="5"/>
  <c r="B52" i="5"/>
  <c r="V35" i="5"/>
  <c r="AF30" i="5"/>
  <c r="AA20" i="5"/>
  <c r="AA18" i="5"/>
  <c r="E16" i="5"/>
  <c r="D12" i="5"/>
  <c r="L10" i="5"/>
  <c r="AB8" i="5"/>
  <c r="L7" i="5"/>
  <c r="N5" i="5"/>
  <c r="L73" i="5"/>
  <c r="AA40" i="5"/>
  <c r="Z33" i="5"/>
  <c r="H28" i="5"/>
  <c r="Z18" i="5"/>
  <c r="M14" i="5"/>
  <c r="M11" i="5"/>
  <c r="Y8" i="5"/>
  <c r="Y6" i="5"/>
  <c r="L81" i="5"/>
  <c r="L78" i="5"/>
  <c r="D75" i="5"/>
  <c r="F71" i="5"/>
  <c r="J68" i="5"/>
  <c r="N59" i="5"/>
  <c r="C56" i="5"/>
  <c r="F53" i="5"/>
  <c r="K49" i="5"/>
  <c r="N41" i="5"/>
  <c r="C40" i="5"/>
  <c r="E38" i="5"/>
  <c r="M36" i="5"/>
  <c r="AC34" i="5"/>
  <c r="C33" i="5"/>
  <c r="S31" i="5"/>
  <c r="K30" i="5"/>
  <c r="AB28" i="5"/>
  <c r="J27" i="5"/>
  <c r="G26" i="5"/>
  <c r="D20" i="5"/>
  <c r="E19" i="5"/>
  <c r="M18" i="5"/>
  <c r="O17" i="5"/>
  <c r="P16" i="5"/>
  <c r="X15" i="5"/>
  <c r="Z14" i="5"/>
  <c r="AB13" i="5"/>
  <c r="H13" i="5"/>
  <c r="M12" i="5"/>
  <c r="W11" i="5"/>
  <c r="D11" i="5"/>
  <c r="R10" i="5"/>
  <c r="AG9" i="5"/>
  <c r="Q9" i="5"/>
  <c r="AG8" i="5"/>
  <c r="Q8" i="5"/>
  <c r="AG7" i="5"/>
  <c r="Q7" i="5"/>
  <c r="AG6" i="5"/>
  <c r="Q6" i="5"/>
  <c r="AG5" i="5"/>
  <c r="T5" i="5"/>
  <c r="F5" i="5"/>
  <c r="K81" i="5"/>
  <c r="M77" i="5"/>
  <c r="N74" i="5"/>
  <c r="E71" i="5"/>
  <c r="J62" i="5"/>
  <c r="M59" i="5"/>
  <c r="B56" i="5"/>
  <c r="E52" i="5"/>
  <c r="J49" i="5"/>
  <c r="L41" i="5"/>
  <c r="T39" i="5"/>
  <c r="D38" i="5"/>
  <c r="J36" i="5"/>
  <c r="N34" i="5"/>
  <c r="AF32" i="5"/>
  <c r="R31" i="5"/>
  <c r="AD29" i="5"/>
  <c r="X28" i="5"/>
  <c r="H27" i="5"/>
  <c r="AC20" i="5"/>
  <c r="C20" i="5"/>
  <c r="D19" i="5"/>
  <c r="E18" i="5"/>
  <c r="M17" i="5"/>
  <c r="O16" i="5"/>
  <c r="P15" i="5"/>
  <c r="X14" i="5"/>
  <c r="AA13" i="5"/>
  <c r="AG12" i="5"/>
  <c r="L12" i="5"/>
  <c r="S11" i="5"/>
  <c r="AG10" i="5"/>
  <c r="O10" i="5"/>
  <c r="AD9" i="5"/>
  <c r="N9" i="5"/>
  <c r="AD8" i="5"/>
  <c r="N8" i="5"/>
  <c r="AD7" i="5"/>
  <c r="N7" i="5"/>
  <c r="AD6" i="5"/>
  <c r="N6" i="5"/>
  <c r="AD5" i="5"/>
  <c r="Q5" i="5"/>
  <c r="E5" i="5"/>
  <c r="E81" i="5"/>
  <c r="L77" i="5"/>
  <c r="N73" i="5"/>
  <c r="D71" i="5"/>
  <c r="F62" i="5"/>
  <c r="L58" i="5"/>
  <c r="N55" i="5"/>
  <c r="C52" i="5"/>
  <c r="K48" i="5"/>
  <c r="K41" i="5"/>
  <c r="N39" i="5"/>
  <c r="U37" i="5"/>
  <c r="E36" i="5"/>
  <c r="M34" i="5"/>
  <c r="T32" i="5"/>
  <c r="M31" i="5"/>
  <c r="AC29" i="5"/>
  <c r="K28" i="5"/>
  <c r="F27" i="5"/>
  <c r="AB20" i="5"/>
  <c r="C19" i="5"/>
  <c r="E17" i="5"/>
  <c r="M16" i="5"/>
  <c r="P14" i="5"/>
  <c r="E12" i="5"/>
  <c r="AF10" i="5"/>
  <c r="M9" i="5"/>
  <c r="M8" i="5"/>
  <c r="M6" i="5"/>
  <c r="D5" i="5"/>
  <c r="K77" i="5"/>
  <c r="C70" i="5"/>
  <c r="J58" i="5"/>
  <c r="E48" i="5"/>
  <c r="L39" i="5"/>
  <c r="S32" i="5"/>
  <c r="J28" i="5"/>
  <c r="Z19" i="5"/>
  <c r="D17" i="5"/>
  <c r="O14" i="5"/>
  <c r="S13" i="5"/>
  <c r="Q11" i="5"/>
  <c r="AE10" i="5"/>
  <c r="L9" i="5"/>
  <c r="AB7" i="5"/>
  <c r="L6" i="5"/>
  <c r="AB5" i="5"/>
  <c r="D80" i="5"/>
  <c r="N69" i="5"/>
  <c r="F61" i="5"/>
  <c r="L54" i="5"/>
  <c r="C51" i="5"/>
  <c r="AC38" i="5"/>
  <c r="U35" i="5"/>
  <c r="AD30" i="5"/>
  <c r="V26" i="5"/>
  <c r="X19" i="5"/>
  <c r="AA17" i="5"/>
  <c r="D16" i="5"/>
  <c r="R13" i="5"/>
  <c r="C12" i="5"/>
  <c r="AA10" i="5"/>
  <c r="Y9" i="5"/>
  <c r="I8" i="5"/>
  <c r="I7" i="5"/>
  <c r="Y5" i="5"/>
  <c r="Q48" i="8" l="1"/>
  <c r="H105" i="10"/>
  <c r="Q53" i="8"/>
  <c r="Q102" i="8"/>
  <c r="O40" i="11"/>
  <c r="Q24" i="8"/>
  <c r="E100" i="10"/>
  <c r="I35" i="11"/>
  <c r="Q448" i="8"/>
  <c r="Q135" i="8"/>
  <c r="Q297" i="8"/>
  <c r="Q452" i="9"/>
  <c r="K45" i="11"/>
  <c r="Q209" i="9"/>
  <c r="R19" i="9"/>
  <c r="Q82" i="8"/>
  <c r="I38" i="11"/>
  <c r="Q334" i="8"/>
  <c r="Q271" i="8"/>
  <c r="Q179" i="9"/>
  <c r="Q425" i="8"/>
  <c r="Q411" i="8"/>
  <c r="R195" i="8"/>
  <c r="R59" i="8"/>
  <c r="R110" i="8"/>
  <c r="Q450" i="9"/>
  <c r="Q119" i="8"/>
  <c r="Q365" i="8"/>
  <c r="Q171" i="8"/>
  <c r="Q426" i="8"/>
  <c r="R197" i="8"/>
  <c r="Q225" i="9"/>
  <c r="Q264" i="9"/>
  <c r="Q133" i="9"/>
  <c r="O38" i="11"/>
  <c r="Q114" i="9"/>
  <c r="B99" i="11"/>
  <c r="Q388" i="8"/>
  <c r="Q354" i="8"/>
  <c r="Q385" i="9"/>
  <c r="Q225" i="8"/>
  <c r="Q89" i="8"/>
  <c r="Q329" i="8"/>
  <c r="Q441" i="8"/>
  <c r="Q443" i="8"/>
  <c r="R75" i="8"/>
  <c r="H36" i="11"/>
  <c r="Q36" i="11" s="1"/>
  <c r="Q333" i="8"/>
  <c r="Q415" i="8"/>
  <c r="R212" i="9"/>
  <c r="Q305" i="9"/>
  <c r="Q174" i="9"/>
  <c r="Q448" i="9"/>
  <c r="Q230" i="9"/>
  <c r="R26" i="9"/>
  <c r="Q140" i="9"/>
  <c r="H101" i="11"/>
  <c r="R146" i="8"/>
  <c r="Q428" i="8"/>
  <c r="Q349" i="8"/>
  <c r="Q233" i="8"/>
  <c r="Q102" i="9"/>
  <c r="H100" i="10"/>
  <c r="R17" i="8"/>
  <c r="Q453" i="9"/>
  <c r="Q266" i="8"/>
  <c r="Q176" i="8"/>
  <c r="Q362" i="9"/>
  <c r="Q24" i="9"/>
  <c r="Q455" i="8"/>
  <c r="Q25" i="9"/>
  <c r="Q413" i="9"/>
  <c r="Q367" i="8"/>
  <c r="Q362" i="8"/>
  <c r="Q451" i="9"/>
  <c r="Q206" i="9"/>
  <c r="Q109" i="9"/>
  <c r="Q16" i="9"/>
  <c r="R144" i="8"/>
  <c r="Q74" i="9"/>
  <c r="Q182" i="8"/>
  <c r="F52" i="10"/>
  <c r="Q114" i="8"/>
  <c r="D46" i="10"/>
  <c r="R118" i="8"/>
  <c r="D108" i="10"/>
  <c r="Q258" i="8"/>
  <c r="I36" i="10"/>
  <c r="Q74" i="8"/>
  <c r="C36" i="10"/>
  <c r="Q51" i="8"/>
  <c r="Q440" i="8"/>
  <c r="O34" i="10"/>
  <c r="Q325" i="8"/>
  <c r="K41" i="10"/>
  <c r="Q166" i="8"/>
  <c r="F36" i="10"/>
  <c r="Q287" i="8"/>
  <c r="J34" i="10"/>
  <c r="Q206" i="8"/>
  <c r="G46" i="10"/>
  <c r="Q243" i="8"/>
  <c r="M52" i="10"/>
  <c r="Q115" i="8"/>
  <c r="D47" i="10"/>
  <c r="Q41" i="8"/>
  <c r="B34" i="10"/>
  <c r="Q446" i="8"/>
  <c r="O40" i="10"/>
  <c r="R11" i="9"/>
  <c r="Q442" i="9"/>
  <c r="Q228" i="8"/>
  <c r="Q381" i="8"/>
  <c r="P35" i="10"/>
  <c r="Q9" i="8"/>
  <c r="Q201" i="8"/>
  <c r="G41" i="10"/>
  <c r="Q112" i="8"/>
  <c r="D44" i="10"/>
  <c r="Q386" i="8"/>
  <c r="P40" i="10"/>
  <c r="Q241" i="8"/>
  <c r="M50" i="10"/>
  <c r="Q108" i="8"/>
  <c r="D40" i="10"/>
  <c r="Q107" i="8"/>
  <c r="D39" i="10"/>
  <c r="Q413" i="8"/>
  <c r="Q166" i="9"/>
  <c r="Q58" i="9"/>
  <c r="Q196" i="9"/>
  <c r="R204" i="9"/>
  <c r="Q359" i="9"/>
  <c r="Q27" i="9"/>
  <c r="Q421" i="8"/>
  <c r="N45" i="10"/>
  <c r="Q380" i="8"/>
  <c r="R207" i="8"/>
  <c r="Q416" i="8"/>
  <c r="Q150" i="8"/>
  <c r="E51" i="10"/>
  <c r="Q110" i="8"/>
  <c r="D42" i="10"/>
  <c r="Q366" i="8"/>
  <c r="L51" i="10"/>
  <c r="Q164" i="8"/>
  <c r="F34" i="10"/>
  <c r="Q104" i="8"/>
  <c r="Q398" i="8"/>
  <c r="P52" i="10"/>
  <c r="R202" i="8"/>
  <c r="R56" i="8"/>
  <c r="B107" i="10"/>
  <c r="Q410" i="8"/>
  <c r="Q396" i="8"/>
  <c r="P50" i="10"/>
  <c r="Q174" i="8"/>
  <c r="R20" i="8"/>
  <c r="H103" i="10"/>
  <c r="Q43" i="8"/>
  <c r="B36" i="10"/>
  <c r="Q333" i="9"/>
  <c r="Q455" i="9"/>
  <c r="R24" i="9"/>
  <c r="Q171" i="9"/>
  <c r="Q199" i="9"/>
  <c r="Q21" i="9"/>
  <c r="Q420" i="8"/>
  <c r="Q117" i="8"/>
  <c r="Q150" i="9"/>
  <c r="Q230" i="8"/>
  <c r="Q442" i="8"/>
  <c r="O36" i="10"/>
  <c r="Q195" i="8"/>
  <c r="G35" i="10"/>
  <c r="Q391" i="8"/>
  <c r="P45" i="10"/>
  <c r="Q352" i="8"/>
  <c r="L37" i="10"/>
  <c r="Q451" i="8"/>
  <c r="O45" i="10"/>
  <c r="Q46" i="9"/>
  <c r="Q289" i="8"/>
  <c r="J36" i="10"/>
  <c r="R194" i="8"/>
  <c r="G92" i="10"/>
  <c r="Q393" i="8"/>
  <c r="P47" i="10"/>
  <c r="Q350" i="8"/>
  <c r="L35" i="10"/>
  <c r="Q148" i="8"/>
  <c r="E49" i="10"/>
  <c r="R149" i="8"/>
  <c r="E108" i="10"/>
  <c r="Q194" i="8"/>
  <c r="Q79" i="8"/>
  <c r="C41" i="10"/>
  <c r="Q22" i="8"/>
  <c r="H47" i="10"/>
  <c r="Q42" i="9"/>
  <c r="Q20" i="9"/>
  <c r="Q240" i="9"/>
  <c r="R113" i="8"/>
  <c r="Q450" i="8"/>
  <c r="Q58" i="8"/>
  <c r="B51" i="10"/>
  <c r="R57" i="8"/>
  <c r="B108" i="10"/>
  <c r="Q364" i="8"/>
  <c r="L49" i="10"/>
  <c r="Q180" i="8"/>
  <c r="F50" i="10"/>
  <c r="R143" i="8"/>
  <c r="E102" i="10"/>
  <c r="Q357" i="8"/>
  <c r="L42" i="10"/>
  <c r="Q326" i="8"/>
  <c r="Q146" i="8"/>
  <c r="E47" i="10"/>
  <c r="Q77" i="8"/>
  <c r="C39" i="10"/>
  <c r="Q300" i="8"/>
  <c r="R175" i="8"/>
  <c r="Q46" i="8"/>
  <c r="Q302" i="8"/>
  <c r="Q143" i="8"/>
  <c r="R136" i="8"/>
  <c r="R52" i="8"/>
  <c r="Q26" i="8"/>
  <c r="R78" i="8"/>
  <c r="Q11" i="8"/>
  <c r="Q293" i="8"/>
  <c r="Q269" i="9"/>
  <c r="R210" i="9"/>
  <c r="Q323" i="9"/>
  <c r="Q82" i="9"/>
  <c r="Q26" i="9"/>
  <c r="Q352" i="9"/>
  <c r="Q326" i="9"/>
  <c r="H94" i="11"/>
  <c r="Q12" i="9"/>
  <c r="Q395" i="8"/>
  <c r="Q16" i="8"/>
  <c r="Q354" i="9"/>
  <c r="Q59" i="8"/>
  <c r="B52" i="10"/>
  <c r="P37" i="10"/>
  <c r="Q383" i="8"/>
  <c r="L53" i="11"/>
  <c r="Q367" i="9"/>
  <c r="Q209" i="8"/>
  <c r="R200" i="8"/>
  <c r="G98" i="10"/>
  <c r="Q360" i="8"/>
  <c r="L45" i="10"/>
  <c r="Q392" i="8"/>
  <c r="R27" i="8"/>
  <c r="H110" i="10"/>
  <c r="R19" i="8"/>
  <c r="H102" i="10"/>
  <c r="Q205" i="9"/>
  <c r="Q84" i="9"/>
  <c r="R170" i="8"/>
  <c r="F98" i="10"/>
  <c r="Q112" i="9"/>
  <c r="Q144" i="8"/>
  <c r="E45" i="10"/>
  <c r="Q57" i="8"/>
  <c r="B50" i="10"/>
  <c r="Q87" i="8"/>
  <c r="Q235" i="8"/>
  <c r="Q19" i="8"/>
  <c r="Q43" i="9"/>
  <c r="Q9" i="9"/>
  <c r="Q349" i="9"/>
  <c r="Q199" i="8"/>
  <c r="G39" i="10"/>
  <c r="Q356" i="8"/>
  <c r="L41" i="10"/>
  <c r="R179" i="8"/>
  <c r="F107" i="10"/>
  <c r="Q140" i="8"/>
  <c r="Q323" i="8"/>
  <c r="K39" i="10"/>
  <c r="Q197" i="8"/>
  <c r="G37" i="10"/>
  <c r="Q75" i="8"/>
  <c r="C37" i="10"/>
  <c r="Q256" i="8"/>
  <c r="Q120" i="8"/>
  <c r="D52" i="10"/>
  <c r="R47" i="8"/>
  <c r="B98" i="10"/>
  <c r="Q72" i="8"/>
  <c r="Q305" i="8"/>
  <c r="Q133" i="8"/>
  <c r="Q355" i="8"/>
  <c r="L40" i="10"/>
  <c r="R44" i="8"/>
  <c r="B95" i="10"/>
  <c r="Q21" i="8"/>
  <c r="H46" i="10"/>
  <c r="Q84" i="8"/>
  <c r="Q418" i="9"/>
  <c r="Q320" i="9"/>
  <c r="Q300" i="9"/>
  <c r="R21" i="9"/>
  <c r="Q318" i="8"/>
  <c r="R151" i="8"/>
  <c r="R90" i="8"/>
  <c r="R205" i="8"/>
  <c r="G103" i="10"/>
  <c r="Q148" i="9"/>
  <c r="Q169" i="9"/>
  <c r="R144" i="9"/>
  <c r="E105" i="11"/>
  <c r="R53" i="9"/>
  <c r="Q395" i="9"/>
  <c r="P50" i="11"/>
  <c r="S50" i="11" s="1"/>
  <c r="Q52" i="9"/>
  <c r="B46" i="11"/>
  <c r="Q119" i="9"/>
  <c r="Q207" i="9"/>
  <c r="G48" i="11"/>
  <c r="Q364" i="9"/>
  <c r="L50" i="11"/>
  <c r="R52" i="9"/>
  <c r="B105" i="11"/>
  <c r="Q380" i="9"/>
  <c r="Q426" i="9"/>
  <c r="N51" i="11"/>
  <c r="Q87" i="9"/>
  <c r="C50" i="11"/>
  <c r="Q77" i="9"/>
  <c r="C40" i="11"/>
  <c r="Q235" i="9"/>
  <c r="M45" i="11"/>
  <c r="R45" i="11" s="1"/>
  <c r="Q165" i="9"/>
  <c r="F36" i="11"/>
  <c r="R54" i="9"/>
  <c r="B107" i="11"/>
  <c r="Q164" i="9"/>
  <c r="F35" i="11"/>
  <c r="R20" i="9"/>
  <c r="H105" i="11"/>
  <c r="Q194" i="9"/>
  <c r="G35" i="11"/>
  <c r="Q117" i="9"/>
  <c r="D50" i="11"/>
  <c r="Q107" i="9"/>
  <c r="D40" i="11"/>
  <c r="Q365" i="9"/>
  <c r="Q274" i="9"/>
  <c r="I53" i="11"/>
  <c r="R10" i="9"/>
  <c r="H95" i="11"/>
  <c r="R165" i="9"/>
  <c r="F95" i="11"/>
  <c r="Q79" i="9"/>
  <c r="C42" i="11"/>
  <c r="Q397" i="9"/>
  <c r="P52" i="11"/>
  <c r="S52" i="11" s="1"/>
  <c r="R197" i="9"/>
  <c r="G97" i="11"/>
  <c r="R205" i="9"/>
  <c r="G105" i="11"/>
  <c r="Q90" i="9"/>
  <c r="Q177" i="9"/>
  <c r="Q41" i="9"/>
  <c r="B35" i="11"/>
  <c r="Q324" i="9"/>
  <c r="K41" i="11"/>
  <c r="Q440" i="9"/>
  <c r="O35" i="11"/>
  <c r="Q287" i="9"/>
  <c r="J35" i="11"/>
  <c r="Q143" i="9"/>
  <c r="E45" i="11"/>
  <c r="R88" i="9"/>
  <c r="C110" i="11"/>
  <c r="Q167" i="9"/>
  <c r="F38" i="11"/>
  <c r="Q204" i="9"/>
  <c r="Q318" i="9"/>
  <c r="Q441" i="9"/>
  <c r="O36" i="11"/>
  <c r="Q211" i="9"/>
  <c r="G52" i="11"/>
  <c r="Q361" i="9"/>
  <c r="L47" i="11"/>
  <c r="Q420" i="9"/>
  <c r="N45" i="11"/>
  <c r="Q271" i="9"/>
  <c r="I50" i="11"/>
  <c r="Q176" i="9"/>
  <c r="F47" i="11"/>
  <c r="Q135" i="9"/>
  <c r="E37" i="11"/>
  <c r="Q233" i="9"/>
  <c r="M43" i="11"/>
  <c r="R43" i="11" s="1"/>
  <c r="Q51" i="9"/>
  <c r="R108" i="9"/>
  <c r="U566" i="1" l="1"/>
  <c r="T566" i="1"/>
  <c r="G566" i="1"/>
  <c r="F566" i="1"/>
  <c r="U565" i="1"/>
  <c r="T565" i="1"/>
  <c r="G565" i="1"/>
  <c r="F565" i="1"/>
  <c r="U564" i="1"/>
  <c r="T564" i="1"/>
  <c r="G564" i="1"/>
  <c r="F564" i="1"/>
  <c r="U563" i="1"/>
  <c r="T563" i="1"/>
  <c r="G563" i="1"/>
  <c r="F563" i="1"/>
  <c r="U562" i="1"/>
  <c r="T562" i="1"/>
  <c r="G562" i="1"/>
  <c r="F562" i="1"/>
  <c r="U561" i="1"/>
  <c r="T561" i="1"/>
  <c r="G561" i="1"/>
  <c r="F561" i="1"/>
  <c r="U560" i="1"/>
  <c r="T560" i="1"/>
  <c r="G560" i="1"/>
  <c r="F560" i="1"/>
  <c r="U559" i="1"/>
  <c r="T559" i="1"/>
  <c r="G559" i="1"/>
  <c r="F559" i="1"/>
  <c r="U558" i="1"/>
  <c r="T558" i="1"/>
  <c r="G558" i="1"/>
  <c r="F558" i="1"/>
  <c r="U557" i="1"/>
  <c r="T557" i="1"/>
  <c r="G557" i="1"/>
  <c r="F557" i="1"/>
  <c r="U556" i="1"/>
  <c r="T556" i="1"/>
  <c r="G556" i="1"/>
  <c r="F556" i="1"/>
  <c r="U555" i="1"/>
  <c r="T555" i="1"/>
  <c r="G555" i="1"/>
  <c r="F555" i="1"/>
  <c r="U554" i="1"/>
  <c r="T554" i="1"/>
  <c r="G554" i="1"/>
  <c r="F554" i="1"/>
  <c r="U553" i="1"/>
  <c r="T553" i="1"/>
  <c r="G553" i="1"/>
  <c r="F553" i="1"/>
  <c r="U552" i="1"/>
  <c r="T552" i="1"/>
  <c r="G552" i="1"/>
  <c r="F552" i="1"/>
  <c r="U551" i="1"/>
  <c r="T551" i="1"/>
  <c r="G551" i="1"/>
  <c r="F551" i="1"/>
  <c r="U550" i="1"/>
  <c r="T550" i="1"/>
  <c r="G550" i="1"/>
  <c r="F550" i="1"/>
  <c r="U549" i="1"/>
  <c r="T549" i="1"/>
  <c r="G549" i="1"/>
  <c r="F549" i="1"/>
  <c r="U548" i="1"/>
  <c r="T548" i="1"/>
  <c r="G548" i="1"/>
  <c r="F548" i="1"/>
  <c r="U547" i="1"/>
  <c r="T547" i="1"/>
  <c r="G547" i="1"/>
  <c r="F547" i="1"/>
  <c r="U546" i="1"/>
  <c r="T546" i="1"/>
  <c r="G546" i="1"/>
  <c r="F546" i="1"/>
  <c r="U545" i="1"/>
  <c r="T545" i="1"/>
  <c r="G545" i="1"/>
  <c r="F545" i="1"/>
  <c r="U544" i="1"/>
  <c r="T544" i="1"/>
  <c r="G544" i="1"/>
  <c r="F544" i="1"/>
  <c r="U543" i="1"/>
  <c r="T543" i="1"/>
  <c r="G543" i="1"/>
  <c r="F543" i="1"/>
  <c r="U542" i="1"/>
  <c r="T542" i="1"/>
  <c r="G542" i="1"/>
  <c r="F542" i="1"/>
  <c r="U541" i="1"/>
  <c r="T541" i="1"/>
  <c r="G541" i="1"/>
  <c r="F541" i="1"/>
  <c r="U540" i="1"/>
  <c r="T540" i="1"/>
  <c r="G540" i="1"/>
  <c r="F540" i="1"/>
  <c r="U539" i="1"/>
  <c r="T539" i="1"/>
  <c r="G539" i="1"/>
  <c r="F539" i="1"/>
  <c r="U538" i="1"/>
  <c r="T538" i="1"/>
  <c r="G538" i="1"/>
  <c r="F538" i="1"/>
  <c r="U537" i="1"/>
  <c r="T537" i="1"/>
  <c r="G537" i="1"/>
  <c r="F537" i="1"/>
  <c r="U536" i="1"/>
  <c r="T536" i="1"/>
  <c r="G536" i="1"/>
  <c r="F536" i="1"/>
  <c r="U535" i="1"/>
  <c r="T535" i="1"/>
  <c r="G535" i="1"/>
  <c r="F535" i="1"/>
  <c r="U534" i="1"/>
  <c r="T534" i="1"/>
  <c r="G534" i="1"/>
  <c r="F534" i="1"/>
  <c r="U533" i="1"/>
  <c r="T533" i="1"/>
  <c r="G533" i="1"/>
  <c r="F533" i="1"/>
  <c r="U532" i="1"/>
  <c r="T532" i="1"/>
  <c r="G532" i="1"/>
  <c r="F532" i="1"/>
  <c r="U531" i="1"/>
  <c r="T531" i="1"/>
  <c r="G531" i="1"/>
  <c r="F531" i="1"/>
  <c r="U530" i="1"/>
  <c r="T530" i="1"/>
  <c r="G530" i="1"/>
  <c r="F530" i="1"/>
  <c r="U529" i="1"/>
  <c r="T529" i="1"/>
  <c r="G529" i="1"/>
  <c r="F529" i="1"/>
  <c r="U528" i="1"/>
  <c r="T528" i="1"/>
  <c r="G528" i="1"/>
  <c r="F528" i="1"/>
  <c r="U527" i="1"/>
  <c r="T527" i="1"/>
  <c r="G527" i="1"/>
  <c r="F527" i="1"/>
  <c r="U526" i="1"/>
  <c r="T526" i="1"/>
  <c r="G526" i="1"/>
  <c r="F526" i="1"/>
  <c r="U525" i="1"/>
  <c r="T525" i="1"/>
  <c r="G525" i="1"/>
  <c r="F525" i="1"/>
  <c r="U524" i="1"/>
  <c r="T524" i="1"/>
  <c r="G524" i="1"/>
  <c r="F524" i="1"/>
  <c r="U523" i="1"/>
  <c r="T523" i="1"/>
  <c r="G523" i="1"/>
  <c r="F523" i="1"/>
  <c r="U522" i="1"/>
  <c r="T522" i="1"/>
  <c r="G522" i="1"/>
  <c r="F522" i="1"/>
  <c r="U521" i="1"/>
  <c r="T521" i="1"/>
  <c r="G521" i="1"/>
  <c r="F521" i="1"/>
  <c r="U520" i="1"/>
  <c r="T520" i="1"/>
  <c r="G520" i="1"/>
  <c r="F520" i="1"/>
  <c r="U519" i="1"/>
  <c r="T519" i="1"/>
  <c r="G519" i="1"/>
  <c r="F519" i="1"/>
  <c r="U518" i="1"/>
  <c r="T518" i="1"/>
  <c r="G518" i="1"/>
  <c r="F518" i="1"/>
  <c r="U517" i="1"/>
  <c r="T517" i="1"/>
  <c r="G517" i="1"/>
  <c r="F517" i="1"/>
  <c r="U516" i="1"/>
  <c r="T516" i="1"/>
  <c r="G516" i="1"/>
  <c r="F516" i="1"/>
  <c r="U515" i="1"/>
  <c r="T515" i="1"/>
  <c r="G515" i="1"/>
  <c r="F515" i="1"/>
  <c r="U514" i="1"/>
  <c r="T514" i="1"/>
  <c r="G514" i="1"/>
  <c r="F514" i="1"/>
  <c r="U513" i="1"/>
  <c r="T513" i="1"/>
  <c r="G513" i="1"/>
  <c r="F513" i="1"/>
  <c r="U512" i="1"/>
  <c r="T512" i="1"/>
  <c r="G512" i="1"/>
  <c r="F512" i="1"/>
  <c r="U511" i="1"/>
  <c r="T511" i="1"/>
  <c r="G511" i="1"/>
  <c r="F511" i="1"/>
  <c r="U510" i="1"/>
  <c r="T510" i="1"/>
  <c r="G510" i="1"/>
  <c r="F510" i="1"/>
  <c r="U509" i="1"/>
  <c r="T509" i="1"/>
  <c r="G509" i="1"/>
  <c r="F509" i="1"/>
  <c r="U508" i="1"/>
  <c r="T508" i="1"/>
  <c r="G508" i="1"/>
  <c r="F508" i="1"/>
  <c r="U507" i="1"/>
  <c r="T507" i="1"/>
  <c r="G507" i="1"/>
  <c r="F507" i="1"/>
  <c r="U506" i="1"/>
  <c r="T506" i="1"/>
  <c r="G506" i="1"/>
  <c r="F506" i="1"/>
  <c r="U505" i="1"/>
  <c r="T505" i="1"/>
  <c r="G505" i="1"/>
  <c r="F505" i="1"/>
  <c r="U504" i="1"/>
  <c r="T504" i="1"/>
  <c r="G504" i="1"/>
  <c r="F504" i="1"/>
  <c r="U503" i="1"/>
  <c r="T503" i="1"/>
  <c r="G503" i="1"/>
  <c r="F503" i="1"/>
  <c r="U502" i="1"/>
  <c r="T502" i="1"/>
  <c r="G502" i="1"/>
  <c r="F502" i="1"/>
  <c r="U501" i="1"/>
  <c r="T501" i="1"/>
  <c r="G501" i="1"/>
  <c r="F501" i="1"/>
  <c r="U500" i="1"/>
  <c r="T500" i="1"/>
  <c r="G500" i="1"/>
  <c r="F500" i="1"/>
  <c r="U499" i="1"/>
  <c r="T499" i="1"/>
  <c r="G499" i="1"/>
  <c r="F499" i="1"/>
  <c r="U498" i="1"/>
  <c r="T498" i="1"/>
  <c r="G498" i="1"/>
  <c r="F498" i="1"/>
  <c r="U497" i="1"/>
  <c r="T497" i="1"/>
  <c r="G497" i="1"/>
  <c r="F497" i="1"/>
  <c r="U496" i="1"/>
  <c r="T496" i="1"/>
  <c r="G496" i="1"/>
  <c r="F496" i="1"/>
  <c r="U495" i="1"/>
  <c r="T495" i="1"/>
  <c r="G495" i="1"/>
  <c r="F495" i="1"/>
  <c r="U494" i="1"/>
  <c r="T494" i="1"/>
  <c r="G494" i="1"/>
  <c r="F494" i="1"/>
  <c r="U493" i="1"/>
  <c r="T493" i="1"/>
  <c r="G493" i="1"/>
  <c r="F493" i="1"/>
  <c r="U492" i="1"/>
  <c r="T492" i="1"/>
  <c r="G492" i="1"/>
  <c r="F492" i="1"/>
  <c r="U491" i="1"/>
  <c r="T491" i="1"/>
  <c r="G491" i="1"/>
  <c r="F491" i="1"/>
  <c r="U490" i="1"/>
  <c r="T490" i="1"/>
  <c r="G490" i="1"/>
  <c r="F490" i="1"/>
  <c r="U489" i="1"/>
  <c r="T489" i="1"/>
  <c r="G489" i="1"/>
  <c r="F489" i="1"/>
  <c r="U488" i="1"/>
  <c r="T488" i="1"/>
  <c r="G488" i="1"/>
  <c r="F488" i="1"/>
  <c r="U487" i="1"/>
  <c r="T487" i="1"/>
  <c r="G487" i="1"/>
  <c r="F487" i="1"/>
  <c r="U486" i="1"/>
  <c r="T486" i="1"/>
  <c r="G486" i="1"/>
  <c r="F486" i="1"/>
  <c r="U485" i="1"/>
  <c r="T485" i="1"/>
  <c r="G485" i="1"/>
  <c r="F485" i="1"/>
  <c r="U484" i="1"/>
  <c r="T484" i="1"/>
  <c r="G484" i="1"/>
  <c r="F484" i="1"/>
  <c r="U483" i="1"/>
  <c r="T483" i="1"/>
  <c r="G483" i="1"/>
  <c r="F483" i="1"/>
  <c r="U482" i="1"/>
  <c r="T482" i="1"/>
  <c r="G482" i="1"/>
  <c r="F482" i="1"/>
  <c r="U481" i="1"/>
  <c r="T481" i="1"/>
  <c r="G481" i="1"/>
  <c r="F481" i="1"/>
  <c r="U480" i="1"/>
  <c r="T480" i="1"/>
  <c r="G480" i="1"/>
  <c r="F480" i="1"/>
  <c r="U479" i="1"/>
  <c r="T479" i="1"/>
  <c r="G479" i="1"/>
  <c r="F479" i="1"/>
  <c r="U478" i="1"/>
  <c r="T478" i="1"/>
  <c r="G478" i="1"/>
  <c r="F478" i="1"/>
  <c r="U477" i="1"/>
  <c r="T477" i="1"/>
  <c r="G477" i="1"/>
  <c r="F477" i="1"/>
  <c r="U476" i="1"/>
  <c r="T476" i="1"/>
  <c r="G476" i="1"/>
  <c r="F476" i="1"/>
  <c r="U475" i="1"/>
  <c r="T475" i="1"/>
  <c r="G475" i="1"/>
  <c r="F475" i="1"/>
  <c r="U474" i="1"/>
  <c r="T474" i="1"/>
  <c r="G474" i="1"/>
  <c r="F474" i="1"/>
  <c r="U473" i="1"/>
  <c r="T473" i="1"/>
  <c r="G473" i="1"/>
  <c r="F473" i="1"/>
  <c r="U472" i="1"/>
  <c r="T472" i="1"/>
  <c r="G472" i="1"/>
  <c r="F472" i="1"/>
  <c r="U471" i="1"/>
  <c r="T471" i="1"/>
  <c r="G471" i="1"/>
  <c r="F471" i="1"/>
  <c r="U470" i="1"/>
  <c r="T470" i="1"/>
  <c r="G470" i="1"/>
  <c r="F470" i="1"/>
  <c r="U469" i="1"/>
  <c r="T469" i="1"/>
  <c r="G469" i="1"/>
  <c r="F469" i="1"/>
  <c r="U468" i="1"/>
  <c r="T468" i="1"/>
  <c r="G468" i="1"/>
  <c r="F468" i="1"/>
  <c r="U467" i="1"/>
  <c r="T467" i="1"/>
  <c r="G467" i="1"/>
  <c r="F467" i="1"/>
  <c r="U466" i="1"/>
  <c r="T466" i="1"/>
  <c r="G466" i="1"/>
  <c r="F466" i="1"/>
  <c r="U465" i="1"/>
  <c r="T465" i="1"/>
  <c r="G465" i="1"/>
  <c r="F465" i="1"/>
  <c r="U464" i="1"/>
  <c r="T464" i="1"/>
  <c r="G464" i="1"/>
  <c r="F464" i="1"/>
  <c r="U463" i="1"/>
  <c r="T463" i="1"/>
  <c r="G463" i="1"/>
  <c r="F463" i="1"/>
  <c r="U462" i="1"/>
  <c r="T462" i="1"/>
  <c r="G462" i="1"/>
  <c r="F462" i="1"/>
  <c r="U632" i="1" l="1"/>
  <c r="T632" i="1"/>
  <c r="G632" i="1"/>
  <c r="F632" i="1"/>
  <c r="U631" i="1"/>
  <c r="T631" i="1"/>
  <c r="G631" i="1"/>
  <c r="F631" i="1"/>
  <c r="U630" i="1"/>
  <c r="T630" i="1"/>
  <c r="G630" i="1"/>
  <c r="F630" i="1"/>
  <c r="U629" i="1"/>
  <c r="T629" i="1"/>
  <c r="G629" i="1"/>
  <c r="F629" i="1"/>
  <c r="U628" i="1"/>
  <c r="T628" i="1"/>
  <c r="G628" i="1"/>
  <c r="F628" i="1"/>
  <c r="U627" i="1"/>
  <c r="T627" i="1"/>
  <c r="G627" i="1"/>
  <c r="F627" i="1"/>
  <c r="U626" i="1"/>
  <c r="T626" i="1"/>
  <c r="G626" i="1"/>
  <c r="F626" i="1"/>
  <c r="U625" i="1"/>
  <c r="T625" i="1"/>
  <c r="G625" i="1"/>
  <c r="F625" i="1"/>
  <c r="U624" i="1"/>
  <c r="T624" i="1"/>
  <c r="G624" i="1"/>
  <c r="F624" i="1"/>
  <c r="U623" i="1"/>
  <c r="T623" i="1"/>
  <c r="G623" i="1"/>
  <c r="F623" i="1"/>
  <c r="U622" i="1"/>
  <c r="T622" i="1"/>
  <c r="G622" i="1"/>
  <c r="F622" i="1"/>
  <c r="U621" i="1"/>
  <c r="T621" i="1"/>
  <c r="G621" i="1"/>
  <c r="F621" i="1"/>
  <c r="U620" i="1"/>
  <c r="T620" i="1"/>
  <c r="G620" i="1"/>
  <c r="F620" i="1"/>
  <c r="U619" i="1"/>
  <c r="T619" i="1"/>
  <c r="G619" i="1"/>
  <c r="F619" i="1"/>
  <c r="U618" i="1"/>
  <c r="T618" i="1"/>
  <c r="G618" i="1"/>
  <c r="F618" i="1"/>
  <c r="U617" i="1"/>
  <c r="T617" i="1"/>
  <c r="G617" i="1"/>
  <c r="F617" i="1"/>
  <c r="U616" i="1"/>
  <c r="T616" i="1"/>
  <c r="G616" i="1"/>
  <c r="F616" i="1"/>
  <c r="U615" i="1"/>
  <c r="T615" i="1"/>
  <c r="G615" i="1"/>
  <c r="F615" i="1"/>
  <c r="U614" i="1"/>
  <c r="T614" i="1"/>
  <c r="G614" i="1"/>
  <c r="F614" i="1"/>
  <c r="U613" i="1"/>
  <c r="T613" i="1"/>
  <c r="G613" i="1"/>
  <c r="F613" i="1"/>
  <c r="U612" i="1"/>
  <c r="T612" i="1"/>
  <c r="G612" i="1"/>
  <c r="F612" i="1"/>
  <c r="U611" i="1"/>
  <c r="T611" i="1"/>
  <c r="G611" i="1"/>
  <c r="F611" i="1"/>
  <c r="U610" i="1"/>
  <c r="T610" i="1"/>
  <c r="G610" i="1"/>
  <c r="F610" i="1"/>
  <c r="U609" i="1"/>
  <c r="T609" i="1"/>
  <c r="G609" i="1"/>
  <c r="F609" i="1"/>
  <c r="U608" i="1"/>
  <c r="T608" i="1"/>
  <c r="G608" i="1"/>
  <c r="F608" i="1"/>
  <c r="U607" i="1"/>
  <c r="T607" i="1"/>
  <c r="G607" i="1"/>
  <c r="F607" i="1"/>
  <c r="U412" i="1"/>
  <c r="T412" i="1"/>
  <c r="G412" i="1"/>
  <c r="F412" i="1"/>
  <c r="U411" i="1"/>
  <c r="T411" i="1"/>
  <c r="G411" i="1"/>
  <c r="F411" i="1"/>
  <c r="U410" i="1"/>
  <c r="T410" i="1"/>
  <c r="G410" i="1"/>
  <c r="F410" i="1"/>
  <c r="U409" i="1"/>
  <c r="T409" i="1"/>
  <c r="G409" i="1"/>
  <c r="F409" i="1"/>
  <c r="U408" i="1"/>
  <c r="T408" i="1"/>
  <c r="G408" i="1"/>
  <c r="F408" i="1"/>
  <c r="U407" i="1"/>
  <c r="T407" i="1"/>
  <c r="G407" i="1"/>
  <c r="F407" i="1"/>
  <c r="U406" i="1"/>
  <c r="T406" i="1"/>
  <c r="G406" i="1"/>
  <c r="F406" i="1"/>
  <c r="U405" i="1"/>
  <c r="T405" i="1"/>
  <c r="G405" i="1"/>
  <c r="F405" i="1"/>
  <c r="U404" i="1"/>
  <c r="T404" i="1"/>
  <c r="G404" i="1"/>
  <c r="F404" i="1"/>
  <c r="U403" i="1"/>
  <c r="T403" i="1"/>
  <c r="G403" i="1"/>
  <c r="F403" i="1"/>
  <c r="U402" i="1"/>
  <c r="T402" i="1"/>
  <c r="G402" i="1"/>
  <c r="F402" i="1"/>
  <c r="U401" i="1"/>
  <c r="T401" i="1"/>
  <c r="G401" i="1"/>
  <c r="F401" i="1"/>
  <c r="U400" i="1"/>
  <c r="T400" i="1"/>
  <c r="G400" i="1"/>
  <c r="F400" i="1"/>
  <c r="U399" i="1"/>
  <c r="T399" i="1"/>
  <c r="G399" i="1"/>
  <c r="F399" i="1"/>
  <c r="U398" i="1"/>
  <c r="T398" i="1"/>
  <c r="G398" i="1"/>
  <c r="F398" i="1"/>
  <c r="U397" i="1"/>
  <c r="T397" i="1"/>
  <c r="G397" i="1"/>
  <c r="F397" i="1"/>
  <c r="U396" i="1"/>
  <c r="T396" i="1"/>
  <c r="G396" i="1"/>
  <c r="F396" i="1"/>
  <c r="U395" i="1"/>
  <c r="T395" i="1"/>
  <c r="G395" i="1"/>
  <c r="F395" i="1"/>
  <c r="U394" i="1"/>
  <c r="T394" i="1"/>
  <c r="G394" i="1"/>
  <c r="F394" i="1"/>
  <c r="U393" i="1"/>
  <c r="T393" i="1"/>
  <c r="G393" i="1"/>
  <c r="F393" i="1"/>
  <c r="U392" i="1"/>
  <c r="T392" i="1"/>
  <c r="G392" i="1"/>
  <c r="F392" i="1"/>
  <c r="U391" i="1"/>
  <c r="T391" i="1"/>
  <c r="G391" i="1"/>
  <c r="F391" i="1"/>
  <c r="U390" i="1"/>
  <c r="T390" i="1"/>
  <c r="G390" i="1"/>
  <c r="F390" i="1"/>
  <c r="U389" i="1"/>
  <c r="T389" i="1"/>
  <c r="G389" i="1"/>
  <c r="F389" i="1"/>
  <c r="U388" i="1"/>
  <c r="T388" i="1"/>
  <c r="G388" i="1"/>
  <c r="F388" i="1"/>
  <c r="U387" i="1"/>
  <c r="T387" i="1"/>
  <c r="G387" i="1"/>
  <c r="F387" i="1"/>
  <c r="U386" i="1"/>
  <c r="T386" i="1"/>
  <c r="G386" i="1"/>
  <c r="F386" i="1"/>
  <c r="U385" i="1"/>
  <c r="T385" i="1"/>
  <c r="G385" i="1"/>
  <c r="F385" i="1"/>
  <c r="U384" i="1"/>
  <c r="T384" i="1"/>
  <c r="G384" i="1"/>
  <c r="F384" i="1"/>
  <c r="U383" i="1"/>
  <c r="T383" i="1"/>
  <c r="G383" i="1"/>
  <c r="F383" i="1"/>
  <c r="U382" i="1"/>
  <c r="T382" i="1"/>
  <c r="G382" i="1"/>
  <c r="F382" i="1"/>
  <c r="U381" i="1"/>
  <c r="T381" i="1"/>
  <c r="G381" i="1"/>
  <c r="F381" i="1"/>
  <c r="U380" i="1"/>
  <c r="T380" i="1"/>
  <c r="G380" i="1"/>
  <c r="F380" i="1"/>
  <c r="U379" i="1"/>
  <c r="T379" i="1"/>
  <c r="G379" i="1"/>
  <c r="F379" i="1"/>
  <c r="U378" i="1"/>
  <c r="T378" i="1"/>
  <c r="G378" i="1"/>
  <c r="F378" i="1"/>
  <c r="U377" i="1"/>
  <c r="T377" i="1"/>
  <c r="G377" i="1"/>
  <c r="F377" i="1"/>
  <c r="U376" i="1"/>
  <c r="T376" i="1"/>
  <c r="G376" i="1"/>
  <c r="F376" i="1"/>
  <c r="U375" i="1"/>
  <c r="T375" i="1"/>
  <c r="G375" i="1"/>
  <c r="F375" i="1"/>
  <c r="U374" i="1"/>
  <c r="T374" i="1"/>
  <c r="G374" i="1"/>
  <c r="F374" i="1"/>
  <c r="U373" i="1"/>
  <c r="T373" i="1"/>
  <c r="G373" i="1"/>
  <c r="F373" i="1"/>
  <c r="U372" i="1"/>
  <c r="T372" i="1"/>
  <c r="G372" i="1"/>
  <c r="F372" i="1"/>
  <c r="U371" i="1"/>
  <c r="T371" i="1"/>
  <c r="G371" i="1"/>
  <c r="F371" i="1"/>
  <c r="U370" i="1"/>
  <c r="T370" i="1"/>
  <c r="G370" i="1"/>
  <c r="F370" i="1"/>
  <c r="U369" i="1"/>
  <c r="T369" i="1"/>
  <c r="G369" i="1"/>
  <c r="F369" i="1"/>
  <c r="U368" i="1"/>
  <c r="T368" i="1"/>
  <c r="G368" i="1"/>
  <c r="F368" i="1"/>
  <c r="U367" i="1"/>
  <c r="T367" i="1"/>
  <c r="G367" i="1"/>
  <c r="F367" i="1"/>
  <c r="U366" i="1"/>
  <c r="T366" i="1"/>
  <c r="G366" i="1"/>
  <c r="F366" i="1"/>
  <c r="U365" i="1"/>
  <c r="T365" i="1"/>
  <c r="G365" i="1"/>
  <c r="F365" i="1"/>
  <c r="U364" i="1"/>
  <c r="T364" i="1"/>
  <c r="G364" i="1"/>
  <c r="F364" i="1"/>
  <c r="U363" i="1"/>
  <c r="T363" i="1"/>
  <c r="G363" i="1"/>
  <c r="F363" i="1"/>
  <c r="U362" i="1"/>
  <c r="T362" i="1"/>
  <c r="G362" i="1"/>
  <c r="F362" i="1"/>
  <c r="U361" i="1"/>
  <c r="T361" i="1"/>
  <c r="G361" i="1"/>
  <c r="F361" i="1"/>
  <c r="U360" i="1"/>
  <c r="T360" i="1"/>
  <c r="G360" i="1"/>
  <c r="F360" i="1"/>
  <c r="U359" i="1"/>
  <c r="T359" i="1"/>
  <c r="G359" i="1"/>
  <c r="F359" i="1"/>
  <c r="U358" i="1"/>
  <c r="T358" i="1"/>
  <c r="G358" i="1"/>
  <c r="F358" i="1"/>
  <c r="U357" i="1"/>
  <c r="T357" i="1"/>
  <c r="G357" i="1"/>
  <c r="F357" i="1"/>
  <c r="U356" i="1"/>
  <c r="T356" i="1"/>
  <c r="G356" i="1"/>
  <c r="F356" i="1"/>
  <c r="U355" i="1"/>
  <c r="T355" i="1"/>
  <c r="G355" i="1"/>
  <c r="F355" i="1"/>
  <c r="U354" i="1"/>
  <c r="T354" i="1"/>
  <c r="G354" i="1"/>
  <c r="F354" i="1"/>
  <c r="U257" i="1"/>
  <c r="T257" i="1"/>
  <c r="G257" i="1"/>
  <c r="F257" i="1"/>
  <c r="U256" i="1"/>
  <c r="T256" i="1"/>
  <c r="G256" i="1"/>
  <c r="F256" i="1"/>
  <c r="U255" i="1"/>
  <c r="T255" i="1"/>
  <c r="G255" i="1"/>
  <c r="F255" i="1"/>
  <c r="U254" i="1"/>
  <c r="T254" i="1"/>
  <c r="G254" i="1"/>
  <c r="F254" i="1"/>
  <c r="U253" i="1"/>
  <c r="T253" i="1"/>
  <c r="G253" i="1"/>
  <c r="F253" i="1"/>
  <c r="U252" i="1"/>
  <c r="T252" i="1"/>
  <c r="G252" i="1"/>
  <c r="F252" i="1"/>
  <c r="U251" i="1"/>
  <c r="T251" i="1"/>
  <c r="G251" i="1"/>
  <c r="F251" i="1"/>
  <c r="U250" i="1"/>
  <c r="T250" i="1"/>
  <c r="G250" i="1"/>
  <c r="F250" i="1"/>
  <c r="U249" i="1"/>
  <c r="T249" i="1"/>
  <c r="G249" i="1"/>
  <c r="F249" i="1"/>
  <c r="U248" i="1"/>
  <c r="T248" i="1"/>
  <c r="G248" i="1"/>
  <c r="F248" i="1"/>
  <c r="U247" i="1"/>
  <c r="T247" i="1"/>
  <c r="G247" i="1"/>
  <c r="F247" i="1"/>
  <c r="U246" i="1"/>
  <c r="T246" i="1"/>
  <c r="G246" i="1"/>
  <c r="F246" i="1"/>
  <c r="U245" i="1"/>
  <c r="T245" i="1"/>
  <c r="G245" i="1"/>
  <c r="F245" i="1"/>
  <c r="U244" i="1"/>
  <c r="T244" i="1"/>
  <c r="G244" i="1"/>
  <c r="F244" i="1"/>
  <c r="U243" i="1"/>
  <c r="T243" i="1"/>
  <c r="G243" i="1"/>
  <c r="F243" i="1"/>
  <c r="U242" i="1"/>
  <c r="T242" i="1"/>
  <c r="G242" i="1"/>
  <c r="F242" i="1"/>
  <c r="U241" i="1"/>
  <c r="T241" i="1"/>
  <c r="G241" i="1"/>
  <c r="F241" i="1"/>
  <c r="U240" i="1"/>
  <c r="T240" i="1"/>
  <c r="G240" i="1"/>
  <c r="F240" i="1"/>
  <c r="U239" i="1"/>
  <c r="T239" i="1"/>
  <c r="G239" i="1"/>
  <c r="F239" i="1"/>
  <c r="U238" i="1"/>
  <c r="T238" i="1"/>
  <c r="G238" i="1"/>
  <c r="F238" i="1"/>
  <c r="U237" i="1"/>
  <c r="T237" i="1"/>
  <c r="G237" i="1"/>
  <c r="F237" i="1"/>
  <c r="U236" i="1"/>
  <c r="T236" i="1"/>
  <c r="G236" i="1"/>
  <c r="F236" i="1"/>
  <c r="U235" i="1"/>
  <c r="T235" i="1"/>
  <c r="G235" i="1"/>
  <c r="F235" i="1"/>
  <c r="U234" i="1"/>
  <c r="T234" i="1"/>
  <c r="G234" i="1"/>
  <c r="F234" i="1"/>
  <c r="U233" i="1"/>
  <c r="T233" i="1"/>
  <c r="G233" i="1"/>
  <c r="F233" i="1"/>
  <c r="U232" i="1"/>
  <c r="T232" i="1"/>
  <c r="G232" i="1"/>
  <c r="F232" i="1"/>
  <c r="U231" i="1"/>
  <c r="T231" i="1"/>
  <c r="G231" i="1"/>
  <c r="F231" i="1"/>
  <c r="U230" i="1"/>
  <c r="T230" i="1"/>
  <c r="G230" i="1"/>
  <c r="F230" i="1"/>
  <c r="U229" i="1"/>
  <c r="T229" i="1"/>
  <c r="G229" i="1"/>
  <c r="F229" i="1"/>
  <c r="U82" i="1"/>
  <c r="T82" i="1"/>
  <c r="G82" i="1"/>
  <c r="F82" i="1"/>
  <c r="U81" i="1"/>
  <c r="T81" i="1"/>
  <c r="G81" i="1"/>
  <c r="F81" i="1"/>
  <c r="U80" i="1"/>
  <c r="T80" i="1"/>
  <c r="G80" i="1"/>
  <c r="F80" i="1"/>
  <c r="U652" i="1" l="1"/>
  <c r="T652" i="1"/>
  <c r="G652" i="1"/>
  <c r="F652" i="1"/>
  <c r="U651" i="1"/>
  <c r="T651" i="1"/>
  <c r="P651" i="1"/>
  <c r="G651" i="1"/>
  <c r="F651" i="1"/>
  <c r="U650" i="1"/>
  <c r="T650" i="1"/>
  <c r="G650" i="1"/>
  <c r="F650" i="1"/>
  <c r="U649" i="1"/>
  <c r="T649" i="1"/>
  <c r="G649" i="1"/>
  <c r="F649" i="1"/>
  <c r="U648" i="1"/>
  <c r="T648" i="1"/>
  <c r="G648" i="1"/>
  <c r="F648" i="1"/>
  <c r="U647" i="1"/>
  <c r="T647" i="1"/>
  <c r="G647" i="1"/>
  <c r="F647" i="1"/>
  <c r="U646" i="1"/>
  <c r="T646" i="1"/>
  <c r="G646" i="1"/>
  <c r="F646" i="1"/>
  <c r="U645" i="1"/>
  <c r="T645" i="1"/>
  <c r="G645" i="1"/>
  <c r="F645" i="1"/>
  <c r="U644" i="1"/>
  <c r="T644" i="1"/>
  <c r="G644" i="1"/>
  <c r="F644" i="1"/>
  <c r="U643" i="1"/>
  <c r="T643" i="1"/>
  <c r="G643" i="1"/>
  <c r="F643" i="1"/>
  <c r="U642" i="1"/>
  <c r="T642" i="1"/>
  <c r="G642" i="1"/>
  <c r="F642" i="1"/>
  <c r="U641" i="1"/>
  <c r="T641" i="1"/>
  <c r="G641" i="1"/>
  <c r="F641" i="1"/>
  <c r="U640" i="1"/>
  <c r="T640" i="1"/>
  <c r="G640" i="1"/>
  <c r="F640" i="1"/>
  <c r="U639" i="1"/>
  <c r="T639" i="1"/>
  <c r="G639" i="1"/>
  <c r="F639" i="1"/>
  <c r="U638" i="1"/>
  <c r="T638" i="1"/>
  <c r="P638" i="1"/>
  <c r="G638" i="1"/>
  <c r="F638" i="1"/>
  <c r="U637" i="1"/>
  <c r="T637" i="1"/>
  <c r="P637" i="1"/>
  <c r="G637" i="1"/>
  <c r="F637" i="1"/>
  <c r="U636" i="1"/>
  <c r="T636" i="1"/>
  <c r="G636" i="1"/>
  <c r="F636" i="1"/>
  <c r="U635" i="1"/>
  <c r="T635" i="1"/>
  <c r="G635" i="1"/>
  <c r="F635" i="1"/>
  <c r="AD634" i="1"/>
  <c r="U634" i="1"/>
  <c r="T634" i="1"/>
  <c r="P634" i="1"/>
  <c r="G634" i="1"/>
  <c r="F634" i="1"/>
  <c r="U633" i="1"/>
  <c r="T633" i="1"/>
  <c r="G633" i="1"/>
  <c r="F633" i="1"/>
  <c r="U606" i="1"/>
  <c r="T606" i="1"/>
  <c r="G606" i="1"/>
  <c r="F606" i="1"/>
  <c r="U605" i="1"/>
  <c r="T605" i="1"/>
  <c r="G605" i="1"/>
  <c r="F605" i="1"/>
  <c r="U604" i="1"/>
  <c r="T604" i="1"/>
  <c r="G604" i="1"/>
  <c r="F604" i="1"/>
  <c r="U603" i="1"/>
  <c r="T603" i="1"/>
  <c r="G603" i="1"/>
  <c r="F603" i="1"/>
  <c r="U602" i="1"/>
  <c r="T602" i="1"/>
  <c r="G602" i="1"/>
  <c r="F602" i="1"/>
  <c r="U601" i="1"/>
  <c r="T601" i="1"/>
  <c r="G601" i="1"/>
  <c r="F601" i="1"/>
  <c r="U600" i="1"/>
  <c r="T600" i="1"/>
  <c r="G600" i="1"/>
  <c r="F600" i="1"/>
  <c r="U599" i="1"/>
  <c r="T599" i="1"/>
  <c r="G599" i="1"/>
  <c r="F599" i="1"/>
  <c r="U598" i="1"/>
  <c r="T598" i="1"/>
  <c r="G598" i="1"/>
  <c r="F598" i="1"/>
  <c r="U597" i="1"/>
  <c r="T597" i="1"/>
  <c r="G597" i="1"/>
  <c r="F597" i="1"/>
  <c r="U596" i="1"/>
  <c r="T596" i="1"/>
  <c r="G596" i="1"/>
  <c r="F596" i="1"/>
  <c r="U595" i="1"/>
  <c r="T595" i="1"/>
  <c r="G595" i="1"/>
  <c r="F595" i="1"/>
  <c r="U594" i="1"/>
  <c r="T594" i="1"/>
  <c r="G594" i="1"/>
  <c r="F594" i="1"/>
  <c r="U593" i="1"/>
  <c r="T593" i="1"/>
  <c r="G593" i="1"/>
  <c r="F593" i="1"/>
  <c r="U592" i="1"/>
  <c r="T592" i="1"/>
  <c r="G592" i="1"/>
  <c r="F592" i="1"/>
  <c r="U591" i="1"/>
  <c r="T591" i="1"/>
  <c r="G591" i="1"/>
  <c r="F591" i="1"/>
  <c r="U590" i="1"/>
  <c r="T590" i="1"/>
  <c r="G590" i="1"/>
  <c r="F590" i="1"/>
  <c r="U589" i="1"/>
  <c r="T589" i="1"/>
  <c r="G589" i="1"/>
  <c r="F589" i="1"/>
  <c r="U588" i="1"/>
  <c r="T588" i="1"/>
  <c r="G588" i="1"/>
  <c r="F588" i="1"/>
  <c r="U587" i="1"/>
  <c r="T587" i="1"/>
  <c r="G587" i="1"/>
  <c r="F587" i="1"/>
  <c r="U586" i="1"/>
  <c r="T586" i="1"/>
  <c r="G586" i="1"/>
  <c r="F586" i="1"/>
  <c r="U585" i="1"/>
  <c r="T585" i="1"/>
  <c r="G585" i="1"/>
  <c r="F585" i="1"/>
  <c r="U584" i="1"/>
  <c r="T584" i="1"/>
  <c r="G584" i="1"/>
  <c r="F584" i="1"/>
  <c r="U583" i="1"/>
  <c r="T583" i="1"/>
  <c r="G583" i="1"/>
  <c r="F583" i="1"/>
  <c r="U582" i="1"/>
  <c r="T582" i="1"/>
  <c r="G582" i="1"/>
  <c r="F582" i="1"/>
  <c r="U581" i="1"/>
  <c r="T581" i="1"/>
  <c r="G581" i="1"/>
  <c r="F581" i="1"/>
  <c r="U580" i="1"/>
  <c r="T580" i="1"/>
  <c r="G580" i="1"/>
  <c r="F580" i="1"/>
  <c r="U579" i="1"/>
  <c r="T579" i="1"/>
  <c r="G579" i="1"/>
  <c r="F579" i="1"/>
  <c r="U578" i="1"/>
  <c r="T578" i="1"/>
  <c r="G578" i="1"/>
  <c r="F578" i="1"/>
  <c r="U577" i="1"/>
  <c r="T577" i="1"/>
  <c r="G577" i="1"/>
  <c r="F577" i="1"/>
  <c r="U576" i="1"/>
  <c r="T576" i="1"/>
  <c r="G576" i="1"/>
  <c r="F576" i="1"/>
  <c r="U575" i="1"/>
  <c r="T575" i="1"/>
  <c r="G575" i="1"/>
  <c r="F575" i="1"/>
  <c r="U574" i="1"/>
  <c r="T574" i="1"/>
  <c r="G574" i="1"/>
  <c r="F574" i="1"/>
  <c r="U573" i="1"/>
  <c r="T573" i="1"/>
  <c r="G573" i="1"/>
  <c r="F573" i="1"/>
  <c r="U572" i="1"/>
  <c r="T572" i="1"/>
  <c r="G572" i="1"/>
  <c r="F572" i="1"/>
  <c r="U571" i="1"/>
  <c r="T571" i="1"/>
  <c r="G571" i="1"/>
  <c r="F571" i="1"/>
  <c r="U570" i="1"/>
  <c r="T570" i="1"/>
  <c r="G570" i="1"/>
  <c r="F570" i="1"/>
  <c r="U569" i="1"/>
  <c r="T569" i="1"/>
  <c r="G569" i="1"/>
  <c r="F569" i="1"/>
  <c r="U461" i="1"/>
  <c r="T461" i="1"/>
  <c r="G461" i="1"/>
  <c r="F461" i="1"/>
  <c r="U460" i="1"/>
  <c r="T460" i="1"/>
  <c r="G460" i="1"/>
  <c r="F460" i="1"/>
  <c r="U459" i="1"/>
  <c r="T459" i="1"/>
  <c r="G459" i="1"/>
  <c r="F459" i="1"/>
  <c r="U458" i="1"/>
  <c r="T458" i="1"/>
  <c r="G458" i="1"/>
  <c r="F458" i="1"/>
  <c r="U457" i="1"/>
  <c r="T457" i="1"/>
  <c r="G457" i="1"/>
  <c r="F457" i="1"/>
  <c r="U456" i="1"/>
  <c r="T456" i="1"/>
  <c r="G456" i="1"/>
  <c r="F456" i="1"/>
  <c r="U455" i="1"/>
  <c r="T455" i="1"/>
  <c r="G455" i="1"/>
  <c r="F455" i="1"/>
  <c r="U454" i="1"/>
  <c r="T454" i="1"/>
  <c r="G454" i="1"/>
  <c r="F454" i="1"/>
  <c r="U453" i="1"/>
  <c r="T453" i="1"/>
  <c r="G453" i="1"/>
  <c r="F453" i="1"/>
  <c r="U452" i="1"/>
  <c r="T452" i="1"/>
  <c r="G452" i="1"/>
  <c r="F452" i="1"/>
  <c r="U451" i="1"/>
  <c r="T451" i="1"/>
  <c r="G451" i="1"/>
  <c r="F451" i="1"/>
  <c r="U450" i="1"/>
  <c r="T450" i="1"/>
  <c r="G450" i="1"/>
  <c r="F450" i="1"/>
  <c r="U449" i="1"/>
  <c r="T449" i="1"/>
  <c r="G449" i="1"/>
  <c r="F449" i="1"/>
  <c r="U448" i="1"/>
  <c r="T448" i="1"/>
  <c r="G448" i="1"/>
  <c r="F448" i="1"/>
  <c r="U447" i="1"/>
  <c r="T447" i="1"/>
  <c r="G447" i="1"/>
  <c r="F447" i="1"/>
  <c r="U446" i="1"/>
  <c r="T446" i="1"/>
  <c r="G446" i="1"/>
  <c r="F446" i="1"/>
  <c r="U445" i="1"/>
  <c r="T445" i="1"/>
  <c r="G445" i="1"/>
  <c r="F445" i="1"/>
  <c r="U444" i="1"/>
  <c r="T444" i="1"/>
  <c r="G444" i="1"/>
  <c r="F444" i="1"/>
  <c r="U443" i="1"/>
  <c r="T443" i="1"/>
  <c r="G443" i="1"/>
  <c r="F443" i="1"/>
  <c r="U442" i="1"/>
  <c r="T442" i="1"/>
  <c r="G442" i="1"/>
  <c r="F442" i="1"/>
  <c r="U441" i="1"/>
  <c r="T441" i="1"/>
  <c r="G441" i="1"/>
  <c r="F441" i="1"/>
  <c r="U440" i="1"/>
  <c r="T440" i="1"/>
  <c r="G440" i="1"/>
  <c r="F440" i="1"/>
  <c r="U439" i="1"/>
  <c r="T439" i="1"/>
  <c r="G439" i="1"/>
  <c r="F439" i="1"/>
  <c r="U438" i="1"/>
  <c r="T438" i="1"/>
  <c r="G438" i="1"/>
  <c r="F438" i="1"/>
  <c r="U437" i="1"/>
  <c r="T437" i="1"/>
  <c r="G437" i="1"/>
  <c r="F437" i="1"/>
  <c r="U436" i="1"/>
  <c r="T436" i="1"/>
  <c r="G436" i="1"/>
  <c r="F436" i="1"/>
  <c r="U435" i="1"/>
  <c r="T435" i="1"/>
  <c r="G435" i="1"/>
  <c r="F435" i="1"/>
  <c r="U434" i="1"/>
  <c r="T434" i="1"/>
  <c r="G434" i="1"/>
  <c r="F434" i="1"/>
  <c r="U433" i="1"/>
  <c r="T433" i="1"/>
  <c r="G433" i="1"/>
  <c r="F433" i="1"/>
  <c r="U432" i="1"/>
  <c r="T432" i="1"/>
  <c r="G432" i="1"/>
  <c r="F432" i="1"/>
  <c r="U431" i="1"/>
  <c r="T431" i="1"/>
  <c r="G431" i="1"/>
  <c r="F431" i="1"/>
  <c r="U430" i="1"/>
  <c r="T430" i="1"/>
  <c r="G430" i="1"/>
  <c r="F430" i="1"/>
  <c r="U429" i="1"/>
  <c r="T429" i="1"/>
  <c r="G429" i="1"/>
  <c r="F429" i="1"/>
  <c r="U428" i="1"/>
  <c r="T428" i="1"/>
  <c r="G428" i="1"/>
  <c r="F428" i="1"/>
  <c r="U427" i="1"/>
  <c r="T427" i="1"/>
  <c r="G427" i="1"/>
  <c r="F427" i="1"/>
  <c r="U426" i="1"/>
  <c r="T426" i="1"/>
  <c r="G426" i="1"/>
  <c r="F426" i="1"/>
  <c r="U425" i="1"/>
  <c r="T425" i="1"/>
  <c r="G425" i="1"/>
  <c r="F425" i="1"/>
  <c r="U424" i="1"/>
  <c r="T424" i="1"/>
  <c r="G424" i="1"/>
  <c r="F424" i="1"/>
  <c r="U423" i="1"/>
  <c r="T423" i="1"/>
  <c r="G423" i="1"/>
  <c r="F423" i="1"/>
  <c r="U422" i="1"/>
  <c r="T422" i="1"/>
  <c r="G422" i="1"/>
  <c r="F422" i="1"/>
  <c r="U421" i="1"/>
  <c r="T421" i="1"/>
  <c r="G421" i="1"/>
  <c r="F421" i="1"/>
  <c r="U420" i="1"/>
  <c r="T420" i="1"/>
  <c r="G420" i="1"/>
  <c r="F420" i="1"/>
  <c r="U419" i="1"/>
  <c r="T419" i="1"/>
  <c r="G419" i="1"/>
  <c r="F419" i="1"/>
  <c r="U418" i="1"/>
  <c r="T418" i="1"/>
  <c r="G418" i="1"/>
  <c r="F418" i="1"/>
  <c r="U417" i="1"/>
  <c r="T417" i="1"/>
  <c r="G417" i="1"/>
  <c r="F417" i="1"/>
  <c r="U416" i="1"/>
  <c r="T416" i="1"/>
  <c r="G416" i="1"/>
  <c r="F416" i="1"/>
  <c r="U415" i="1"/>
  <c r="T415" i="1"/>
  <c r="G415" i="1"/>
  <c r="F415" i="1"/>
  <c r="U414" i="1"/>
  <c r="T414" i="1"/>
  <c r="G414" i="1"/>
  <c r="F414" i="1"/>
  <c r="U413" i="1"/>
  <c r="T413" i="1"/>
  <c r="G413" i="1"/>
  <c r="F413" i="1"/>
  <c r="U338" i="1"/>
  <c r="T338" i="1"/>
  <c r="G338" i="1"/>
  <c r="F338" i="1"/>
  <c r="U337" i="1"/>
  <c r="T337" i="1"/>
  <c r="G337" i="1"/>
  <c r="F337" i="1"/>
  <c r="U336" i="1"/>
  <c r="T336" i="1"/>
  <c r="G336" i="1"/>
  <c r="F336" i="1"/>
  <c r="U335" i="1"/>
  <c r="T335" i="1"/>
  <c r="G335" i="1"/>
  <c r="F335" i="1"/>
  <c r="U334" i="1"/>
  <c r="T334" i="1"/>
  <c r="G334" i="1"/>
  <c r="F334" i="1"/>
  <c r="U333" i="1"/>
  <c r="T333" i="1"/>
  <c r="G333" i="1"/>
  <c r="F333" i="1"/>
  <c r="U332" i="1"/>
  <c r="T332" i="1"/>
  <c r="G332" i="1"/>
  <c r="F332" i="1"/>
  <c r="U331" i="1"/>
  <c r="T331" i="1"/>
  <c r="G331" i="1"/>
  <c r="F331" i="1"/>
  <c r="U330" i="1"/>
  <c r="T330" i="1"/>
  <c r="G330" i="1"/>
  <c r="F330" i="1"/>
  <c r="U329" i="1"/>
  <c r="T329" i="1"/>
  <c r="G329" i="1"/>
  <c r="F329" i="1"/>
  <c r="U328" i="1"/>
  <c r="T328" i="1"/>
  <c r="G328" i="1"/>
  <c r="F328" i="1"/>
  <c r="U327" i="1"/>
  <c r="T327" i="1"/>
  <c r="G327" i="1"/>
  <c r="F327" i="1"/>
  <c r="U326" i="1"/>
  <c r="T326" i="1"/>
  <c r="G326" i="1"/>
  <c r="F326" i="1"/>
  <c r="U325" i="1"/>
  <c r="T325" i="1"/>
  <c r="G325" i="1"/>
  <c r="F325" i="1"/>
  <c r="U324" i="1"/>
  <c r="T324" i="1"/>
  <c r="G324" i="1"/>
  <c r="F324" i="1"/>
  <c r="U323" i="1"/>
  <c r="T323" i="1"/>
  <c r="G323" i="1"/>
  <c r="F323" i="1"/>
  <c r="U322" i="1"/>
  <c r="T322" i="1"/>
  <c r="G322" i="1"/>
  <c r="F322" i="1"/>
  <c r="U321" i="1"/>
  <c r="T321" i="1"/>
  <c r="G321" i="1"/>
  <c r="F321" i="1"/>
  <c r="U320" i="1"/>
  <c r="T320" i="1"/>
  <c r="G320" i="1"/>
  <c r="F320" i="1"/>
  <c r="U319" i="1"/>
  <c r="T319" i="1"/>
  <c r="G319" i="1"/>
  <c r="F319" i="1"/>
  <c r="U318" i="1"/>
  <c r="T318" i="1"/>
  <c r="G318" i="1"/>
  <c r="F318" i="1"/>
  <c r="U317" i="1"/>
  <c r="T317" i="1"/>
  <c r="G317" i="1"/>
  <c r="F317" i="1"/>
  <c r="U316" i="1"/>
  <c r="T316" i="1"/>
  <c r="G316" i="1"/>
  <c r="F316" i="1"/>
  <c r="U315" i="1"/>
  <c r="T315" i="1"/>
  <c r="G315" i="1"/>
  <c r="F315" i="1"/>
  <c r="U314" i="1"/>
  <c r="T314" i="1"/>
  <c r="G314" i="1"/>
  <c r="F314" i="1"/>
  <c r="U313" i="1"/>
  <c r="T313" i="1"/>
  <c r="G313" i="1"/>
  <c r="F313" i="1"/>
  <c r="U312" i="1"/>
  <c r="T312" i="1"/>
  <c r="G312" i="1"/>
  <c r="F312" i="1"/>
  <c r="U311" i="1"/>
  <c r="T311" i="1"/>
  <c r="G311" i="1"/>
  <c r="F311" i="1"/>
  <c r="U310" i="1"/>
  <c r="T310" i="1"/>
  <c r="G310" i="1"/>
  <c r="F310" i="1"/>
  <c r="U309" i="1"/>
  <c r="T309" i="1"/>
  <c r="G309" i="1"/>
  <c r="F309" i="1"/>
  <c r="U308" i="1"/>
  <c r="T308" i="1"/>
  <c r="G308" i="1"/>
  <c r="F308" i="1"/>
  <c r="U307" i="1"/>
  <c r="T307" i="1"/>
  <c r="G307" i="1"/>
  <c r="F307" i="1"/>
  <c r="U306" i="1"/>
  <c r="T306" i="1"/>
  <c r="G306" i="1"/>
  <c r="F306" i="1"/>
  <c r="U305" i="1"/>
  <c r="T305" i="1"/>
  <c r="G305" i="1"/>
  <c r="F305" i="1"/>
  <c r="U304" i="1"/>
  <c r="T304" i="1"/>
  <c r="G304" i="1"/>
  <c r="F304" i="1"/>
  <c r="U303" i="1"/>
  <c r="T303" i="1"/>
  <c r="G303" i="1"/>
  <c r="F303" i="1"/>
  <c r="U302" i="1"/>
  <c r="T302" i="1"/>
  <c r="G302" i="1"/>
  <c r="F302" i="1"/>
  <c r="U301" i="1"/>
  <c r="T301" i="1"/>
  <c r="G301" i="1"/>
  <c r="F301" i="1"/>
  <c r="U300" i="1"/>
  <c r="T300" i="1"/>
  <c r="G300" i="1"/>
  <c r="F300" i="1"/>
  <c r="U299" i="1"/>
  <c r="T299" i="1"/>
  <c r="G299" i="1"/>
  <c r="F299" i="1"/>
  <c r="U298" i="1"/>
  <c r="T298" i="1"/>
  <c r="G298" i="1"/>
  <c r="F298" i="1"/>
  <c r="U297" i="1"/>
  <c r="T297" i="1"/>
  <c r="G297" i="1"/>
  <c r="F297" i="1"/>
  <c r="U296" i="1"/>
  <c r="T296" i="1"/>
  <c r="G296" i="1"/>
  <c r="F296" i="1"/>
  <c r="U295" i="1"/>
  <c r="T295" i="1"/>
  <c r="G295" i="1"/>
  <c r="F295" i="1"/>
  <c r="U294" i="1"/>
  <c r="T294" i="1"/>
  <c r="G294" i="1"/>
  <c r="F294" i="1"/>
  <c r="U293" i="1"/>
  <c r="T293" i="1"/>
  <c r="G293" i="1"/>
  <c r="F293" i="1"/>
  <c r="U292" i="1"/>
  <c r="T292" i="1"/>
  <c r="G292" i="1"/>
  <c r="F292" i="1"/>
  <c r="U291" i="1"/>
  <c r="T291" i="1"/>
  <c r="G291" i="1"/>
  <c r="F291" i="1"/>
  <c r="U290" i="1"/>
  <c r="T290" i="1"/>
  <c r="G290" i="1"/>
  <c r="F290" i="1"/>
  <c r="U289" i="1"/>
  <c r="T289" i="1"/>
  <c r="G289" i="1"/>
  <c r="F289" i="1"/>
  <c r="U288" i="1"/>
  <c r="T288" i="1"/>
  <c r="G288" i="1"/>
  <c r="F288" i="1"/>
  <c r="U287" i="1"/>
  <c r="T287" i="1"/>
  <c r="G287" i="1"/>
  <c r="F287" i="1"/>
  <c r="U286" i="1"/>
  <c r="T286" i="1"/>
  <c r="G286" i="1"/>
  <c r="F286" i="1"/>
  <c r="U285" i="1"/>
  <c r="T285" i="1"/>
  <c r="G285" i="1"/>
  <c r="F285" i="1"/>
  <c r="U284" i="1"/>
  <c r="T284" i="1"/>
  <c r="G284" i="1"/>
  <c r="F284" i="1"/>
  <c r="U283" i="1"/>
  <c r="T283" i="1"/>
  <c r="G283" i="1"/>
  <c r="F283" i="1"/>
  <c r="U282" i="1"/>
  <c r="T282" i="1"/>
  <c r="G282" i="1"/>
  <c r="F282" i="1"/>
  <c r="U281" i="1"/>
  <c r="T281" i="1"/>
  <c r="G281" i="1"/>
  <c r="F281" i="1"/>
  <c r="U353" i="1" l="1"/>
  <c r="T353" i="1"/>
  <c r="G353" i="1"/>
  <c r="F353" i="1"/>
  <c r="U352" i="1"/>
  <c r="T352" i="1"/>
  <c r="G352" i="1"/>
  <c r="F352" i="1"/>
  <c r="U351" i="1"/>
  <c r="T351" i="1"/>
  <c r="G351" i="1"/>
  <c r="F351" i="1"/>
  <c r="U350" i="1"/>
  <c r="T350" i="1"/>
  <c r="G350" i="1"/>
  <c r="F350" i="1"/>
  <c r="U349" i="1"/>
  <c r="T349" i="1"/>
  <c r="G349" i="1"/>
  <c r="F349" i="1"/>
  <c r="U348" i="1"/>
  <c r="T348" i="1"/>
  <c r="G348" i="1"/>
  <c r="F348" i="1"/>
  <c r="U347" i="1"/>
  <c r="T347" i="1"/>
  <c r="G347" i="1"/>
  <c r="F347" i="1"/>
  <c r="U346" i="1"/>
  <c r="T346" i="1"/>
  <c r="G346" i="1"/>
  <c r="F346" i="1"/>
  <c r="U345" i="1"/>
  <c r="T345" i="1"/>
  <c r="G345" i="1"/>
  <c r="F345" i="1"/>
  <c r="U344" i="1"/>
  <c r="T344" i="1"/>
  <c r="G344" i="1"/>
  <c r="F344" i="1"/>
  <c r="U343" i="1"/>
  <c r="T343" i="1"/>
  <c r="G343" i="1"/>
  <c r="F343" i="1"/>
  <c r="U342" i="1"/>
  <c r="T342" i="1"/>
  <c r="G342" i="1"/>
  <c r="F342" i="1"/>
  <c r="U341" i="1"/>
  <c r="T341" i="1"/>
  <c r="G341" i="1"/>
  <c r="F341" i="1"/>
  <c r="U340" i="1"/>
  <c r="T340" i="1"/>
  <c r="G340" i="1"/>
  <c r="F340" i="1"/>
  <c r="U339" i="1"/>
  <c r="T339" i="1"/>
  <c r="G339" i="1"/>
  <c r="F339" i="1"/>
  <c r="U280" i="1"/>
  <c r="T280" i="1"/>
  <c r="G280" i="1"/>
  <c r="F280" i="1"/>
  <c r="U279" i="1"/>
  <c r="T279" i="1"/>
  <c r="G279" i="1"/>
  <c r="F279" i="1"/>
  <c r="U278" i="1"/>
  <c r="T278" i="1"/>
  <c r="G278" i="1"/>
  <c r="F278" i="1"/>
  <c r="U277" i="1"/>
  <c r="T277" i="1"/>
  <c r="G277" i="1"/>
  <c r="F277" i="1"/>
  <c r="U276" i="1"/>
  <c r="T276" i="1"/>
  <c r="G276" i="1"/>
  <c r="F276" i="1"/>
  <c r="U275" i="1"/>
  <c r="T275" i="1"/>
  <c r="G275" i="1"/>
  <c r="F275" i="1"/>
  <c r="U274" i="1"/>
  <c r="T274" i="1"/>
  <c r="G274" i="1"/>
  <c r="F274" i="1"/>
  <c r="U273" i="1"/>
  <c r="T273" i="1"/>
  <c r="G273" i="1"/>
  <c r="F273" i="1"/>
  <c r="U272" i="1"/>
  <c r="T272" i="1"/>
  <c r="G272" i="1"/>
  <c r="F272" i="1"/>
  <c r="U271" i="1"/>
  <c r="T271" i="1"/>
  <c r="G271" i="1"/>
  <c r="F271" i="1"/>
  <c r="U270" i="1"/>
  <c r="T270" i="1"/>
  <c r="G270" i="1"/>
  <c r="F270" i="1"/>
  <c r="U269" i="1"/>
  <c r="T269" i="1"/>
  <c r="G269" i="1"/>
  <c r="F269" i="1"/>
  <c r="U268" i="1"/>
  <c r="T268" i="1"/>
  <c r="G268" i="1"/>
  <c r="F268" i="1"/>
  <c r="U267" i="1"/>
  <c r="T267" i="1"/>
  <c r="G267" i="1"/>
  <c r="F267" i="1"/>
  <c r="U266" i="1"/>
  <c r="T266" i="1"/>
  <c r="G266" i="1"/>
  <c r="F266" i="1"/>
  <c r="U265" i="1"/>
  <c r="T265" i="1"/>
  <c r="G265" i="1"/>
  <c r="F265" i="1"/>
  <c r="U264" i="1"/>
  <c r="T264" i="1"/>
  <c r="G264" i="1"/>
  <c r="F264" i="1"/>
  <c r="U263" i="1"/>
  <c r="T263" i="1"/>
  <c r="G263" i="1"/>
  <c r="F263" i="1"/>
  <c r="U262" i="1"/>
  <c r="T262" i="1"/>
  <c r="G262" i="1"/>
  <c r="F262" i="1"/>
  <c r="U261" i="1"/>
  <c r="T261" i="1"/>
  <c r="G261" i="1"/>
  <c r="F261" i="1"/>
  <c r="U260" i="1"/>
  <c r="T260" i="1"/>
  <c r="G260" i="1"/>
  <c r="F260" i="1"/>
  <c r="U259" i="1"/>
  <c r="T259" i="1"/>
  <c r="G259" i="1"/>
  <c r="F259" i="1"/>
  <c r="U258" i="1"/>
  <c r="T258" i="1"/>
  <c r="G258" i="1"/>
  <c r="F258" i="1"/>
  <c r="U228" i="1"/>
  <c r="T228" i="1"/>
  <c r="G228" i="1"/>
  <c r="F228" i="1"/>
  <c r="U227" i="1"/>
  <c r="T227" i="1"/>
  <c r="G227" i="1"/>
  <c r="F227" i="1"/>
  <c r="U226" i="1"/>
  <c r="T226" i="1"/>
  <c r="G226" i="1"/>
  <c r="F226" i="1"/>
  <c r="U225" i="1"/>
  <c r="T225" i="1"/>
  <c r="G225" i="1"/>
  <c r="F225" i="1"/>
  <c r="U224" i="1"/>
  <c r="T224" i="1"/>
  <c r="G224" i="1"/>
  <c r="F224" i="1"/>
  <c r="U223" i="1"/>
  <c r="T223" i="1"/>
  <c r="G223" i="1"/>
  <c r="F223" i="1"/>
  <c r="U222" i="1"/>
  <c r="T222" i="1"/>
  <c r="G222" i="1"/>
  <c r="F222" i="1"/>
  <c r="U221" i="1"/>
  <c r="T221" i="1"/>
  <c r="G221" i="1"/>
  <c r="F221" i="1"/>
  <c r="U220" i="1"/>
  <c r="T220" i="1"/>
  <c r="G220" i="1"/>
  <c r="F220" i="1"/>
  <c r="U219" i="1"/>
  <c r="T219" i="1"/>
  <c r="G219" i="1"/>
  <c r="F219" i="1"/>
  <c r="U218" i="1"/>
  <c r="T218" i="1"/>
  <c r="G218" i="1"/>
  <c r="F218" i="1"/>
  <c r="U217" i="1"/>
  <c r="T217" i="1"/>
  <c r="G217" i="1"/>
  <c r="F217" i="1"/>
  <c r="U216" i="1"/>
  <c r="T216" i="1"/>
  <c r="G216" i="1"/>
  <c r="F216" i="1"/>
  <c r="U215" i="1"/>
  <c r="T215" i="1"/>
  <c r="G215" i="1"/>
  <c r="F215" i="1"/>
  <c r="U214" i="1"/>
  <c r="T214" i="1"/>
  <c r="G214" i="1"/>
  <c r="F214" i="1"/>
  <c r="U213" i="1"/>
  <c r="T213" i="1"/>
  <c r="G213" i="1"/>
  <c r="F213" i="1"/>
  <c r="U212" i="1"/>
  <c r="T212" i="1"/>
  <c r="G212" i="1"/>
  <c r="F212" i="1"/>
  <c r="U211" i="1"/>
  <c r="T211" i="1"/>
  <c r="G211" i="1"/>
  <c r="F211" i="1"/>
  <c r="U210" i="1"/>
  <c r="T210" i="1"/>
  <c r="G210" i="1"/>
  <c r="F210" i="1"/>
  <c r="U209" i="1"/>
  <c r="T209" i="1"/>
  <c r="G209" i="1"/>
  <c r="F209" i="1"/>
  <c r="U208" i="1"/>
  <c r="T208" i="1"/>
  <c r="G208" i="1"/>
  <c r="F208" i="1"/>
  <c r="U207" i="1"/>
  <c r="T207" i="1"/>
  <c r="G207" i="1"/>
  <c r="F207" i="1"/>
  <c r="U206" i="1"/>
  <c r="T206" i="1"/>
  <c r="G206" i="1"/>
  <c r="F206" i="1"/>
  <c r="U205" i="1"/>
  <c r="T205" i="1"/>
  <c r="G205" i="1"/>
  <c r="F205" i="1"/>
  <c r="U204" i="1"/>
  <c r="T204" i="1"/>
  <c r="G204" i="1"/>
  <c r="F204" i="1"/>
  <c r="U203" i="1"/>
  <c r="T203" i="1"/>
  <c r="G203" i="1"/>
  <c r="F203" i="1"/>
  <c r="U202" i="1"/>
  <c r="T202" i="1"/>
  <c r="G202" i="1"/>
  <c r="F202" i="1"/>
  <c r="U201" i="1"/>
  <c r="T201" i="1"/>
  <c r="G201" i="1"/>
  <c r="F201" i="1"/>
  <c r="U200" i="1"/>
  <c r="T200" i="1"/>
  <c r="G200" i="1"/>
  <c r="F200" i="1"/>
  <c r="U199" i="1"/>
  <c r="T199" i="1"/>
  <c r="G199" i="1"/>
  <c r="F199" i="1"/>
  <c r="U198" i="1"/>
  <c r="T198" i="1"/>
  <c r="G198" i="1"/>
  <c r="F198" i="1"/>
  <c r="U197" i="1"/>
  <c r="T197" i="1"/>
  <c r="G197" i="1"/>
  <c r="F197" i="1"/>
  <c r="U196" i="1"/>
  <c r="T196" i="1"/>
  <c r="G196" i="1"/>
  <c r="F196" i="1"/>
  <c r="U195" i="1"/>
  <c r="T195" i="1"/>
  <c r="G195" i="1"/>
  <c r="F195" i="1"/>
  <c r="U194" i="1"/>
  <c r="T194" i="1"/>
  <c r="G194" i="1"/>
  <c r="F194" i="1"/>
  <c r="U193" i="1"/>
  <c r="T193" i="1"/>
  <c r="G193" i="1"/>
  <c r="F193" i="1"/>
  <c r="U192" i="1"/>
  <c r="T192" i="1"/>
  <c r="G192" i="1"/>
  <c r="F192" i="1"/>
  <c r="U191" i="1"/>
  <c r="T191" i="1"/>
  <c r="G191" i="1"/>
  <c r="F191" i="1"/>
  <c r="U190" i="1"/>
  <c r="T190" i="1"/>
  <c r="G190" i="1"/>
  <c r="F190" i="1"/>
  <c r="U189" i="1"/>
  <c r="T189" i="1"/>
  <c r="G189" i="1"/>
  <c r="F189" i="1"/>
  <c r="U188" i="1"/>
  <c r="T188" i="1"/>
  <c r="G188" i="1"/>
  <c r="F188" i="1"/>
  <c r="U187" i="1"/>
  <c r="T187" i="1"/>
  <c r="G187" i="1"/>
  <c r="F187" i="1"/>
  <c r="U186" i="1"/>
  <c r="T186" i="1"/>
  <c r="G186" i="1"/>
  <c r="F186" i="1"/>
  <c r="U185" i="1"/>
  <c r="T185" i="1"/>
  <c r="G185" i="1"/>
  <c r="F185" i="1"/>
  <c r="U184" i="1"/>
  <c r="T184" i="1"/>
  <c r="G184" i="1"/>
  <c r="F184" i="1"/>
  <c r="U183" i="1"/>
  <c r="T183" i="1"/>
  <c r="G183" i="1"/>
  <c r="F183" i="1"/>
  <c r="U182" i="1"/>
  <c r="T182" i="1"/>
  <c r="G182" i="1"/>
  <c r="F182" i="1"/>
  <c r="U181" i="1"/>
  <c r="T181" i="1"/>
  <c r="G181" i="1"/>
  <c r="F181" i="1"/>
  <c r="U180" i="1"/>
  <c r="T180" i="1"/>
  <c r="G180" i="1"/>
  <c r="F180" i="1"/>
  <c r="U179" i="1"/>
  <c r="T179" i="1"/>
  <c r="G179" i="1"/>
  <c r="F179" i="1"/>
  <c r="U178" i="1"/>
  <c r="T178" i="1"/>
  <c r="G178" i="1"/>
  <c r="F178" i="1"/>
  <c r="U177" i="1"/>
  <c r="T177" i="1"/>
  <c r="G177" i="1"/>
  <c r="F177" i="1"/>
  <c r="U176" i="1"/>
  <c r="T176" i="1"/>
  <c r="G176" i="1"/>
  <c r="F176" i="1"/>
  <c r="U175" i="1"/>
  <c r="T175" i="1"/>
  <c r="G175" i="1"/>
  <c r="F175" i="1"/>
  <c r="U174" i="1"/>
  <c r="T174" i="1"/>
  <c r="G174" i="1"/>
  <c r="F174" i="1"/>
  <c r="U173" i="1"/>
  <c r="T173" i="1"/>
  <c r="G173" i="1"/>
  <c r="F173" i="1"/>
  <c r="U172" i="1"/>
  <c r="T172" i="1"/>
  <c r="G172" i="1"/>
  <c r="F172" i="1"/>
  <c r="U171" i="1"/>
  <c r="T171" i="1"/>
  <c r="G171" i="1"/>
  <c r="F171" i="1"/>
  <c r="U170" i="1"/>
  <c r="T170" i="1"/>
  <c r="G170" i="1"/>
  <c r="F170" i="1"/>
  <c r="U169" i="1"/>
  <c r="T169" i="1"/>
  <c r="G169" i="1"/>
  <c r="F169" i="1"/>
  <c r="U168" i="1"/>
  <c r="T168" i="1"/>
  <c r="G168" i="1"/>
  <c r="F168" i="1"/>
  <c r="U167" i="1"/>
  <c r="T167" i="1"/>
  <c r="G167" i="1"/>
  <c r="F167" i="1"/>
  <c r="U166" i="1"/>
  <c r="T166" i="1"/>
  <c r="G166" i="1"/>
  <c r="F166" i="1"/>
  <c r="U165" i="1"/>
  <c r="T165" i="1"/>
  <c r="G165" i="1"/>
  <c r="F165" i="1"/>
  <c r="U164" i="1"/>
  <c r="T164" i="1"/>
  <c r="G164" i="1"/>
  <c r="F164" i="1"/>
  <c r="U163" i="1"/>
  <c r="T163" i="1"/>
  <c r="G163" i="1"/>
  <c r="F163" i="1"/>
  <c r="U162" i="1"/>
  <c r="T162" i="1"/>
  <c r="G162" i="1"/>
  <c r="F162" i="1"/>
  <c r="U161" i="1"/>
  <c r="T161" i="1"/>
  <c r="G161" i="1"/>
  <c r="F161" i="1"/>
  <c r="U160" i="1"/>
  <c r="T160" i="1"/>
  <c r="G160" i="1"/>
  <c r="F160" i="1"/>
  <c r="U159" i="1"/>
  <c r="T159" i="1"/>
  <c r="G159" i="1"/>
  <c r="F159" i="1"/>
  <c r="U158" i="1"/>
  <c r="T158" i="1"/>
  <c r="G158" i="1"/>
  <c r="F158" i="1"/>
  <c r="U157" i="1"/>
  <c r="T157" i="1"/>
  <c r="G157" i="1"/>
  <c r="F157" i="1"/>
  <c r="U156" i="1"/>
  <c r="T156" i="1"/>
  <c r="G156" i="1"/>
  <c r="F156" i="1"/>
  <c r="U155" i="1"/>
  <c r="T155" i="1"/>
  <c r="G155" i="1"/>
  <c r="F155" i="1"/>
  <c r="U154" i="1"/>
  <c r="T154" i="1"/>
  <c r="G154" i="1"/>
  <c r="F154" i="1"/>
  <c r="U153" i="1"/>
  <c r="T153" i="1"/>
  <c r="G153" i="1"/>
  <c r="F153" i="1"/>
  <c r="U152" i="1"/>
  <c r="T152" i="1"/>
  <c r="G152" i="1"/>
  <c r="F152" i="1"/>
  <c r="T151" i="1"/>
  <c r="F151" i="1"/>
  <c r="T150" i="1"/>
  <c r="F150" i="1"/>
  <c r="T149" i="1"/>
  <c r="F149" i="1"/>
  <c r="T148" i="1"/>
  <c r="F148" i="1"/>
  <c r="T147" i="1"/>
  <c r="F147" i="1"/>
  <c r="T146" i="1"/>
  <c r="F146" i="1"/>
  <c r="T145" i="1"/>
  <c r="F145" i="1"/>
  <c r="T144" i="1"/>
  <c r="F144" i="1"/>
  <c r="T143" i="1"/>
  <c r="F143" i="1"/>
  <c r="T142" i="1"/>
  <c r="F142" i="1"/>
  <c r="T141" i="1"/>
  <c r="F141" i="1"/>
  <c r="T140" i="1"/>
  <c r="F140" i="1"/>
  <c r="T139" i="1"/>
  <c r="F139" i="1"/>
  <c r="T138" i="1"/>
  <c r="F138" i="1"/>
  <c r="T137" i="1"/>
  <c r="F137" i="1"/>
  <c r="T136" i="1"/>
  <c r="F136" i="1"/>
  <c r="T135" i="1"/>
  <c r="F135" i="1"/>
  <c r="T134" i="1"/>
  <c r="F134" i="1"/>
  <c r="T133" i="1"/>
  <c r="F133" i="1"/>
  <c r="T132" i="1"/>
  <c r="F132" i="1"/>
  <c r="T131" i="1"/>
  <c r="F131" i="1"/>
  <c r="T130" i="1"/>
  <c r="F130" i="1"/>
  <c r="T129" i="1"/>
  <c r="F129" i="1"/>
  <c r="T128" i="1"/>
  <c r="F128" i="1"/>
  <c r="T127" i="1"/>
  <c r="F127" i="1"/>
  <c r="T126" i="1"/>
  <c r="F126" i="1"/>
  <c r="T125" i="1"/>
  <c r="F125" i="1"/>
  <c r="T124" i="1"/>
  <c r="F124" i="1"/>
  <c r="T123" i="1"/>
  <c r="F123" i="1"/>
  <c r="T122" i="1"/>
  <c r="F122" i="1"/>
  <c r="U121" i="1"/>
  <c r="T121" i="1"/>
  <c r="F121" i="1"/>
  <c r="U120" i="1"/>
  <c r="T120" i="1"/>
  <c r="F120" i="1"/>
  <c r="U119" i="1"/>
  <c r="T119" i="1"/>
  <c r="F119" i="1"/>
  <c r="U118" i="1"/>
  <c r="T118" i="1"/>
  <c r="F118" i="1"/>
  <c r="U117" i="1"/>
  <c r="T117" i="1"/>
  <c r="F117" i="1"/>
  <c r="U116" i="1"/>
  <c r="T116" i="1"/>
  <c r="F116" i="1"/>
  <c r="U115" i="1"/>
  <c r="T115" i="1"/>
  <c r="F115" i="1"/>
  <c r="U114" i="1"/>
  <c r="T114" i="1"/>
  <c r="F114" i="1"/>
  <c r="U113" i="1"/>
  <c r="T113" i="1"/>
  <c r="F113" i="1"/>
  <c r="U112" i="1"/>
  <c r="T112" i="1"/>
  <c r="F112" i="1"/>
  <c r="U111" i="1"/>
  <c r="T111" i="1"/>
  <c r="F111" i="1"/>
  <c r="U110" i="1"/>
  <c r="T110" i="1"/>
  <c r="F110" i="1"/>
  <c r="U109" i="1"/>
  <c r="T109" i="1"/>
  <c r="F109" i="1"/>
  <c r="U108" i="1"/>
  <c r="T108" i="1"/>
  <c r="F108" i="1"/>
  <c r="U107" i="1"/>
  <c r="T107" i="1"/>
  <c r="F107" i="1"/>
  <c r="U106" i="1"/>
  <c r="T106" i="1"/>
  <c r="F106" i="1"/>
  <c r="U105" i="1"/>
  <c r="T105" i="1"/>
  <c r="F105" i="1"/>
  <c r="U104" i="1"/>
  <c r="T104" i="1"/>
  <c r="F104" i="1"/>
  <c r="U103" i="1"/>
  <c r="T103" i="1"/>
  <c r="F103" i="1"/>
  <c r="U102" i="1"/>
  <c r="T102" i="1"/>
  <c r="F102" i="1"/>
  <c r="U101" i="1"/>
  <c r="T101" i="1"/>
  <c r="F101" i="1"/>
  <c r="U100" i="1"/>
  <c r="T100" i="1"/>
  <c r="F100" i="1"/>
  <c r="U99" i="1"/>
  <c r="T99" i="1"/>
  <c r="F99" i="1"/>
  <c r="U98" i="1"/>
  <c r="T98" i="1"/>
  <c r="F98" i="1"/>
  <c r="U97" i="1"/>
  <c r="T97" i="1"/>
  <c r="F97" i="1"/>
  <c r="U96" i="1"/>
  <c r="T96" i="1"/>
  <c r="F96" i="1"/>
  <c r="U95" i="1"/>
  <c r="T95" i="1"/>
  <c r="F95" i="1"/>
  <c r="U94" i="1"/>
  <c r="T94" i="1"/>
  <c r="F94" i="1"/>
  <c r="U93" i="1"/>
  <c r="T93" i="1"/>
  <c r="G93" i="1"/>
  <c r="F93" i="1"/>
  <c r="U92" i="1"/>
  <c r="T92" i="1"/>
  <c r="G92" i="1"/>
  <c r="F92" i="1"/>
  <c r="U91" i="1"/>
  <c r="T91" i="1"/>
  <c r="G91" i="1"/>
  <c r="F91" i="1"/>
  <c r="U90" i="1"/>
  <c r="T90" i="1"/>
  <c r="G90" i="1"/>
  <c r="F90" i="1"/>
  <c r="U89" i="1"/>
  <c r="T89" i="1"/>
  <c r="G89" i="1"/>
  <c r="F89" i="1"/>
  <c r="U88" i="1"/>
  <c r="T88" i="1"/>
  <c r="G88" i="1"/>
  <c r="F88" i="1"/>
  <c r="U87" i="1"/>
  <c r="T87" i="1"/>
  <c r="G87" i="1"/>
  <c r="F87" i="1"/>
  <c r="U86" i="1"/>
  <c r="T86" i="1"/>
  <c r="G86" i="1"/>
  <c r="F86" i="1"/>
  <c r="U85" i="1"/>
  <c r="T85" i="1"/>
  <c r="G85" i="1"/>
  <c r="F85" i="1"/>
  <c r="U84" i="1"/>
  <c r="T84" i="1"/>
  <c r="G84" i="1"/>
  <c r="F84" i="1"/>
  <c r="U83" i="1"/>
  <c r="T83" i="1"/>
  <c r="G83" i="1"/>
  <c r="F83" i="1"/>
  <c r="U79" i="1"/>
  <c r="T79" i="1"/>
  <c r="G79" i="1"/>
  <c r="F79" i="1"/>
  <c r="U78" i="1"/>
  <c r="T78" i="1"/>
  <c r="G78" i="1"/>
  <c r="F78" i="1"/>
  <c r="U77" i="1"/>
  <c r="T77" i="1"/>
  <c r="G77" i="1"/>
  <c r="F77" i="1"/>
  <c r="U76" i="1"/>
  <c r="T76" i="1"/>
  <c r="G76" i="1"/>
  <c r="F76" i="1"/>
  <c r="U75" i="1"/>
  <c r="T75" i="1"/>
  <c r="G75" i="1"/>
  <c r="F75" i="1"/>
  <c r="U74" i="1"/>
  <c r="T74" i="1"/>
  <c r="G74" i="1"/>
  <c r="F74" i="1"/>
  <c r="U73" i="1"/>
  <c r="T73" i="1"/>
  <c r="G73" i="1"/>
  <c r="F73" i="1"/>
  <c r="U72" i="1"/>
  <c r="T72" i="1"/>
  <c r="G72" i="1"/>
  <c r="F72" i="1"/>
  <c r="U71" i="1"/>
  <c r="T71" i="1"/>
  <c r="G71" i="1"/>
  <c r="F71" i="1"/>
  <c r="U70" i="1"/>
  <c r="T70" i="1"/>
  <c r="G70" i="1"/>
  <c r="F70" i="1"/>
  <c r="U69" i="1"/>
  <c r="T69" i="1"/>
  <c r="G69" i="1"/>
  <c r="F69" i="1"/>
  <c r="U68" i="1"/>
  <c r="T68" i="1"/>
  <c r="G68" i="1"/>
  <c r="F68" i="1"/>
  <c r="U67" i="1"/>
  <c r="T67" i="1"/>
  <c r="G67" i="1"/>
  <c r="F67" i="1"/>
  <c r="U66" i="1"/>
  <c r="T66" i="1"/>
  <c r="G66" i="1"/>
  <c r="F66" i="1"/>
  <c r="U65" i="1"/>
  <c r="T65" i="1"/>
  <c r="G65" i="1"/>
  <c r="F65" i="1"/>
  <c r="U64" i="1"/>
  <c r="T64" i="1"/>
  <c r="G64" i="1"/>
  <c r="F64" i="1"/>
  <c r="U63" i="1"/>
  <c r="T63" i="1"/>
  <c r="G63" i="1"/>
  <c r="F63" i="1"/>
  <c r="U62" i="1"/>
  <c r="T62" i="1"/>
  <c r="G62" i="1"/>
  <c r="F62" i="1"/>
  <c r="U61" i="1"/>
  <c r="T61" i="1"/>
  <c r="G61" i="1"/>
  <c r="F61" i="1"/>
  <c r="U60" i="1"/>
  <c r="T60" i="1"/>
  <c r="G60" i="1"/>
  <c r="F60" i="1"/>
  <c r="U59" i="1"/>
  <c r="T59" i="1"/>
  <c r="G59" i="1"/>
  <c r="F59" i="1"/>
  <c r="U58" i="1"/>
  <c r="T58" i="1"/>
  <c r="G58" i="1"/>
  <c r="F58" i="1"/>
  <c r="U57" i="1"/>
  <c r="T57" i="1"/>
  <c r="G57" i="1"/>
  <c r="F57" i="1"/>
  <c r="U56" i="1"/>
  <c r="T56" i="1"/>
  <c r="G56" i="1"/>
  <c r="F56" i="1"/>
  <c r="U55" i="1"/>
  <c r="T55" i="1"/>
  <c r="G55" i="1"/>
  <c r="F55" i="1"/>
  <c r="U54" i="1"/>
  <c r="T54" i="1"/>
  <c r="G54" i="1"/>
  <c r="F54" i="1"/>
  <c r="U53" i="1"/>
  <c r="T53" i="1"/>
  <c r="G53" i="1"/>
  <c r="F53" i="1"/>
  <c r="U52" i="1"/>
  <c r="T52" i="1"/>
  <c r="G52" i="1"/>
  <c r="F52" i="1"/>
  <c r="U51" i="1"/>
  <c r="T51" i="1"/>
  <c r="G51" i="1"/>
  <c r="F51" i="1"/>
  <c r="U50" i="1"/>
  <c r="T50" i="1"/>
  <c r="G50" i="1"/>
  <c r="F50" i="1"/>
  <c r="U49" i="1"/>
  <c r="T49" i="1"/>
  <c r="G49" i="1"/>
  <c r="F49" i="1"/>
  <c r="U48" i="1"/>
  <c r="T48" i="1"/>
  <c r="G48" i="1"/>
  <c r="F48" i="1"/>
  <c r="U47" i="1"/>
  <c r="T47" i="1"/>
  <c r="G47" i="1"/>
  <c r="F47" i="1"/>
  <c r="T1" i="1"/>
  <c r="U1" i="1"/>
  <c r="F7" i="1"/>
  <c r="G7" i="1"/>
  <c r="T7" i="1"/>
  <c r="U7" i="1"/>
  <c r="F8" i="1"/>
  <c r="G8" i="1"/>
  <c r="T8" i="1"/>
  <c r="U8" i="1"/>
  <c r="F9" i="1"/>
  <c r="G9" i="1"/>
  <c r="T9" i="1"/>
  <c r="U9" i="1"/>
  <c r="F10" i="1"/>
  <c r="G10" i="1"/>
  <c r="T10" i="1"/>
  <c r="U10" i="1"/>
  <c r="F11" i="1"/>
  <c r="G11" i="1"/>
  <c r="T11" i="1"/>
  <c r="U11" i="1"/>
  <c r="F12" i="1"/>
  <c r="G12" i="1"/>
  <c r="T12" i="1"/>
  <c r="U12" i="1"/>
  <c r="F13" i="1"/>
  <c r="G13" i="1"/>
  <c r="T13" i="1"/>
  <c r="U13" i="1"/>
  <c r="F14" i="1"/>
  <c r="G14" i="1"/>
  <c r="T14" i="1"/>
  <c r="U14" i="1"/>
  <c r="F15" i="1"/>
  <c r="G15" i="1"/>
  <c r="T15" i="1"/>
  <c r="U15" i="1"/>
  <c r="F16" i="1"/>
  <c r="G16" i="1"/>
  <c r="T16" i="1"/>
  <c r="U16" i="1"/>
  <c r="F17" i="1"/>
  <c r="G17" i="1"/>
  <c r="T17" i="1"/>
  <c r="U17" i="1"/>
  <c r="F18" i="1"/>
  <c r="G18" i="1"/>
  <c r="T18" i="1"/>
  <c r="U18" i="1"/>
  <c r="F19" i="1"/>
  <c r="G19" i="1"/>
  <c r="T19" i="1"/>
  <c r="U19" i="1"/>
  <c r="F20" i="1"/>
  <c r="G20" i="1"/>
  <c r="T20" i="1"/>
  <c r="U20" i="1"/>
  <c r="F21" i="1"/>
  <c r="G21" i="1"/>
  <c r="T21" i="1"/>
  <c r="U21" i="1"/>
  <c r="F22" i="1"/>
  <c r="G22" i="1"/>
  <c r="T22" i="1"/>
  <c r="U22" i="1"/>
  <c r="F23" i="1"/>
  <c r="G23" i="1"/>
  <c r="T23" i="1"/>
  <c r="U23" i="1"/>
  <c r="F24" i="1"/>
  <c r="G24" i="1"/>
  <c r="T24" i="1"/>
  <c r="U24" i="1"/>
  <c r="F25" i="1"/>
  <c r="G25" i="1"/>
  <c r="T25" i="1"/>
  <c r="U25" i="1"/>
  <c r="F26" i="1"/>
  <c r="G26" i="1"/>
  <c r="T26" i="1"/>
  <c r="U26" i="1"/>
  <c r="F27" i="1"/>
  <c r="G27" i="1"/>
  <c r="T27" i="1"/>
  <c r="U27" i="1"/>
  <c r="F28" i="1"/>
  <c r="G28" i="1"/>
  <c r="T28" i="1"/>
  <c r="U28" i="1"/>
  <c r="F29" i="1"/>
  <c r="G29" i="1"/>
  <c r="T29" i="1"/>
  <c r="U29" i="1"/>
  <c r="F30" i="1"/>
  <c r="G30" i="1"/>
  <c r="T30" i="1"/>
  <c r="U30" i="1"/>
  <c r="F31" i="1"/>
  <c r="G31" i="1"/>
  <c r="T31" i="1"/>
  <c r="U31" i="1"/>
  <c r="F32" i="1"/>
  <c r="G32" i="1"/>
  <c r="T32" i="1"/>
  <c r="U32" i="1"/>
  <c r="F33" i="1"/>
  <c r="G33" i="1"/>
  <c r="T33" i="1"/>
  <c r="U33" i="1"/>
  <c r="F34" i="1"/>
  <c r="G34" i="1"/>
  <c r="T34" i="1"/>
  <c r="U34" i="1"/>
  <c r="F35" i="1"/>
  <c r="G35" i="1"/>
  <c r="T35" i="1"/>
  <c r="U35" i="1"/>
  <c r="F36" i="1"/>
  <c r="G36" i="1"/>
  <c r="T36" i="1"/>
  <c r="U36" i="1"/>
  <c r="F37" i="1"/>
  <c r="G37" i="1"/>
  <c r="T37" i="1"/>
  <c r="U37" i="1"/>
  <c r="F38" i="1"/>
  <c r="G38" i="1"/>
  <c r="T38" i="1"/>
  <c r="U38" i="1"/>
  <c r="F39" i="1"/>
  <c r="G39" i="1"/>
  <c r="T39" i="1"/>
  <c r="U39" i="1"/>
  <c r="F40" i="1"/>
  <c r="G40" i="1"/>
  <c r="T40" i="1"/>
  <c r="U40" i="1"/>
  <c r="F41" i="1"/>
  <c r="G41" i="1"/>
  <c r="T41" i="1"/>
  <c r="U41" i="1"/>
  <c r="F42" i="1"/>
  <c r="G42" i="1"/>
  <c r="T42" i="1"/>
  <c r="U42" i="1"/>
  <c r="F43" i="1"/>
  <c r="G43" i="1"/>
  <c r="T43" i="1"/>
  <c r="U43" i="1"/>
  <c r="F44" i="1"/>
  <c r="G44" i="1"/>
  <c r="T44" i="1"/>
  <c r="U44" i="1"/>
  <c r="F45" i="1"/>
  <c r="G45" i="1"/>
  <c r="T45" i="1"/>
  <c r="U45" i="1"/>
  <c r="F46" i="1"/>
  <c r="G46" i="1"/>
  <c r="T46" i="1"/>
  <c r="U46" i="1"/>
  <c r="G1" i="1"/>
  <c r="F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F59BCEF1-FBAF-470A-9B3E-27768BB8FA8A}">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28" authorId="0" shapeId="0" xr:uid="{0980EAFD-8504-470C-81B1-ECB714E52C9D}">
      <text>
        <r>
          <rPr>
            <b/>
            <sz val="9"/>
            <color indexed="81"/>
            <rFont val="Tahoma"/>
            <family val="2"/>
          </rPr>
          <t>jmarks:</t>
        </r>
        <r>
          <rPr>
            <sz val="9"/>
            <color indexed="81"/>
            <rFont val="Tahoma"/>
            <family val="2"/>
          </rPr>
          <t xml:space="preserve">
Note will need to be revised as there are more "15s" now.</t>
        </r>
      </text>
    </comment>
    <comment ref="I28" authorId="0" shapeId="0" xr:uid="{9AB8D65E-E564-4257-80B1-799BB92D10D9}">
      <text>
        <r>
          <rPr>
            <b/>
            <sz val="9"/>
            <color indexed="81"/>
            <rFont val="Tahoma"/>
            <family val="2"/>
          </rPr>
          <t>jmarks:</t>
        </r>
        <r>
          <rPr>
            <sz val="9"/>
            <color indexed="81"/>
            <rFont val="Tahoma"/>
            <family val="2"/>
          </rPr>
          <t xml:space="preserve">
Note will need to be revised as there are more "15s" now.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jmarks</author>
  </authors>
  <commentList>
    <comment ref="A1" authorId="0" shapeId="0" xr:uid="{30E5376B-AAFF-4F6C-9213-7C5EA3B0E324}">
      <text>
        <r>
          <rPr>
            <b/>
            <sz val="10"/>
            <color indexed="81"/>
            <rFont val="Tahoma"/>
            <family val="2"/>
          </rPr>
          <t>jmarks:</t>
        </r>
        <r>
          <rPr>
            <sz val="10"/>
            <color indexed="81"/>
            <rFont val="Tahoma"/>
            <family val="2"/>
          </rPr>
          <t xml:space="preserve">
This set of prior year tables are calculated based on institutional classification as of the current year.</t>
        </r>
      </text>
    </comment>
    <comment ref="A28" authorId="0" shapeId="0" xr:uid="{7C8750A9-15F4-4C37-A11C-E0838B837A99}">
      <text>
        <r>
          <rPr>
            <b/>
            <sz val="9"/>
            <color indexed="81"/>
            <rFont val="Tahoma"/>
            <family val="2"/>
          </rPr>
          <t>jmarks:</t>
        </r>
        <r>
          <rPr>
            <sz val="9"/>
            <color indexed="81"/>
            <rFont val="Tahoma"/>
            <family val="2"/>
          </rPr>
          <t xml:space="preserve">
Note will need to be revised as there are more "15s" now.</t>
        </r>
      </text>
    </comment>
    <comment ref="I28" authorId="0" shapeId="0" xr:uid="{BB44733D-C1DD-40C0-BC17-B6911ACC1E48}">
      <text>
        <r>
          <rPr>
            <b/>
            <sz val="9"/>
            <color indexed="81"/>
            <rFont val="Tahoma"/>
            <family val="2"/>
          </rPr>
          <t>jmarks:</t>
        </r>
        <r>
          <rPr>
            <sz val="9"/>
            <color indexed="81"/>
            <rFont val="Tahoma"/>
            <family val="2"/>
          </rPr>
          <t xml:space="preserve">
Note will need to be revised as there are more "15s" now.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mloverde</author>
    <author>Lisa Cowan</author>
    <author>JLM</author>
    <author>Lee, Cynthia M.</author>
    <author>Excel Validator</author>
    <author>mevilsiz</author>
    <author>jmarks</author>
  </authors>
  <commentList>
    <comment ref="F2" authorId="0" shapeId="0" xr:uid="{00000000-0006-0000-0000-000001000000}">
      <text>
        <r>
          <rPr>
            <b/>
            <sz val="11"/>
            <color rgb="FF000000"/>
            <rFont val="Tahoma"/>
            <family val="2"/>
          </rPr>
          <t>Five specialized schools ("15's") with significant e-learning offerings are included in this survey section: 
Southern Polytechnic State University, 
University of Maryland University College, 
North Carolina School of the Arts, 
Virginia Military Institute, and the 
West Virginia School of Osteopathic Medicine.
Other 15s should not be included without checking with Joe.</t>
        </r>
      </text>
    </comment>
    <comment ref="B82" authorId="1" shapeId="0" xr:uid="{00000000-0006-0000-0000-000002000000}">
      <text>
        <r>
          <rPr>
            <b/>
            <sz val="9"/>
            <color rgb="FF000000"/>
            <rFont val="Tahoma"/>
            <family val="2"/>
          </rPr>
          <t>Lisa Cowan:</t>
        </r>
        <r>
          <rPr>
            <sz val="9"/>
            <color rgb="FF000000"/>
            <rFont val="Tahoma"/>
            <family val="2"/>
          </rPr>
          <t xml:space="preserve">
All of the Delaware Tech Campuses are now being reported a single college under the Terry Campus.</t>
        </r>
      </text>
    </comment>
    <comment ref="A84" authorId="2" shapeId="0" xr:uid="{00000000-0006-0000-0000-000003000000}">
      <text>
        <r>
          <rPr>
            <b/>
            <sz val="10"/>
            <color rgb="FF000000"/>
            <rFont val="Tahoma"/>
            <family val="2"/>
          </rPr>
          <t>JLM:</t>
        </r>
        <r>
          <rPr>
            <sz val="10"/>
            <color rgb="FF000000"/>
            <rFont val="Tahoma"/>
            <family val="2"/>
          </rPr>
          <t xml:space="preserve">
Use 75% rule for e-learning.</t>
        </r>
      </text>
    </comment>
    <comment ref="B126" authorId="1" shapeId="0" xr:uid="{00000000-0006-0000-0000-000004000000}">
      <text>
        <r>
          <rPr>
            <b/>
            <sz val="9"/>
            <color rgb="FF000000"/>
            <rFont val="Tahoma"/>
            <family val="2"/>
          </rPr>
          <t>Lisa Cowan:</t>
        </r>
        <r>
          <rPr>
            <sz val="9"/>
            <color rgb="FF000000"/>
            <rFont val="Tahoma"/>
            <family val="2"/>
          </rPr>
          <t xml:space="preserve">
Merged with Southern Polytechnic State University Fall 2015.</t>
        </r>
      </text>
    </comment>
    <comment ref="C158" authorId="3" shapeId="0" xr:uid="{00000000-0006-0000-0000-000005000000}">
      <text>
        <r>
          <rPr>
            <b/>
            <sz val="8"/>
            <color rgb="FF000000"/>
            <rFont val="Tahoma"/>
            <family val="2"/>
          </rPr>
          <t>Lee, Cynthia M.:</t>
        </r>
        <r>
          <rPr>
            <sz val="8"/>
            <color rgb="FF000000"/>
            <rFont val="Tahoma"/>
            <family val="2"/>
          </rPr>
          <t xml:space="preserve">
Altamaha and Okefenokee merged in Fall 2014 to Coastal Pines Technical College
IPEDS # 485458</t>
        </r>
      </text>
    </comment>
    <comment ref="K174" authorId="4" shapeId="0" xr:uid="{00000000-0006-0000-0000-00000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74" authorId="4" shapeId="0" xr:uid="{00000000-0006-0000-0000-000007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Q174" authorId="4" shapeId="0" xr:uid="{00000000-0006-0000-0000-00000800000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Y174" authorId="4" shapeId="0" xr:uid="{00000000-0006-0000-0000-00000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D174" authorId="4" shapeId="0" xr:uid="{00000000-0006-0000-0000-00000A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E174" authorId="4" shapeId="0" xr:uid="{00000000-0006-0000-0000-00000B00000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K175" authorId="4" shapeId="0" xr:uid="{00000000-0006-0000-0000-00000C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75" authorId="4" shapeId="0" xr:uid="{00000000-0006-0000-0000-00000D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175" authorId="4" shapeId="0" xr:uid="{00000000-0006-0000-0000-00000E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Y175" authorId="4" shapeId="0" xr:uid="{00000000-0006-0000-0000-00000F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C175" authorId="4" shapeId="0" xr:uid="{00000000-0006-0000-0000-000010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76" authorId="4" shapeId="0" xr:uid="{00000000-0006-0000-0000-000011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Q176" authorId="4" shapeId="0" xr:uid="{00000000-0006-0000-0000-000012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Y176" authorId="4" shapeId="0" xr:uid="{00000000-0006-0000-0000-000013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AC176" authorId="4" shapeId="0" xr:uid="{00000000-0006-0000-0000-000014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D176" authorId="4" shapeId="0" xr:uid="{00000000-0006-0000-0000-000015000000}">
      <text>
        <r>
          <rPr>
            <sz val="8"/>
            <color rgb="FF000000"/>
            <rFont val="Tahoma"/>
            <family val="2"/>
          </rPr>
          <t xml:space="preserve">Severe Warning  AA009: Substancial Metric difference from prior year &gt;=100% </t>
        </r>
      </text>
    </comment>
    <comment ref="AE176" authorId="4" shapeId="0" xr:uid="{00000000-0006-0000-0000-00001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77" authorId="4" shapeId="0" xr:uid="{00000000-0006-0000-0000-000017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77" authorId="4" shapeId="0" xr:uid="{00000000-0006-0000-0000-000018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Y177" authorId="4" shapeId="0" xr:uid="{00000000-0006-0000-0000-00001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D177" authorId="4" shapeId="0" xr:uid="{00000000-0006-0000-0000-00001A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P178" authorId="4" shapeId="0" xr:uid="{00000000-0006-0000-0000-00001B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W178" authorId="4" shapeId="0" xr:uid="{00000000-0006-0000-0000-00001C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D178" authorId="4" shapeId="0" xr:uid="{00000000-0006-0000-0000-00001D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79" authorId="4" shapeId="0" xr:uid="{00000000-0006-0000-0000-00001E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79" authorId="4" shapeId="0" xr:uid="{00000000-0006-0000-0000-00001F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79" authorId="4" shapeId="0" xr:uid="{00000000-0006-0000-0000-000020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0" authorId="4" shapeId="0" xr:uid="{00000000-0006-0000-0000-000021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0" authorId="4" shapeId="0" xr:uid="{00000000-0006-0000-0000-000022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80" authorId="4" shapeId="0" xr:uid="{00000000-0006-0000-0000-000023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Q180" authorId="4" shapeId="0" xr:uid="{00000000-0006-0000-0000-000024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Y180" authorId="4" shapeId="0" xr:uid="{00000000-0006-0000-0000-000025000000}">
      <text>
        <r>
          <rPr>
            <sz val="8"/>
            <color rgb="FF000000"/>
            <rFont val="Tahoma"/>
            <family val="2"/>
          </rPr>
          <t xml:space="preserve">Severe Warning  AA009: Substancial Metric difference from prior year &gt;=100% </t>
        </r>
        <r>
          <rPr>
            <sz val="8"/>
            <color rgb="FF000000"/>
            <rFont val="Tahoma"/>
            <family val="2"/>
          </rPr>
          <t xml:space="preserve">Low Warning  AA006: Metric difference from prior year &gt;= 5% </t>
        </r>
      </text>
    </comment>
    <comment ref="AC180" authorId="4" shapeId="0" xr:uid="{00000000-0006-0000-0000-00002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D180" authorId="4" shapeId="0" xr:uid="{00000000-0006-0000-0000-000027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AE180" authorId="4" shapeId="0" xr:uid="{00000000-0006-0000-0000-000028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I181" authorId="4" shapeId="0" xr:uid="{00000000-0006-0000-0000-00002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1" authorId="4" shapeId="0" xr:uid="{00000000-0006-0000-0000-00002A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P181" authorId="4" shapeId="0" xr:uid="{00000000-0006-0000-0000-00002B00000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W181" authorId="4" shapeId="0" xr:uid="{00000000-0006-0000-0000-00002C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Y181" authorId="4" shapeId="0" xr:uid="{00000000-0006-0000-0000-00002D000000}">
      <text>
        <r>
          <rPr>
            <sz val="8"/>
            <color rgb="FF000000"/>
            <rFont val="Tahoma"/>
            <family val="2"/>
          </rPr>
          <t xml:space="preserve">Severe Warning  AA009: Substancial Metric difference from prior year &gt;=100% </t>
        </r>
      </text>
    </comment>
    <comment ref="AC181" authorId="4" shapeId="0" xr:uid="{00000000-0006-0000-0000-00002E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2" authorId="4" shapeId="0" xr:uid="{00000000-0006-0000-0000-00002F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2" authorId="4" shapeId="0" xr:uid="{00000000-0006-0000-0000-000030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3" authorId="4" shapeId="0" xr:uid="{00000000-0006-0000-0000-000031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3" authorId="4" shapeId="0" xr:uid="{00000000-0006-0000-0000-000032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3" authorId="4" shapeId="0" xr:uid="{00000000-0006-0000-0000-000033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4" authorId="4" shapeId="0" xr:uid="{00000000-0006-0000-0000-000034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4" authorId="4" shapeId="0" xr:uid="{00000000-0006-0000-0000-000035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4" authorId="4" shapeId="0" xr:uid="{00000000-0006-0000-0000-00003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5" authorId="4" shapeId="0" xr:uid="{00000000-0006-0000-0000-000037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5" authorId="4" shapeId="0" xr:uid="{00000000-0006-0000-0000-000038000000}">
      <text>
        <r>
          <rPr>
            <sz val="8"/>
            <color rgb="FF000000"/>
            <rFont val="Tahoma"/>
            <family val="2"/>
          </rPr>
          <t xml:space="preserve">Severe Warning  AA009: Substancial Metric difference from prior year &gt;=100% </t>
        </r>
        <r>
          <rPr>
            <sz val="8"/>
            <color rgb="FF000000"/>
            <rFont val="Tahoma"/>
            <family val="2"/>
          </rPr>
          <t xml:space="preserve">Severe Warning  AA009: Substancial Metric difference from prior year &gt;=100% </t>
        </r>
      </text>
    </comment>
    <comment ref="O185" authorId="4" shapeId="0" xr:uid="{00000000-0006-0000-0000-00003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6" authorId="4" shapeId="0" xr:uid="{00000000-0006-0000-0000-00003A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6" authorId="4" shapeId="0" xr:uid="{00000000-0006-0000-0000-00003B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6" authorId="4" shapeId="0" xr:uid="{00000000-0006-0000-0000-00003C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7" authorId="4" shapeId="0" xr:uid="{00000000-0006-0000-0000-00003D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7" authorId="4" shapeId="0" xr:uid="{00000000-0006-0000-0000-00003E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7" authorId="4" shapeId="0" xr:uid="{00000000-0006-0000-0000-00003F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8" authorId="4" shapeId="0" xr:uid="{00000000-0006-0000-0000-000040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8" authorId="4" shapeId="0" xr:uid="{00000000-0006-0000-0000-000041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88" authorId="4" shapeId="0" xr:uid="{00000000-0006-0000-0000-000042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89" authorId="4" shapeId="0" xr:uid="{00000000-0006-0000-0000-000043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89" authorId="4" shapeId="0" xr:uid="{00000000-0006-0000-0000-000044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0" authorId="4" shapeId="0" xr:uid="{00000000-0006-0000-0000-000045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0" authorId="4" shapeId="0" xr:uid="{00000000-0006-0000-0000-00004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1" authorId="4" shapeId="0" xr:uid="{00000000-0006-0000-0000-000047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1" authorId="4" shapeId="0" xr:uid="{00000000-0006-0000-0000-000048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1" authorId="4" shapeId="0" xr:uid="{00000000-0006-0000-0000-00004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2" authorId="4" shapeId="0" xr:uid="{00000000-0006-0000-0000-00004A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2" authorId="4" shapeId="0" xr:uid="{00000000-0006-0000-0000-00004B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2" authorId="4" shapeId="0" xr:uid="{00000000-0006-0000-0000-00004C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3" authorId="4" shapeId="0" xr:uid="{00000000-0006-0000-0000-00004D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3" authorId="4" shapeId="0" xr:uid="{00000000-0006-0000-0000-00004E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4" authorId="4" shapeId="0" xr:uid="{00000000-0006-0000-0000-00004F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4" authorId="4" shapeId="0" xr:uid="{00000000-0006-0000-0000-000050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5" authorId="4" shapeId="0" xr:uid="{00000000-0006-0000-0000-000051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5" authorId="4" shapeId="0" xr:uid="{00000000-0006-0000-0000-000052000000}">
      <text>
        <r>
          <rPr>
            <sz val="8"/>
            <color rgb="FF000000"/>
            <rFont val="Tahoma"/>
            <family val="2"/>
          </rPr>
          <t>Moderate Warning  AA008: Large Metric difference from prior year &gt;= 50%</t>
        </r>
        <r>
          <rPr>
            <sz val="8"/>
            <color rgb="FF000000"/>
            <rFont val="Tahoma"/>
            <family val="2"/>
          </rPr>
          <t>Moderate Warning  AA008: Large Metric difference from prior year &gt;= 50%</t>
        </r>
      </text>
    </comment>
    <comment ref="O195" authorId="4" shapeId="0" xr:uid="{00000000-0006-0000-0000-000053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I196" authorId="4" shapeId="0" xr:uid="{00000000-0006-0000-0000-000054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6" authorId="4" shapeId="0" xr:uid="{00000000-0006-0000-0000-000055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6" authorId="4" shapeId="0" xr:uid="{00000000-0006-0000-0000-000056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B197" authorId="5" shapeId="0" xr:uid="{00000000-0006-0000-0000-000057000000}">
      <text>
        <r>
          <rPr>
            <b/>
            <sz val="8"/>
            <color rgb="FF000000"/>
            <rFont val="Tahoma"/>
            <family val="2"/>
          </rPr>
          <t>mevilsiz:</t>
        </r>
        <r>
          <rPr>
            <sz val="8"/>
            <color rgb="FF000000"/>
            <rFont val="Tahoma"/>
            <family val="2"/>
          </rPr>
          <t xml:space="preserve">
Formerly Bowling Green Technical College</t>
        </r>
      </text>
    </comment>
    <comment ref="I197" authorId="4" shapeId="0" xr:uid="{00000000-0006-0000-0000-000058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K197" authorId="4" shapeId="0" xr:uid="{00000000-0006-0000-0000-000059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7" authorId="4" shapeId="0" xr:uid="{00000000-0006-0000-0000-00005A000000}">
      <text>
        <r>
          <rPr>
            <sz val="8"/>
            <color rgb="FF000000"/>
            <rFont val="Tahoma"/>
            <family val="2"/>
          </rPr>
          <t xml:space="preserve">Low Warning  AA006: Metric difference from prior year &gt;= 5% </t>
        </r>
        <r>
          <rPr>
            <sz val="8"/>
            <color rgb="FF000000"/>
            <rFont val="Tahoma"/>
            <family val="2"/>
          </rPr>
          <t xml:space="preserve">Low Warning  AA006: Metric difference from prior year &gt;= 5% </t>
        </r>
      </text>
    </comment>
    <comment ref="O198" authorId="4" shapeId="0" xr:uid="{00000000-0006-0000-0000-00005B000000}">
      <text>
        <r>
          <rPr>
            <sz val="8"/>
            <color rgb="FF000000"/>
            <rFont val="Tahoma"/>
            <family val="2"/>
          </rPr>
          <t>Moderate Warning  AA008: Large Metric difference from prior year &gt;= 50%</t>
        </r>
      </text>
    </comment>
    <comment ref="AC198" authorId="4" shapeId="0" xr:uid="{00000000-0006-0000-0000-00005C000000}">
      <text>
        <r>
          <rPr>
            <sz val="8"/>
            <color rgb="FF000000"/>
            <rFont val="Tahoma"/>
            <family val="2"/>
          </rPr>
          <t>Moderate Warning  AA008: Large Metric difference from prior year &gt;= 50%</t>
        </r>
      </text>
    </comment>
    <comment ref="I199" authorId="4" shapeId="0" xr:uid="{00000000-0006-0000-0000-00005D000000}">
      <text>
        <r>
          <rPr>
            <sz val="8"/>
            <color rgb="FF000000"/>
            <rFont val="Tahoma"/>
            <family val="2"/>
          </rPr>
          <t xml:space="preserve">Low Warning  AA006: Metric difference from prior year &gt;= 5% </t>
        </r>
      </text>
    </comment>
    <comment ref="O199" authorId="4" shapeId="0" xr:uid="{00000000-0006-0000-0000-00005E000000}">
      <text>
        <r>
          <rPr>
            <sz val="8"/>
            <color rgb="FF000000"/>
            <rFont val="Tahoma"/>
            <family val="2"/>
          </rPr>
          <t xml:space="preserve">Low Warning  AA006: Metric difference from prior year &gt;= 5% </t>
        </r>
      </text>
    </comment>
    <comment ref="W199" authorId="4" shapeId="0" xr:uid="{00000000-0006-0000-0000-00005F000000}">
      <text>
        <r>
          <rPr>
            <sz val="8"/>
            <color rgb="FF000000"/>
            <rFont val="Tahoma"/>
            <family val="2"/>
          </rPr>
          <t xml:space="preserve">Low Warning  AA006: Metric difference from prior year &gt;= 5% </t>
        </r>
      </text>
    </comment>
    <comment ref="AC199" authorId="4" shapeId="0" xr:uid="{00000000-0006-0000-0000-000060000000}">
      <text>
        <r>
          <rPr>
            <sz val="8"/>
            <color rgb="FF000000"/>
            <rFont val="Tahoma"/>
            <family val="2"/>
          </rPr>
          <t xml:space="preserve">Low Warning  AA006: Metric difference from prior year &gt;= 5% </t>
        </r>
      </text>
    </comment>
    <comment ref="W200" authorId="4" shapeId="0" xr:uid="{00000000-0006-0000-0000-000061000000}">
      <text>
        <r>
          <rPr>
            <sz val="8"/>
            <color rgb="FF000000"/>
            <rFont val="Tahoma"/>
            <family val="2"/>
          </rPr>
          <t xml:space="preserve">Low Warning  AA006: Metric difference from prior year &gt;= 5% </t>
        </r>
      </text>
    </comment>
    <comment ref="AC200" authorId="4" shapeId="0" xr:uid="{00000000-0006-0000-0000-000062000000}">
      <text>
        <r>
          <rPr>
            <sz val="8"/>
            <color rgb="FF000000"/>
            <rFont val="Tahoma"/>
            <family val="2"/>
          </rPr>
          <t xml:space="preserve">Low Warning  AA006: Metric difference from prior year &gt;= 5% </t>
        </r>
      </text>
    </comment>
    <comment ref="I201" authorId="4" shapeId="0" xr:uid="{00000000-0006-0000-0000-000063000000}">
      <text>
        <r>
          <rPr>
            <sz val="8"/>
            <color rgb="FF000000"/>
            <rFont val="Tahoma"/>
            <family val="2"/>
          </rPr>
          <t xml:space="preserve">Low Warning  AA006: Metric difference from prior year &gt;= 5% </t>
        </r>
      </text>
    </comment>
    <comment ref="W201" authorId="4" shapeId="0" xr:uid="{00000000-0006-0000-0000-000064000000}">
      <text>
        <r>
          <rPr>
            <sz val="8"/>
            <color rgb="FF000000"/>
            <rFont val="Tahoma"/>
            <family val="2"/>
          </rPr>
          <t xml:space="preserve">Low Warning  AA006: Metric difference from prior year &gt;= 5% </t>
        </r>
      </text>
    </comment>
    <comment ref="AC201" authorId="4" shapeId="0" xr:uid="{00000000-0006-0000-0000-000065000000}">
      <text>
        <r>
          <rPr>
            <sz val="8"/>
            <color rgb="FF000000"/>
            <rFont val="Tahoma"/>
            <family val="2"/>
          </rPr>
          <t xml:space="preserve">Low Warning  AA006: Metric difference from prior year &gt;= 5% </t>
        </r>
      </text>
    </comment>
    <comment ref="W202" authorId="4" shapeId="0" xr:uid="{00000000-0006-0000-0000-000066000000}">
      <text>
        <r>
          <rPr>
            <sz val="8"/>
            <color rgb="FF000000"/>
            <rFont val="Tahoma"/>
            <family val="2"/>
          </rPr>
          <t xml:space="preserve">Low Warning  AA006: Metric difference from prior year &gt;= 5% </t>
        </r>
      </text>
    </comment>
    <comment ref="O203" authorId="4" shapeId="0" xr:uid="{00000000-0006-0000-0000-000067000000}">
      <text>
        <r>
          <rPr>
            <sz val="8"/>
            <color rgb="FF000000"/>
            <rFont val="Tahoma"/>
            <family val="2"/>
          </rPr>
          <t xml:space="preserve">Low Warning  AA006: Metric difference from prior year &gt;= 5% </t>
        </r>
      </text>
    </comment>
    <comment ref="AC203" authorId="4" shapeId="0" xr:uid="{00000000-0006-0000-0000-000068000000}">
      <text>
        <r>
          <rPr>
            <sz val="8"/>
            <color rgb="FF000000"/>
            <rFont val="Tahoma"/>
            <family val="2"/>
          </rPr>
          <t xml:space="preserve">Low Warning  AA006: Metric difference from prior year &gt;= 5% </t>
        </r>
      </text>
    </comment>
    <comment ref="I204" authorId="4" shapeId="0" xr:uid="{00000000-0006-0000-0000-000069000000}">
      <text>
        <r>
          <rPr>
            <sz val="8"/>
            <color rgb="FF000000"/>
            <rFont val="Tahoma"/>
            <family val="2"/>
          </rPr>
          <t xml:space="preserve">Low Warning  AA006: Metric difference from prior year &gt;= 5% </t>
        </r>
      </text>
    </comment>
    <comment ref="O204" authorId="4" shapeId="0" xr:uid="{00000000-0006-0000-0000-00006A000000}">
      <text>
        <r>
          <rPr>
            <sz val="8"/>
            <color rgb="FF000000"/>
            <rFont val="Tahoma"/>
            <family val="2"/>
          </rPr>
          <t xml:space="preserve">Low Warning  AA006: Metric difference from prior year &gt;= 5% </t>
        </r>
      </text>
    </comment>
    <comment ref="W204" authorId="4" shapeId="0" xr:uid="{00000000-0006-0000-0000-00006B000000}">
      <text>
        <r>
          <rPr>
            <sz val="8"/>
            <color rgb="FF000000"/>
            <rFont val="Tahoma"/>
            <family val="2"/>
          </rPr>
          <t xml:space="preserve">Low Warning  AA006: Metric difference from prior year &gt;= 5% </t>
        </r>
      </text>
    </comment>
    <comment ref="AC204" authorId="4" shapeId="0" xr:uid="{00000000-0006-0000-0000-00006C000000}">
      <text>
        <r>
          <rPr>
            <sz val="8"/>
            <color rgb="FF000000"/>
            <rFont val="Tahoma"/>
            <family val="2"/>
          </rPr>
          <t xml:space="preserve">Low Warning  AA006: Metric difference from prior year &gt;= 5% </t>
        </r>
      </text>
    </comment>
    <comment ref="O205" authorId="4" shapeId="0" xr:uid="{00000000-0006-0000-0000-00006D000000}">
      <text>
        <r>
          <rPr>
            <sz val="8"/>
            <color rgb="FF000000"/>
            <rFont val="Tahoma"/>
            <family val="2"/>
          </rPr>
          <t xml:space="preserve">Severe Warning  AA009: Substancial Metric difference from prior year &gt;=100% </t>
        </r>
      </text>
    </comment>
    <comment ref="W205" authorId="4" shapeId="0" xr:uid="{00000000-0006-0000-0000-00006E000000}">
      <text>
        <r>
          <rPr>
            <sz val="8"/>
            <color rgb="FF000000"/>
            <rFont val="Tahoma"/>
            <family val="2"/>
          </rPr>
          <t xml:space="preserve">Low Warning  AA006: Metric difference from prior year &gt;= 5% </t>
        </r>
      </text>
    </comment>
    <comment ref="AC205" authorId="4" shapeId="0" xr:uid="{00000000-0006-0000-0000-00006F000000}">
      <text>
        <r>
          <rPr>
            <sz val="8"/>
            <color rgb="FF000000"/>
            <rFont val="Tahoma"/>
            <family val="2"/>
          </rPr>
          <t>Moderate Warning  AA008: Large Metric difference from prior year &gt;= 50%</t>
        </r>
      </text>
    </comment>
    <comment ref="I206" authorId="4" shapeId="0" xr:uid="{00000000-0006-0000-0000-000070000000}">
      <text>
        <r>
          <rPr>
            <sz val="8"/>
            <color rgb="FF000000"/>
            <rFont val="Tahoma"/>
            <family val="2"/>
          </rPr>
          <t xml:space="preserve">Low Warning  AA006: Metric difference from prior year &gt;= 5% </t>
        </r>
      </text>
    </comment>
    <comment ref="W206" authorId="4" shapeId="0" xr:uid="{00000000-0006-0000-0000-000071000000}">
      <text>
        <r>
          <rPr>
            <sz val="8"/>
            <color rgb="FF000000"/>
            <rFont val="Tahoma"/>
            <family val="2"/>
          </rPr>
          <t xml:space="preserve">Low Warning  AA006: Metric difference from prior year &gt;= 5% </t>
        </r>
      </text>
    </comment>
    <comment ref="AC206" authorId="4" shapeId="0" xr:uid="{00000000-0006-0000-0000-000072000000}">
      <text>
        <r>
          <rPr>
            <sz val="8"/>
            <color rgb="FF000000"/>
            <rFont val="Tahoma"/>
            <family val="2"/>
          </rPr>
          <t>Moderate Warning  AA008: Large Metric difference from prior year &gt;= 50%</t>
        </r>
      </text>
    </comment>
    <comment ref="I207" authorId="4" shapeId="0" xr:uid="{00000000-0006-0000-0000-000073000000}">
      <text>
        <r>
          <rPr>
            <sz val="8"/>
            <color rgb="FF000000"/>
            <rFont val="Tahoma"/>
            <family val="2"/>
          </rPr>
          <t xml:space="preserve">Low Warning  AA006: Metric difference from prior year &gt;= 5% </t>
        </r>
      </text>
    </comment>
    <comment ref="W207" authorId="4" shapeId="0" xr:uid="{00000000-0006-0000-0000-000074000000}">
      <text>
        <r>
          <rPr>
            <sz val="8"/>
            <color rgb="FF000000"/>
            <rFont val="Tahoma"/>
            <family val="2"/>
          </rPr>
          <t xml:space="preserve">Low Warning  AA006: Metric difference from prior year &gt;= 5% </t>
        </r>
      </text>
    </comment>
    <comment ref="AC207" authorId="4" shapeId="0" xr:uid="{00000000-0006-0000-0000-000075000000}">
      <text>
        <r>
          <rPr>
            <sz val="8"/>
            <color rgb="FF000000"/>
            <rFont val="Tahoma"/>
            <family val="2"/>
          </rPr>
          <t xml:space="preserve">Low Warning  AA006: Metric difference from prior year &gt;= 5% </t>
        </r>
      </text>
    </comment>
    <comment ref="W208" authorId="4" shapeId="0" xr:uid="{00000000-0006-0000-0000-000076000000}">
      <text>
        <r>
          <rPr>
            <sz val="8"/>
            <color rgb="FF000000"/>
            <rFont val="Tahoma"/>
            <family val="2"/>
          </rPr>
          <t xml:space="preserve">Low Warning  AA006: Metric difference from prior year &gt;= 5% </t>
        </r>
      </text>
    </comment>
    <comment ref="I209" authorId="4" shapeId="0" xr:uid="{00000000-0006-0000-0000-000077000000}">
      <text>
        <r>
          <rPr>
            <sz val="8"/>
            <color rgb="FF000000"/>
            <rFont val="Tahoma"/>
            <family val="2"/>
          </rPr>
          <t xml:space="preserve">Low Warning  AA006: Metric difference from prior year &gt;= 5% </t>
        </r>
      </text>
    </comment>
    <comment ref="O209" authorId="4" shapeId="0" xr:uid="{00000000-0006-0000-0000-000078000000}">
      <text>
        <r>
          <rPr>
            <sz val="8"/>
            <color rgb="FF000000"/>
            <rFont val="Tahoma"/>
            <family val="2"/>
          </rPr>
          <t xml:space="preserve">Low Warning  AA006: Metric difference from prior year &gt;= 5% </t>
        </r>
      </text>
    </comment>
    <comment ref="W209" authorId="4" shapeId="0" xr:uid="{00000000-0006-0000-0000-000079000000}">
      <text>
        <r>
          <rPr>
            <sz val="8"/>
            <color rgb="FF000000"/>
            <rFont val="Tahoma"/>
            <family val="2"/>
          </rPr>
          <t xml:space="preserve">Low Warning  AA006: Metric difference from prior year &gt;= 5% </t>
        </r>
      </text>
    </comment>
    <comment ref="AC209" authorId="4" shapeId="0" xr:uid="{00000000-0006-0000-0000-00007A000000}">
      <text>
        <r>
          <rPr>
            <sz val="8"/>
            <color rgb="FF000000"/>
            <rFont val="Tahoma"/>
            <family val="2"/>
          </rPr>
          <t xml:space="preserve">Low Warning  AA006: Metric difference from prior year &gt;= 5% </t>
        </r>
      </text>
    </comment>
    <comment ref="I210" authorId="4" shapeId="0" xr:uid="{00000000-0006-0000-0000-00007B000000}">
      <text>
        <r>
          <rPr>
            <sz val="8"/>
            <color rgb="FF000000"/>
            <rFont val="Tahoma"/>
            <family val="2"/>
          </rPr>
          <t xml:space="preserve">Low Warning  AA006: Metric difference from prior year &gt;= 5% </t>
        </r>
      </text>
    </comment>
    <comment ref="O210" authorId="4" shapeId="0" xr:uid="{00000000-0006-0000-0000-00007C000000}">
      <text>
        <r>
          <rPr>
            <sz val="8"/>
            <color rgb="FF000000"/>
            <rFont val="Tahoma"/>
            <family val="2"/>
          </rPr>
          <t xml:space="preserve">Low Warning  AA006: Metric difference from prior year &gt;= 5% </t>
        </r>
      </text>
    </comment>
    <comment ref="W210" authorId="4" shapeId="0" xr:uid="{00000000-0006-0000-0000-00007D000000}">
      <text>
        <r>
          <rPr>
            <sz val="8"/>
            <color rgb="FF000000"/>
            <rFont val="Tahoma"/>
            <family val="2"/>
          </rPr>
          <t xml:space="preserve">Severe Warning  AA009: Substancial Metric difference from prior year &gt;=100% </t>
        </r>
      </text>
    </comment>
    <comment ref="AC210" authorId="4" shapeId="0" xr:uid="{00000000-0006-0000-0000-00007E000000}">
      <text>
        <r>
          <rPr>
            <sz val="8"/>
            <color rgb="FF000000"/>
            <rFont val="Tahoma"/>
            <family val="2"/>
          </rPr>
          <t xml:space="preserve">Severe Warning  AA009: Substancial Metric difference from prior year &gt;=100% </t>
        </r>
      </text>
    </comment>
    <comment ref="I211" authorId="4" shapeId="0" xr:uid="{00000000-0006-0000-0000-00007F000000}">
      <text>
        <r>
          <rPr>
            <sz val="8"/>
            <color rgb="FF000000"/>
            <rFont val="Tahoma"/>
            <family val="2"/>
          </rPr>
          <t xml:space="preserve">Low Warning  AA006: Metric difference from prior year &gt;= 5% </t>
        </r>
      </text>
    </comment>
    <comment ref="O211" authorId="4" shapeId="0" xr:uid="{00000000-0006-0000-0000-000080000000}">
      <text>
        <r>
          <rPr>
            <sz val="8"/>
            <color rgb="FF000000"/>
            <rFont val="Tahoma"/>
            <family val="2"/>
          </rPr>
          <t xml:space="preserve">Low Warning  AA006: Metric difference from prior year &gt;= 5% </t>
        </r>
      </text>
    </comment>
    <comment ref="I212" authorId="4" shapeId="0" xr:uid="{00000000-0006-0000-0000-000081000000}">
      <text>
        <r>
          <rPr>
            <sz val="8"/>
            <color rgb="FF000000"/>
            <rFont val="Tahoma"/>
            <family val="2"/>
          </rPr>
          <t xml:space="preserve">Low Warning  AA006: Metric difference from prior year &gt;= 5% </t>
        </r>
      </text>
    </comment>
    <comment ref="O212" authorId="4" shapeId="0" xr:uid="{00000000-0006-0000-0000-000082000000}">
      <text>
        <r>
          <rPr>
            <sz val="8"/>
            <color rgb="FF000000"/>
            <rFont val="Tahoma"/>
            <family val="2"/>
          </rPr>
          <t xml:space="preserve">Low Warning  AA006: Metric difference from prior year &gt;= 5% </t>
        </r>
      </text>
    </comment>
    <comment ref="I213" authorId="4" shapeId="0" xr:uid="{00000000-0006-0000-0000-000083000000}">
      <text>
        <r>
          <rPr>
            <sz val="8"/>
            <color rgb="FF000000"/>
            <rFont val="Tahoma"/>
            <family val="2"/>
          </rPr>
          <t xml:space="preserve">Low Warning  AA006: Metric difference from prior year &gt;= 5% </t>
        </r>
      </text>
    </comment>
    <comment ref="O213" authorId="4" shapeId="0" xr:uid="{00000000-0006-0000-0000-000084000000}">
      <text>
        <r>
          <rPr>
            <sz val="8"/>
            <color rgb="FF000000"/>
            <rFont val="Tahoma"/>
            <family val="2"/>
          </rPr>
          <t xml:space="preserve">Low Warning  AA006: Metric difference from prior year &gt;= 5% </t>
        </r>
      </text>
    </comment>
    <comment ref="I214" authorId="4" shapeId="0" xr:uid="{00000000-0006-0000-0000-000085000000}">
      <text>
        <r>
          <rPr>
            <sz val="8"/>
            <color rgb="FF000000"/>
            <rFont val="Tahoma"/>
            <family val="2"/>
          </rPr>
          <t xml:space="preserve">Low Warning  AA006: Metric difference from prior year &gt;= 5% </t>
        </r>
      </text>
    </comment>
    <comment ref="I215" authorId="4" shapeId="0" xr:uid="{00000000-0006-0000-0000-000086000000}">
      <text>
        <r>
          <rPr>
            <sz val="8"/>
            <color rgb="FF000000"/>
            <rFont val="Tahoma"/>
            <family val="2"/>
          </rPr>
          <t xml:space="preserve">Low Warning  AA006: Metric difference from prior year &gt;= 5% </t>
        </r>
      </text>
    </comment>
    <comment ref="O215" authorId="4" shapeId="0" xr:uid="{00000000-0006-0000-0000-000087000000}">
      <text>
        <r>
          <rPr>
            <sz val="8"/>
            <color rgb="FF000000"/>
            <rFont val="Tahoma"/>
            <family val="2"/>
          </rPr>
          <t xml:space="preserve">Low Warning  AA006: Metric difference from prior year &gt;= 5% </t>
        </r>
      </text>
    </comment>
    <comment ref="I216" authorId="4" shapeId="0" xr:uid="{00000000-0006-0000-0000-000088000000}">
      <text>
        <r>
          <rPr>
            <sz val="8"/>
            <color rgb="FF000000"/>
            <rFont val="Tahoma"/>
            <family val="2"/>
          </rPr>
          <t xml:space="preserve">Low Warning  AA006: Metric difference from prior year &gt;= 5% </t>
        </r>
      </text>
    </comment>
    <comment ref="O216" authorId="4" shapeId="0" xr:uid="{00000000-0006-0000-0000-000089000000}">
      <text>
        <r>
          <rPr>
            <sz val="8"/>
            <color rgb="FF000000"/>
            <rFont val="Tahoma"/>
            <family val="2"/>
          </rPr>
          <t>Moderate Warning  AA008: Large Metric difference from prior year &gt;= 50%</t>
        </r>
      </text>
    </comment>
    <comment ref="O217" authorId="4" shapeId="0" xr:uid="{00000000-0006-0000-0000-00008A000000}">
      <text>
        <r>
          <rPr>
            <sz val="8"/>
            <color rgb="FF000000"/>
            <rFont val="Tahoma"/>
            <family val="2"/>
          </rPr>
          <t xml:space="preserve">Low Warning  AA006: Metric difference from prior year &gt;= 5% </t>
        </r>
      </text>
    </comment>
    <comment ref="I218" authorId="4" shapeId="0" xr:uid="{00000000-0006-0000-0000-00008B000000}">
      <text>
        <r>
          <rPr>
            <sz val="8"/>
            <color rgb="FF000000"/>
            <rFont val="Tahoma"/>
            <family val="2"/>
          </rPr>
          <t xml:space="preserve">Low Warning  AA006: Metric difference from prior year &gt;= 5% </t>
        </r>
      </text>
    </comment>
    <comment ref="O218" authorId="4" shapeId="0" xr:uid="{00000000-0006-0000-0000-00008C000000}">
      <text>
        <r>
          <rPr>
            <sz val="8"/>
            <color rgb="FF000000"/>
            <rFont val="Tahoma"/>
            <family val="2"/>
          </rPr>
          <t xml:space="preserve">Low Warning  AA006: Metric difference from prior year &gt;= 5% </t>
        </r>
      </text>
    </comment>
    <comment ref="I219" authorId="4" shapeId="0" xr:uid="{00000000-0006-0000-0000-00008D000000}">
      <text>
        <r>
          <rPr>
            <sz val="8"/>
            <color rgb="FF000000"/>
            <rFont val="Tahoma"/>
            <family val="2"/>
          </rPr>
          <t xml:space="preserve">Low Warning  AA006: Metric difference from prior year &gt;= 5% </t>
        </r>
      </text>
    </comment>
    <comment ref="O219" authorId="4" shapeId="0" xr:uid="{00000000-0006-0000-0000-00008E000000}">
      <text>
        <r>
          <rPr>
            <sz val="8"/>
            <color rgb="FF000000"/>
            <rFont val="Tahoma"/>
            <family val="2"/>
          </rPr>
          <t xml:space="preserve">Low Warning  AA006: Metric difference from prior year &gt;= 5% </t>
        </r>
      </text>
    </comment>
    <comment ref="O220" authorId="4" shapeId="0" xr:uid="{00000000-0006-0000-0000-00008F000000}">
      <text>
        <r>
          <rPr>
            <sz val="8"/>
            <color rgb="FF000000"/>
            <rFont val="Tahoma"/>
            <family val="2"/>
          </rPr>
          <t xml:space="preserve">Low Warning  AA006: Metric difference from prior year &gt;= 5% </t>
        </r>
      </text>
    </comment>
    <comment ref="I221" authorId="4" shapeId="0" xr:uid="{00000000-0006-0000-0000-000090000000}">
      <text>
        <r>
          <rPr>
            <sz val="8"/>
            <color rgb="FF000000"/>
            <rFont val="Tahoma"/>
            <family val="2"/>
          </rPr>
          <t xml:space="preserve">Low Warning  AA006: Metric difference from prior year &gt;= 5% </t>
        </r>
      </text>
    </comment>
    <comment ref="O221" authorId="4" shapeId="0" xr:uid="{00000000-0006-0000-0000-000091000000}">
      <text>
        <r>
          <rPr>
            <sz val="8"/>
            <color rgb="FF000000"/>
            <rFont val="Tahoma"/>
            <family val="2"/>
          </rPr>
          <t xml:space="preserve">Low Warning  AA006: Metric difference from prior year &gt;= 5% </t>
        </r>
      </text>
    </comment>
    <comment ref="I222" authorId="4" shapeId="0" xr:uid="{00000000-0006-0000-0000-000092000000}">
      <text>
        <r>
          <rPr>
            <sz val="8"/>
            <color rgb="FF000000"/>
            <rFont val="Tahoma"/>
            <family val="2"/>
          </rPr>
          <t xml:space="preserve">Low Warning  AA006: Metric difference from prior year &gt;= 5% </t>
        </r>
      </text>
    </comment>
    <comment ref="O222" authorId="4" shapeId="0" xr:uid="{00000000-0006-0000-0000-000093000000}">
      <text>
        <r>
          <rPr>
            <sz val="8"/>
            <color rgb="FF000000"/>
            <rFont val="Tahoma"/>
            <family val="2"/>
          </rPr>
          <t xml:space="preserve">Low Warning  AA006: Metric difference from prior year &gt;= 5% </t>
        </r>
      </text>
    </comment>
    <comment ref="I223" authorId="4" shapeId="0" xr:uid="{00000000-0006-0000-0000-000094000000}">
      <text>
        <r>
          <rPr>
            <sz val="8"/>
            <color rgb="FF000000"/>
            <rFont val="Tahoma"/>
            <family val="2"/>
          </rPr>
          <t xml:space="preserve">Low Warning  AA006: Metric difference from prior year &gt;= 5% </t>
        </r>
      </text>
    </comment>
    <comment ref="O223" authorId="4" shapeId="0" xr:uid="{00000000-0006-0000-0000-000095000000}">
      <text>
        <r>
          <rPr>
            <sz val="8"/>
            <color rgb="FF000000"/>
            <rFont val="Tahoma"/>
            <family val="2"/>
          </rPr>
          <t>Moderate Warning  AA008: Large Metric difference from prior year &gt;= 50%</t>
        </r>
      </text>
    </comment>
    <comment ref="I224" authorId="4" shapeId="0" xr:uid="{00000000-0006-0000-0000-000096000000}">
      <text>
        <r>
          <rPr>
            <sz val="8"/>
            <color rgb="FF000000"/>
            <rFont val="Tahoma"/>
            <family val="2"/>
          </rPr>
          <t xml:space="preserve">Low Warning  AA006: Metric difference from prior year &gt;= 5% </t>
        </r>
      </text>
    </comment>
    <comment ref="I225" authorId="4" shapeId="0" xr:uid="{00000000-0006-0000-0000-000097000000}">
      <text>
        <r>
          <rPr>
            <sz val="8"/>
            <color rgb="FF000000"/>
            <rFont val="Tahoma"/>
            <family val="2"/>
          </rPr>
          <t xml:space="preserve">Low Warning  AA006: Metric difference from prior year &gt;= 5% </t>
        </r>
      </text>
    </comment>
    <comment ref="O225" authorId="4" shapeId="0" xr:uid="{00000000-0006-0000-0000-000098000000}">
      <text>
        <r>
          <rPr>
            <sz val="8"/>
            <color rgb="FF000000"/>
            <rFont val="Tahoma"/>
            <family val="2"/>
          </rPr>
          <t xml:space="preserve">Low Warning  AA006: Metric difference from prior year &gt;= 5% </t>
        </r>
      </text>
    </comment>
    <comment ref="I226" authorId="4" shapeId="0" xr:uid="{00000000-0006-0000-0000-000099000000}">
      <text>
        <r>
          <rPr>
            <sz val="8"/>
            <color rgb="FF000000"/>
            <rFont val="Tahoma"/>
            <family val="2"/>
          </rPr>
          <t xml:space="preserve">Low Warning  AA006: Metric difference from prior year &gt;= 5% </t>
        </r>
      </text>
    </comment>
    <comment ref="O226" authorId="4" shapeId="0" xr:uid="{00000000-0006-0000-0000-00009A000000}">
      <text>
        <r>
          <rPr>
            <sz val="8"/>
            <color rgb="FF000000"/>
            <rFont val="Tahoma"/>
            <family val="2"/>
          </rPr>
          <t xml:space="preserve">Low Warning  AA006: Metric difference from prior year &gt;= 5% </t>
        </r>
      </text>
    </comment>
    <comment ref="A281" authorId="6" shapeId="0" xr:uid="{00000000-0006-0000-0000-00009B000000}">
      <text>
        <r>
          <rPr>
            <b/>
            <sz val="10"/>
            <color rgb="FF000000"/>
            <rFont val="Tahoma"/>
            <family val="2"/>
          </rPr>
          <t xml:space="preserve">jmarks: </t>
        </r>
        <r>
          <rPr>
            <sz val="10"/>
            <color rgb="FF000000"/>
            <rFont val="Tahoma"/>
            <family val="2"/>
          </rPr>
          <t>General note for all NC CCs: Beginning with the 2010-11 classfication new formulae were used to more accurately account for courses using contact hours rather than credit hours. The overall effect is to lower the calculated credit hour count and thus the FTE counts. This is, in effect, a recalibration and a number of instutitons have been reclassified as a result.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Type10ug5" type="6" refreshedVersion="3" background="1" saveData="1">
    <textPr codePage="437" sourceFile="\\THECB-AUVFS41\UserDoc$\MeadDD\My Documents\My SAS Files\SREB\QWK03864\Page5\Type10ug5.txt">
      <textFields>
        <textField/>
      </textFields>
    </textPr>
  </connection>
  <connection id="2" xr16:uid="{00000000-0015-0000-FFFF-FFFF01000000}" name="Type11gr1" type="6" refreshedVersion="4" background="1" saveData="1">
    <textPr codePage="437" sourceFile="\\THECB-AUVFS41\UserDoc$\MeadDD\My Documents\My SAS Files\SREB\QWK04245\Page5\Type11gr1.txt">
      <textFields>
        <textField/>
      </textFields>
    </textPr>
  </connection>
  <connection id="3" xr16:uid="{00000000-0015-0000-FFFF-FFFF02000000}" name="Type11gr2" type="6" refreshedVersion="4" background="1" saveData="1">
    <textPr codePage="437" sourceFile="\\THECB-AUVFS41\UserDoc$\MeadDD\My Documents\My SAS Files\SREB\QWK04245\Page5\Type11gr2.txt">
      <textFields>
        <textField/>
      </textFields>
    </textPr>
  </connection>
  <connection id="4" xr16:uid="{00000000-0015-0000-FFFF-FFFF03000000}" name="Type11gr3" type="6" refreshedVersion="4" background="1" saveData="1">
    <textPr codePage="437" sourceFile="\\THECB-AUVFS41\UserDoc$\MeadDD\My Documents\My SAS Files\SREB\QWK04245\Page5\Type11gr3.txt">
      <textFields>
        <textField/>
      </textFields>
    </textPr>
  </connection>
  <connection id="5" xr16:uid="{00000000-0015-0000-FFFF-FFFF04000000}" name="Type11gr4" type="6" refreshedVersion="4" background="1" saveData="1">
    <textPr codePage="437" sourceFile="\\THECB-AUVFS41\UserDoc$\MeadDD\My Documents\My SAS Files\SREB\QWK04245\Page5\Type11gr4.txt">
      <textFields>
        <textField/>
      </textFields>
    </textPr>
  </connection>
  <connection id="6" xr16:uid="{00000000-0015-0000-FFFF-FFFF05000000}" name="Type11gr5" type="6" refreshedVersion="4" background="1" saveData="1">
    <textPr codePage="437" sourceFile="\\THECB-AUVFS41\UserDoc$\MeadDD\My Documents\My SAS Files\SREB\QWK04245\Page5\Type11gr5.txt">
      <textFields>
        <textField/>
      </textFields>
    </textPr>
  </connection>
  <connection id="7" xr16:uid="{00000000-0015-0000-FFFF-FFFF06000000}" name="Type11ug1" type="6" refreshedVersion="4" background="1" saveData="1">
    <textPr codePage="437" sourceFile="\\THECB-AUVFS41\UserDoc$\MeadDD\My Documents\My SAS Files\SREB\QWK04245\Page5\Type11ug1.txt">
      <textFields>
        <textField/>
      </textFields>
    </textPr>
  </connection>
  <connection id="8" xr16:uid="{00000000-0015-0000-FFFF-FFFF07000000}" name="Type11ug2" type="6" refreshedVersion="4" background="1" saveData="1">
    <textPr codePage="437" sourceFile="\\THECB-AUVFS41\UserDoc$\MeadDD\My Documents\My SAS Files\SREB\QWK04245\Page5\Type11ug2.txt">
      <textFields>
        <textField/>
      </textFields>
    </textPr>
  </connection>
  <connection id="9" xr16:uid="{00000000-0015-0000-FFFF-FFFF08000000}" name="Type11ug3" type="6" refreshedVersion="4" background="1" saveData="1">
    <textPr codePage="437" sourceFile="\\THECB-AUVFS41\UserDoc$\MeadDD\My Documents\My SAS Files\SREB\QWK04245\Page5\Type11ug3.txt">
      <textFields>
        <textField/>
      </textFields>
    </textPr>
  </connection>
  <connection id="10" xr16:uid="{00000000-0015-0000-FFFF-FFFF09000000}" name="Type11ug4" type="6" refreshedVersion="4" background="1" saveData="1">
    <textPr codePage="437" sourceFile="\\THECB-AUVFS41\UserDoc$\MeadDD\My Documents\My SAS Files\SREB\QWK04245\Page5\Type11ug4.txt">
      <textFields>
        <textField/>
      </textFields>
    </textPr>
  </connection>
  <connection id="11" xr16:uid="{00000000-0015-0000-FFFF-FFFF0A000000}" name="Type11ug5" type="6" refreshedVersion="4" background="1" saveData="1">
    <textPr codePage="437" sourceFile="\\THECB-AUVFS41\UserDoc$\MeadDD\My Documents\My SAS Files\SREB\QWK04245\Page5\Type11ug5.txt">
      <textFields>
        <textField/>
      </textFields>
    </textPr>
  </connection>
  <connection id="12" xr16:uid="{00000000-0015-0000-FFFF-FFFF0B000000}" name="Type13gr1" type="6" refreshedVersion="5" background="1" saveData="1">
    <textPr codePage="437" sourceFile="Z:\Mead\SASdocs\SREB\QWK04869\Page5\Type13gr1.txt">
      <textFields>
        <textField/>
      </textFields>
    </textPr>
  </connection>
  <connection id="13" xr16:uid="{00000000-0015-0000-FFFF-FFFF0C000000}" name="Type13gr11" type="6" refreshedVersion="5" background="1" saveData="1">
    <textPr codePage="437" sourceFile="Z:\Mead\SASdocs\SREB\QWK04869\Page5\Type13gr1.txt">
      <textFields>
        <textField/>
      </textFields>
    </textPr>
  </connection>
  <connection id="14" xr16:uid="{00000000-0015-0000-FFFF-FFFF0D000000}" name="Type13gr2" type="6" refreshedVersion="5" background="1" saveData="1">
    <textPr codePage="437" sourceFile="Z:\Mead\SASdocs\SREB\QWK04869\Page5\Type13gr2.txt">
      <textFields>
        <textField/>
      </textFields>
    </textPr>
  </connection>
  <connection id="15" xr16:uid="{00000000-0015-0000-FFFF-FFFF0E000000}" name="Type13gr21" type="6" refreshedVersion="5" background="1" saveData="1">
    <textPr codePage="437" sourceFile="Z:\Mead\SASdocs\SREB\QWK04869\Page5\Type13gr2.txt">
      <textFields>
        <textField/>
      </textFields>
    </textPr>
  </connection>
  <connection id="16" xr16:uid="{00000000-0015-0000-FFFF-FFFF0F000000}" name="Type13gr3" type="6" refreshedVersion="5" background="1" saveData="1">
    <textPr codePage="437" sourceFile="Z:\Mead\SASdocs\SREB\QWK04869\Page5\Type13gr3.txt">
      <textFields>
        <textField/>
      </textFields>
    </textPr>
  </connection>
  <connection id="17" xr16:uid="{00000000-0015-0000-FFFF-FFFF10000000}" name="Type13gr31" type="6" refreshedVersion="5" background="1" saveData="1">
    <textPr codePage="437" sourceFile="Z:\Mead\SASdocs\SREB\QWK04869\Page5\Type13gr3.txt">
      <textFields>
        <textField/>
      </textFields>
    </textPr>
  </connection>
  <connection id="18" xr16:uid="{00000000-0015-0000-FFFF-FFFF11000000}" name="Type13gr4" type="6" refreshedVersion="5" background="1" saveData="1">
    <textPr codePage="437" sourceFile="Z:\Mead\SASdocs\SREB\QWK04869\Page5\Type13gr4.txt">
      <textFields>
        <textField/>
      </textFields>
    </textPr>
  </connection>
  <connection id="19" xr16:uid="{00000000-0015-0000-FFFF-FFFF12000000}" name="Type13gr41" type="6" refreshedVersion="5" background="1" saveData="1">
    <textPr codePage="437" sourceFile="Z:\Mead\SASdocs\SREB\QWK04869\Page5\Type13gr4.txt">
      <textFields>
        <textField/>
      </textFields>
    </textPr>
  </connection>
  <connection id="20" xr16:uid="{00000000-0015-0000-FFFF-FFFF13000000}" name="Type13gr5" type="6" refreshedVersion="5" background="1" saveData="1">
    <textPr codePage="437" sourceFile="Z:\Mead\SASdocs\SREB\QWK04869\Page5\Type13gr5.txt">
      <textFields>
        <textField/>
      </textFields>
    </textPr>
  </connection>
  <connection id="21" xr16:uid="{00000000-0015-0000-FFFF-FFFF14000000}" name="Type13gr51" type="6" refreshedVersion="5" background="1" saveData="1">
    <textPr codePage="437" sourceFile="Z:\Mead\SASdocs\SREB\QWK04869\Page5\Type13gr5.txt">
      <textFields>
        <textField/>
      </textFields>
    </textPr>
  </connection>
  <connection id="22" xr16:uid="{00000000-0015-0000-FFFF-FFFF15000000}" name="Type13ug1" type="6" refreshedVersion="5" background="1" saveData="1">
    <textPr codePage="437" sourceFile="Z:\Mead\SASdocs\SREB\QWK04869\Page5\Type13ug1.txt">
      <textFields>
        <textField/>
      </textFields>
    </textPr>
  </connection>
  <connection id="23" xr16:uid="{00000000-0015-0000-FFFF-FFFF16000000}" name="Type13ug11" type="6" refreshedVersion="5" background="1" saveData="1">
    <textPr codePage="437" sourceFile="Z:\Mead\SASdocs\SREB\QWK04869\Page5\Type13ug1.txt">
      <textFields>
        <textField/>
      </textFields>
    </textPr>
  </connection>
  <connection id="24" xr16:uid="{00000000-0015-0000-FFFF-FFFF17000000}" name="Type13ug2" type="6" refreshedVersion="5" background="1" saveData="1">
    <textPr codePage="437" sourceFile="Z:\Mead\SASdocs\SREB\QWK04869\Page5\Type13ug2.txt">
      <textFields>
        <textField/>
      </textFields>
    </textPr>
  </connection>
  <connection id="25" xr16:uid="{00000000-0015-0000-FFFF-FFFF18000000}" name="Type13ug21" type="6" refreshedVersion="5" background="1" saveData="1">
    <textPr codePage="437" sourceFile="Z:\Mead\SASdocs\SREB\QWK04869\Page5\Type13ug2.txt">
      <textFields>
        <textField/>
      </textFields>
    </textPr>
  </connection>
  <connection id="26" xr16:uid="{00000000-0015-0000-FFFF-FFFF19000000}" name="Type13ug3" type="6" refreshedVersion="5" background="1" saveData="1">
    <textPr codePage="437" sourceFile="Z:\Mead\SASdocs\SREB\QWK04869\Page5\Type13ug3.txt">
      <textFields>
        <textField/>
      </textFields>
    </textPr>
  </connection>
  <connection id="27" xr16:uid="{00000000-0015-0000-FFFF-FFFF1A000000}" name="Type13ug31" type="6" refreshedVersion="5" background="1" saveData="1">
    <textPr codePage="437" sourceFile="Z:\Mead\SASdocs\SREB\QWK04869\Page5\Type13ug3.txt">
      <textFields>
        <textField/>
      </textFields>
    </textPr>
  </connection>
  <connection id="28" xr16:uid="{00000000-0015-0000-FFFF-FFFF1B000000}" name="Type13ug4" type="6" refreshedVersion="5" background="1" saveData="1">
    <textPr codePage="437" sourceFile="Z:\Mead\SASdocs\SREB\QWK04869\Page5\Type13ug4.txt">
      <textFields>
        <textField/>
      </textFields>
    </textPr>
  </connection>
  <connection id="29" xr16:uid="{00000000-0015-0000-FFFF-FFFF1C000000}" name="Type13ug41" type="6" refreshedVersion="5" background="1" saveData="1">
    <textPr codePage="437" sourceFile="Z:\Mead\SASdocs\SREB\QWK04869\Page5\Type13ug4.txt">
      <textFields>
        <textField/>
      </textFields>
    </textPr>
  </connection>
  <connection id="30" xr16:uid="{00000000-0015-0000-FFFF-FFFF1D000000}" name="Type13ug5" type="6" refreshedVersion="5" background="1" saveData="1">
    <textPr codePage="437" sourceFile="Z:\Mead\SASdocs\SREB\QWK04869\Page5\Type13ug5.txt">
      <textFields>
        <textField/>
      </textFields>
    </textPr>
  </connection>
  <connection id="31" xr16:uid="{00000000-0015-0000-FFFF-FFFF1E000000}" name="Type13ug51" type="6" refreshedVersion="5" background="1" saveData="1">
    <textPr codePage="437" sourceFile="Z:\Mead\SASdocs\SREB\QWK04869\Page5\Type13ug5.txt">
      <textFields>
        <textField/>
      </textFields>
    </textPr>
  </connection>
</connections>
</file>

<file path=xl/sharedStrings.xml><?xml version="1.0" encoding="utf-8"?>
<sst xmlns="http://schemas.openxmlformats.org/spreadsheetml/2006/main" count="4672" uniqueCount="1019">
  <si>
    <r>
      <rPr>
        <b/>
        <sz val="14"/>
        <color theme="0"/>
        <rFont val="Arial"/>
        <family val="2"/>
      </rPr>
      <t>Part 5: Credit</t>
    </r>
    <r>
      <rPr>
        <b/>
        <sz val="14"/>
        <color rgb="FFFF0000"/>
        <rFont val="Arial"/>
        <family val="2"/>
      </rPr>
      <t xml:space="preserve"> </t>
    </r>
    <r>
      <rPr>
        <b/>
        <sz val="14"/>
        <color theme="0"/>
        <rFont val="Arial"/>
        <family val="2"/>
      </rPr>
      <t>Hours by Mode of Instruction</t>
    </r>
  </si>
  <si>
    <t>Undergraduate Credit Hours</t>
  </si>
  <si>
    <t>Graduate Credit Hours</t>
  </si>
  <si>
    <r>
      <rPr>
        <b/>
        <sz val="10"/>
        <color rgb="FF000000"/>
        <rFont val="Arial"/>
        <family val="2"/>
      </rPr>
      <t xml:space="preserve">Data Columns:  </t>
    </r>
    <r>
      <rPr>
        <sz val="10"/>
        <color rgb="FF000000"/>
        <rFont val="Arial"/>
        <family val="2"/>
      </rPr>
      <t xml:space="preserve">White = New Data, Peach = Old Data, Purple/Grey = Calculated Data. </t>
    </r>
    <r>
      <rPr>
        <b/>
        <sz val="10"/>
        <color rgb="FF000000"/>
        <rFont val="Arial"/>
        <family val="2"/>
      </rPr>
      <t xml:space="preserve"> Please highlight changes in YELLOW</t>
    </r>
  </si>
  <si>
    <t>Calculated</t>
  </si>
  <si>
    <t>e-Learning (more than 50% of course content is electronically delivered)</t>
  </si>
  <si>
    <t>Comments:  Please look for comments and answer questions; add comments as needed</t>
  </si>
  <si>
    <r>
      <rPr>
        <b/>
        <sz val="10"/>
        <color rgb="FF0000FF"/>
        <rFont val="Arial"/>
        <family val="2"/>
      </rPr>
      <t xml:space="preserve">Total Undergraduate SCH
</t>
    </r>
    <r>
      <rPr>
        <strike/>
        <sz val="8"/>
        <color theme="5"/>
        <rFont val="Arial"/>
        <family val="2"/>
      </rPr>
      <t>(Should equal totals in Part 4.)</t>
    </r>
    <r>
      <rPr>
        <strike/>
        <sz val="10"/>
        <color theme="5"/>
        <rFont val="Arial"/>
        <family val="2"/>
      </rPr>
      <t xml:space="preserve"> </t>
    </r>
  </si>
  <si>
    <r>
      <rPr>
        <b/>
        <sz val="10"/>
        <color rgb="FF000000"/>
        <rFont val="Arial"/>
        <family val="2"/>
      </rPr>
      <t xml:space="preserve">On-Campus "Traditional" Instruction
 </t>
    </r>
    <r>
      <rPr>
        <sz val="10"/>
        <color rgb="FF000000"/>
        <rFont val="Arial"/>
        <family val="2"/>
      </rPr>
      <t>(significant site attendance required--50% or less of course content is electronically delivered)</t>
    </r>
  </si>
  <si>
    <r>
      <rPr>
        <b/>
        <sz val="10"/>
        <color rgb="FF000000"/>
        <rFont val="Arial"/>
        <family val="2"/>
      </rPr>
      <t xml:space="preserve">Off-Campus
(in-state or out-of-state sites) "Traditional" Instruction 
</t>
    </r>
    <r>
      <rPr>
        <sz val="10"/>
        <color rgb="FF000000"/>
        <rFont val="Arial"/>
        <family val="2"/>
      </rPr>
      <t>(significant site attendance required--50% or less of course content is electronically delivered)</t>
    </r>
  </si>
  <si>
    <t>Web</t>
  </si>
  <si>
    <r>
      <rPr>
        <b/>
        <sz val="10"/>
        <color rgb="FF000000"/>
        <rFont val="Arial"/>
        <family val="2"/>
      </rPr>
      <t xml:space="preserve">Site-to-Site, 2-Way, Audio/Video </t>
    </r>
    <r>
      <rPr>
        <sz val="10"/>
        <color rgb="FF000000"/>
        <rFont val="Arial"/>
        <family val="2"/>
      </rPr>
      <t>(compressed video)</t>
    </r>
  </si>
  <si>
    <r>
      <rPr>
        <b/>
        <sz val="10"/>
        <color indexed="12"/>
        <rFont val="Arial"/>
        <family val="2"/>
      </rPr>
      <t xml:space="preserve">Other </t>
    </r>
    <r>
      <rPr>
        <sz val="10"/>
        <color indexed="12"/>
        <rFont val="Arial"/>
        <family val="2"/>
      </rPr>
      <t xml:space="preserve">(Satellite, Cable, Broadcast TV/Radio, Closed-Circuit, Video Tapes, CD ROM)             </t>
    </r>
  </si>
  <si>
    <r>
      <rPr>
        <b/>
        <sz val="10"/>
        <color indexed="12"/>
        <rFont val="Arial"/>
        <family val="2"/>
      </rPr>
      <t xml:space="preserve">Site-to-Site, 2-Way, Audio/Video </t>
    </r>
    <r>
      <rPr>
        <sz val="10"/>
        <color indexed="12"/>
        <rFont val="Arial"/>
        <family val="2"/>
      </rPr>
      <t>(compressed video)</t>
    </r>
  </si>
  <si>
    <r>
      <rPr>
        <b/>
        <sz val="10"/>
        <color indexed="12"/>
        <rFont val="Arial"/>
        <family val="2"/>
      </rPr>
      <t xml:space="preserve">Other
</t>
    </r>
    <r>
      <rPr>
        <sz val="10"/>
        <color indexed="12"/>
        <rFont val="Arial"/>
        <family val="2"/>
      </rPr>
      <t xml:space="preserve"> (Satellite, Cable, Broadcast TV/Radio, Closed-Circuit, Video Tapes, CD ROM)            </t>
    </r>
    <r>
      <rPr>
        <b/>
        <sz val="10"/>
        <color indexed="12"/>
        <rFont val="Arial"/>
        <family val="2"/>
      </rPr>
      <t xml:space="preserve"> </t>
    </r>
  </si>
  <si>
    <r>
      <rPr>
        <b/>
        <sz val="10"/>
        <color rgb="FF000000"/>
        <rFont val="Arial"/>
        <family val="2"/>
      </rPr>
      <t xml:space="preserve">Correspondence
</t>
    </r>
    <r>
      <rPr>
        <sz val="10"/>
        <color rgb="FF000000"/>
        <rFont val="Arial"/>
        <family val="2"/>
      </rPr>
      <t xml:space="preserve">(no significant site attendance required-less than 50% of the course content is electronically delivered)     </t>
    </r>
  </si>
  <si>
    <r>
      <rPr>
        <b/>
        <sz val="10"/>
        <color rgb="FF0000FF"/>
        <rFont val="Arial"/>
        <family val="2"/>
      </rPr>
      <t xml:space="preserve">Total Graduate SCH </t>
    </r>
    <r>
      <rPr>
        <sz val="10"/>
        <color rgb="FF0000FF"/>
        <rFont val="Arial"/>
        <family val="2"/>
      </rPr>
      <t xml:space="preserve">
(a sum of columns --</t>
    </r>
    <r>
      <rPr>
        <strike/>
        <sz val="10"/>
        <color rgb="FFC00000"/>
        <rFont val="Arial"/>
        <family val="2"/>
      </rPr>
      <t>should match totals from Part 3)</t>
    </r>
  </si>
  <si>
    <r>
      <rPr>
        <b/>
        <sz val="10"/>
        <color rgb="FF000000"/>
        <rFont val="Arial"/>
        <family val="2"/>
      </rPr>
      <t xml:space="preserve">On-Campus "Traditional" Instruction
 </t>
    </r>
    <r>
      <rPr>
        <sz val="10"/>
        <color rgb="FF000000"/>
        <rFont val="Arial"/>
        <family val="2"/>
      </rPr>
      <t>(significant site attendance required--50% or less of course content is electronically delivered)</t>
    </r>
  </si>
  <si>
    <r>
      <rPr>
        <b/>
        <sz val="10"/>
        <color rgb="FF000000"/>
        <rFont val="Arial"/>
        <family val="2"/>
      </rPr>
      <t xml:space="preserve">Off-Campus
(in-state or out-of-state sites) "Traditional" Instruction 
</t>
    </r>
    <r>
      <rPr>
        <sz val="10"/>
        <color rgb="FF000000"/>
        <rFont val="Arial"/>
        <family val="2"/>
      </rPr>
      <t>(significant site attendance required--50% or less of course content is electronically delivered)</t>
    </r>
  </si>
  <si>
    <r>
      <rPr>
        <b/>
        <sz val="10"/>
        <color rgb="FF000000"/>
        <rFont val="Arial"/>
        <family val="2"/>
      </rPr>
      <t xml:space="preserve">Site-to-Site, 2-Way, Audio/Video </t>
    </r>
    <r>
      <rPr>
        <sz val="10"/>
        <color rgb="FF000000"/>
        <rFont val="Arial"/>
        <family val="2"/>
      </rPr>
      <t>(compressed video)</t>
    </r>
  </si>
  <si>
    <r>
      <rPr>
        <b/>
        <sz val="10"/>
        <color indexed="12"/>
        <rFont val="Arial"/>
        <family val="2"/>
      </rPr>
      <t xml:space="preserve">Other </t>
    </r>
    <r>
      <rPr>
        <sz val="10"/>
        <color indexed="12"/>
        <rFont val="Arial"/>
        <family val="2"/>
      </rPr>
      <t xml:space="preserve">(Satellite, Cable, Broadcast TV/Radio, Closed-Circuit, Video Tapes, CD ROM)             </t>
    </r>
  </si>
  <si>
    <r>
      <rPr>
        <b/>
        <sz val="10"/>
        <color indexed="12"/>
        <rFont val="Arial"/>
        <family val="2"/>
      </rPr>
      <t xml:space="preserve">Site-to-Site, 2-Way, Audio/Video </t>
    </r>
    <r>
      <rPr>
        <sz val="10"/>
        <color indexed="12"/>
        <rFont val="Arial"/>
        <family val="2"/>
      </rPr>
      <t>(compressed video)</t>
    </r>
  </si>
  <si>
    <r>
      <rPr>
        <b/>
        <sz val="10"/>
        <color indexed="12"/>
        <rFont val="Arial"/>
        <family val="2"/>
      </rPr>
      <t xml:space="preserve">Other
</t>
    </r>
    <r>
      <rPr>
        <sz val="10"/>
        <color indexed="12"/>
        <rFont val="Arial"/>
        <family val="2"/>
      </rPr>
      <t xml:space="preserve"> (Satellite, Cable, Broadcast TV/Radio, Closed-Circuit, Video Tapes, CD ROM)            </t>
    </r>
    <r>
      <rPr>
        <b/>
        <sz val="10"/>
        <color indexed="12"/>
        <rFont val="Arial"/>
        <family val="2"/>
      </rPr>
      <t xml:space="preserve"> </t>
    </r>
  </si>
  <si>
    <r>
      <rPr>
        <b/>
        <sz val="10"/>
        <color rgb="FF000000"/>
        <rFont val="Arial"/>
        <family val="2"/>
      </rPr>
      <t xml:space="preserve">Correspondence
</t>
    </r>
    <r>
      <rPr>
        <sz val="10"/>
        <color rgb="FF000000"/>
        <rFont val="Arial"/>
        <family val="2"/>
      </rPr>
      <t xml:space="preserve">(no significant site attendance required-less than 50% of the course content is electronically delivered)     </t>
    </r>
  </si>
  <si>
    <t>State</t>
  </si>
  <si>
    <t>Institution</t>
  </si>
  <si>
    <t>Classification Notes</t>
  </si>
  <si>
    <t>IPEDS #</t>
  </si>
  <si>
    <t>Category</t>
  </si>
  <si>
    <t>Note</t>
  </si>
  <si>
    <t>ID</t>
  </si>
  <si>
    <t>type</t>
  </si>
  <si>
    <t>OLD-Tot UG SCH Calc</t>
  </si>
  <si>
    <t>NEW-Tot UG SCH Calc</t>
  </si>
  <si>
    <t>Old-UG OnC Trad</t>
  </si>
  <si>
    <t>New-UG OnC Trad</t>
  </si>
  <si>
    <t>Old-UG OffC Trad</t>
  </si>
  <si>
    <t>New-UG OffC Trad</t>
  </si>
  <si>
    <t>Old-UG EL Web</t>
  </si>
  <si>
    <t>Old-UG EL CV</t>
  </si>
  <si>
    <t>Old-UG EL O</t>
  </si>
  <si>
    <t>New-UG EL Web</t>
  </si>
  <si>
    <t>New-UG EL CV</t>
  </si>
  <si>
    <t>New-UG EL O</t>
  </si>
  <si>
    <t>Old-UG Cor</t>
  </si>
  <si>
    <t>New-UG Cor</t>
  </si>
  <si>
    <t>Old-Tot G SCH Calc</t>
  </si>
  <si>
    <t>New-Tot G SCH Calc</t>
  </si>
  <si>
    <t>Old-G OnC Trad</t>
  </si>
  <si>
    <t>New-G OnC Trad</t>
  </si>
  <si>
    <t>Old-G OffC Trad</t>
  </si>
  <si>
    <t>New-G OffC Trad</t>
  </si>
  <si>
    <t>Old-G EL Web</t>
  </si>
  <si>
    <t>Old-G EL CV</t>
  </si>
  <si>
    <t>Old-G EL O</t>
  </si>
  <si>
    <t>New-G EL Web</t>
  </si>
  <si>
    <t>New-G EL CV</t>
  </si>
  <si>
    <t>New-G EL O</t>
  </si>
  <si>
    <t>Old-G Cor</t>
  </si>
  <si>
    <t>New-G Cor</t>
  </si>
  <si>
    <t>AL</t>
  </si>
  <si>
    <t>Auburn University</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</si>
  <si>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</si>
  <si>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</si>
  <si>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</si>
  <si>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</si>
  <si>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</si>
  <si>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</si>
  <si>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</si>
  <si>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</si>
  <si>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</si>
  <si>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</si>
  <si>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</si>
  <si>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</si>
  <si>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</si>
  <si>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100812</t>
  </si>
  <si>
    <t>Jefferson State Community College</t>
  </si>
  <si>
    <t xml:space="preserve">John C. Calhoun State Community College </t>
  </si>
  <si>
    <t>Bevill State Community College</t>
  </si>
  <si>
    <t>Bishop State Community College</t>
  </si>
  <si>
    <t>Enterprise-Ozark Community College</t>
  </si>
  <si>
    <t>Gadsden State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</si>
  <si>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</si>
  <si>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</si>
  <si>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</si>
  <si>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</si>
  <si>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</si>
  <si>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</si>
  <si>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</si>
  <si>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</si>
  <si>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</si>
  <si>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</si>
  <si>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</si>
  <si>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</si>
  <si>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</si>
  <si>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</si>
  <si>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</si>
  <si>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</si>
  <si>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</si>
  <si>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</si>
  <si>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</si>
  <si>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Marion Military Institute</t>
  </si>
  <si>
    <t>AR</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</si>
  <si>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</si>
  <si>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</si>
  <si>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</si>
  <si>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</si>
  <si>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</si>
  <si>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</si>
  <si>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</si>
  <si>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</si>
  <si>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</si>
  <si>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</si>
  <si>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</si>
  <si>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</si>
  <si>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</si>
  <si>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National Park College</t>
  </si>
  <si>
    <t>Arkansas Northeastern College</t>
  </si>
  <si>
    <t>Arkansas State University Mid-South</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</si>
  <si>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</si>
  <si>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</si>
  <si>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</si>
  <si>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</si>
  <si>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</si>
  <si>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</si>
  <si>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</si>
  <si>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</si>
  <si>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</si>
  <si>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</si>
  <si>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</si>
  <si>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</si>
  <si>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</si>
  <si>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</si>
  <si>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</si>
  <si>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</si>
  <si>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University of Arkansas for Medical Sciences</t>
  </si>
  <si>
    <t>FL</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</si>
  <si>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</si>
  <si>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</si>
  <si>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</si>
  <si>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</si>
  <si>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</si>
  <si>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</si>
  <si>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</si>
  <si>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</si>
  <si>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</si>
  <si>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</si>
  <si>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</si>
  <si>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Eastern Florida State College</t>
  </si>
  <si>
    <t xml:space="preserve">Broward College </t>
  </si>
  <si>
    <t>College of Central Florida</t>
  </si>
  <si>
    <t xml:space="preserve">Chipola College </t>
  </si>
  <si>
    <t xml:space="preserve">Daytona State College </t>
  </si>
  <si>
    <t>Florida SouthWestern State College</t>
  </si>
  <si>
    <t>Florida State College at Jacksonville</t>
  </si>
  <si>
    <t xml:space="preserve">Florida Keys Community College </t>
  </si>
  <si>
    <t xml:space="preserve">Gulf Coast State College </t>
  </si>
  <si>
    <t xml:space="preserve">Hillsborough Community College </t>
  </si>
  <si>
    <t xml:space="preserve">Indian River State College </t>
  </si>
  <si>
    <t>Florida Gateway College</t>
  </si>
  <si>
    <t xml:space="preserve">Lake-Sumter State College </t>
  </si>
  <si>
    <t>State College of Florida, Manatee-Sarasota</t>
  </si>
  <si>
    <t xml:space="preserve">Miami Dade College </t>
  </si>
  <si>
    <t xml:space="preserve">North Florida Community College </t>
  </si>
  <si>
    <t>Northwest Florida State College</t>
  </si>
  <si>
    <t xml:space="preserve">Palm Beach State College </t>
  </si>
  <si>
    <t xml:space="preserve">Pasco-Hernando State College </t>
  </si>
  <si>
    <t xml:space="preserve">Pensacola State College </t>
  </si>
  <si>
    <t xml:space="preserve">Polk State College </t>
  </si>
  <si>
    <t xml:space="preserve">St. Johns River State College </t>
  </si>
  <si>
    <t xml:space="preserve">St. Petersburg College </t>
  </si>
  <si>
    <t xml:space="preserve">Santa Fe College </t>
  </si>
  <si>
    <t>Seminole State College of Florida</t>
  </si>
  <si>
    <t xml:space="preserve">South Florida State College </t>
  </si>
  <si>
    <t xml:space="preserve">Tallahassee Community College </t>
  </si>
  <si>
    <t xml:space="preserve">Valencia College </t>
  </si>
  <si>
    <t>GA</t>
  </si>
  <si>
    <t>Georgia State University (includes Georgia Perimeter College)</t>
  </si>
  <si>
    <t>139940</t>
  </si>
  <si>
    <t>University of Georgia</t>
  </si>
  <si>
    <t>139959</t>
  </si>
  <si>
    <t>Georgia Institute of Technology</t>
  </si>
  <si>
    <t>139755</t>
  </si>
  <si>
    <t>Georgia Southern University</t>
  </si>
  <si>
    <t>139931</t>
  </si>
  <si>
    <t>Kennesaw State University</t>
  </si>
  <si>
    <t>140164</t>
  </si>
  <si>
    <t>University of West Georgia</t>
  </si>
  <si>
    <t>141334</t>
  </si>
  <si>
    <t xml:space="preserve">Valdosta State University </t>
  </si>
  <si>
    <t>141264</t>
  </si>
  <si>
    <t xml:space="preserve">Albany State University </t>
  </si>
  <si>
    <t>138716</t>
  </si>
  <si>
    <t>Armstrong State University</t>
  </si>
  <si>
    <t>138789</t>
  </si>
  <si>
    <t>Clayton State University</t>
  </si>
  <si>
    <t>139311</t>
  </si>
  <si>
    <t>Columbus State University</t>
  </si>
  <si>
    <t>139366</t>
  </si>
  <si>
    <t>Fort Valley State University</t>
  </si>
  <si>
    <t>139719</t>
  </si>
  <si>
    <t>Georgia College and State University</t>
  </si>
  <si>
    <t>139861</t>
  </si>
  <si>
    <t>Georgia Regents University</t>
  </si>
  <si>
    <t>482149</t>
  </si>
  <si>
    <t>University of North Georgia</t>
  </si>
  <si>
    <t>Georgia Southwestern State University</t>
  </si>
  <si>
    <t>139764</t>
  </si>
  <si>
    <t>Savannah State University</t>
  </si>
  <si>
    <t>140960</t>
  </si>
  <si>
    <t xml:space="preserve">Dalton State College </t>
  </si>
  <si>
    <t>139463</t>
  </si>
  <si>
    <t>Georgia Gwinnett College</t>
  </si>
  <si>
    <t>447689</t>
  </si>
  <si>
    <t>Middle Georgia State College</t>
  </si>
  <si>
    <t xml:space="preserve">Abraham Baldwin Agricultural College </t>
  </si>
  <si>
    <t>138558</t>
  </si>
  <si>
    <t xml:space="preserve">College of Coastal Georgia </t>
  </si>
  <si>
    <t>139250</t>
  </si>
  <si>
    <t xml:space="preserve">Gordon State College </t>
  </si>
  <si>
    <t>139968</t>
  </si>
  <si>
    <t>Georgia Perimeter College  (now reported with Georgia State University)</t>
  </si>
  <si>
    <t>244437</t>
  </si>
  <si>
    <t>Atlanta Metropolitan State College</t>
  </si>
  <si>
    <t>138901</t>
  </si>
  <si>
    <t xml:space="preserve">Bainbridge State College </t>
  </si>
  <si>
    <t>139010</t>
  </si>
  <si>
    <t xml:space="preserve">Darton State College </t>
  </si>
  <si>
    <t>138691</t>
  </si>
  <si>
    <t>East Georgia State College</t>
  </si>
  <si>
    <t>139621</t>
  </si>
  <si>
    <t>Georgia Highlands College</t>
  </si>
  <si>
    <t>139700</t>
  </si>
  <si>
    <t>South Georgia State College</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</si>
  <si>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</si>
  <si>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</si>
  <si>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</si>
  <si>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</si>
  <si>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</si>
  <si>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</si>
  <si>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</si>
  <si>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</si>
  <si>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</si>
  <si>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</si>
  <si>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</si>
  <si>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</si>
  <si>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</si>
  <si>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</si>
  <si>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</si>
  <si>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</si>
  <si>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</si>
  <si>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</si>
  <si>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</si>
  <si>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</si>
  <si>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</si>
  <si>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</si>
  <si>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KY</t>
  </si>
  <si>
    <t>University of Kentucky</t>
  </si>
  <si>
    <t>University of Louisville</t>
  </si>
  <si>
    <t xml:space="preserve">Eastern Kentucky University </t>
  </si>
  <si>
    <t xml:space="preserve">Morehead State University </t>
  </si>
  <si>
    <t xml:space="preserve">Murray State University </t>
  </si>
  <si>
    <t xml:space="preserve">Northern Kentucky University </t>
  </si>
  <si>
    <t xml:space="preserve">Western Kentucky University </t>
  </si>
  <si>
    <t xml:space="preserve">Kentucky State University </t>
  </si>
  <si>
    <t>Bluegrass Community and Technical College</t>
  </si>
  <si>
    <t xml:space="preserve">Jefferson Community and Technical College </t>
  </si>
  <si>
    <t>Ashland Community and Technical College</t>
  </si>
  <si>
    <t xml:space="preserve">Big Sandy Community and Technical College </t>
  </si>
  <si>
    <t xml:space="preserve">Elizabethtown Community and Technical College </t>
  </si>
  <si>
    <t>Hazard Community and Technical College</t>
  </si>
  <si>
    <t xml:space="preserve">Hopkinsville Community College </t>
  </si>
  <si>
    <t>Madisonville Community College</t>
  </si>
  <si>
    <t xml:space="preserve">Maysville Community and Technical College </t>
  </si>
  <si>
    <t xml:space="preserve">Owensboro Community and Technical College </t>
  </si>
  <si>
    <t xml:space="preserve">Somerset Community and Technical College </t>
  </si>
  <si>
    <t>Southeast Kentucky Community and Technical College</t>
  </si>
  <si>
    <t>West Kentucky Community and Technical College</t>
  </si>
  <si>
    <t xml:space="preserve">Henderson Community College </t>
  </si>
  <si>
    <t>Gateway Community and Technical College</t>
  </si>
  <si>
    <t>Southcentral Kentucky Community and Technical College</t>
  </si>
  <si>
    <t>LA</t>
  </si>
  <si>
    <t>Louisiana State University and A&amp;M College</t>
  </si>
  <si>
    <t xml:space="preserve">Louisiana Tech University </t>
  </si>
  <si>
    <t>University of Louisiana at Lafayette</t>
  </si>
  <si>
    <t>University of New Orleans</t>
  </si>
  <si>
    <t xml:space="preserve">Southeastern Louisiana University </t>
  </si>
  <si>
    <t xml:space="preserve">Southern University and A&amp;M College at Baton Rouge </t>
  </si>
  <si>
    <t>University of Louisiana at Monroe</t>
  </si>
  <si>
    <t>Grambling State University</t>
  </si>
  <si>
    <t>Louisiana State University in Shreveport</t>
  </si>
  <si>
    <t>McNeese State University</t>
  </si>
  <si>
    <t xml:space="preserve">Nicholls State University </t>
  </si>
  <si>
    <t>Northwestern State University</t>
  </si>
  <si>
    <t>Southern University at New Orleans</t>
  </si>
  <si>
    <t>Louisiana State University at Alexandria</t>
  </si>
  <si>
    <t>Baton Rouge Community College</t>
  </si>
  <si>
    <t>Bossier Parish Community College</t>
  </si>
  <si>
    <t xml:space="preserve">Delgado Community College </t>
  </si>
  <si>
    <t>Louisiana Delta Community College</t>
  </si>
  <si>
    <t>South Louisiana Community College</t>
  </si>
  <si>
    <t>Southern University in Shreveport</t>
  </si>
  <si>
    <t>Louisiana State University at Eunice</t>
  </si>
  <si>
    <t>Nunez Community College</t>
  </si>
  <si>
    <t>River Parishes Community College</t>
  </si>
  <si>
    <t>Central LA Technical College</t>
  </si>
  <si>
    <t>L.E. Fletcher Technical Community College</t>
  </si>
  <si>
    <t>Northshore Technical College</t>
  </si>
  <si>
    <t>Northwest LA Technical College</t>
  </si>
  <si>
    <t>South Central LA Technical College</t>
  </si>
  <si>
    <t>Sowela Technical Community College</t>
  </si>
  <si>
    <t>Louisiana State University Health Sciences Center - New Orleans</t>
  </si>
  <si>
    <t>Louisiana State University Health Sciences Center - Shreveport</t>
  </si>
  <si>
    <t>MS</t>
  </si>
  <si>
    <t>Mississippi State University</t>
  </si>
  <si>
    <t>University of Southern Mississippi</t>
  </si>
  <si>
    <t xml:space="preserve">Jackson State University </t>
  </si>
  <si>
    <t>University of Mississippi</t>
  </si>
  <si>
    <t>Alcorn State University</t>
  </si>
  <si>
    <t>Delta State University</t>
  </si>
  <si>
    <t xml:space="preserve"> </t>
  </si>
  <si>
    <t>Mississippi Valley State University</t>
  </si>
  <si>
    <t>Mississippi University for Women</t>
  </si>
  <si>
    <t xml:space="preserve">Hinds Community College </t>
  </si>
  <si>
    <t xml:space="preserve">Itawamba Community College </t>
  </si>
  <si>
    <t xml:space="preserve">Mississippi Gulf Coast Community College </t>
  </si>
  <si>
    <t xml:space="preserve">Northwest Mississippi Community College </t>
  </si>
  <si>
    <t xml:space="preserve">Copiah-Lincoln Community College </t>
  </si>
  <si>
    <t xml:space="preserve">East Central Community College </t>
  </si>
  <si>
    <t xml:space="preserve">East Mississippi Community College </t>
  </si>
  <si>
    <t xml:space="preserve">Holmes Community College </t>
  </si>
  <si>
    <t xml:space="preserve">Jones County Junior College </t>
  </si>
  <si>
    <t xml:space="preserve">Meridian Community College </t>
  </si>
  <si>
    <t xml:space="preserve">Mississippi Delta Community College </t>
  </si>
  <si>
    <t xml:space="preserve">Northeast Mississippi Community College </t>
  </si>
  <si>
    <t xml:space="preserve">Pearl River Community College </t>
  </si>
  <si>
    <t xml:space="preserve">Coahoma Community College </t>
  </si>
  <si>
    <t>Southwest Mississippi Community College</t>
  </si>
  <si>
    <t>NC</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</si>
  <si>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</si>
  <si>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</si>
  <si>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</si>
  <si>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</si>
  <si>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</si>
  <si>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</si>
  <si>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</si>
  <si>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</si>
  <si>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</si>
  <si>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</si>
  <si>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</si>
  <si>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</si>
  <si>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</si>
  <si>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</si>
  <si>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</si>
  <si>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Asheville-Buncombe Technical Community College</t>
  </si>
  <si>
    <t>Cape Fear Community College</t>
  </si>
  <si>
    <t xml:space="preserve">Central Piedmont Community College </t>
  </si>
  <si>
    <t>Fayetteville Technical Community College</t>
  </si>
  <si>
    <t>Forsyth Technical Community College</t>
  </si>
  <si>
    <t>Guilford Technical Community College</t>
  </si>
  <si>
    <t>Pitt Community College</t>
  </si>
  <si>
    <t>Rowan-Cabarrus Community College</t>
  </si>
  <si>
    <t>Wake Technical Community College</t>
  </si>
  <si>
    <t>Alamance Community College</t>
  </si>
  <si>
    <t>Caldwell Community College &amp; Technical Institute</t>
  </si>
  <si>
    <t>Catawba Valley Community College</t>
  </si>
  <si>
    <t>Central Carolina Commuity College</t>
  </si>
  <si>
    <t>Cleveland Community College</t>
  </si>
  <si>
    <t xml:space="preserve">Coastal Carolina Community College </t>
  </si>
  <si>
    <t xml:space="preserve">Craven Community College </t>
  </si>
  <si>
    <t xml:space="preserve">Davidson County Community College </t>
  </si>
  <si>
    <t>Durham Technical Community College</t>
  </si>
  <si>
    <t>Edgecombe Community College</t>
  </si>
  <si>
    <t xml:space="preserve">Gaston College </t>
  </si>
  <si>
    <t>Johnston Community College</t>
  </si>
  <si>
    <t xml:space="preserve">Lenoir Community College </t>
  </si>
  <si>
    <t xml:space="preserve">Mitchell Community College </t>
  </si>
  <si>
    <t>Nash Community College</t>
  </si>
  <si>
    <t>Randolph Community College</t>
  </si>
  <si>
    <t>Richmond Community College</t>
  </si>
  <si>
    <t>Robeson Community College</t>
  </si>
  <si>
    <t xml:space="preserve">Sandhills Community College </t>
  </si>
  <si>
    <t>Stanly Community College</t>
  </si>
  <si>
    <t xml:space="preserve">Surry Community College </t>
  </si>
  <si>
    <t xml:space="preserve">Vance-Granville Community College </t>
  </si>
  <si>
    <t>Wayne Community College</t>
  </si>
  <si>
    <t xml:space="preserve">Western Piedmont Community College </t>
  </si>
  <si>
    <t xml:space="preserve">Wilkes Community College </t>
  </si>
  <si>
    <t xml:space="preserve">Beaufort County Community College </t>
  </si>
  <si>
    <t>Bladen Community College</t>
  </si>
  <si>
    <t>Blue Ridge Community College</t>
  </si>
  <si>
    <t>Brunswick Community College</t>
  </si>
  <si>
    <t>Carteret Community College</t>
  </si>
  <si>
    <t>College of the Albemarle</t>
  </si>
  <si>
    <t xml:space="preserve">Halifax Community College </t>
  </si>
  <si>
    <t>Haywood Community College</t>
  </si>
  <si>
    <t xml:space="preserve">Isothermal Community College </t>
  </si>
  <si>
    <t>James Sprunt Community College</t>
  </si>
  <si>
    <t xml:space="preserve">Martin Community College </t>
  </si>
  <si>
    <t>Mayland Community College</t>
  </si>
  <si>
    <t>McDowell Technical Community College</t>
  </si>
  <si>
    <t>Montgomery Community College</t>
  </si>
  <si>
    <t>Pamlico Community College</t>
  </si>
  <si>
    <t>Piedmont Community College</t>
  </si>
  <si>
    <t>Roanoke-Chowan Community College</t>
  </si>
  <si>
    <t xml:space="preserve">Rockingham Community College </t>
  </si>
  <si>
    <t>Sampson Community College</t>
  </si>
  <si>
    <t>South Piedmont Community College</t>
  </si>
  <si>
    <t xml:space="preserve">Southeastern Community College </t>
  </si>
  <si>
    <t xml:space="preserve">Southwestern Community College </t>
  </si>
  <si>
    <t xml:space="preserve">Tri-County Community College </t>
  </si>
  <si>
    <t>Wilson Community College</t>
  </si>
  <si>
    <t>TN</t>
  </si>
  <si>
    <t>University of Memphis</t>
  </si>
  <si>
    <t>University of Tennessee, Knoxville</t>
  </si>
  <si>
    <t xml:space="preserve">East Tennessee State University </t>
  </si>
  <si>
    <t xml:space="preserve">Tennessee State University </t>
  </si>
  <si>
    <t xml:space="preserve">Austin Peay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</si>
  <si>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</si>
  <si>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</si>
  <si>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</si>
  <si>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</si>
  <si>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</si>
  <si>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</si>
  <si>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</si>
  <si>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</si>
  <si>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</si>
  <si>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</si>
  <si>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</si>
  <si>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</si>
  <si>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</si>
  <si>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</si>
  <si>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</si>
  <si>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</si>
  <si>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</si>
  <si>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</si>
  <si>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</si>
  <si>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</si>
  <si>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</si>
  <si>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</si>
  <si>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</si>
  <si>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</si>
  <si>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</si>
  <si>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</si>
  <si>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</si>
  <si>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</si>
  <si>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</si>
  <si>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</si>
  <si>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</si>
  <si>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</si>
  <si>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</si>
  <si>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</si>
  <si>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</si>
  <si>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</si>
  <si>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</si>
  <si>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</si>
  <si>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</si>
  <si>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</si>
  <si>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</si>
  <si>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</si>
  <si>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</si>
  <si>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</si>
  <si>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</si>
  <si>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VA</t>
  </si>
  <si>
    <t xml:space="preserve">George Mason University </t>
  </si>
  <si>
    <t xml:space="preserve">Old Dominion University </t>
  </si>
  <si>
    <t>University of Virginia</t>
  </si>
  <si>
    <t>Virginia Commonwealth University</t>
  </si>
  <si>
    <t xml:space="preserve">Virginia Tech </t>
  </si>
  <si>
    <t>College of William &amp; Mary</t>
  </si>
  <si>
    <t>James Madison University</t>
  </si>
  <si>
    <t xml:space="preserve">Longwood University </t>
  </si>
  <si>
    <t xml:space="preserve">Norfolk State University </t>
  </si>
  <si>
    <t>Radford University</t>
  </si>
  <si>
    <t xml:space="preserve">University of Mary Washington </t>
  </si>
  <si>
    <t xml:space="preserve">Virginia State University </t>
  </si>
  <si>
    <t>Christopher Newport University</t>
  </si>
  <si>
    <t xml:space="preserve">University of Virginia's College at Wise </t>
  </si>
  <si>
    <t>J.S. Reynolds Community College</t>
  </si>
  <si>
    <t>John Tyler Community College</t>
  </si>
  <si>
    <t xml:space="preserve">Northern Virginia Community College </t>
  </si>
  <si>
    <t xml:space="preserve">Thomas Nelson Community College </t>
  </si>
  <si>
    <t xml:space="preserve">Tidewater Community College </t>
  </si>
  <si>
    <t xml:space="preserve">Blue Ridge Community College </t>
  </si>
  <si>
    <t xml:space="preserve">Central Virginia Community College </t>
  </si>
  <si>
    <t xml:space="preserve">Danville Community College </t>
  </si>
  <si>
    <t>Germanna Community College</t>
  </si>
  <si>
    <t>Lord Fairfax Community College</t>
  </si>
  <si>
    <t xml:space="preserve">New River Community College </t>
  </si>
  <si>
    <t xml:space="preserve">Patrick Henry Community College </t>
  </si>
  <si>
    <t xml:space="preserve">Piedmont Virginia Community College </t>
  </si>
  <si>
    <t>Southside Virginia Community College</t>
  </si>
  <si>
    <t xml:space="preserve">Virginia Western Community College </t>
  </si>
  <si>
    <t xml:space="preserve">Wytheville Community College </t>
  </si>
  <si>
    <t xml:space="preserve">D.S. Lancaster Community College </t>
  </si>
  <si>
    <t>Eastern Shore Community College</t>
  </si>
  <si>
    <t>Mountain Empire Community College</t>
  </si>
  <si>
    <t>Paul D. Camp Community College</t>
  </si>
  <si>
    <t>Rappahannock Community College</t>
  </si>
  <si>
    <t xml:space="preserve">Richard Bland College </t>
  </si>
  <si>
    <t xml:space="preserve">Southwest Virginia Community College </t>
  </si>
  <si>
    <t xml:space="preserve">Virginia Highlands Community College </t>
  </si>
  <si>
    <t>WV</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</si>
  <si>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</si>
  <si>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</si>
  <si>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</si>
  <si>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</si>
  <si>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</si>
  <si>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</si>
  <si>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</si>
  <si>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</si>
  <si>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</si>
  <si>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at Parkersburg</t>
  </si>
  <si>
    <t>West Virginia University Institute of Technology</t>
  </si>
  <si>
    <t>Potomac State College of West Virginia University</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</si>
  <si>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</si>
  <si>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</si>
  <si>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</si>
  <si>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</si>
  <si>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</si>
  <si>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</si>
  <si>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</si>
  <si>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</si>
  <si>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</si>
  <si>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DE</t>
  </si>
  <si>
    <t>University of Delaware</t>
  </si>
  <si>
    <t>Delaware State University</t>
  </si>
  <si>
    <t>Delaware Technical and Community College--Terry</t>
  </si>
  <si>
    <t>MD</t>
  </si>
  <si>
    <t>University of Maryland College Park</t>
  </si>
  <si>
    <t>Morgan State University</t>
  </si>
  <si>
    <t>University of Maryland, Baltimore County</t>
  </si>
  <si>
    <t xml:space="preserve">Towson University </t>
  </si>
  <si>
    <t xml:space="preserve">Bowie State University </t>
  </si>
  <si>
    <t xml:space="preserve">Frostburg State University </t>
  </si>
  <si>
    <t xml:space="preserve">Salisbury University </t>
  </si>
  <si>
    <t>University of Baltimore</t>
  </si>
  <si>
    <t xml:space="preserve">University of Maryland Eastern Shore </t>
  </si>
  <si>
    <t>Coppin State University</t>
  </si>
  <si>
    <t>Saint Mary's College of Maryland</t>
  </si>
  <si>
    <t xml:space="preserve">Anne Arundel Community College </t>
  </si>
  <si>
    <t>College of Southern Maryland</t>
  </si>
  <si>
    <t>Community College of Baltimore County (all campuses)</t>
  </si>
  <si>
    <t xml:space="preserve">Howard Community College </t>
  </si>
  <si>
    <t>Montgomery College (all campuses)</t>
  </si>
  <si>
    <t xml:space="preserve">Prince George's Community College </t>
  </si>
  <si>
    <t>Allegany College of Maryland</t>
  </si>
  <si>
    <t>Baltimore City Community College</t>
  </si>
  <si>
    <t>Carroll Community College</t>
  </si>
  <si>
    <t xml:space="preserve">Frederick Community College </t>
  </si>
  <si>
    <t xml:space="preserve">Hagerstown Community College </t>
  </si>
  <si>
    <t xml:space="preserve">Harford Community College </t>
  </si>
  <si>
    <t xml:space="preserve">Wor-Wic Community College </t>
  </si>
  <si>
    <t xml:space="preserve">Cecil Community College </t>
  </si>
  <si>
    <t xml:space="preserve">Chesapeake College </t>
  </si>
  <si>
    <t xml:space="preserve">Garrett College </t>
  </si>
  <si>
    <t>University of Maryland University College</t>
  </si>
  <si>
    <t>University of Maryland, Baltimore</t>
  </si>
  <si>
    <t>OK</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</si>
  <si>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</si>
  <si>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</si>
  <si>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</si>
  <si>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</si>
  <si>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</si>
  <si>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</si>
  <si>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</si>
  <si>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</si>
  <si>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</si>
  <si>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</si>
  <si>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</si>
  <si>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</si>
  <si>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</si>
  <si>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</si>
  <si>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Oklahoma State University-Oklahoma City</t>
  </si>
  <si>
    <t xml:space="preserve">Oklahoma City Community College </t>
  </si>
  <si>
    <t xml:space="preserve">Tulsa Community College </t>
  </si>
  <si>
    <t xml:space="preserve">Northern Oklahoma College </t>
  </si>
  <si>
    <t xml:space="preserve">Rose State College </t>
  </si>
  <si>
    <t>Carl Albert State College</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</si>
  <si>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</si>
  <si>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</si>
  <si>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</si>
  <si>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</si>
  <si>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</si>
  <si>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</si>
  <si>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</si>
  <si>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SC</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</si>
  <si>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</si>
  <si>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</si>
  <si>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</si>
  <si>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</si>
  <si>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</si>
  <si>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</si>
  <si>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</si>
  <si>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</si>
  <si>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</si>
  <si>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</si>
  <si>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</si>
  <si>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</si>
  <si>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</si>
  <si>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</si>
  <si>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</si>
  <si>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</si>
  <si>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</si>
  <si>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</si>
  <si>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</si>
  <si>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</si>
  <si>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</si>
  <si>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</si>
  <si>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</si>
  <si>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</si>
  <si>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</si>
  <si>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</si>
  <si>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</si>
  <si>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</si>
  <si>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</si>
  <si>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</si>
  <si>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</si>
  <si>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</si>
  <si>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Academy of Careers and Technology (Raleigh County)</t>
  </si>
  <si>
    <t>Ben Franklin Career Center</t>
  </si>
  <si>
    <t xml:space="preserve">Boone County Career &amp; Technical Center </t>
  </si>
  <si>
    <t>Cabell County Career Technology Center</t>
  </si>
  <si>
    <t xml:space="preserve">Carver Career Center </t>
  </si>
  <si>
    <t>Fayette Institute of Technology</t>
  </si>
  <si>
    <t xml:space="preserve">Fred W. Eberle Technical Center </t>
  </si>
  <si>
    <t xml:space="preserve">Garnet Career Center </t>
  </si>
  <si>
    <t>James Rumsey Technical Institute</t>
  </si>
  <si>
    <t>John D. Rockefeller IV Career Center</t>
  </si>
  <si>
    <t>Marion County Vocational-Technical Center</t>
  </si>
  <si>
    <t xml:space="preserve">McDowell County Vocational-Technical Center </t>
  </si>
  <si>
    <t>Mercer County Technical Education Center</t>
  </si>
  <si>
    <t xml:space="preserve">Mineral County Vocational-Technical Center </t>
  </si>
  <si>
    <t xml:space="preserve">Monongalia County Technical Education Center </t>
  </si>
  <si>
    <t>Putnam Career and Technical Center</t>
  </si>
  <si>
    <t>Ralph R. Willis Career and Technical Center</t>
  </si>
  <si>
    <t>Roane-Jackson Technical Center</t>
  </si>
  <si>
    <t>South Branch Career &amp; Technical Center</t>
  </si>
  <si>
    <t>United Technical Center</t>
  </si>
  <si>
    <t xml:space="preserve">Wyoming County </t>
  </si>
  <si>
    <t>N/A</t>
  </si>
  <si>
    <t>Greenbrier Practical School of Nursing</t>
  </si>
  <si>
    <t>Mingo Extended Learning Center</t>
  </si>
  <si>
    <t>Randolph Technical Center</t>
  </si>
  <si>
    <t>Summers County School of Nursing</t>
  </si>
  <si>
    <t>Wood County School of Practical Nursing</t>
  </si>
  <si>
    <t>TX</t>
  </si>
  <si>
    <t xml:space="preserve">Texas A &amp; 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</si>
  <si>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</si>
  <si>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</si>
  <si>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</si>
  <si>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</si>
  <si>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</si>
  <si>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</si>
  <si>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</si>
  <si>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</si>
  <si>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</si>
  <si>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</si>
  <si>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</si>
  <si>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Midwestern State University</t>
  </si>
  <si>
    <t>Prairie View A &amp; M University</t>
  </si>
  <si>
    <t xml:space="preserve">Sam Houston State University </t>
  </si>
  <si>
    <t>Stephen F. Austin State University</t>
  </si>
  <si>
    <t xml:space="preserve">Sul Ross State University </t>
  </si>
  <si>
    <t>Tarleton State University</t>
  </si>
  <si>
    <t>Texas A &amp; M International University</t>
  </si>
  <si>
    <t>Texas A &amp; M University - Commerce</t>
  </si>
  <si>
    <t xml:space="preserve">Texas A &amp; M University-Corpus Christi </t>
  </si>
  <si>
    <t>Texas A &amp; 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</si>
  <si>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</si>
  <si>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</si>
  <si>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</si>
  <si>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</si>
  <si>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</si>
  <si>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</si>
  <si>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 &amp; M University</t>
  </si>
  <si>
    <t>Texas A &amp; M -Texarkana</t>
  </si>
  <si>
    <t>Texas A &amp; M University - Central Texas</t>
  </si>
  <si>
    <t>University of Houston-Victoria</t>
  </si>
  <si>
    <t>Sul Ross State University-Rio Grande College</t>
  </si>
  <si>
    <t>228501B</t>
  </si>
  <si>
    <t>Texas A &amp; M University - San Antonio</t>
  </si>
  <si>
    <t>University of Houston-Downtown</t>
  </si>
  <si>
    <t>Texas A &amp; 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</si>
  <si>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</si>
  <si>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</si>
  <si>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</si>
  <si>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</si>
  <si>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</si>
  <si>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</si>
  <si>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</si>
  <si>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</si>
  <si>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</si>
  <si>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</si>
  <si>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</si>
  <si>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</si>
  <si>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</si>
  <si>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</si>
  <si>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</si>
  <si>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</si>
  <si>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</si>
  <si>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</si>
  <si>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</si>
  <si>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</si>
  <si>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</si>
  <si>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</si>
  <si>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</si>
  <si>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</si>
  <si>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</si>
  <si>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</si>
  <si>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</si>
  <si>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</si>
  <si>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</si>
  <si>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</si>
  <si>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</si>
  <si>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</si>
  <si>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</si>
  <si>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</si>
  <si>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</si>
  <si>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</si>
  <si>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</si>
  <si>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</si>
  <si>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</si>
  <si>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 xml:space="preserve">Kilgore College </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</si>
  <si>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</si>
  <si>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</si>
  <si>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</si>
  <si>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</si>
  <si>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</si>
  <si>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</si>
  <si>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</si>
  <si>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</si>
  <si>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</si>
  <si>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</si>
  <si>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</si>
  <si>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</si>
  <si>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</si>
  <si>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</si>
  <si>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</si>
  <si>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</si>
  <si>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</si>
  <si>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</si>
  <si>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</si>
  <si>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</si>
  <si>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</si>
  <si>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</si>
  <si>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???1</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</si>
  <si>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</si>
  <si>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</si>
  <si>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</si>
  <si>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</si>
  <si>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</si>
  <si>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</si>
  <si>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</si>
  <si>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New fall 2009. No degrees yet granted.</t>
  </si>
  <si>
    <t>Texas State Technical College-North Texas</t>
  </si>
  <si>
    <t>New Fall 2016</t>
  </si>
  <si>
    <t>???2</t>
  </si>
  <si>
    <t>Texas State Technical College-Fort Bend</t>
  </si>
  <si>
    <t>???3</t>
  </si>
  <si>
    <t>type2</t>
  </si>
  <si>
    <t>Four-Year +</t>
  </si>
  <si>
    <t>Four-Year + Total</t>
  </si>
  <si>
    <t>Two-Year</t>
  </si>
  <si>
    <t>Two-Year Total</t>
  </si>
  <si>
    <t>Technical</t>
  </si>
  <si>
    <t>Technical Total</t>
  </si>
  <si>
    <t>Grand Total</t>
  </si>
  <si>
    <t>Data</t>
  </si>
  <si>
    <t xml:space="preserve"> Old %UG OnC Trad</t>
  </si>
  <si>
    <t xml:space="preserve"> New %UG OnC Trad</t>
  </si>
  <si>
    <t xml:space="preserve"> Change %UG OnC Trad</t>
  </si>
  <si>
    <t xml:space="preserve"> Old %UG OffC Trad</t>
  </si>
  <si>
    <t xml:space="preserve"> New %UG OffC Trad</t>
  </si>
  <si>
    <t xml:space="preserve"> Change %UG OffC Trad</t>
  </si>
  <si>
    <t xml:space="preserve"> Old %UG EL Web</t>
  </si>
  <si>
    <t xml:space="preserve"> New %UG EL Web</t>
  </si>
  <si>
    <t xml:space="preserve"> Change %UG EL Web</t>
  </si>
  <si>
    <t xml:space="preserve"> Old %UG EL CV</t>
  </si>
  <si>
    <t xml:space="preserve"> New %UG EL CV</t>
  </si>
  <si>
    <t xml:space="preserve"> Change %UG EL CV</t>
  </si>
  <si>
    <t xml:space="preserve"> Old %UG EL O</t>
  </si>
  <si>
    <t xml:space="preserve"> New %UG EL O</t>
  </si>
  <si>
    <t xml:space="preserve"> Change %UG EL O</t>
  </si>
  <si>
    <t xml:space="preserve"> Old %UG Cor</t>
  </si>
  <si>
    <t xml:space="preserve"> New %UG Cor</t>
  </si>
  <si>
    <t xml:space="preserve"> Change %UG Cor</t>
  </si>
  <si>
    <t xml:space="preserve"> Old %G OnC Trad</t>
  </si>
  <si>
    <t xml:space="preserve"> New %G OnC Trad</t>
  </si>
  <si>
    <t xml:space="preserve"> Change %G OnC Trad</t>
  </si>
  <si>
    <t xml:space="preserve"> Old %G OffC Trad</t>
  </si>
  <si>
    <t xml:space="preserve"> New %G OffC Trad</t>
  </si>
  <si>
    <t xml:space="preserve"> Change %G OffC Trad</t>
  </si>
  <si>
    <t xml:space="preserve"> Old %G EL Web</t>
  </si>
  <si>
    <t xml:space="preserve"> New %G EL Web</t>
  </si>
  <si>
    <t xml:space="preserve"> Change %G EL Web</t>
  </si>
  <si>
    <t xml:space="preserve"> Old %G EL CV</t>
  </si>
  <si>
    <t xml:space="preserve"> New %G EL CV</t>
  </si>
  <si>
    <t xml:space="preserve"> Change %G EL CV</t>
  </si>
  <si>
    <t xml:space="preserve"> Old %G EL O</t>
  </si>
  <si>
    <t xml:space="preserve"> New %G EL O</t>
  </si>
  <si>
    <t xml:space="preserve"> Change %G EL O</t>
  </si>
  <si>
    <t xml:space="preserve"> Old %G Cor</t>
  </si>
  <si>
    <t xml:space="preserve"> New %G Cor</t>
  </si>
  <si>
    <t xml:space="preserve"> Change %G Cor</t>
  </si>
  <si>
    <t>Total  Old %UG OnC Trad</t>
  </si>
  <si>
    <t>Total  New %UG OnC Trad</t>
  </si>
  <si>
    <t>Total  Change %UG OnC Trad</t>
  </si>
  <si>
    <t>Total  Old %UG OffC Trad</t>
  </si>
  <si>
    <t>Total  New %UG OffC Trad</t>
  </si>
  <si>
    <t>Total  Change %UG OffC Trad</t>
  </si>
  <si>
    <t>Total  Old %UG EL Web</t>
  </si>
  <si>
    <t>Total  New %UG EL Web</t>
  </si>
  <si>
    <t>Total  Change %UG EL Web</t>
  </si>
  <si>
    <t>Total  Old %UG EL CV</t>
  </si>
  <si>
    <t>Total  New %UG EL CV</t>
  </si>
  <si>
    <t>Total  Change %UG EL CV</t>
  </si>
  <si>
    <t>Total  Old %UG EL O</t>
  </si>
  <si>
    <t>Total  New %UG EL O</t>
  </si>
  <si>
    <t>Total  Change %UG EL O</t>
  </si>
  <si>
    <t>Total  Old %UG Cor</t>
  </si>
  <si>
    <t>Total  New %UG Cor</t>
  </si>
  <si>
    <t>Total  Change %UG Cor</t>
  </si>
  <si>
    <t>Total  Old %G OnC Trad</t>
  </si>
  <si>
    <t>Total  New %G OnC Trad</t>
  </si>
  <si>
    <t>Total  Change %G OnC Trad</t>
  </si>
  <si>
    <t>Total  Old %G OffC Trad</t>
  </si>
  <si>
    <t>Total  New %G OffC Trad</t>
  </si>
  <si>
    <t>Total  Change %G OffC Trad</t>
  </si>
  <si>
    <t>Total  Old %G EL Web</t>
  </si>
  <si>
    <t>Total  New %G EL Web</t>
  </si>
  <si>
    <t>Total  Change %G EL Web</t>
  </si>
  <si>
    <t>Total  Old %G EL CV</t>
  </si>
  <si>
    <t>Total  New %G EL CV</t>
  </si>
  <si>
    <t>Total  Change %G EL CV</t>
  </si>
  <si>
    <t>Total  Old %G EL O</t>
  </si>
  <si>
    <t>Total  New %G EL O</t>
  </si>
  <si>
    <t>Total  Change %G EL O</t>
  </si>
  <si>
    <t>Total  Old %G Cor</t>
  </si>
  <si>
    <t>Total  New %G Cor</t>
  </si>
  <si>
    <t>Total  Change %G Cor</t>
  </si>
  <si>
    <t>Met the criteria for Four-Year 1 in 2016-17.</t>
  </si>
  <si>
    <t>Met the criteria for Four-Year 2 in 2016-17.</t>
  </si>
  <si>
    <t>Met the criteria for Four-Year 3 in 2016-17.</t>
  </si>
  <si>
    <t>Reclassified: Met the criteria for Four-Year 3 in 2014-15 and 2015-16 and 2016-17.</t>
  </si>
  <si>
    <t>Reclassified: Met the criteria for Two-Year 3 in 2014-15, 2015-16, and 2016-17.</t>
  </si>
  <si>
    <t>Met the criteria for Two-Year 3 in 2015-16 and 2016-17.</t>
  </si>
  <si>
    <t>Met the criteria for Two-Year 2 in 2015-16 and 2016-17.</t>
  </si>
  <si>
    <t>Met the criteria for Four-Year 5 in 2016-17.</t>
  </si>
  <si>
    <t xml:space="preserve">Met the criteria for Two-Year 2 in 2015-16 and 2016-17. </t>
  </si>
  <si>
    <t xml:space="preserve">Met the criteria for Two-Year 2 in 2016-17. </t>
  </si>
  <si>
    <t xml:space="preserve">Met the criteria for Two-Year 3 in 2015-16 and 2016-17. </t>
  </si>
  <si>
    <t>Met the criteria for Two-Year 1 in 2015-16. Now meeting criteria for Technical Instituition or College 1 in 2016-17</t>
  </si>
  <si>
    <t xml:space="preserve">Met the criteria for Two-Year with Bachelor's in 2015-16 and 2016-17. </t>
  </si>
  <si>
    <t>Reclassified: Met the criteria for Two-Year with Bachelor's in 2014-15, 2015-16, and 2016-17.</t>
  </si>
  <si>
    <t>Met the criteria for Two-Year with Bachelor's in 2015-16 and 2016-17.</t>
  </si>
  <si>
    <t xml:space="preserve">Met the criteria for Two-Year with Bachelor's in 2016-17. </t>
  </si>
  <si>
    <t>Met the criteria for Four-Year 2 in 2015-16 and 2016-17.</t>
  </si>
  <si>
    <t>Met the criteria for Four-Year 4 in 2015-16 and 2016-17.</t>
  </si>
  <si>
    <t xml:space="preserve">Reclassified: Met the criteria for Four-Year 6 in 2014-15, 2015-16, and 2016-17. </t>
  </si>
  <si>
    <t xml:space="preserve">Reclassified: Met the criteria for Two-Year with Bachelor's in 2014-15 and 2015-16 and 2016-17. </t>
  </si>
  <si>
    <t>Reclassified: Met the criteria for Two-Year 3 in 2014-15 and 2015-16 and 2016-17.</t>
  </si>
  <si>
    <t>Met the criteria for Four-Year 3 in 2015-16 and 2016-17.</t>
  </si>
  <si>
    <t>Met the criteria for Two-Year 3 in 2016-17.</t>
  </si>
  <si>
    <t>Met the criteria for Four-Year 1 in 2015-16 and 2016-17.</t>
  </si>
  <si>
    <t>Met the criteria for Two-Year 1 in 2015-16 and 2016-17.</t>
  </si>
  <si>
    <t>Met the criteria for Two-Year 2 in 2016-17.</t>
  </si>
  <si>
    <t>Met the criteria for Four-Year 2 in  2016-17.</t>
  </si>
  <si>
    <t>Met the criteria for Four-Year 4 in 2016-17.</t>
  </si>
  <si>
    <t>Reclassified: Met the criteria for Two-Year 2 in 2014-15, 2015-16, and 2016-17.</t>
  </si>
  <si>
    <t>Reclassified: Met the criteria for Four-Year 1 in 2014-15, 2015-16, and 2016-17.</t>
  </si>
  <si>
    <t>Reclassified: Met the criteria for Four-Year 2 in 2014-15, 2015-16, and 2016-17.</t>
  </si>
  <si>
    <t>Reclassified: Met the criteria for Four-Year 5 in 2014-15, 2015-16, and 2016-17.</t>
  </si>
  <si>
    <t>Met the criteria for Two-Year 1 in 2016-17.</t>
  </si>
  <si>
    <t xml:space="preserve">Met the criteria for Two-Year 3 in 2016-17. </t>
  </si>
  <si>
    <t>RECLASSIFIED</t>
  </si>
  <si>
    <t>NOT a Review Table</t>
  </si>
  <si>
    <t>Four-Year</t>
  </si>
  <si>
    <t>Four-Year Total</t>
  </si>
  <si>
    <t>Techncial</t>
  </si>
  <si>
    <t>Techncial Total</t>
  </si>
  <si>
    <t>Sum of OLD-Tot UG SCH Calc</t>
  </si>
  <si>
    <t>Sum of NEW-Tot UG SCH Calc</t>
  </si>
  <si>
    <t>Sum of Old UG E-Learning</t>
  </si>
  <si>
    <t>Sum of New UG E-Learning</t>
  </si>
  <si>
    <t>Sum of Old-Tot G SCH Calc</t>
  </si>
  <si>
    <t>Sum of New-Tot G SCH Calc</t>
  </si>
  <si>
    <t>Sum of Old G E-Learning</t>
  </si>
  <si>
    <t>Sum of New G E-Learning</t>
  </si>
  <si>
    <t>Total UG SCH</t>
  </si>
  <si>
    <t>4-year</t>
  </si>
  <si>
    <t>2-year</t>
  </si>
  <si>
    <t>Tech</t>
  </si>
  <si>
    <t>Total</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</si>
  <si>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</si>
  <si>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</si>
  <si>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</si>
  <si>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</si>
  <si>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</si>
  <si>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</si>
  <si>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</si>
  <si>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</si>
  <si>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</si>
  <si>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</si>
  <si>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</si>
  <si>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</si>
  <si>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</si>
  <si>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</si>
  <si>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</si>
  <si>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</si>
  <si>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E-Learning UG SCH</t>
  </si>
  <si>
    <t>Total G SCH</t>
  </si>
  <si>
    <t>E-Learning G SCH</t>
  </si>
  <si>
    <t>14 Total</t>
  </si>
  <si>
    <t>99 Total</t>
  </si>
  <si>
    <t>Table 91</t>
  </si>
  <si>
    <t>Table 106</t>
  </si>
  <si>
    <t>Undergraduate Instructional Activity by Type of Instruction</t>
  </si>
  <si>
    <t>Graduate Instructional Activity by Type of Instruction</t>
  </si>
  <si>
    <t>Percent of Total</t>
  </si>
  <si>
    <t>Traditional</t>
  </si>
  <si>
    <t>e-Learning</t>
  </si>
  <si>
    <t>On-Campus</t>
  </si>
  <si>
    <t>Off-Campus</t>
  </si>
  <si>
    <t>Subtotal</t>
  </si>
  <si>
    <t>2-Way Compressed Video</t>
  </si>
  <si>
    <r>
      <t>Other</t>
    </r>
    <r>
      <rPr>
        <b/>
        <vertAlign val="superscript"/>
        <sz val="9"/>
        <rFont val="Arial"/>
        <family val="2"/>
      </rPr>
      <t>2</t>
    </r>
  </si>
  <si>
    <t>Corre- spondence</t>
  </si>
  <si>
    <t>check figs</t>
  </si>
  <si>
    <r>
      <t>Florida</t>
    </r>
    <r>
      <rPr>
        <vertAlign val="superscript"/>
        <sz val="10"/>
        <rFont val="Arial"/>
        <family val="2"/>
      </rPr>
      <t>3</t>
    </r>
  </si>
  <si>
    <r>
      <t>1</t>
    </r>
    <r>
      <rPr>
        <sz val="8"/>
        <rFont val="Arial"/>
        <family val="2"/>
      </rPr>
      <t>This "all four-year" table includes the Marion Military Institute, University of Arkansas for Medical Sciences, University of Maryland University College, and University of Maryland - Baltimore.</t>
    </r>
  </si>
  <si>
    <r>
      <t>2</t>
    </r>
    <r>
      <rPr>
        <sz val="8"/>
        <rFont val="Arial"/>
        <family val="2"/>
      </rPr>
      <t>Courses delivered via satellite, cable TV, broadcast TV/radio, closed-circuit TV, video tape, CD-ROMS, e-mail, etc.</t>
    </r>
  </si>
  <si>
    <r>
      <t>3</t>
    </r>
    <r>
      <rPr>
        <sz val="8"/>
        <rFont val="Arial"/>
        <family val="2"/>
      </rPr>
      <t>The university system in Florida uses an 80 percent rule to define e-learning so their figures here are likely lower than they would be if they used the 50 percent rule.</t>
    </r>
  </si>
  <si>
    <t>Table 92</t>
  </si>
  <si>
    <t>Table 107</t>
  </si>
  <si>
    <r>
      <t>Other</t>
    </r>
    <r>
      <rPr>
        <b/>
        <vertAlign val="superscript"/>
        <sz val="9"/>
        <rFont val="Arial"/>
        <family val="2"/>
      </rPr>
      <t>1</t>
    </r>
  </si>
  <si>
    <r>
      <t>Florida</t>
    </r>
    <r>
      <rPr>
        <vertAlign val="superscript"/>
        <sz val="10"/>
        <rFont val="Arial"/>
        <family val="2"/>
      </rPr>
      <t>2</t>
    </r>
  </si>
  <si>
    <r>
      <t>1</t>
    </r>
    <r>
      <rPr>
        <sz val="8"/>
        <rFont val="Arial"/>
        <family val="2"/>
      </rPr>
      <t>Courses delivered via satellite, cable TV, broadcast TV/radio, closed-circuit TV, video tape, CD-ROMS, e-mail, etc.</t>
    </r>
  </si>
  <si>
    <r>
      <t>2</t>
    </r>
    <r>
      <rPr>
        <sz val="8"/>
        <rFont val="Arial"/>
        <family val="2"/>
      </rPr>
      <t>The university system in Florida uses a 75 percent rule to define e-learning so their figures here are likely lower than they would be if they used the 50 percent rule.</t>
    </r>
  </si>
  <si>
    <t>Table 93</t>
  </si>
  <si>
    <t>Table 108</t>
  </si>
  <si>
    <t>Table 94</t>
  </si>
  <si>
    <t>Table 109</t>
  </si>
  <si>
    <r>
      <t>2</t>
    </r>
    <r>
      <rPr>
        <sz val="8"/>
        <rFont val="Arial"/>
        <family val="2"/>
      </rPr>
      <t>The university system in Florida uses an 80 percent rule to define e-learning so their figures here are likely lower than they would be if they used the 50 percent rule.</t>
    </r>
  </si>
  <si>
    <t>Table 95</t>
  </si>
  <si>
    <t>Table 110</t>
  </si>
  <si>
    <t>Table 96</t>
  </si>
  <si>
    <t>Table 111</t>
  </si>
  <si>
    <t>Table 97</t>
  </si>
  <si>
    <t>Table 112</t>
  </si>
  <si>
    <t>Table 98</t>
  </si>
  <si>
    <r>
      <t>Mississippi</t>
    </r>
    <r>
      <rPr>
        <vertAlign val="superscript"/>
        <sz val="10"/>
        <rFont val="Arial"/>
        <family val="2"/>
      </rPr>
      <t>2</t>
    </r>
  </si>
  <si>
    <r>
      <t>2</t>
    </r>
    <r>
      <rPr>
        <sz val="8"/>
        <rFont val="Arial"/>
        <family val="2"/>
      </rPr>
      <t>Florida and Mississippi Community Colleges define e-learning when 75 percent of course content is delivered electronically so the figures reported here are likely lower than they would be if they employed a 50 percent rule.</t>
    </r>
  </si>
  <si>
    <t>Table 99</t>
  </si>
  <si>
    <r>
      <t>2</t>
    </r>
    <r>
      <rPr>
        <sz val="8"/>
        <rFont val="Arial"/>
        <family val="2"/>
      </rPr>
      <t>Florida Community Colleges define e-learning when 75 percent of course content is delivered electronically so the figures reported here are likely lower than they would be if they employed a 50 percent rule.</t>
    </r>
  </si>
  <si>
    <t>Table 100</t>
  </si>
  <si>
    <t>Table 101</t>
  </si>
  <si>
    <t>Table 102</t>
  </si>
  <si>
    <t>Table 103</t>
  </si>
  <si>
    <t>Table 104</t>
  </si>
  <si>
    <t>Table 105</t>
  </si>
  <si>
    <t>Public Four-Year Institutions1, 2015</t>
  </si>
  <si>
    <r>
      <t>1</t>
    </r>
    <r>
      <rPr>
        <sz val="8"/>
        <rFont val="Arial"/>
        <family val="2"/>
      </rPr>
      <t>This "all four-year" table includes the Marion Military Institute, University of Arkansas for Medical Sciences, Southern Polytechnic State University, University of Maryland University College, and University of Maryland - Baltimore.</t>
    </r>
  </si>
  <si>
    <t>Public Four-Year 1 Institutions, 2015</t>
  </si>
  <si>
    <t>Public Four-Year 2 Institutions, 2015</t>
  </si>
  <si>
    <t>Public Four-Year 3 Institutions, 2015</t>
  </si>
  <si>
    <t>Public Four-Year 4 Institutions, 2015</t>
  </si>
  <si>
    <t>Public Four-Year 5 Institutions, 2015</t>
  </si>
  <si>
    <t>Public Four-Year 6 Institutions, 2015</t>
  </si>
  <si>
    <t>Public Two-Year, 2015</t>
  </si>
  <si>
    <t>Public Two-Year with Bachelor's Institutions, 2015</t>
  </si>
  <si>
    <t>Public Two-Year 1 Institutions, 2015</t>
  </si>
  <si>
    <t>Public Two-Year 2 Institutions, 2015</t>
  </si>
  <si>
    <t>Public Two-Year 3 Institutions, 2015</t>
  </si>
  <si>
    <t>Public Technical Institutes or Colleges, 2015</t>
  </si>
  <si>
    <t>Public Technical Institutes or Colleges 1, 2015</t>
  </si>
  <si>
    <t>Public Technical Institutes or Colleges 2, 2015</t>
  </si>
  <si>
    <t>Table 87</t>
  </si>
  <si>
    <r>
      <t>All</t>
    </r>
    <r>
      <rPr>
        <b/>
        <vertAlign val="superscript"/>
        <sz val="10"/>
        <rFont val="Arial"/>
        <family val="2"/>
      </rPr>
      <t>1</t>
    </r>
  </si>
  <si>
    <t>with bachs.</t>
  </si>
  <si>
    <t>All</t>
  </si>
  <si>
    <r>
      <t xml:space="preserve">1 </t>
    </r>
    <r>
      <rPr>
        <sz val="8"/>
        <rFont val="Arial"/>
        <family val="2"/>
      </rPr>
      <t>The "all four-year" figures include the Marion Military Institute, University of Arkansas for Medical Sciences, University of Maryland University College, and University of Maryland - Baltimore.</t>
    </r>
  </si>
  <si>
    <t>Table 88</t>
  </si>
  <si>
    <r>
      <t>2</t>
    </r>
    <r>
      <rPr>
        <sz val="8"/>
        <rFont val="Arial"/>
        <family val="2"/>
      </rPr>
      <t xml:space="preserve"> The university system in Florida uses an 80 percent rule; Florida's community colleges and Mississippi's community and junior colleges use a 75 percent rule to define e-learning so their figures here are likely lower than they would be if they used the 50 percent rule.</t>
    </r>
  </si>
  <si>
    <t>Table 89</t>
  </si>
  <si>
    <t>Percent of Graduate Instructional Activity</t>
  </si>
  <si>
    <t xml:space="preserve"> in Traditional Classroom Instruction</t>
  </si>
  <si>
    <r>
      <t>1</t>
    </r>
    <r>
      <rPr>
        <sz val="8"/>
        <rFont val="Arial"/>
        <family val="2"/>
      </rPr>
      <t xml:space="preserve"> The "all four-year" figures include the Marion Military Institute, University of Arkansas for Medical Sciences, University of Maryland University College, and University of Maryland - Baltimore.</t>
    </r>
  </si>
  <si>
    <t>Table 90</t>
  </si>
  <si>
    <t>Percent of Graduate Instructional Activity in e-Learning</t>
  </si>
  <si>
    <r>
      <t>2</t>
    </r>
    <r>
      <rPr>
        <sz val="8"/>
        <rFont val="Arial"/>
        <family val="2"/>
      </rPr>
      <t xml:space="preserve"> The university system in Florida uses an 80 percent rule to define e-learning so their figures here are likely lower than they would be if they used the 50 percent rule.</t>
    </r>
  </si>
  <si>
    <t>Percent of Undergraduate Instructional Activity in Traditional Classroom Instruction by Type of Institution, 2015</t>
  </si>
  <si>
    <r>
      <t>All</t>
    </r>
    <r>
      <rPr>
        <b/>
        <vertAlign val="superscript"/>
        <sz val="9"/>
        <rFont val="Arial"/>
        <family val="2"/>
      </rPr>
      <t>1</t>
    </r>
  </si>
  <si>
    <r>
      <t xml:space="preserve">1 </t>
    </r>
    <r>
      <rPr>
        <sz val="8"/>
        <rFont val="Arial"/>
        <family val="2"/>
      </rPr>
      <t>The "all four-year" figures include the Marion Military Institute, University of Arkansas for Medical Sciences, Southern Polytechnic State University, University of Maryland University College, and University of Maryland - Baltimore.</t>
    </r>
  </si>
  <si>
    <t>Percent of Undergraduate Instructional Activity in e-Learning by Type of Institution, 2015</t>
  </si>
  <si>
    <t>Change</t>
  </si>
  <si>
    <t>4-Yr</t>
  </si>
  <si>
    <t>2-Yr</t>
  </si>
  <si>
    <t>by Type of Institution, 2015</t>
  </si>
  <si>
    <r>
      <t>1</t>
    </r>
    <r>
      <rPr>
        <sz val="8"/>
        <rFont val="Arial"/>
        <family val="2"/>
      </rPr>
      <t xml:space="preserve"> The "all four-year" figures include the Marion Military Institute, University of Arkansas for Medical Sciences, Southern Polytechnic State University, University of Maryland University College, and University of Maryland - Baltimore.</t>
    </r>
  </si>
  <si>
    <t>Public Four-Year Institutions1, 2016</t>
  </si>
  <si>
    <t>Public Four-Year 1 Institutions, 2016</t>
  </si>
  <si>
    <t>Public Four-Year 2 Institutions, 2016</t>
  </si>
  <si>
    <t>Public Four-Year 3 Institutions, 2016</t>
  </si>
  <si>
    <t>Public Four-Year 4 Institutions, 2016</t>
  </si>
  <si>
    <t>Public Four-Year 5 Institutions, 2016</t>
  </si>
  <si>
    <t>Public Four-Year 6 Institutions, 2016</t>
  </si>
  <si>
    <t>Public Two-Year, 2016</t>
  </si>
  <si>
    <t>Public Two-Year with Bachelor's Institutions, 2016</t>
  </si>
  <si>
    <t>Public Two-Year 1 Institutions, 2016</t>
  </si>
  <si>
    <t>Public Two-Year 2 Institutions, 2016</t>
  </si>
  <si>
    <t>Public Two-Year 3 Institutions, 2016</t>
  </si>
  <si>
    <t>Public Technical Institutes or Colleges, 2016</t>
  </si>
  <si>
    <t>Public Technical Institutes or Colleges 1, 2016</t>
  </si>
  <si>
    <t>Public Technical Institutes or Colleges 2, 2016</t>
  </si>
  <si>
    <t xml:space="preserve">  March 2018</t>
  </si>
  <si>
    <t>Percent of Undergraduate Instructional Activity in Traditional Classroom Instruction by Type of Institution, 2016</t>
  </si>
  <si>
    <t>Percent of Undergraduate Instructional Activity in e-Learning by Type of Institution, 2016</t>
  </si>
  <si>
    <t>by Type of Institution,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</si>
</sst>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_)"/>
    <numFmt numFmtId="165" formatCode="_(* #,##0_);_(* \(#,##0\);_(* &quot;-&quot;??_);_(@_)"/>
    <numFmt numFmtId="166" formatCode="General_)"/>
    <numFmt numFmtId="167" formatCode="0.0%"/>
    <numFmt numFmtId="168" formatCode="#,##0.0"/>
    <numFmt numFmtId="169" formatCode="_(* #,##0.0_);_(* \(#,##0.0\);_(* &quot;-&quot;??_);_(@_)"/>
    <numFmt numFmtId="170" formatCode="0.0"/>
    <numFmt numFmtId="171" formatCode="0.000"/>
    <numFmt numFmtId="172" formatCode="0.0000"/>
    <numFmt numFmtId="173" formatCode="0.00000"/>
  </numFmts>
  <fonts count="89">
    <font>
      <sz val="11"/>
      <color theme="1"/>
      <name val="Calibri"/>
      <family val="2"/>
      <scheme val="minor"/>
    </font>
    <font>
      <sz val="11"/>
      <color theme="1"/>
      <name val="Calibri"/>
      <family val="2"/>
      <scheme val="minor"/>
    </font>
    <font>
      <sz val="10"/>
      <name val="Arial"/>
      <family val="2"/>
    </font>
    <font>
      <b/>
      <sz val="10"/>
      <color indexed="10"/>
      <name val="Arial"/>
      <family val="2"/>
    </font>
    <font>
      <sz val="8"/>
      <name val="Arial"/>
      <family val="2"/>
    </font>
    <font>
      <b/>
      <sz val="10"/>
      <name val="Arial"/>
      <family val="2"/>
    </font>
    <font>
      <b/>
      <sz val="10"/>
      <color indexed="12"/>
      <name val="Arial"/>
      <family val="2"/>
    </font>
    <font>
      <sz val="12"/>
      <name val="AGaramond"/>
      <family val="1"/>
    </font>
    <font>
      <sz val="10"/>
      <color indexed="12"/>
      <name val="Arial"/>
      <family val="2"/>
    </font>
    <font>
      <sz val="12"/>
      <name val="AGaramond"/>
      <family val="3"/>
    </font>
    <font>
      <b/>
      <sz val="10"/>
      <color rgb="FFC00000"/>
      <name val="Arial"/>
      <family val="2"/>
    </font>
    <font>
      <sz val="10"/>
      <color rgb="FF0000FF"/>
      <name val="Arial"/>
      <family val="2"/>
    </font>
    <font>
      <b/>
      <sz val="10"/>
      <color theme="0"/>
      <name val="Arial"/>
      <family val="2"/>
    </font>
    <font>
      <b/>
      <sz val="10"/>
      <color rgb="FF0000FF"/>
      <name val="Arial"/>
      <family val="2"/>
    </font>
    <font>
      <b/>
      <sz val="14"/>
      <color theme="0"/>
      <name val="Arial"/>
      <family val="2"/>
    </font>
    <font>
      <sz val="10"/>
      <color theme="1"/>
      <name val="Arial"/>
      <family val="2"/>
    </font>
    <font>
      <sz val="10"/>
      <color indexed="8"/>
      <name val="Arial"/>
      <family val="2"/>
    </font>
    <font>
      <sz val="11"/>
      <color indexed="8"/>
      <name val="Calibri"/>
      <family val="2"/>
    </font>
    <font>
      <sz val="10"/>
      <name val="Courier"/>
      <family val="3"/>
    </font>
    <font>
      <sz val="12"/>
      <name val="Arial"/>
      <family val="2"/>
    </font>
    <font>
      <sz val="12"/>
      <name val="AGaramond"/>
      <family val="1"/>
    </font>
    <font>
      <sz val="10"/>
      <name val="Helv"/>
    </font>
    <font>
      <sz val="12"/>
      <name val="AGaramond"/>
      <family val="1"/>
    </font>
    <font>
      <sz val="10"/>
      <color rgb="FF000000"/>
      <name val="Times New Roman"/>
      <family val="1"/>
    </font>
    <font>
      <sz val="10"/>
      <color rgb="FF000000"/>
      <name val="Times New Roman"/>
      <family val="1"/>
    </font>
    <font>
      <sz val="12"/>
      <name val="AGaramond"/>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4"/>
      <color rgb="FFFF0000"/>
      <name val="Arial"/>
      <family val="2"/>
    </font>
    <font>
      <strike/>
      <sz val="8"/>
      <color theme="5"/>
      <name val="Arial"/>
      <family val="2"/>
    </font>
    <font>
      <strike/>
      <sz val="10"/>
      <color theme="5"/>
      <name val="Arial"/>
      <family val="2"/>
    </font>
    <font>
      <strike/>
      <sz val="10"/>
      <color rgb="FFC00000"/>
      <name val="Arial"/>
      <family val="2"/>
    </font>
    <font>
      <sz val="11"/>
      <color rgb="FF000000"/>
      <name val="Calibri"/>
      <family val="2"/>
      <scheme val="minor"/>
    </font>
    <font>
      <sz val="10"/>
      <color rgb="FF000000"/>
      <name val="Arial"/>
      <family val="2"/>
    </font>
    <font>
      <sz val="10"/>
      <color rgb="FF9C0000"/>
      <name val="Arial"/>
      <family val="2"/>
    </font>
    <font>
      <b/>
      <sz val="10"/>
      <color rgb="FF000000"/>
      <name val="Arial"/>
      <family val="2"/>
    </font>
    <font>
      <b/>
      <sz val="11"/>
      <color rgb="FF000000"/>
      <name val="Tahoma"/>
      <family val="2"/>
    </font>
    <font>
      <sz val="8"/>
      <color rgb="FF000000"/>
      <name val="Tahoma"/>
      <family val="2"/>
    </font>
    <font>
      <b/>
      <sz val="14"/>
      <color theme="1"/>
      <name val="Arial"/>
      <family val="2"/>
    </font>
    <font>
      <b/>
      <sz val="10"/>
      <color theme="1"/>
      <name val="Arial"/>
      <family val="2"/>
    </font>
    <font>
      <sz val="10"/>
      <color rgb="FFFFFFFF"/>
      <name val="Arial"/>
      <family val="2"/>
    </font>
    <font>
      <b/>
      <sz val="10"/>
      <color rgb="FF000000"/>
      <name val="Tahoma"/>
      <family val="2"/>
    </font>
    <font>
      <sz val="10"/>
      <color rgb="FF000000"/>
      <name val="Tahoma"/>
      <family val="2"/>
    </font>
    <font>
      <b/>
      <sz val="10"/>
      <color rgb="FFFF0000"/>
      <name val="Arial"/>
      <family val="2"/>
    </font>
    <font>
      <sz val="8"/>
      <color theme="1"/>
      <name val="Times New Roman"/>
      <family val="1"/>
    </font>
    <font>
      <sz val="8"/>
      <color rgb="FF000000"/>
      <name val="Times New Roman"/>
      <family val="1"/>
    </font>
    <font>
      <b/>
      <sz val="9"/>
      <color rgb="FF000000"/>
      <name val="Tahoma"/>
      <family val="2"/>
    </font>
    <font>
      <sz val="9"/>
      <color rgb="FF000000"/>
      <name val="Tahoma"/>
      <family val="2"/>
    </font>
    <font>
      <b/>
      <sz val="8"/>
      <color rgb="FF000000"/>
      <name val="Tahoma"/>
      <family val="2"/>
    </font>
    <font>
      <sz val="11"/>
      <name val="Calibri"/>
      <family val="2"/>
      <scheme val="minor"/>
    </font>
    <font>
      <b/>
      <sz val="11"/>
      <name val="Calibri"/>
      <family val="2"/>
      <scheme val="minor"/>
    </font>
    <font>
      <sz val="11"/>
      <color rgb="FFC00000"/>
      <name val="Calibri"/>
      <family val="2"/>
      <scheme val="minor"/>
    </font>
    <font>
      <b/>
      <sz val="11"/>
      <color theme="1"/>
      <name val="Calibri"/>
      <family val="2"/>
      <scheme val="minor"/>
    </font>
    <font>
      <b/>
      <sz val="11"/>
      <color rgb="FFC00000"/>
      <name val="Calibri"/>
      <family val="2"/>
      <scheme val="minor"/>
    </font>
    <font>
      <b/>
      <sz val="14"/>
      <color rgb="FFC00000"/>
      <name val="Arial"/>
      <family val="2"/>
    </font>
    <font>
      <b/>
      <sz val="14"/>
      <name val="Arial"/>
      <family val="2"/>
    </font>
    <font>
      <sz val="14"/>
      <name val="Arial"/>
      <family val="2"/>
    </font>
    <font>
      <sz val="14"/>
      <color rgb="FFC00000"/>
      <name val="Arial"/>
      <family val="2"/>
    </font>
    <font>
      <b/>
      <sz val="12"/>
      <name val="Arial"/>
      <family val="2"/>
    </font>
    <font>
      <sz val="10"/>
      <color rgb="FFC00000"/>
      <name val="Arial"/>
      <family val="2"/>
    </font>
    <font>
      <b/>
      <sz val="9"/>
      <name val="Arial"/>
      <family val="2"/>
    </font>
    <font>
      <sz val="9"/>
      <color rgb="FFC00000"/>
      <name val="Arial"/>
      <family val="2"/>
    </font>
    <font>
      <b/>
      <sz val="9"/>
      <color rgb="FFC00000"/>
      <name val="Arial"/>
      <family val="2"/>
    </font>
    <font>
      <b/>
      <vertAlign val="superscript"/>
      <sz val="9"/>
      <name val="Arial"/>
      <family val="2"/>
    </font>
    <font>
      <vertAlign val="superscript"/>
      <sz val="10"/>
      <name val="Arial"/>
      <family val="2"/>
    </font>
    <font>
      <vertAlign val="superscript"/>
      <sz val="8"/>
      <name val="Arial"/>
      <family val="2"/>
    </font>
    <font>
      <sz val="8"/>
      <color rgb="FFC00000"/>
      <name val="Arial"/>
      <family val="2"/>
    </font>
    <font>
      <b/>
      <sz val="10"/>
      <color indexed="81"/>
      <name val="Tahoma"/>
      <family val="2"/>
    </font>
    <font>
      <sz val="10"/>
      <color indexed="81"/>
      <name val="Tahoma"/>
      <family val="2"/>
    </font>
    <font>
      <b/>
      <sz val="9"/>
      <color indexed="81"/>
      <name val="Tahoma"/>
      <family val="2"/>
    </font>
    <font>
      <sz val="9"/>
      <color indexed="81"/>
      <name val="Tahoma"/>
      <family val="2"/>
    </font>
    <font>
      <sz val="9"/>
      <name val="Arial"/>
      <family val="2"/>
    </font>
    <font>
      <b/>
      <sz val="12"/>
      <color indexed="8"/>
      <name val="Arial"/>
      <family val="2"/>
    </font>
    <font>
      <b/>
      <sz val="10"/>
      <color indexed="8"/>
      <name val="Arial"/>
      <family val="2"/>
    </font>
    <font>
      <b/>
      <vertAlign val="superscript"/>
      <sz val="10"/>
      <name val="Arial"/>
      <family val="2"/>
    </font>
  </fonts>
  <fills count="63">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theme="1"/>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rgb="FFC00000"/>
        <bgColor indexed="64"/>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99CC"/>
        <bgColor indexed="64"/>
      </patternFill>
    </fill>
    <fill>
      <patternFill patternType="solid">
        <fgColor rgb="FFFFFFFF"/>
        <bgColor rgb="FFFFFFFF"/>
      </patternFill>
    </fill>
    <fill>
      <patternFill patternType="solid">
        <fgColor rgb="FFFFC8C8"/>
        <bgColor rgb="FFFFC8C8"/>
      </patternFill>
    </fill>
    <fill>
      <patternFill patternType="solid">
        <fgColor rgb="FFFF0000"/>
        <bgColor rgb="FFFF0000"/>
      </patternFill>
    </fill>
    <fill>
      <patternFill patternType="solid">
        <fgColor indexed="47"/>
        <bgColor indexed="64"/>
      </patternFill>
    </fill>
    <fill>
      <patternFill patternType="solid">
        <fgColor indexed="47"/>
        <bgColor indexed="42"/>
      </patternFill>
    </fill>
    <fill>
      <patternFill patternType="solid">
        <fgColor rgb="FFFFCC99"/>
        <bgColor rgb="FFFFCC99"/>
      </patternFill>
    </fill>
    <fill>
      <patternFill patternType="solid">
        <fgColor rgb="FFFFFF00"/>
        <bgColor indexed="64"/>
      </patternFill>
    </fill>
    <fill>
      <patternFill patternType="solid">
        <fgColor indexed="15"/>
        <bgColor indexed="64"/>
      </patternFill>
    </fill>
    <fill>
      <patternFill patternType="solid">
        <fgColor rgb="FFFFFFFF"/>
        <bgColor indexed="64"/>
      </patternFill>
    </fill>
    <fill>
      <patternFill patternType="solid">
        <fgColor rgb="FF00ABEA"/>
        <bgColor rgb="FF00ABEA"/>
      </patternFill>
    </fill>
    <fill>
      <patternFill patternType="solid">
        <fgColor indexed="44"/>
        <bgColor indexed="42"/>
      </patternFill>
    </fill>
    <fill>
      <patternFill patternType="solid">
        <fgColor rgb="FFFF99CC"/>
        <bgColor rgb="FFFF99CC"/>
      </patternFill>
    </fill>
    <fill>
      <patternFill patternType="solid">
        <fgColor rgb="FFFFCC00"/>
        <bgColor indexed="64"/>
      </patternFill>
    </fill>
    <fill>
      <patternFill patternType="solid">
        <fgColor indexed="15"/>
        <bgColor indexed="42"/>
      </patternFill>
    </fill>
    <fill>
      <patternFill patternType="solid">
        <fgColor indexed="43"/>
        <bgColor indexed="64"/>
      </patternFill>
    </fill>
    <fill>
      <patternFill patternType="solid">
        <fgColor rgb="FFCC99FF"/>
        <bgColor rgb="FFCC99FF"/>
      </patternFill>
    </fill>
    <fill>
      <patternFill patternType="solid">
        <fgColor indexed="43"/>
        <bgColor indexed="42"/>
      </patternFill>
    </fill>
    <fill>
      <patternFill patternType="solid">
        <fgColor indexed="45"/>
        <bgColor indexed="42"/>
      </patternFill>
    </fill>
    <fill>
      <patternFill patternType="solid">
        <fgColor rgb="FF99CCFF"/>
        <bgColor rgb="FF99CCFF"/>
      </patternFill>
    </fill>
    <fill>
      <patternFill patternType="solid">
        <fgColor rgb="FFCCFFCC"/>
        <bgColor rgb="FFCCFFCC"/>
      </patternFill>
    </fill>
    <fill>
      <patternFill patternType="solid">
        <fgColor indexed="42"/>
        <bgColor indexed="42"/>
      </patternFill>
    </fill>
    <fill>
      <patternFill patternType="solid">
        <fgColor rgb="FFFFCC99"/>
        <bgColor indexed="64"/>
      </patternFill>
    </fill>
    <fill>
      <patternFill patternType="solid">
        <fgColor rgb="FFFFFF99"/>
        <bgColor indexed="64"/>
      </patternFill>
    </fill>
    <fill>
      <patternFill patternType="solid">
        <fgColor rgb="FF00FFFF"/>
        <bgColor indexed="64"/>
      </patternFill>
    </fill>
    <fill>
      <patternFill patternType="solid">
        <fgColor rgb="FFCCFFCC"/>
        <bgColor indexed="64"/>
      </patternFill>
    </fill>
    <fill>
      <patternFill patternType="solid">
        <fgColor rgb="FF99CCFF"/>
        <bgColor indexed="64"/>
      </patternFill>
    </fill>
    <fill>
      <patternFill patternType="solid">
        <fgColor rgb="FFCC99FF"/>
        <bgColor indexed="64"/>
      </patternFill>
    </fill>
    <fill>
      <patternFill patternType="solid">
        <fgColor rgb="FF00B0F0"/>
        <bgColor indexed="64"/>
      </patternFill>
    </fill>
  </fills>
  <borders count="91">
    <border>
      <left/>
      <right/>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style="thin">
        <color indexed="8"/>
      </left>
      <right/>
      <top style="thin">
        <color indexed="65"/>
      </top>
      <bottom/>
      <diagonal/>
    </border>
    <border>
      <left style="thin">
        <color auto="1"/>
      </left>
      <right/>
      <top/>
      <bottom style="double">
        <color auto="1"/>
      </bottom>
      <diagonal/>
    </border>
    <border>
      <left/>
      <right/>
      <top/>
      <bottom style="double">
        <color auto="1"/>
      </bottom>
      <diagonal/>
    </border>
    <border>
      <left/>
      <right/>
      <top style="thin">
        <color auto="1"/>
      </top>
      <bottom style="double">
        <color auto="1"/>
      </bottom>
      <diagonal/>
    </border>
    <border>
      <left style="medium">
        <color auto="1"/>
      </left>
      <right/>
      <top/>
      <bottom/>
      <diagonal/>
    </border>
    <border>
      <left style="double">
        <color auto="1"/>
      </left>
      <right style="thin">
        <color auto="1"/>
      </right>
      <top/>
      <bottom/>
      <diagonal/>
    </border>
    <border>
      <left style="medium">
        <color auto="1"/>
      </left>
      <right style="medium">
        <color auto="1"/>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999999"/>
      </left>
      <right style="thin">
        <color rgb="FF999999"/>
      </right>
      <top style="thin">
        <color rgb="FF999999"/>
      </top>
      <bottom style="thin">
        <color rgb="FF999999"/>
      </bottom>
      <diagonal/>
    </border>
    <border>
      <left style="thin">
        <color indexed="8"/>
      </left>
      <right/>
      <top style="thin">
        <color indexed="8"/>
      </top>
      <bottom/>
      <diagonal/>
    </border>
    <border>
      <left style="thin">
        <color indexed="65"/>
      </left>
      <right/>
      <top style="thin">
        <color indexed="8"/>
      </top>
      <bottom/>
      <diagonal/>
    </border>
    <border>
      <left/>
      <right/>
      <top style="thin">
        <color indexed="8"/>
      </top>
      <bottom/>
      <diagonal/>
    </border>
    <border>
      <left style="thin">
        <color indexed="65"/>
      </left>
      <right style="thin">
        <color indexed="64"/>
      </right>
      <top style="thin">
        <color indexed="8"/>
      </top>
      <bottom/>
      <diagonal/>
    </border>
    <border>
      <left style="thin">
        <color indexed="8"/>
      </left>
      <right/>
      <top style="thin">
        <color indexed="64"/>
      </top>
      <bottom/>
      <diagonal/>
    </border>
    <border>
      <left style="thin">
        <color indexed="65"/>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top style="thin">
        <color indexed="64"/>
      </top>
      <bottom/>
      <diagonal/>
    </border>
    <border>
      <left style="thin">
        <color indexed="8"/>
      </left>
      <right style="thin">
        <color indexed="8"/>
      </right>
      <top style="thin">
        <color indexed="65"/>
      </top>
      <bottom style="thin">
        <color indexed="64"/>
      </bottom>
      <diagonal/>
    </border>
    <border>
      <left style="thin">
        <color indexed="8"/>
      </left>
      <right/>
      <top style="thin">
        <color indexed="65"/>
      </top>
      <bottom style="thin">
        <color indexed="64"/>
      </bottom>
      <diagonal/>
    </border>
    <border>
      <left style="thin">
        <color indexed="64"/>
      </left>
      <right/>
      <top style="thin">
        <color indexed="8"/>
      </top>
      <bottom/>
      <diagonal/>
    </border>
    <border>
      <left style="thin">
        <color indexed="8"/>
      </left>
      <right/>
      <top/>
      <bottom/>
      <diagonal/>
    </border>
    <border>
      <left style="thin">
        <color indexed="64"/>
      </left>
      <right/>
      <top/>
      <bottom/>
      <diagonal/>
    </border>
    <border>
      <left style="thin">
        <color indexed="8"/>
      </left>
      <right/>
      <top/>
      <bottom style="thin">
        <color indexed="64"/>
      </bottom>
      <diagonal/>
    </border>
    <border>
      <left style="thin">
        <color indexed="64"/>
      </left>
      <right/>
      <top/>
      <bottom style="thin">
        <color indexed="64"/>
      </bottom>
      <diagonal/>
    </border>
    <border>
      <left style="thin">
        <color indexed="8"/>
      </left>
      <right/>
      <top/>
      <bottom style="double">
        <color indexed="8"/>
      </bottom>
      <diagonal/>
    </border>
    <border>
      <left/>
      <right/>
      <top/>
      <bottom style="double">
        <color indexed="8"/>
      </bottom>
      <diagonal/>
    </border>
    <border>
      <left style="thin">
        <color indexed="64"/>
      </left>
      <right/>
      <top/>
      <bottom style="double">
        <color indexed="8"/>
      </bottom>
      <diagonal/>
    </border>
    <border>
      <left style="thin">
        <color indexed="8"/>
      </left>
      <right/>
      <top/>
      <bottom style="medium">
        <color indexed="8"/>
      </bottom>
      <diagonal/>
    </border>
    <border>
      <left/>
      <right/>
      <top/>
      <bottom style="medium">
        <color indexed="8"/>
      </bottom>
      <diagonal/>
    </border>
    <border>
      <left style="thin">
        <color indexed="64"/>
      </left>
      <right/>
      <top/>
      <bottom style="medium">
        <color indexed="8"/>
      </bottom>
      <diagonal/>
    </border>
    <border>
      <left style="thin">
        <color indexed="65"/>
      </left>
      <right style="thin">
        <color indexed="8"/>
      </right>
      <top style="thin">
        <color indexed="8"/>
      </top>
      <bottom/>
      <diagonal/>
    </border>
    <border>
      <left style="thin">
        <color indexed="8"/>
      </left>
      <right/>
      <top style="thin">
        <color indexed="8"/>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8"/>
      </left>
      <right style="thin">
        <color indexed="8"/>
      </right>
      <top/>
      <bottom/>
      <diagonal/>
    </border>
    <border>
      <left/>
      <right/>
      <top style="thin">
        <color indexed="65"/>
      </top>
      <bottom/>
      <diagonal/>
    </border>
    <border>
      <left style="thin">
        <color indexed="8"/>
      </left>
      <right style="thin">
        <color indexed="8"/>
      </right>
      <top/>
      <bottom style="thin">
        <color indexed="64"/>
      </bottom>
      <diagonal/>
    </border>
    <border>
      <left/>
      <right style="thin">
        <color indexed="8"/>
      </right>
      <top/>
      <bottom/>
      <diagonal/>
    </border>
    <border>
      <left/>
      <right style="thin">
        <color indexed="8"/>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style="thin">
        <color rgb="FF999999"/>
      </top>
      <bottom style="thin">
        <color indexed="64"/>
      </bottom>
      <diagonal/>
    </border>
    <border>
      <left/>
      <right style="thin">
        <color indexed="64"/>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rgb="FF999999"/>
      </left>
      <right/>
      <top style="thin">
        <color indexed="8"/>
      </top>
      <bottom/>
      <diagonal/>
    </border>
    <border>
      <left style="thin">
        <color rgb="FF999999"/>
      </left>
      <right/>
      <top/>
      <bottom style="thin">
        <color indexed="64"/>
      </bottom>
      <diagonal/>
    </border>
    <border>
      <left style="thin">
        <color rgb="FF999999"/>
      </left>
      <right style="thin">
        <color rgb="FF999999"/>
      </right>
      <top/>
      <bottom style="thin">
        <color indexed="64"/>
      </bottom>
      <diagonal/>
    </border>
    <border>
      <left/>
      <right/>
      <top style="thin">
        <color indexed="65"/>
      </top>
      <bottom style="thin">
        <color indexed="64"/>
      </bottom>
      <diagonal/>
    </border>
    <border>
      <left/>
      <right/>
      <top style="thin">
        <color indexed="65"/>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9707">
    <xf numFmtId="0" fontId="0"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164" fontId="7" fillId="0" borderId="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5" fillId="0" borderId="0"/>
    <xf numFmtId="9" fontId="15" fillId="0" borderId="0" applyFont="0" applyFill="0" applyBorder="0" applyAlignment="0" applyProtection="0"/>
    <xf numFmtId="9" fontId="7" fillId="0" borderId="0" applyFont="0" applyFill="0" applyBorder="0" applyAlignment="0" applyProtection="0"/>
    <xf numFmtId="164" fontId="7" fillId="0" borderId="0"/>
    <xf numFmtId="0" fontId="1" fillId="0" borderId="0"/>
    <xf numFmtId="0" fontId="15" fillId="0" borderId="0"/>
    <xf numFmtId="9" fontId="15" fillId="0" borderId="0" applyFont="0" applyFill="0" applyBorder="0" applyAlignment="0" applyProtection="0"/>
    <xf numFmtId="43" fontId="15" fillId="0" borderId="0" applyFont="0" applyFill="0" applyBorder="0" applyAlignment="0" applyProtection="0"/>
    <xf numFmtId="0" fontId="17" fillId="0" borderId="0"/>
    <xf numFmtId="0" fontId="17" fillId="0" borderId="0"/>
    <xf numFmtId="0" fontId="17" fillId="0" borderId="0"/>
    <xf numFmtId="0" fontId="17" fillId="0" borderId="0"/>
    <xf numFmtId="0" fontId="16" fillId="0" borderId="0"/>
    <xf numFmtId="0" fontId="16" fillId="0" borderId="0">
      <alignment vertical="top"/>
    </xf>
    <xf numFmtId="0" fontId="2" fillId="0" borderId="0"/>
    <xf numFmtId="0" fontId="2" fillId="0" borderId="0"/>
    <xf numFmtId="0" fontId="1" fillId="0" borderId="0"/>
    <xf numFmtId="0" fontId="2" fillId="0" borderId="0"/>
    <xf numFmtId="0" fontId="18" fillId="0" borderId="0">
      <alignment horizontal="left" wrapText="1"/>
    </xf>
    <xf numFmtId="0" fontId="15" fillId="0" borderId="0"/>
    <xf numFmtId="0" fontId="19"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164" fontId="20" fillId="0" borderId="0"/>
    <xf numFmtId="9" fontId="9" fillId="0" borderId="0" applyFont="0" applyFill="0" applyBorder="0" applyAlignment="0" applyProtection="0"/>
    <xf numFmtId="3" fontId="2" fillId="0" borderId="20" applyFont="0"/>
    <xf numFmtId="164" fontId="5" fillId="0" borderId="14" applyNumberFormat="0" applyFont="0" applyBorder="0" applyAlignme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9" fillId="0" borderId="0" applyFont="0" applyFill="0" applyBorder="0" applyAlignment="0" applyProtection="0"/>
    <xf numFmtId="0" fontId="1" fillId="0" borderId="0"/>
    <xf numFmtId="0" fontId="1" fillId="0" borderId="0"/>
    <xf numFmtId="9" fontId="15" fillId="0" borderId="0" applyFont="0" applyFill="0" applyBorder="0" applyAlignment="0" applyProtection="0"/>
    <xf numFmtId="0" fontId="1" fillId="0" borderId="0"/>
    <xf numFmtId="0" fontId="1" fillId="0" borderId="0"/>
    <xf numFmtId="164"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3" fontId="4" fillId="0" borderId="0"/>
    <xf numFmtId="43" fontId="7" fillId="0" borderId="0" applyFont="0" applyFill="0" applyBorder="0" applyAlignment="0" applyProtection="0"/>
    <xf numFmtId="166" fontId="21" fillId="0" borderId="0"/>
    <xf numFmtId="166" fontId="21" fillId="0" borderId="0"/>
    <xf numFmtId="3" fontId="2" fillId="0" borderId="20" applyFont="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 fillId="0" borderId="0" applyFont="0" applyFill="0" applyBorder="0" applyAlignment="0" applyProtection="0"/>
    <xf numFmtId="0" fontId="15" fillId="0" borderId="0"/>
    <xf numFmtId="9" fontId="15" fillId="0" borderId="0" applyFont="0" applyFill="0" applyBorder="0" applyAlignment="0" applyProtection="0"/>
    <xf numFmtId="0" fontId="1" fillId="0" borderId="0"/>
    <xf numFmtId="0" fontId="1" fillId="0" borderId="0"/>
    <xf numFmtId="0" fontId="17" fillId="0" borderId="0"/>
    <xf numFmtId="0" fontId="17" fillId="0" borderId="0"/>
    <xf numFmtId="0" fontId="17" fillId="0" borderId="0"/>
    <xf numFmtId="0" fontId="16"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15" fillId="0" borderId="0"/>
    <xf numFmtId="0" fontId="2" fillId="0" borderId="0"/>
    <xf numFmtId="0" fontId="1" fillId="0" borderId="0"/>
    <xf numFmtId="0" fontId="1" fillId="0" borderId="0"/>
    <xf numFmtId="164" fontId="20" fillId="0" borderId="0"/>
    <xf numFmtId="164" fontId="20" fillId="0" borderId="0"/>
    <xf numFmtId="164" fontId="20" fillId="0" borderId="0"/>
    <xf numFmtId="164" fontId="20"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6" fontId="21" fillId="0" borderId="0"/>
    <xf numFmtId="0" fontId="1" fillId="0" borderId="0"/>
    <xf numFmtId="0" fontId="1" fillId="0" borderId="0"/>
    <xf numFmtId="0" fontId="1" fillId="0" borderId="0"/>
    <xf numFmtId="9" fontId="9"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20" fillId="0" borderId="0"/>
    <xf numFmtId="9" fontId="15" fillId="0" borderId="0" applyFont="0" applyFill="0" applyBorder="0" applyAlignment="0" applyProtection="0"/>
    <xf numFmtId="0" fontId="2" fillId="0" borderId="0"/>
    <xf numFmtId="164" fontId="22" fillId="0" borderId="0"/>
    <xf numFmtId="164" fontId="22" fillId="0" borderId="0"/>
    <xf numFmtId="164" fontId="22" fillId="0" borderId="0"/>
    <xf numFmtId="164" fontId="22" fillId="0" borderId="0"/>
    <xf numFmtId="0" fontId="1" fillId="0" borderId="0"/>
    <xf numFmtId="166" fontId="21" fillId="0" borderId="0"/>
    <xf numFmtId="164" fontId="22" fillId="0" borderId="0"/>
    <xf numFmtId="164" fontId="22" fillId="0" borderId="0"/>
    <xf numFmtId="164" fontId="22" fillId="0" borderId="0"/>
    <xf numFmtId="164" fontId="22" fillId="0" borderId="0"/>
    <xf numFmtId="164" fontId="22" fillId="0" borderId="0"/>
    <xf numFmtId="164" fontId="2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22" fillId="0" borderId="0"/>
    <xf numFmtId="164" fontId="22" fillId="0" borderId="0"/>
    <xf numFmtId="164" fontId="22"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23" fillId="0" borderId="0"/>
    <xf numFmtId="0" fontId="24" fillId="0" borderId="0"/>
    <xf numFmtId="0" fontId="1" fillId="0" borderId="0"/>
    <xf numFmtId="0" fontId="23" fillId="0" borderId="0"/>
    <xf numFmtId="0" fontId="1" fillId="0" borderId="0"/>
    <xf numFmtId="164" fontId="22" fillId="0" borderId="0"/>
    <xf numFmtId="164" fontId="22"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6" fontId="2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25"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4" fontId="7" fillId="0" borderId="0"/>
    <xf numFmtId="164" fontId="7" fillId="0" borderId="0"/>
    <xf numFmtId="164" fontId="7" fillId="0" borderId="0"/>
    <xf numFmtId="0"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164" fontId="7" fillId="0" borderId="0"/>
    <xf numFmtId="164" fontId="7" fillId="0" borderId="0"/>
    <xf numFmtId="164"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applyNumberFormat="0" applyFill="0" applyBorder="0" applyAlignment="0" applyProtection="0"/>
    <xf numFmtId="0" fontId="1" fillId="0" borderId="0"/>
    <xf numFmtId="0" fontId="31" fillId="1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29" borderId="0" applyNumberFormat="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32" fillId="0" borderId="24" applyNumberFormat="0" applyFill="0" applyAlignment="0" applyProtection="0"/>
    <xf numFmtId="0" fontId="27" fillId="13" borderId="0" applyNumberFormat="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 fillId="0" borderId="0"/>
    <xf numFmtId="0" fontId="34" fillId="0" borderId="26" applyNumberFormat="0" applyFill="0" applyAlignment="0" applyProtection="0"/>
    <xf numFmtId="0" fontId="26" fillId="19" borderId="0" applyNumberFormat="0" applyBorder="0" applyAlignment="0" applyProtection="0"/>
    <xf numFmtId="0" fontId="39" fillId="0" borderId="0" applyNumberFormat="0" applyFill="0" applyBorder="0" applyAlignment="0" applyProtection="0"/>
    <xf numFmtId="0" fontId="1" fillId="0" borderId="0"/>
    <xf numFmtId="0" fontId="17" fillId="21" borderId="0" applyNumberFormat="0" applyBorder="0" applyAlignment="0" applyProtection="0"/>
    <xf numFmtId="9" fontId="2" fillId="0" borderId="0" applyFont="0" applyFill="0" applyBorder="0" applyAlignment="0" applyProtection="0"/>
    <xf numFmtId="0" fontId="26" fillId="24" borderId="0" applyNumberFormat="0" applyBorder="0" applyAlignment="0" applyProtection="0"/>
    <xf numFmtId="0" fontId="1" fillId="0" borderId="0"/>
    <xf numFmtId="0" fontId="1" fillId="0" borderId="0"/>
    <xf numFmtId="0" fontId="1" fillId="0" borderId="0"/>
    <xf numFmtId="0" fontId="1" fillId="0" borderId="0"/>
    <xf numFmtId="0" fontId="17" fillId="33" borderId="28" applyNumberFormat="0" applyFont="0" applyAlignment="0" applyProtection="0"/>
    <xf numFmtId="0" fontId="40" fillId="0" borderId="30" applyNumberFormat="0" applyFill="0" applyAlignment="0" applyProtection="0"/>
    <xf numFmtId="9" fontId="17" fillId="0" borderId="0" applyFont="0" applyFill="0" applyBorder="0" applyAlignment="0" applyProtection="0"/>
    <xf numFmtId="0" fontId="1" fillId="0" borderId="0"/>
    <xf numFmtId="0" fontId="35" fillId="17" borderId="22" applyNumberFormat="0" applyAlignment="0" applyProtection="0"/>
    <xf numFmtId="0" fontId="1" fillId="0" borderId="0"/>
    <xf numFmtId="0" fontId="2" fillId="33" borderId="28" applyNumberFormat="0" applyFont="0" applyAlignment="0" applyProtection="0"/>
    <xf numFmtId="0" fontId="38" fillId="30" borderId="29" applyNumberFormat="0" applyAlignment="0" applyProtection="0"/>
    <xf numFmtId="43" fontId="17" fillId="0" borderId="0" applyFont="0" applyFill="0" applyBorder="0" applyAlignment="0" applyProtection="0"/>
    <xf numFmtId="0" fontId="33" fillId="0" borderId="25" applyNumberFormat="0" applyFill="0" applyAlignment="0" applyProtection="0"/>
    <xf numFmtId="0" fontId="17" fillId="18" borderId="0" applyNumberFormat="0" applyBorder="0" applyAlignment="0" applyProtection="0"/>
    <xf numFmtId="164" fontId="7" fillId="0" borderId="0"/>
    <xf numFmtId="0" fontId="26" fillId="20" borderId="0" applyNumberFormat="0" applyBorder="0" applyAlignment="0" applyProtection="0"/>
    <xf numFmtId="0" fontId="17" fillId="12" borderId="0" applyNumberFormat="0" applyBorder="0" applyAlignment="0" applyProtection="0"/>
    <xf numFmtId="164" fontId="7" fillId="0" borderId="0"/>
    <xf numFmtId="0" fontId="1" fillId="0" borderId="0"/>
    <xf numFmtId="0" fontId="1" fillId="0" borderId="0"/>
    <xf numFmtId="0" fontId="28" fillId="30" borderId="22" applyNumberFormat="0" applyAlignment="0" applyProtection="0"/>
    <xf numFmtId="0" fontId="29" fillId="31" borderId="23" applyNumberFormat="0" applyAlignment="0" applyProtection="0"/>
    <xf numFmtId="0" fontId="36" fillId="0" borderId="27" applyNumberFormat="0" applyFill="0" applyAlignment="0" applyProtection="0"/>
    <xf numFmtId="0" fontId="28" fillId="30" borderId="22" applyNumberFormat="0" applyAlignment="0" applyProtection="0"/>
    <xf numFmtId="0" fontId="26" fillId="28" borderId="0" applyNumberFormat="0" applyBorder="0" applyAlignment="0" applyProtection="0"/>
    <xf numFmtId="0" fontId="17" fillId="33" borderId="28" applyNumberFormat="0" applyFont="0" applyAlignment="0" applyProtection="0"/>
    <xf numFmtId="164" fontId="7" fillId="0" borderId="0"/>
    <xf numFmtId="0" fontId="26" fillId="22" borderId="0" applyNumberFormat="0" applyBorder="0" applyAlignment="0" applyProtection="0"/>
    <xf numFmtId="0" fontId="1" fillId="0" borderId="0"/>
    <xf numFmtId="0" fontId="1" fillId="0" borderId="0"/>
    <xf numFmtId="166" fontId="21" fillId="0" borderId="0"/>
    <xf numFmtId="0" fontId="23" fillId="0" borderId="0"/>
    <xf numFmtId="0" fontId="17" fillId="18" borderId="0" applyNumberFormat="0" applyBorder="0" applyAlignment="0" applyProtection="0"/>
    <xf numFmtId="0" fontId="1" fillId="0" borderId="0"/>
    <xf numFmtId="166" fontId="21" fillId="0" borderId="0"/>
    <xf numFmtId="0" fontId="1" fillId="0" borderId="0"/>
    <xf numFmtId="0" fontId="1" fillId="0" borderId="0"/>
    <xf numFmtId="0" fontId="2" fillId="0" borderId="0"/>
    <xf numFmtId="0" fontId="37" fillId="32" borderId="0" applyNumberFormat="0" applyBorder="0" applyAlignment="0" applyProtection="0"/>
    <xf numFmtId="0" fontId="26" fillId="23" borderId="0" applyNumberFormat="0" applyBorder="0" applyAlignment="0" applyProtection="0"/>
    <xf numFmtId="0" fontId="2" fillId="33" borderId="28" applyNumberFormat="0" applyFont="0" applyAlignment="0" applyProtection="0"/>
    <xf numFmtId="0" fontId="26" fillId="25" borderId="0" applyNumberFormat="0" applyBorder="0" applyAlignment="0" applyProtection="0"/>
    <xf numFmtId="166" fontId="21" fillId="0" borderId="0"/>
    <xf numFmtId="0" fontId="17" fillId="20" borderId="0" applyNumberFormat="0" applyBorder="0" applyAlignment="0" applyProtection="0"/>
    <xf numFmtId="0" fontId="1" fillId="11" borderId="21" applyNumberFormat="0" applyFont="0" applyAlignment="0" applyProtection="0"/>
    <xf numFmtId="0" fontId="35" fillId="17" borderId="22" applyNumberFormat="0" applyAlignment="0" applyProtection="0"/>
    <xf numFmtId="0" fontId="17" fillId="16" borderId="0" applyNumberFormat="0" applyBorder="0" applyAlignment="0" applyProtection="0"/>
    <xf numFmtId="0" fontId="17" fillId="14" borderId="0" applyNumberFormat="0" applyBorder="0" applyAlignment="0" applyProtection="0"/>
    <xf numFmtId="0" fontId="34" fillId="0" borderId="0" applyNumberFormat="0" applyFill="0" applyBorder="0" applyAlignment="0" applyProtection="0"/>
    <xf numFmtId="164" fontId="7" fillId="0" borderId="0"/>
    <xf numFmtId="0" fontId="26" fillId="26" borderId="0" applyNumberFormat="0" applyBorder="0" applyAlignment="0" applyProtection="0"/>
    <xf numFmtId="0" fontId="41" fillId="0" borderId="0" applyNumberFormat="0" applyFill="0" applyBorder="0" applyAlignment="0" applyProtection="0"/>
    <xf numFmtId="0" fontId="40" fillId="0" borderId="30" applyNumberFormat="0" applyFill="0" applyAlignment="0" applyProtection="0"/>
    <xf numFmtId="0" fontId="17" fillId="15" borderId="0" applyNumberFormat="0" applyBorder="0" applyAlignment="0" applyProtection="0"/>
    <xf numFmtId="0" fontId="38" fillId="30" borderId="29" applyNumberFormat="0" applyAlignment="0" applyProtection="0"/>
    <xf numFmtId="0" fontId="1" fillId="0" borderId="0"/>
    <xf numFmtId="0" fontId="26" fillId="23" borderId="0" applyNumberFormat="0" applyBorder="0" applyAlignment="0" applyProtection="0"/>
    <xf numFmtId="0" fontId="17" fillId="13" borderId="0" applyNumberFormat="0" applyBorder="0" applyAlignment="0" applyProtection="0"/>
    <xf numFmtId="0" fontId="17" fillId="15" borderId="0" applyNumberFormat="0" applyBorder="0" applyAlignment="0" applyProtection="0"/>
    <xf numFmtId="0" fontId="17" fillId="17" borderId="0" applyNumberFormat="0" applyBorder="0" applyAlignment="0" applyProtection="0"/>
    <xf numFmtId="0" fontId="26" fillId="27" borderId="0" applyNumberFormat="0" applyBorder="0" applyAlignment="0" applyProtection="0"/>
    <xf numFmtId="0" fontId="17" fillId="0" borderId="0"/>
    <xf numFmtId="0" fontId="17" fillId="19" borderId="0" applyNumberFormat="0" applyBorder="0" applyAlignment="0" applyProtection="0"/>
    <xf numFmtId="0" fontId="26" fillId="2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166"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164" fontId="25" fillId="0" borderId="0"/>
    <xf numFmtId="166" fontId="21" fillId="0" borderId="0"/>
    <xf numFmtId="3"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4" fillId="0" borderId="0"/>
    <xf numFmtId="0" fontId="1" fillId="0" borderId="0"/>
    <xf numFmtId="0" fontId="1" fillId="0" borderId="0"/>
    <xf numFmtId="0" fontId="1" fillId="0" borderId="0"/>
    <xf numFmtId="0" fontId="1" fillId="0" borderId="0"/>
    <xf numFmtId="0" fontId="1" fillId="0" borderId="0"/>
    <xf numFmtId="0" fontId="1" fillId="0" borderId="0"/>
    <xf numFmtId="3" fontId="4" fillId="0" borderId="0"/>
    <xf numFmtId="166" fontId="2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5" fillId="0" borderId="0"/>
    <xf numFmtId="166" fontId="2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164" fontId="2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5" fillId="0" borderId="0"/>
    <xf numFmtId="164" fontId="25" fillId="0" borderId="0"/>
    <xf numFmtId="166" fontId="21" fillId="0" borderId="0"/>
    <xf numFmtId="166" fontId="21" fillId="0" borderId="0"/>
    <xf numFmtId="166" fontId="21" fillId="0" borderId="0"/>
    <xf numFmtId="164" fontId="25" fillId="0" borderId="0"/>
    <xf numFmtId="164" fontId="25" fillId="0" borderId="0"/>
    <xf numFmtId="164" fontId="25" fillId="0" borderId="0"/>
    <xf numFmtId="164"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5" fillId="0" borderId="0"/>
    <xf numFmtId="164" fontId="25" fillId="0" borderId="0"/>
    <xf numFmtId="164" fontId="25"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164" fontId="25"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11" borderId="21" applyNumberFormat="0" applyFont="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3" fontId="4"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1" borderId="21"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4" fillId="0" borderId="0"/>
    <xf numFmtId="164" fontId="25" fillId="0" borderId="0"/>
    <xf numFmtId="166" fontId="21" fillId="0" borderId="0"/>
    <xf numFmtId="164" fontId="25" fillId="0" borderId="0"/>
    <xf numFmtId="164" fontId="25"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5" fillId="0" borderId="0"/>
    <xf numFmtId="0" fontId="4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164" fontId="7" fillId="0" borderId="0"/>
    <xf numFmtId="43" fontId="1" fillId="0" borderId="0" applyFont="0" applyFill="0" applyBorder="0" applyAlignment="0" applyProtection="0"/>
    <xf numFmtId="9" fontId="1" fillId="0" borderId="0" applyFont="0" applyFill="0" applyBorder="0" applyAlignment="0" applyProtection="0"/>
  </cellStyleXfs>
  <cellXfs count="679">
    <xf numFmtId="0" fontId="0" fillId="0" borderId="0" xfId="0"/>
    <xf numFmtId="0" fontId="17" fillId="43" borderId="31" xfId="0" applyNumberFormat="1" applyFont="1" applyFill="1" applyBorder="1" applyAlignment="1" applyProtection="1">
      <alignment horizontal="right" wrapText="1"/>
    </xf>
    <xf numFmtId="1" fontId="2" fillId="42" borderId="0" xfId="0" applyNumberFormat="1" applyFont="1" applyFill="1" applyAlignment="1" applyProtection="1">
      <alignment horizontal="center"/>
      <protection locked="0"/>
    </xf>
    <xf numFmtId="49" fontId="5" fillId="42" borderId="0" xfId="0" applyNumberFormat="1" applyFont="1" applyFill="1" applyAlignment="1" applyProtection="1">
      <alignment horizontal="left"/>
      <protection locked="0"/>
    </xf>
    <xf numFmtId="49" fontId="2" fillId="42" borderId="0" xfId="0" applyNumberFormat="1" applyFont="1" applyFill="1" applyAlignment="1" applyProtection="1">
      <alignment horizontal="left"/>
      <protection locked="0"/>
    </xf>
    <xf numFmtId="49" fontId="2" fillId="42" borderId="0" xfId="0" applyNumberFormat="1" applyFont="1" applyFill="1" applyAlignment="1" applyProtection="1">
      <alignment horizontal="center"/>
      <protection locked="0"/>
    </xf>
    <xf numFmtId="3" fontId="16" fillId="0" borderId="10" xfId="19667" applyNumberFormat="1" applyFont="1" applyFill="1" applyBorder="1" applyAlignment="1" applyProtection="1">
      <alignment horizontal="right" wrapText="1"/>
    </xf>
    <xf numFmtId="3" fontId="2" fillId="0" borderId="10" xfId="0" applyNumberFormat="1" applyFont="1" applyFill="1" applyBorder="1" applyAlignment="1" applyProtection="1"/>
    <xf numFmtId="3" fontId="2" fillId="41" borderId="5" xfId="0" applyNumberFormat="1" applyFont="1" applyFill="1" applyBorder="1" applyAlignment="1" applyProtection="1">
      <alignment horizontal="right"/>
      <protection locked="0"/>
    </xf>
    <xf numFmtId="3" fontId="2" fillId="41" borderId="10" xfId="0" applyNumberFormat="1" applyFont="1" applyFill="1" applyBorder="1" applyAlignment="1" applyProtection="1">
      <protection locked="0"/>
    </xf>
    <xf numFmtId="3" fontId="2" fillId="35" borderId="10" xfId="0" applyNumberFormat="1" applyFont="1" applyFill="1" applyBorder="1" applyAlignment="1" applyProtection="1">
      <alignment horizontal="right"/>
    </xf>
    <xf numFmtId="3" fontId="8" fillId="0" borderId="10" xfId="0" applyNumberFormat="1" applyFont="1" applyFill="1" applyBorder="1" applyAlignment="1" applyProtection="1"/>
    <xf numFmtId="49" fontId="5" fillId="14" borderId="0" xfId="0" applyNumberFormat="1" applyFont="1" applyFill="1" applyAlignment="1" applyProtection="1">
      <alignment horizontal="left"/>
      <protection locked="0"/>
    </xf>
    <xf numFmtId="3" fontId="2" fillId="35" borderId="10" xfId="0" applyNumberFormat="1" applyFont="1" applyFill="1" applyBorder="1" applyAlignment="1" applyProtection="1"/>
    <xf numFmtId="3" fontId="2" fillId="35" borderId="0" xfId="0" applyNumberFormat="1" applyFont="1" applyFill="1" applyAlignment="1" applyProtection="1"/>
    <xf numFmtId="3" fontId="8" fillId="0" borderId="0" xfId="0" applyNumberFormat="1" applyFont="1" applyFill="1" applyAlignment="1" applyProtection="1"/>
    <xf numFmtId="3" fontId="2" fillId="8" borderId="10" xfId="0" applyNumberFormat="1" applyFont="1" applyFill="1" applyBorder="1" applyAlignment="1" applyProtection="1">
      <protection locked="0"/>
    </xf>
    <xf numFmtId="1" fontId="5" fillId="14" borderId="0" xfId="0" applyNumberFormat="1" applyFont="1" applyFill="1" applyAlignment="1" applyProtection="1">
      <alignment horizontal="center"/>
      <protection locked="0"/>
    </xf>
    <xf numFmtId="1" fontId="2" fillId="14" borderId="0" xfId="0" applyNumberFormat="1" applyFont="1" applyFill="1" applyAlignment="1" applyProtection="1">
      <alignment horizontal="center"/>
      <protection locked="0"/>
    </xf>
    <xf numFmtId="49" fontId="10" fillId="14" borderId="0" xfId="0" applyNumberFormat="1" applyFont="1" applyFill="1" applyAlignment="1" applyProtection="1">
      <alignment horizontal="left"/>
      <protection locked="0"/>
    </xf>
    <xf numFmtId="49" fontId="2" fillId="14" borderId="0" xfId="0" applyNumberFormat="1" applyFont="1" applyFill="1" applyAlignment="1" applyProtection="1">
      <alignment horizontal="left"/>
      <protection locked="0"/>
    </xf>
    <xf numFmtId="49" fontId="2" fillId="14" borderId="5" xfId="0" applyNumberFormat="1" applyFont="1" applyFill="1" applyBorder="1" applyAlignment="1" applyProtection="1">
      <alignment horizontal="center"/>
      <protection locked="0"/>
    </xf>
    <xf numFmtId="49" fontId="2" fillId="40" borderId="0" xfId="0" applyNumberFormat="1" applyFont="1" applyFill="1" applyAlignment="1" applyProtection="1">
      <alignment horizontal="left"/>
      <protection locked="0"/>
    </xf>
    <xf numFmtId="164" fontId="2" fillId="40" borderId="0" xfId="0" applyNumberFormat="1" applyFont="1" applyFill="1" applyAlignment="1" applyProtection="1">
      <protection locked="0"/>
    </xf>
    <xf numFmtId="1" fontId="15" fillId="39" borderId="0" xfId="0" applyNumberFormat="1" applyFont="1" applyFill="1" applyAlignment="1" applyProtection="1">
      <alignment horizontal="center"/>
      <protection locked="0"/>
    </xf>
    <xf numFmtId="49" fontId="53" fillId="38" borderId="0" xfId="0" applyNumberFormat="1" applyFont="1" applyFill="1" applyAlignment="1" applyProtection="1">
      <alignment horizontal="left"/>
      <protection locked="0"/>
    </xf>
    <xf numFmtId="49" fontId="15" fillId="38" borderId="0" xfId="0" applyNumberFormat="1" applyFont="1" applyFill="1" applyAlignment="1" applyProtection="1">
      <alignment horizontal="left"/>
      <protection locked="0"/>
    </xf>
    <xf numFmtId="1" fontId="15" fillId="38" borderId="0" xfId="0" applyNumberFormat="1" applyFont="1" applyFill="1" applyAlignment="1" applyProtection="1">
      <alignment horizontal="center"/>
      <protection locked="0"/>
    </xf>
    <xf numFmtId="49" fontId="15" fillId="38" borderId="0" xfId="0" applyNumberFormat="1" applyFont="1" applyFill="1" applyAlignment="1" applyProtection="1">
      <alignment horizontal="center"/>
      <protection locked="0"/>
    </xf>
    <xf numFmtId="1" fontId="5" fillId="38" borderId="0" xfId="0" applyNumberFormat="1" applyFont="1" applyFill="1" applyAlignment="1" applyProtection="1">
      <alignment horizontal="center"/>
      <protection locked="0"/>
    </xf>
    <xf numFmtId="49" fontId="10" fillId="38" borderId="0" xfId="0" applyNumberFormat="1" applyFont="1" applyFill="1" applyAlignment="1" applyProtection="1">
      <alignment horizontal="left"/>
      <protection locked="0"/>
    </xf>
    <xf numFmtId="3" fontId="2" fillId="8" borderId="5" xfId="0" applyNumberFormat="1" applyFont="1" applyFill="1" applyBorder="1" applyAlignment="1" applyProtection="1">
      <alignment horizontal="right"/>
      <protection locked="0"/>
    </xf>
    <xf numFmtId="3" fontId="2" fillId="8" borderId="10" xfId="0" applyNumberFormat="1" applyFont="1" applyFill="1" applyBorder="1" applyAlignment="1" applyProtection="1">
      <alignment horizontal="right"/>
      <protection locked="0"/>
    </xf>
    <xf numFmtId="1" fontId="2" fillId="38" borderId="0" xfId="0" applyNumberFormat="1" applyFont="1" applyFill="1" applyAlignment="1" applyProtection="1">
      <alignment horizontal="center"/>
      <protection locked="0"/>
    </xf>
    <xf numFmtId="49" fontId="5" fillId="38" borderId="0" xfId="0" applyNumberFormat="1" applyFont="1" applyFill="1" applyAlignment="1" applyProtection="1">
      <alignment horizontal="left"/>
      <protection locked="0"/>
    </xf>
    <xf numFmtId="49" fontId="2" fillId="38" borderId="0" xfId="0" applyNumberFormat="1" applyFont="1" applyFill="1" applyAlignment="1" applyProtection="1">
      <alignment horizontal="left"/>
      <protection locked="0"/>
    </xf>
    <xf numFmtId="49" fontId="2" fillId="38" borderId="5" xfId="0" applyNumberFormat="1" applyFont="1" applyFill="1" applyBorder="1" applyAlignment="1" applyProtection="1">
      <alignment horizontal="center"/>
      <protection locked="0"/>
    </xf>
    <xf numFmtId="0" fontId="5" fillId="0" borderId="12" xfId="1" applyFont="1" applyFill="1" applyBorder="1" applyAlignment="1" applyProtection="1">
      <alignment horizontal="center" wrapText="1"/>
      <protection locked="0"/>
    </xf>
    <xf numFmtId="0" fontId="13" fillId="0" borderId="7" xfId="1" applyFont="1" applyFill="1" applyBorder="1" applyAlignment="1">
      <alignment horizontal="centerContinuous" wrapText="1"/>
    </xf>
    <xf numFmtId="0" fontId="13" fillId="0" borderId="8" xfId="1" applyFont="1" applyFill="1" applyBorder="1" applyAlignment="1">
      <alignment horizontal="centerContinuous" wrapText="1"/>
    </xf>
    <xf numFmtId="0" fontId="6" fillId="0" borderId="8" xfId="1" applyFont="1" applyFill="1" applyBorder="1" applyAlignment="1">
      <alignment horizontal="centerContinuous" wrapText="1"/>
    </xf>
    <xf numFmtId="0" fontId="6" fillId="0" borderId="9" xfId="1" applyFont="1" applyFill="1" applyBorder="1" applyAlignment="1">
      <alignment horizontal="centerContinuous" wrapText="1"/>
    </xf>
    <xf numFmtId="0" fontId="6" fillId="0" borderId="4" xfId="1" applyFont="1" applyFill="1" applyBorder="1" applyAlignment="1">
      <alignment horizontal="centerContinuous" wrapText="1"/>
    </xf>
    <xf numFmtId="0" fontId="5" fillId="0" borderId="7" xfId="1" applyFont="1" applyFill="1" applyBorder="1" applyAlignment="1" applyProtection="1">
      <alignment horizontal="center" wrapText="1"/>
      <protection locked="0"/>
    </xf>
    <xf numFmtId="0" fontId="6" fillId="0" borderId="6" xfId="1" applyFont="1" applyFill="1" applyBorder="1" applyAlignment="1">
      <alignment horizontal="centerContinuous"/>
    </xf>
    <xf numFmtId="0" fontId="5" fillId="0" borderId="9" xfId="1" applyFont="1" applyFill="1" applyBorder="1" applyAlignment="1" applyProtection="1">
      <alignment horizontal="center" wrapText="1"/>
      <protection locked="0"/>
    </xf>
    <xf numFmtId="3" fontId="16" fillId="0" borderId="5" xfId="19667" applyNumberFormat="1" applyFont="1" applyFill="1" applyBorder="1" applyAlignment="1">
      <alignment horizontal="right"/>
    </xf>
    <xf numFmtId="3" fontId="16" fillId="0" borderId="5" xfId="19667" applyNumberFormat="1" applyFont="1" applyFill="1" applyBorder="1" applyAlignment="1" applyProtection="1">
      <alignment horizontal="right" wrapText="1"/>
    </xf>
    <xf numFmtId="3" fontId="2" fillId="0" borderId="5" xfId="2" applyNumberFormat="1" applyFont="1" applyFill="1" applyBorder="1" applyAlignment="1" applyProtection="1">
      <alignment horizontal="right"/>
      <protection locked="0"/>
    </xf>
    <xf numFmtId="3" fontId="16" fillId="0" borderId="10" xfId="19667" applyNumberFormat="1" applyFont="1" applyFill="1" applyBorder="1" applyAlignment="1">
      <alignment horizontal="right"/>
    </xf>
    <xf numFmtId="0" fontId="8" fillId="0" borderId="2" xfId="0" applyNumberFormat="1" applyFont="1" applyFill="1" applyBorder="1" applyAlignment="1" applyProtection="1">
      <alignment horizontal="centerContinuous"/>
    </xf>
    <xf numFmtId="0" fontId="6" fillId="0" borderId="2" xfId="0" applyNumberFormat="1" applyFont="1" applyFill="1" applyBorder="1" applyAlignment="1" applyProtection="1">
      <alignment horizontal="centerContinuous"/>
    </xf>
    <xf numFmtId="0" fontId="8" fillId="0" borderId="1" xfId="0" applyNumberFormat="1" applyFont="1" applyFill="1" applyBorder="1" applyAlignment="1" applyProtection="1">
      <alignment horizontal="centerContinuous"/>
    </xf>
    <xf numFmtId="0" fontId="8" fillId="0" borderId="8" xfId="0" applyNumberFormat="1" applyFont="1" applyFill="1" applyBorder="1" applyAlignment="1" applyProtection="1">
      <alignment horizontal="centerContinuous"/>
    </xf>
    <xf numFmtId="0" fontId="6" fillId="0" borderId="12" xfId="0" applyNumberFormat="1" applyFont="1" applyFill="1" applyBorder="1" applyAlignment="1" applyProtection="1">
      <alignment horizontal="center" wrapText="1"/>
    </xf>
    <xf numFmtId="3" fontId="8" fillId="0" borderId="10" xfId="0" applyNumberFormat="1" applyFont="1" applyFill="1" applyBorder="1" applyAlignment="1" applyProtection="1">
      <alignment horizontal="right"/>
      <protection locked="0"/>
    </xf>
    <xf numFmtId="3" fontId="8" fillId="0" borderId="5" xfId="0" applyNumberFormat="1" applyFont="1" applyFill="1" applyBorder="1" applyAlignment="1" applyProtection="1">
      <alignment horizontal="right"/>
      <protection locked="0"/>
    </xf>
    <xf numFmtId="3" fontId="2" fillId="0" borderId="5" xfId="0" applyNumberFormat="1" applyFont="1" applyFill="1" applyBorder="1" applyAlignment="1" applyProtection="1">
      <alignment horizontal="right" wrapText="1"/>
    </xf>
    <xf numFmtId="0" fontId="2" fillId="0" borderId="5" xfId="0" applyNumberFormat="1" applyFont="1" applyFill="1" applyBorder="1" applyAlignment="1" applyProtection="1">
      <alignment horizontal="center"/>
    </xf>
    <xf numFmtId="3" fontId="8" fillId="0" borderId="10" xfId="0" applyNumberFormat="1" applyFont="1" applyFill="1" applyBorder="1" applyAlignment="1" applyProtection="1">
      <alignment horizontal="right" wrapText="1"/>
    </xf>
    <xf numFmtId="0" fontId="52" fillId="0" borderId="3" xfId="0" applyNumberFormat="1" applyFont="1" applyFill="1" applyBorder="1" applyAlignment="1" applyProtection="1">
      <alignment horizontal="centerContinuous"/>
    </xf>
    <xf numFmtId="0" fontId="15" fillId="0" borderId="2" xfId="0" applyNumberFormat="1" applyFont="1" applyFill="1" applyBorder="1" applyAlignment="1" applyProtection="1">
      <alignment horizontal="centerContinuous"/>
    </xf>
    <xf numFmtId="0" fontId="15" fillId="0" borderId="5" xfId="0" applyNumberFormat="1" applyFont="1" applyFill="1" applyBorder="1" applyAlignment="1" applyProtection="1"/>
    <xf numFmtId="0" fontId="53" fillId="0" borderId="7" xfId="0" applyNumberFormat="1" applyFont="1" applyFill="1" applyBorder="1" applyAlignment="1" applyProtection="1">
      <alignment horizontal="centerContinuous" wrapText="1"/>
    </xf>
    <xf numFmtId="0" fontId="15" fillId="0" borderId="13" xfId="0" applyNumberFormat="1" applyFont="1" applyFill="1" applyBorder="1" applyAlignment="1" applyProtection="1"/>
    <xf numFmtId="0" fontId="53" fillId="0" borderId="9" xfId="0" applyNumberFormat="1" applyFont="1" applyFill="1" applyBorder="1" applyAlignment="1" applyProtection="1">
      <alignment horizontal="center" wrapText="1"/>
    </xf>
    <xf numFmtId="0" fontId="53" fillId="0" borderId="12" xfId="0" applyNumberFormat="1" applyFont="1" applyFill="1" applyBorder="1" applyAlignment="1" applyProtection="1">
      <alignment horizontal="centerContinuous" wrapText="1"/>
    </xf>
    <xf numFmtId="3" fontId="15" fillId="0" borderId="5" xfId="0" applyNumberFormat="1" applyFont="1" applyFill="1" applyBorder="1" applyAlignment="1" applyProtection="1">
      <alignment horizontal="right"/>
    </xf>
    <xf numFmtId="3" fontId="48" fillId="36" borderId="5" xfId="0" applyNumberFormat="1" applyFont="1" applyFill="1" applyBorder="1" applyAlignment="1" applyProtection="1">
      <alignment horizontal="right" wrapText="1"/>
    </xf>
    <xf numFmtId="3" fontId="48" fillId="36" borderId="5" xfId="0" applyNumberFormat="1" applyFont="1" applyFill="1" applyBorder="1" applyAlignment="1" applyProtection="1">
      <alignment horizontal="right"/>
      <protection locked="0"/>
    </xf>
    <xf numFmtId="3" fontId="48" fillId="36" borderId="10" xfId="0" applyNumberFormat="1" applyFont="1" applyFill="1" applyBorder="1" applyAlignment="1" applyProtection="1">
      <alignment horizontal="right"/>
      <protection locked="0"/>
    </xf>
    <xf numFmtId="3" fontId="54" fillId="37" borderId="5" xfId="0" applyNumberFormat="1" applyFont="1" applyFill="1" applyBorder="1" applyAlignment="1" applyProtection="1">
      <alignment horizontal="right"/>
      <protection locked="0"/>
    </xf>
    <xf numFmtId="3" fontId="54" fillId="37" borderId="5" xfId="0" applyNumberFormat="1" applyFont="1" applyFill="1" applyBorder="1" applyAlignment="1" applyProtection="1">
      <alignment horizontal="right" wrapText="1"/>
    </xf>
    <xf numFmtId="3" fontId="54" fillId="37" borderId="10" xfId="0" applyNumberFormat="1" applyFont="1" applyFill="1" applyBorder="1" applyAlignment="1" applyProtection="1">
      <alignment horizontal="right"/>
      <protection locked="0"/>
    </xf>
    <xf numFmtId="0" fontId="0" fillId="0" borderId="0" xfId="0" applyNumberFormat="1" applyFill="1" applyAlignment="1" applyProtection="1"/>
    <xf numFmtId="0" fontId="2" fillId="0" borderId="0" xfId="0" applyNumberFormat="1" applyFont="1" applyFill="1" applyAlignment="1" applyProtection="1"/>
    <xf numFmtId="0" fontId="14" fillId="5" borderId="16" xfId="0" applyNumberFormat="1" applyFont="1" applyFill="1" applyBorder="1" applyAlignment="1" applyProtection="1">
      <alignment horizontal="left"/>
      <protection locked="0"/>
    </xf>
    <xf numFmtId="0" fontId="15" fillId="0" borderId="0" xfId="0" applyNumberFormat="1" applyFont="1" applyFill="1" applyAlignment="1" applyProtection="1">
      <alignment horizontal="centerContinuous"/>
    </xf>
    <xf numFmtId="49" fontId="2" fillId="9" borderId="0" xfId="0" applyNumberFormat="1" applyFont="1" applyFill="1" applyAlignment="1" applyProtection="1">
      <alignment horizontal="center"/>
      <protection locked="0"/>
    </xf>
    <xf numFmtId="49" fontId="2" fillId="9" borderId="0" xfId="0" applyNumberFormat="1" applyFont="1" applyFill="1" applyAlignment="1" applyProtection="1">
      <alignment horizontal="left"/>
      <protection locked="0"/>
    </xf>
    <xf numFmtId="1" fontId="2" fillId="9" borderId="0" xfId="0" applyNumberFormat="1" applyFont="1" applyFill="1" applyAlignment="1" applyProtection="1">
      <alignment horizontal="center"/>
      <protection locked="0"/>
    </xf>
    <xf numFmtId="3" fontId="11" fillId="6" borderId="18" xfId="0" applyNumberFormat="1" applyFont="1" applyFill="1" applyBorder="1" applyAlignment="1" applyProtection="1"/>
    <xf numFmtId="3" fontId="13" fillId="7" borderId="5" xfId="0" applyNumberFormat="1" applyFont="1" applyFill="1" applyBorder="1" applyAlignment="1" applyProtection="1"/>
    <xf numFmtId="3" fontId="11" fillId="6" borderId="19" xfId="0" applyNumberFormat="1" applyFont="1" applyFill="1" applyBorder="1" applyAlignment="1" applyProtection="1"/>
    <xf numFmtId="3" fontId="13" fillId="7" borderId="10" xfId="0" applyNumberFormat="1" applyFont="1" applyFill="1" applyBorder="1" applyAlignment="1" applyProtection="1"/>
    <xf numFmtId="165" fontId="53" fillId="0" borderId="0" xfId="0" applyNumberFormat="1" applyFont="1" applyFill="1" applyAlignment="1" applyProtection="1">
      <alignment horizontal="left" vertical="top"/>
      <protection locked="0"/>
    </xf>
    <xf numFmtId="164" fontId="53" fillId="0" borderId="0" xfId="0" applyNumberFormat="1" applyFont="1" applyFill="1" applyAlignment="1" applyProtection="1">
      <alignment horizontal="left" vertical="top"/>
      <protection locked="0"/>
    </xf>
    <xf numFmtId="3" fontId="6" fillId="2" borderId="3" xfId="0" applyNumberFormat="1" applyFont="1" applyFill="1" applyBorder="1" applyAlignment="1" applyProtection="1">
      <alignment horizontal="centerContinuous"/>
    </xf>
    <xf numFmtId="3" fontId="3" fillId="2" borderId="4" xfId="0" applyNumberFormat="1" applyFont="1" applyFill="1" applyBorder="1" applyAlignment="1" applyProtection="1">
      <alignment horizontal="centerContinuous"/>
    </xf>
    <xf numFmtId="49" fontId="53" fillId="10" borderId="5" xfId="0" applyNumberFormat="1" applyFont="1" applyFill="1" applyBorder="1" applyAlignment="1" applyProtection="1">
      <alignment horizontal="left" vertical="top"/>
      <protection locked="0"/>
    </xf>
    <xf numFmtId="49" fontId="53" fillId="10" borderId="0" xfId="0" applyNumberFormat="1" applyFont="1" applyFill="1" applyAlignment="1" applyProtection="1">
      <alignment horizontal="left" vertical="top"/>
      <protection locked="0"/>
    </xf>
    <xf numFmtId="49" fontId="12" fillId="5" borderId="15" xfId="0" applyNumberFormat="1" applyFont="1" applyFill="1" applyBorder="1" applyAlignment="1" applyProtection="1">
      <alignment horizontal="center"/>
      <protection locked="0"/>
    </xf>
    <xf numFmtId="49" fontId="12" fillId="5" borderId="16" xfId="0" applyNumberFormat="1" applyFont="1" applyFill="1" applyBorder="1" applyAlignment="1" applyProtection="1">
      <alignment horizontal="left"/>
      <protection locked="0"/>
    </xf>
    <xf numFmtId="0" fontId="12" fillId="5" borderId="16" xfId="0" applyNumberFormat="1" applyFont="1" applyFill="1" applyBorder="1" applyAlignment="1" applyProtection="1">
      <alignment horizontal="left" wrapText="1"/>
      <protection locked="0"/>
    </xf>
    <xf numFmtId="1" fontId="12" fillId="5" borderId="16" xfId="0" applyNumberFormat="1" applyFont="1" applyFill="1" applyBorder="1" applyAlignment="1" applyProtection="1">
      <alignment horizontal="center"/>
      <protection locked="0"/>
    </xf>
    <xf numFmtId="1" fontId="12" fillId="5" borderId="17" xfId="0" applyNumberFormat="1" applyFont="1" applyFill="1" applyBorder="1" applyAlignment="1" applyProtection="1">
      <alignment horizontal="center"/>
      <protection locked="0"/>
    </xf>
    <xf numFmtId="0" fontId="13" fillId="6" borderId="9" xfId="0" applyNumberFormat="1" applyFont="1" applyFill="1" applyBorder="1" applyAlignment="1" applyProtection="1">
      <alignment horizontal="center" wrapText="1"/>
    </xf>
    <xf numFmtId="0" fontId="13" fillId="7" borderId="7" xfId="0" applyNumberFormat="1" applyFont="1" applyFill="1" applyBorder="1" applyAlignment="1" applyProtection="1">
      <alignment horizontal="center" wrapText="1"/>
    </xf>
    <xf numFmtId="0" fontId="5" fillId="8" borderId="12" xfId="0" applyNumberFormat="1" applyFont="1" applyFill="1" applyBorder="1" applyAlignment="1" applyProtection="1">
      <alignment horizontal="center" wrapText="1"/>
      <protection locked="0"/>
    </xf>
    <xf numFmtId="0" fontId="5" fillId="8" borderId="9" xfId="0" applyNumberFormat="1" applyFont="1" applyFill="1" applyBorder="1" applyAlignment="1" applyProtection="1">
      <alignment horizontal="center" wrapText="1"/>
      <protection locked="0"/>
    </xf>
    <xf numFmtId="49" fontId="15" fillId="3" borderId="0" xfId="0" applyNumberFormat="1" applyFont="1" applyFill="1" applyAlignment="1" applyProtection="1">
      <alignment horizontal="center"/>
    </xf>
    <xf numFmtId="49" fontId="15" fillId="3" borderId="0" xfId="0" applyNumberFormat="1" applyFont="1" applyFill="1" applyAlignment="1" applyProtection="1">
      <alignment horizontal="left"/>
    </xf>
    <xf numFmtId="0" fontId="15" fillId="3" borderId="0" xfId="0" applyNumberFormat="1" applyFont="1" applyFill="1" applyAlignment="1" applyProtection="1">
      <alignment horizontal="center" wrapText="1"/>
    </xf>
    <xf numFmtId="0" fontId="15" fillId="3" borderId="11" xfId="0" applyNumberFormat="1" applyFont="1" applyFill="1" applyBorder="1" applyAlignment="1" applyProtection="1">
      <alignment horizontal="center" wrapText="1"/>
    </xf>
    <xf numFmtId="49" fontId="15" fillId="4" borderId="0" xfId="0" applyNumberFormat="1" applyFont="1" applyFill="1" applyAlignment="1" applyProtection="1">
      <alignment horizontal="center"/>
      <protection locked="0"/>
    </xf>
    <xf numFmtId="49" fontId="15" fillId="4" borderId="0" xfId="0" applyNumberFormat="1" applyFont="1" applyFill="1" applyAlignment="1" applyProtection="1">
      <alignment horizontal="left"/>
      <protection locked="0"/>
    </xf>
    <xf numFmtId="49" fontId="53" fillId="4" borderId="0" xfId="0" applyNumberFormat="1" applyFont="1" applyFill="1" applyAlignment="1" applyProtection="1">
      <alignment horizontal="left"/>
      <protection locked="0"/>
    </xf>
    <xf numFmtId="1" fontId="15" fillId="4" borderId="0" xfId="0" applyNumberFormat="1" applyFont="1" applyFill="1" applyAlignment="1" applyProtection="1">
      <alignment horizontal="center"/>
      <protection locked="0"/>
    </xf>
    <xf numFmtId="3" fontId="15" fillId="8" borderId="10" xfId="0" applyNumberFormat="1" applyFont="1" applyFill="1" applyBorder="1" applyAlignment="1" applyProtection="1">
      <alignment horizontal="right"/>
      <protection locked="0"/>
    </xf>
    <xf numFmtId="3" fontId="15" fillId="8" borderId="5" xfId="0" applyNumberFormat="1" applyFont="1" applyFill="1" applyBorder="1" applyAlignment="1" applyProtection="1">
      <alignment horizontal="right"/>
      <protection locked="0"/>
    </xf>
    <xf numFmtId="3" fontId="8" fillId="8" borderId="5" xfId="0" applyNumberFormat="1" applyFont="1" applyFill="1" applyBorder="1" applyAlignment="1" applyProtection="1">
      <alignment horizontal="right"/>
      <protection locked="0"/>
    </xf>
    <xf numFmtId="3" fontId="2" fillId="35" borderId="5" xfId="0" applyNumberFormat="1" applyFont="1" applyFill="1" applyBorder="1" applyAlignment="1" applyProtection="1">
      <alignment horizontal="right" wrapText="1"/>
    </xf>
    <xf numFmtId="3" fontId="2" fillId="35" borderId="5" xfId="0" applyNumberFormat="1" applyFont="1" applyFill="1" applyBorder="1" applyAlignment="1" applyProtection="1">
      <alignment horizontal="right"/>
    </xf>
    <xf numFmtId="3" fontId="2" fillId="35" borderId="10" xfId="0" applyNumberFormat="1" applyFont="1" applyFill="1" applyBorder="1" applyAlignment="1" applyProtection="1">
      <alignment horizontal="right" wrapText="1"/>
    </xf>
    <xf numFmtId="49" fontId="5" fillId="34" borderId="0" xfId="0" applyNumberFormat="1" applyFont="1" applyFill="1" applyAlignment="1" applyProtection="1">
      <alignment horizontal="left"/>
      <protection locked="0"/>
    </xf>
    <xf numFmtId="3" fontId="2" fillId="35" borderId="5" xfId="0" applyNumberFormat="1" applyFont="1" applyFill="1" applyBorder="1" applyAlignment="1" applyProtection="1">
      <alignment horizontal="right"/>
      <protection locked="0"/>
    </xf>
    <xf numFmtId="3" fontId="15" fillId="35" borderId="5" xfId="0" applyNumberFormat="1" applyFont="1" applyFill="1" applyBorder="1" applyAlignment="1" applyProtection="1">
      <alignment horizontal="right" wrapText="1"/>
    </xf>
    <xf numFmtId="3" fontId="2" fillId="35" borderId="10" xfId="0" applyNumberFormat="1" applyFont="1" applyFill="1" applyBorder="1" applyAlignment="1" applyProtection="1">
      <alignment horizontal="right"/>
      <protection locked="0"/>
    </xf>
    <xf numFmtId="3" fontId="2" fillId="4" borderId="0" xfId="0" applyNumberFormat="1" applyFont="1" applyFill="1" applyAlignment="1" applyProtection="1">
      <alignment horizontal="left"/>
      <protection locked="0"/>
    </xf>
    <xf numFmtId="49" fontId="10" fillId="34" borderId="0" xfId="0" applyNumberFormat="1" applyFont="1" applyFill="1" applyAlignment="1" applyProtection="1">
      <alignment horizontal="left"/>
      <protection locked="0"/>
    </xf>
    <xf numFmtId="1" fontId="10" fillId="4" borderId="0" xfId="0" applyNumberFormat="1" applyFont="1" applyFill="1" applyAlignment="1" applyProtection="1">
      <alignment horizontal="center"/>
      <protection locked="0"/>
    </xf>
    <xf numFmtId="1" fontId="5" fillId="4" borderId="0" xfId="0" applyNumberFormat="1" applyFont="1" applyFill="1" applyAlignment="1" applyProtection="1">
      <alignment horizontal="center"/>
      <protection locked="0"/>
    </xf>
    <xf numFmtId="3" fontId="8" fillId="35" borderId="10" xfId="0" applyNumberFormat="1" applyFont="1" applyFill="1" applyBorder="1" applyAlignment="1" applyProtection="1">
      <alignment horizontal="right"/>
      <protection locked="0"/>
    </xf>
    <xf numFmtId="0" fontId="2" fillId="0" borderId="0" xfId="0" applyNumberFormat="1" applyFont="1" applyFill="1" applyAlignment="1" applyProtection="1">
      <alignment horizontal="left"/>
    </xf>
    <xf numFmtId="0" fontId="0" fillId="0" borderId="0" xfId="0" applyNumberFormat="1" applyFill="1" applyAlignment="1" applyProtection="1">
      <alignment horizontal="center"/>
    </xf>
    <xf numFmtId="49" fontId="2" fillId="0" borderId="0" xfId="0" applyNumberFormat="1" applyFont="1" applyFill="1" applyAlignment="1" applyProtection="1">
      <alignment horizontal="center"/>
    </xf>
    <xf numFmtId="49" fontId="2" fillId="0" borderId="0" xfId="0" applyNumberFormat="1" applyFont="1" applyFill="1" applyAlignment="1" applyProtection="1">
      <alignment horizontal="left"/>
    </xf>
    <xf numFmtId="0" fontId="6" fillId="0" borderId="0" xfId="0" applyNumberFormat="1" applyFont="1" applyFill="1" applyAlignment="1" applyProtection="1"/>
    <xf numFmtId="0" fontId="8" fillId="0" borderId="0" xfId="0" applyNumberFormat="1" applyFont="1" applyFill="1" applyAlignment="1" applyProtection="1"/>
    <xf numFmtId="0" fontId="5" fillId="0" borderId="0" xfId="0" applyNumberFormat="1" applyFont="1" applyFill="1" applyAlignment="1" applyProtection="1">
      <protection locked="0"/>
    </xf>
    <xf numFmtId="0" fontId="46" fillId="35" borderId="31" xfId="0" applyNumberFormat="1" applyFont="1" applyFill="1" applyBorder="1" applyAlignment="1" applyProtection="1">
      <alignment horizontal="right" wrapText="1"/>
    </xf>
    <xf numFmtId="49" fontId="10" fillId="42" borderId="0" xfId="0" applyNumberFormat="1" applyFont="1" applyFill="1" applyAlignment="1" applyProtection="1">
      <alignment horizontal="left"/>
      <protection locked="0"/>
    </xf>
    <xf numFmtId="1" fontId="10" fillId="42" borderId="0" xfId="0" applyNumberFormat="1" applyFont="1" applyFill="1" applyAlignment="1" applyProtection="1">
      <alignment horizontal="center"/>
      <protection locked="0"/>
    </xf>
    <xf numFmtId="49" fontId="2" fillId="44" borderId="0" xfId="0" applyNumberFormat="1" applyFont="1" applyFill="1" applyAlignment="1" applyProtection="1">
      <alignment horizontal="left"/>
      <protection locked="0"/>
    </xf>
    <xf numFmtId="1" fontId="5" fillId="42" borderId="0" xfId="0" applyNumberFormat="1" applyFont="1" applyFill="1" applyAlignment="1" applyProtection="1">
      <alignment horizontal="center"/>
      <protection locked="0"/>
    </xf>
    <xf numFmtId="49" fontId="2" fillId="18" borderId="5" xfId="0" applyNumberFormat="1" applyFont="1" applyFill="1" applyBorder="1" applyAlignment="1" applyProtection="1">
      <alignment horizontal="center"/>
      <protection locked="0"/>
    </xf>
    <xf numFmtId="49" fontId="2" fillId="35" borderId="0" xfId="0" applyNumberFormat="1" applyFont="1" applyFill="1" applyAlignment="1" applyProtection="1">
      <alignment horizontal="left"/>
      <protection locked="0"/>
    </xf>
    <xf numFmtId="49" fontId="5" fillId="18" borderId="0" xfId="0" applyNumberFormat="1" applyFont="1" applyFill="1" applyAlignment="1" applyProtection="1">
      <alignment horizontal="left"/>
      <protection locked="0"/>
    </xf>
    <xf numFmtId="49" fontId="2" fillId="18" borderId="0" xfId="0" applyNumberFormat="1" applyFont="1" applyFill="1" applyAlignment="1" applyProtection="1">
      <alignment horizontal="center"/>
      <protection locked="0"/>
    </xf>
    <xf numFmtId="1" fontId="2" fillId="18" borderId="0" xfId="0" applyNumberFormat="1" applyFont="1" applyFill="1" applyAlignment="1" applyProtection="1">
      <alignment horizontal="center"/>
      <protection locked="0"/>
    </xf>
    <xf numFmtId="3" fontId="58" fillId="0" borderId="0" xfId="0" applyNumberFormat="1" applyFont="1" applyFill="1" applyAlignment="1" applyProtection="1"/>
    <xf numFmtId="3" fontId="59" fillId="35" borderId="0" xfId="0" applyNumberFormat="1" applyFont="1" applyFill="1" applyAlignment="1" applyProtection="1"/>
    <xf numFmtId="3" fontId="58" fillId="0" borderId="10" xfId="0" applyNumberFormat="1" applyFont="1" applyFill="1" applyBorder="1" applyAlignment="1" applyProtection="1"/>
    <xf numFmtId="49" fontId="2" fillId="18" borderId="0" xfId="0" applyNumberFormat="1" applyFont="1" applyFill="1" applyAlignment="1" applyProtection="1">
      <alignment horizontal="left"/>
      <protection locked="0"/>
    </xf>
    <xf numFmtId="3" fontId="59" fillId="35" borderId="10" xfId="0" applyNumberFormat="1" applyFont="1" applyFill="1" applyBorder="1" applyAlignment="1" applyProtection="1"/>
    <xf numFmtId="49" fontId="10" fillId="18" borderId="0" xfId="0" applyNumberFormat="1" applyFont="1" applyFill="1" applyAlignment="1" applyProtection="1">
      <alignment horizontal="left"/>
      <protection locked="0"/>
    </xf>
    <xf numFmtId="1" fontId="5" fillId="18" borderId="0" xfId="0" applyNumberFormat="1" applyFont="1" applyFill="1" applyAlignment="1" applyProtection="1">
      <alignment horizontal="center"/>
      <protection locked="0"/>
    </xf>
    <xf numFmtId="3" fontId="11" fillId="8" borderId="10" xfId="0" applyNumberFormat="1" applyFont="1" applyFill="1" applyBorder="1" applyAlignment="1" applyProtection="1">
      <protection locked="0"/>
    </xf>
    <xf numFmtId="3" fontId="11" fillId="8" borderId="5" xfId="0" applyNumberFormat="1" applyFont="1" applyFill="1" applyBorder="1" applyAlignment="1" applyProtection="1">
      <protection locked="0"/>
    </xf>
    <xf numFmtId="1" fontId="10" fillId="18" borderId="0" xfId="0" applyNumberFormat="1" applyFont="1" applyFill="1" applyAlignment="1" applyProtection="1">
      <alignment horizontal="center"/>
      <protection locked="0"/>
    </xf>
    <xf numFmtId="0" fontId="2" fillId="18" borderId="0" xfId="0" applyNumberFormat="1" applyFont="1" applyFill="1" applyAlignment="1" applyProtection="1">
      <alignment horizontal="center"/>
      <protection locked="0"/>
    </xf>
    <xf numFmtId="3" fontId="13" fillId="0" borderId="10" xfId="2" applyNumberFormat="1" applyFont="1" applyFill="1" applyBorder="1" applyAlignment="1" applyProtection="1"/>
    <xf numFmtId="3" fontId="8" fillId="0" borderId="11" xfId="0" applyNumberFormat="1" applyFont="1" applyFill="1" applyBorder="1" applyAlignment="1" applyProtection="1">
      <alignment horizontal="right"/>
      <protection locked="0"/>
    </xf>
    <xf numFmtId="3" fontId="2" fillId="18" borderId="0" xfId="0" applyNumberFormat="1" applyFont="1" applyFill="1" applyAlignment="1" applyProtection="1">
      <alignment horizontal="left"/>
      <protection locked="0"/>
    </xf>
    <xf numFmtId="3" fontId="13" fillId="0" borderId="5" xfId="2" applyNumberFormat="1" applyFont="1" applyFill="1" applyBorder="1" applyAlignment="1" applyProtection="1"/>
    <xf numFmtId="0" fontId="5" fillId="35" borderId="0" xfId="0" applyNumberFormat="1" applyFont="1" applyFill="1" applyAlignment="1" applyProtection="1"/>
    <xf numFmtId="0" fontId="2" fillId="35" borderId="0" xfId="0" applyNumberFormat="1" applyFont="1" applyFill="1" applyAlignment="1" applyProtection="1"/>
    <xf numFmtId="1" fontId="2" fillId="45" borderId="0" xfId="0" applyNumberFormat="1" applyFont="1" applyFill="1" applyAlignment="1" applyProtection="1">
      <alignment horizontal="center"/>
      <protection locked="0"/>
    </xf>
    <xf numFmtId="49" fontId="2" fillId="4" borderId="5" xfId="0" applyNumberFormat="1" applyFont="1" applyFill="1" applyBorder="1" applyAlignment="1" applyProtection="1">
      <alignment horizontal="center"/>
      <protection locked="0"/>
    </xf>
    <xf numFmtId="49" fontId="2" fillId="4" borderId="0" xfId="0" applyNumberFormat="1" applyFont="1" applyFill="1" applyAlignment="1" applyProtection="1">
      <alignment horizontal="left"/>
      <protection locked="0"/>
    </xf>
    <xf numFmtId="1" fontId="2" fillId="4" borderId="0" xfId="0" applyNumberFormat="1" applyFont="1" applyFill="1" applyAlignment="1" applyProtection="1">
      <alignment horizontal="center"/>
      <protection locked="0"/>
    </xf>
    <xf numFmtId="3" fontId="2" fillId="35" borderId="5" xfId="0" applyNumberFormat="1" applyFont="1" applyFill="1" applyBorder="1" applyAlignment="1" applyProtection="1"/>
    <xf numFmtId="3" fontId="15" fillId="0" borderId="5" xfId="0" applyNumberFormat="1" applyFont="1" applyFill="1" applyBorder="1" applyAlignment="1" applyProtection="1"/>
    <xf numFmtId="3" fontId="15" fillId="0" borderId="0" xfId="0" applyNumberFormat="1" applyFont="1" applyFill="1" applyAlignment="1" applyProtection="1"/>
    <xf numFmtId="49" fontId="2" fillId="46" borderId="0" xfId="0" applyNumberFormat="1" applyFont="1" applyFill="1" applyAlignment="1" applyProtection="1">
      <alignment horizontal="left"/>
      <protection locked="0"/>
    </xf>
    <xf numFmtId="1" fontId="2" fillId="46" borderId="0" xfId="0" applyNumberFormat="1" applyFont="1" applyFill="1" applyAlignment="1" applyProtection="1">
      <alignment horizontal="center"/>
      <protection locked="0"/>
    </xf>
    <xf numFmtId="3" fontId="11" fillId="0" borderId="0" xfId="0" applyNumberFormat="1" applyFont="1" applyFill="1" applyAlignment="1" applyProtection="1"/>
    <xf numFmtId="49" fontId="2" fillId="4" borderId="0" xfId="0" applyNumberFormat="1" applyFont="1" applyFill="1" applyAlignment="1" applyProtection="1">
      <alignment horizontal="center"/>
      <protection locked="0"/>
    </xf>
    <xf numFmtId="49" fontId="2" fillId="34" borderId="0" xfId="0" applyNumberFormat="1" applyFont="1" applyFill="1" applyAlignment="1" applyProtection="1">
      <alignment horizontal="left"/>
      <protection locked="0"/>
    </xf>
    <xf numFmtId="3" fontId="11" fillId="8" borderId="10" xfId="0" applyNumberFormat="1" applyFont="1" applyFill="1" applyBorder="1" applyAlignment="1" applyProtection="1">
      <alignment horizontal="right"/>
      <protection locked="0"/>
    </xf>
    <xf numFmtId="3" fontId="11" fillId="8" borderId="5" xfId="0" applyNumberFormat="1" applyFont="1" applyFill="1" applyBorder="1" applyAlignment="1" applyProtection="1">
      <alignment horizontal="right"/>
      <protection locked="0"/>
    </xf>
    <xf numFmtId="3" fontId="11" fillId="0" borderId="5" xfId="19667" applyNumberFormat="1" applyFont="1" applyFill="1" applyBorder="1" applyAlignment="1" applyProtection="1">
      <alignment horizontal="right" wrapText="1"/>
    </xf>
    <xf numFmtId="49" fontId="2" fillId="38" borderId="0" xfId="0" applyNumberFormat="1" applyFont="1" applyFill="1" applyAlignment="1" applyProtection="1">
      <alignment horizontal="center"/>
      <protection locked="0"/>
    </xf>
    <xf numFmtId="1" fontId="2" fillId="39" borderId="0" xfId="0" applyNumberFormat="1" applyFont="1" applyFill="1" applyAlignment="1" applyProtection="1">
      <alignment horizontal="center"/>
      <protection locked="0"/>
    </xf>
    <xf numFmtId="49" fontId="10" fillId="15" borderId="0" xfId="0" applyNumberFormat="1" applyFont="1" applyFill="1" applyAlignment="1" applyProtection="1">
      <alignment horizontal="left"/>
      <protection locked="0"/>
    </xf>
    <xf numFmtId="1" fontId="2" fillId="15" borderId="0" xfId="0" applyNumberFormat="1" applyFont="1" applyFill="1" applyAlignment="1" applyProtection="1">
      <alignment horizontal="center"/>
      <protection locked="0"/>
    </xf>
    <xf numFmtId="49" fontId="2" fillId="15" borderId="0" xfId="0" applyNumberFormat="1" applyFont="1" applyFill="1" applyAlignment="1" applyProtection="1">
      <alignment horizontal="left"/>
      <protection locked="0"/>
    </xf>
    <xf numFmtId="3" fontId="5" fillId="41" borderId="10" xfId="0" applyNumberFormat="1" applyFont="1" applyFill="1" applyBorder="1" applyAlignment="1" applyProtection="1">
      <alignment horizontal="right"/>
      <protection locked="0"/>
    </xf>
    <xf numFmtId="0" fontId="2" fillId="42" borderId="0" xfId="0" applyNumberFormat="1" applyFont="1" applyFill="1" applyAlignment="1" applyProtection="1">
      <alignment horizontal="center"/>
      <protection locked="0"/>
    </xf>
    <xf numFmtId="49" fontId="5" fillId="15" borderId="0" xfId="0" applyNumberFormat="1" applyFont="1" applyFill="1" applyAlignment="1" applyProtection="1">
      <alignment horizontal="left"/>
      <protection locked="0"/>
    </xf>
    <xf numFmtId="1" fontId="2" fillId="48" borderId="0" xfId="0" applyNumberFormat="1" applyFont="1" applyFill="1" applyAlignment="1" applyProtection="1">
      <alignment horizontal="center"/>
      <protection locked="0"/>
    </xf>
    <xf numFmtId="49" fontId="2" fillId="42" borderId="5" xfId="0" applyNumberFormat="1" applyFont="1" applyFill="1" applyBorder="1" applyAlignment="1" applyProtection="1">
      <alignment horizontal="center"/>
      <protection locked="0"/>
    </xf>
    <xf numFmtId="49" fontId="2" fillId="15" borderId="5" xfId="0" applyNumberFormat="1" applyFont="1" applyFill="1" applyBorder="1" applyAlignment="1" applyProtection="1">
      <alignment horizontal="center"/>
      <protection locked="0"/>
    </xf>
    <xf numFmtId="49" fontId="2" fillId="14" borderId="0" xfId="0" applyNumberFormat="1" applyFont="1" applyFill="1" applyAlignment="1" applyProtection="1">
      <alignment horizontal="center"/>
      <protection locked="0"/>
    </xf>
    <xf numFmtId="1" fontId="5" fillId="15" borderId="0" xfId="0" applyNumberFormat="1" applyFont="1" applyFill="1" applyAlignment="1" applyProtection="1">
      <alignment horizontal="center"/>
      <protection locked="0"/>
    </xf>
    <xf numFmtId="3" fontId="16" fillId="41" borderId="5" xfId="0" applyNumberFormat="1" applyFont="1" applyFill="1" applyBorder="1" applyAlignment="1" applyProtection="1">
      <alignment horizontal="right" wrapText="1"/>
    </xf>
    <xf numFmtId="3" fontId="8" fillId="0" borderId="5" xfId="0" applyNumberFormat="1" applyFont="1" applyFill="1" applyBorder="1" applyAlignment="1" applyProtection="1">
      <alignment horizontal="right"/>
    </xf>
    <xf numFmtId="0" fontId="0" fillId="0" borderId="0" xfId="0"/>
    <xf numFmtId="3" fontId="2" fillId="0" borderId="10" xfId="19641" applyNumberFormat="1" applyFont="1" applyFill="1" applyBorder="1" applyAlignment="1" applyProtection="1">
      <alignment horizontal="right"/>
      <protection locked="0"/>
    </xf>
    <xf numFmtId="3" fontId="2" fillId="0" borderId="5" xfId="19641" applyNumberFormat="1" applyFont="1" applyFill="1" applyBorder="1" applyAlignment="1" applyProtection="1">
      <alignment horizontal="right"/>
      <protection locked="0"/>
    </xf>
    <xf numFmtId="165" fontId="15" fillId="0" borderId="5" xfId="19680" applyNumberFormat="1" applyFont="1" applyFill="1" applyBorder="1"/>
    <xf numFmtId="165" fontId="15" fillId="0" borderId="10" xfId="19681" applyNumberFormat="1" applyFont="1" applyFill="1" applyBorder="1"/>
    <xf numFmtId="0" fontId="0" fillId="0" borderId="0" xfId="0" applyNumberFormat="1" applyFill="1" applyAlignment="1" applyProtection="1"/>
    <xf numFmtId="0" fontId="2" fillId="0" borderId="0" xfId="0" applyNumberFormat="1" applyFont="1" applyFill="1" applyAlignment="1" applyProtection="1"/>
    <xf numFmtId="3" fontId="11" fillId="6" borderId="18" xfId="0" applyNumberFormat="1" applyFont="1" applyFill="1" applyBorder="1" applyAlignment="1" applyProtection="1"/>
    <xf numFmtId="3" fontId="13" fillId="7" borderId="5" xfId="0" applyNumberFormat="1" applyFont="1" applyFill="1" applyBorder="1" applyAlignment="1" applyProtection="1"/>
    <xf numFmtId="3" fontId="11" fillId="6" borderId="19" xfId="0" applyNumberFormat="1" applyFont="1" applyFill="1" applyBorder="1" applyAlignment="1" applyProtection="1"/>
    <xf numFmtId="3" fontId="13" fillId="7" borderId="10" xfId="0" applyNumberFormat="1" applyFont="1" applyFill="1" applyBorder="1" applyAlignment="1" applyProtection="1"/>
    <xf numFmtId="49" fontId="2" fillId="21" borderId="5" xfId="0" applyNumberFormat="1" applyFont="1" applyFill="1" applyBorder="1" applyAlignment="1" applyProtection="1">
      <alignment horizontal="center"/>
      <protection locked="0"/>
    </xf>
    <xf numFmtId="49" fontId="2" fillId="21" borderId="0" xfId="0" applyNumberFormat="1" applyFont="1" applyFill="1" applyAlignment="1" applyProtection="1">
      <alignment horizontal="left"/>
      <protection locked="0"/>
    </xf>
    <xf numFmtId="49" fontId="5" fillId="21" borderId="0" xfId="0" applyNumberFormat="1" applyFont="1" applyFill="1" applyAlignment="1" applyProtection="1">
      <alignment horizontal="left"/>
      <protection locked="0"/>
    </xf>
    <xf numFmtId="1" fontId="2" fillId="21" borderId="0" xfId="0" applyNumberFormat="1" applyFont="1" applyFill="1" applyAlignment="1" applyProtection="1">
      <alignment horizontal="center"/>
      <protection locked="0"/>
    </xf>
    <xf numFmtId="3" fontId="2" fillId="8" borderId="10" xfId="0" applyNumberFormat="1" applyFont="1" applyFill="1" applyBorder="1" applyAlignment="1" applyProtection="1">
      <alignment horizontal="right"/>
      <protection locked="0"/>
    </xf>
    <xf numFmtId="3" fontId="2" fillId="8" borderId="5" xfId="0" applyNumberFormat="1" applyFont="1" applyFill="1" applyBorder="1" applyAlignment="1" applyProtection="1">
      <alignment horizontal="right"/>
      <protection locked="0"/>
    </xf>
    <xf numFmtId="165" fontId="48" fillId="36" borderId="10" xfId="0" applyNumberFormat="1" applyFont="1" applyFill="1" applyBorder="1" applyAlignment="1" applyProtection="1"/>
    <xf numFmtId="165" fontId="15" fillId="0" borderId="0" xfId="0" applyNumberFormat="1" applyFont="1" applyFill="1" applyAlignment="1" applyProtection="1"/>
    <xf numFmtId="165" fontId="48" fillId="36" borderId="0" xfId="0" applyNumberFormat="1" applyFont="1" applyFill="1" applyAlignment="1" applyProtection="1"/>
    <xf numFmtId="165" fontId="2" fillId="35" borderId="5" xfId="0" applyNumberFormat="1" applyFont="1" applyFill="1" applyBorder="1" applyAlignment="1" applyProtection="1"/>
    <xf numFmtId="165" fontId="2" fillId="35" borderId="10" xfId="0" applyNumberFormat="1" applyFont="1" applyFill="1" applyBorder="1" applyAlignment="1" applyProtection="1"/>
    <xf numFmtId="165" fontId="2" fillId="35" borderId="0" xfId="0" applyNumberFormat="1" applyFont="1" applyFill="1" applyAlignment="1" applyProtection="1"/>
    <xf numFmtId="165" fontId="54" fillId="37" borderId="10" xfId="0" applyNumberFormat="1" applyFont="1" applyFill="1" applyBorder="1" applyAlignment="1" applyProtection="1"/>
    <xf numFmtId="49" fontId="2" fillId="21" borderId="0" xfId="0" applyNumberFormat="1" applyFont="1" applyFill="1" applyAlignment="1" applyProtection="1">
      <alignment horizontal="center"/>
      <protection locked="0"/>
    </xf>
    <xf numFmtId="49" fontId="10" fillId="21" borderId="0" xfId="0" applyNumberFormat="1" applyFont="1" applyFill="1" applyAlignment="1" applyProtection="1">
      <alignment horizontal="left"/>
      <protection locked="0"/>
    </xf>
    <xf numFmtId="1" fontId="5" fillId="21" borderId="0" xfId="0" applyNumberFormat="1" applyFont="1" applyFill="1" applyAlignment="1" applyProtection="1">
      <alignment horizontal="center"/>
      <protection locked="0"/>
    </xf>
    <xf numFmtId="165" fontId="54" fillId="37" borderId="0" xfId="0" applyNumberFormat="1" applyFont="1" applyFill="1" applyAlignment="1" applyProtection="1"/>
    <xf numFmtId="3" fontId="2" fillId="21" borderId="0" xfId="0" applyNumberFormat="1" applyFont="1" applyFill="1" applyAlignment="1" applyProtection="1">
      <alignment horizontal="left"/>
      <protection locked="0"/>
    </xf>
    <xf numFmtId="3" fontId="5" fillId="21" borderId="0" xfId="0" applyNumberFormat="1" applyFont="1" applyFill="1" applyAlignment="1" applyProtection="1">
      <alignment horizontal="left"/>
      <protection locked="0"/>
    </xf>
    <xf numFmtId="3" fontId="2" fillId="21" borderId="0" xfId="0" applyNumberFormat="1" applyFont="1" applyFill="1" applyAlignment="1" applyProtection="1">
      <alignment horizontal="center"/>
      <protection locked="0"/>
    </xf>
    <xf numFmtId="1" fontId="2" fillId="47" borderId="0" xfId="0" applyNumberFormat="1" applyFont="1" applyFill="1" applyAlignment="1" applyProtection="1">
      <alignment horizontal="center"/>
      <protection locked="0"/>
    </xf>
    <xf numFmtId="1" fontId="10" fillId="21" borderId="0" xfId="0" applyNumberFormat="1" applyFont="1" applyFill="1" applyAlignment="1" applyProtection="1">
      <alignment horizontal="center"/>
      <protection locked="0"/>
    </xf>
    <xf numFmtId="49" fontId="2" fillId="47" borderId="0" xfId="0" applyNumberFormat="1" applyFont="1" applyFill="1" applyAlignment="1" applyProtection="1">
      <alignment horizontal="left"/>
      <protection locked="0"/>
    </xf>
    <xf numFmtId="49" fontId="5" fillId="47" borderId="0" xfId="0" applyNumberFormat="1" applyFont="1" applyFill="1" applyAlignment="1" applyProtection="1">
      <alignment horizontal="left"/>
      <protection locked="0"/>
    </xf>
    <xf numFmtId="0" fontId="2" fillId="0" borderId="0" xfId="0" applyNumberFormat="1" applyFont="1" applyFill="1" applyAlignment="1" applyProtection="1"/>
    <xf numFmtId="3" fontId="2" fillId="41" borderId="10" xfId="0" applyNumberFormat="1" applyFont="1" applyFill="1" applyBorder="1" applyAlignment="1" applyProtection="1">
      <alignment horizontal="right"/>
      <protection locked="0"/>
    </xf>
    <xf numFmtId="3" fontId="8" fillId="10" borderId="10" xfId="0" applyNumberFormat="1" applyFont="1" applyFill="1" applyBorder="1" applyAlignment="1" applyProtection="1">
      <alignment horizontal="right"/>
      <protection locked="0"/>
    </xf>
    <xf numFmtId="3" fontId="16" fillId="0" borderId="5" xfId="0" applyNumberFormat="1" applyFont="1" applyFill="1" applyBorder="1" applyAlignment="1" applyProtection="1">
      <alignment horizontal="right"/>
    </xf>
    <xf numFmtId="3" fontId="16" fillId="0" borderId="5" xfId="0" applyNumberFormat="1" applyFont="1" applyFill="1" applyBorder="1" applyAlignment="1" applyProtection="1">
      <alignment horizontal="right" wrapText="1"/>
    </xf>
    <xf numFmtId="3" fontId="16" fillId="0" borderId="10" xfId="0" applyNumberFormat="1" applyFont="1" applyFill="1" applyBorder="1" applyAlignment="1" applyProtection="1">
      <alignment horizontal="right"/>
    </xf>
    <xf numFmtId="3" fontId="5" fillId="18" borderId="0" xfId="0" applyNumberFormat="1" applyFont="1" applyFill="1" applyAlignment="1" applyProtection="1">
      <alignment horizontal="left"/>
      <protection locked="0"/>
    </xf>
    <xf numFmtId="49" fontId="2" fillId="49" borderId="5" xfId="0" applyNumberFormat="1" applyFont="1" applyFill="1" applyBorder="1" applyAlignment="1" applyProtection="1">
      <alignment horizontal="center"/>
      <protection locked="0"/>
    </xf>
    <xf numFmtId="49" fontId="2" fillId="49" borderId="0" xfId="0" applyNumberFormat="1" applyFont="1" applyFill="1" applyAlignment="1" applyProtection="1">
      <alignment horizontal="left"/>
      <protection locked="0"/>
    </xf>
    <xf numFmtId="49" fontId="5" fillId="49" borderId="0" xfId="0" applyNumberFormat="1" applyFont="1" applyFill="1" applyAlignment="1" applyProtection="1">
      <alignment horizontal="left"/>
      <protection locked="0"/>
    </xf>
    <xf numFmtId="1" fontId="2" fillId="49" borderId="0" xfId="0" applyNumberFormat="1" applyFont="1" applyFill="1" applyAlignment="1" applyProtection="1">
      <alignment horizontal="center"/>
      <protection locked="0"/>
    </xf>
    <xf numFmtId="0" fontId="46" fillId="35" borderId="0" xfId="0" applyNumberFormat="1" applyFont="1" applyFill="1" applyAlignment="1" applyProtection="1"/>
    <xf numFmtId="49" fontId="10" fillId="49" borderId="0" xfId="0" applyNumberFormat="1" applyFont="1" applyFill="1" applyAlignment="1" applyProtection="1">
      <alignment horizontal="left"/>
      <protection locked="0"/>
    </xf>
    <xf numFmtId="1" fontId="10" fillId="49" borderId="0" xfId="0" applyNumberFormat="1" applyFont="1" applyFill="1" applyAlignment="1" applyProtection="1">
      <alignment horizontal="center"/>
      <protection locked="0"/>
    </xf>
    <xf numFmtId="3" fontId="2" fillId="10" borderId="0" xfId="0" applyNumberFormat="1" applyFont="1" applyFill="1" applyAlignment="1" applyProtection="1">
      <alignment horizontal="right"/>
      <protection locked="0"/>
    </xf>
    <xf numFmtId="3" fontId="2" fillId="0" borderId="5" xfId="19655" applyNumberFormat="1" applyFont="1" applyFill="1" applyBorder="1" applyAlignment="1" applyProtection="1">
      <alignment horizontal="right"/>
      <protection locked="0"/>
    </xf>
    <xf numFmtId="49" fontId="2" fillId="49" borderId="0" xfId="0" applyNumberFormat="1" applyFont="1" applyFill="1" applyAlignment="1" applyProtection="1">
      <alignment horizontal="center"/>
      <protection locked="0"/>
    </xf>
    <xf numFmtId="164" fontId="2" fillId="42" borderId="0" xfId="0" applyNumberFormat="1" applyFont="1" applyFill="1" applyAlignment="1" applyProtection="1">
      <alignment horizontal="left"/>
      <protection locked="0"/>
    </xf>
    <xf numFmtId="0" fontId="2" fillId="15" borderId="0" xfId="0" applyNumberFormat="1" applyFont="1" applyFill="1" applyAlignment="1" applyProtection="1">
      <alignment horizontal="center"/>
      <protection locked="0"/>
    </xf>
    <xf numFmtId="1" fontId="10" fillId="15" borderId="0" xfId="0" applyNumberFormat="1" applyFont="1" applyFill="1" applyAlignment="1" applyProtection="1">
      <alignment horizontal="center"/>
      <protection locked="0"/>
    </xf>
    <xf numFmtId="164" fontId="2" fillId="15" borderId="0" xfId="0" applyNumberFormat="1" applyFont="1" applyFill="1" applyAlignment="1" applyProtection="1">
      <alignment horizontal="left"/>
      <protection locked="0"/>
    </xf>
    <xf numFmtId="164" fontId="5" fillId="15" borderId="0" xfId="0" applyNumberFormat="1" applyFont="1" applyFill="1" applyAlignment="1" applyProtection="1">
      <alignment horizontal="left"/>
      <protection locked="0"/>
    </xf>
    <xf numFmtId="49" fontId="2" fillId="50" borderId="0" xfId="0" applyNumberFormat="1" applyFont="1" applyFill="1" applyAlignment="1" applyProtection="1">
      <alignment horizontal="left"/>
      <protection locked="0"/>
    </xf>
    <xf numFmtId="1" fontId="2" fillId="50" borderId="0" xfId="0" applyNumberFormat="1" applyFont="1" applyFill="1" applyAlignment="1" applyProtection="1">
      <alignment horizontal="center"/>
      <protection locked="0"/>
    </xf>
    <xf numFmtId="3" fontId="11" fillId="0" borderId="5" xfId="19641" applyNumberFormat="1" applyFont="1" applyFill="1" applyBorder="1" applyAlignment="1" applyProtection="1">
      <alignment horizontal="right"/>
      <protection locked="0"/>
    </xf>
    <xf numFmtId="0" fontId="2" fillId="49" borderId="0" xfId="0" applyNumberFormat="1" applyFont="1" applyFill="1" applyAlignment="1" applyProtection="1">
      <alignment horizontal="left"/>
      <protection locked="0"/>
    </xf>
    <xf numFmtId="3" fontId="11" fillId="0" borderId="5" xfId="19671" applyNumberFormat="1" applyFont="1" applyFill="1" applyBorder="1" applyAlignment="1" applyProtection="1">
      <alignment horizontal="right"/>
      <protection locked="0"/>
    </xf>
    <xf numFmtId="3" fontId="11" fillId="0" borderId="10" xfId="19641" applyNumberFormat="1" applyFont="1" applyFill="1" applyBorder="1" applyAlignment="1" applyProtection="1">
      <alignment horizontal="right"/>
      <protection locked="0"/>
    </xf>
    <xf numFmtId="3" fontId="2" fillId="0" borderId="10" xfId="0" applyNumberFormat="1" applyFont="1" applyFill="1" applyBorder="1" applyAlignment="1" applyProtection="1">
      <alignment horizontal="right" wrapText="1"/>
    </xf>
    <xf numFmtId="49" fontId="57" fillId="49" borderId="0" xfId="0" applyNumberFormat="1" applyFont="1" applyFill="1" applyAlignment="1" applyProtection="1">
      <alignment horizontal="left"/>
      <protection locked="0"/>
    </xf>
    <xf numFmtId="1" fontId="2" fillId="51" borderId="0" xfId="0" applyNumberFormat="1" applyFont="1" applyFill="1" applyAlignment="1" applyProtection="1">
      <alignment horizontal="center"/>
      <protection locked="0"/>
    </xf>
    <xf numFmtId="164" fontId="2" fillId="49" borderId="0" xfId="0" applyNumberFormat="1" applyFont="1" applyFill="1" applyAlignment="1" applyProtection="1">
      <alignment horizontal="left"/>
      <protection locked="0"/>
    </xf>
    <xf numFmtId="49" fontId="5" fillId="4" borderId="0" xfId="0" applyNumberFormat="1" applyFont="1" applyFill="1" applyAlignment="1" applyProtection="1">
      <alignment horizontal="left"/>
      <protection locked="0"/>
    </xf>
    <xf numFmtId="49" fontId="10" fillId="4" borderId="0" xfId="0" applyNumberFormat="1" applyFont="1" applyFill="1" applyAlignment="1" applyProtection="1">
      <alignment horizontal="left"/>
      <protection locked="0"/>
    </xf>
    <xf numFmtId="1" fontId="2" fillId="52" borderId="0" xfId="0" applyNumberFormat="1" applyFont="1" applyFill="1" applyAlignment="1" applyProtection="1">
      <alignment horizontal="center"/>
      <protection locked="0"/>
    </xf>
    <xf numFmtId="49" fontId="15" fillId="21" borderId="0" xfId="0" applyNumberFormat="1" applyFont="1" applyFill="1" applyAlignment="1" applyProtection="1">
      <alignment horizontal="center"/>
      <protection locked="0"/>
    </xf>
    <xf numFmtId="49" fontId="15" fillId="21" borderId="0" xfId="0" applyNumberFormat="1" applyFont="1" applyFill="1" applyAlignment="1" applyProtection="1">
      <alignment horizontal="left"/>
      <protection locked="0"/>
    </xf>
    <xf numFmtId="49" fontId="53" fillId="21" borderId="0" xfId="0" applyNumberFormat="1" applyFont="1" applyFill="1" applyAlignment="1" applyProtection="1">
      <alignment horizontal="left"/>
      <protection locked="0"/>
    </xf>
    <xf numFmtId="1" fontId="15" fillId="21" borderId="0" xfId="0" applyNumberFormat="1" applyFont="1" applyFill="1" applyAlignment="1" applyProtection="1">
      <alignment horizontal="center"/>
      <protection locked="0"/>
    </xf>
    <xf numFmtId="3" fontId="15" fillId="35" borderId="5" xfId="0" applyNumberFormat="1" applyFont="1" applyFill="1" applyBorder="1" applyAlignment="1" applyProtection="1">
      <alignment horizontal="right"/>
    </xf>
    <xf numFmtId="3" fontId="15" fillId="0" borderId="5" xfId="19667" applyNumberFormat="1" applyFont="1" applyFill="1" applyBorder="1" applyAlignment="1">
      <alignment horizontal="right"/>
    </xf>
    <xf numFmtId="49" fontId="15" fillId="18" borderId="0" xfId="0" applyNumberFormat="1" applyFont="1" applyFill="1" applyAlignment="1" applyProtection="1">
      <alignment horizontal="center"/>
      <protection locked="0"/>
    </xf>
    <xf numFmtId="49" fontId="2" fillId="53" borderId="0" xfId="0" applyNumberFormat="1" applyFont="1" applyFill="1" applyAlignment="1" applyProtection="1">
      <alignment horizontal="left"/>
      <protection locked="0"/>
    </xf>
    <xf numFmtId="49" fontId="15" fillId="18" borderId="0" xfId="0" applyNumberFormat="1" applyFont="1" applyFill="1" applyAlignment="1" applyProtection="1">
      <alignment horizontal="left"/>
      <protection locked="0"/>
    </xf>
    <xf numFmtId="1" fontId="15" fillId="18" borderId="0" xfId="0" applyNumberFormat="1" applyFont="1" applyFill="1" applyAlignment="1" applyProtection="1">
      <alignment horizontal="center"/>
      <protection locked="0"/>
    </xf>
    <xf numFmtId="3" fontId="53" fillId="0" borderId="10" xfId="0" applyNumberFormat="1" applyFont="1" applyFill="1" applyBorder="1" applyAlignment="1" applyProtection="1">
      <alignment horizontal="right"/>
      <protection locked="0"/>
    </xf>
    <xf numFmtId="3" fontId="53" fillId="0" borderId="5" xfId="0" applyNumberFormat="1" applyFont="1" applyFill="1" applyBorder="1" applyAlignment="1" applyProtection="1">
      <alignment horizontal="right"/>
      <protection locked="0"/>
    </xf>
    <xf numFmtId="49" fontId="15" fillId="18" borderId="5" xfId="0" applyNumberFormat="1" applyFont="1" applyFill="1" applyBorder="1" applyAlignment="1" applyProtection="1">
      <alignment horizontal="center"/>
      <protection locked="0"/>
    </xf>
    <xf numFmtId="49" fontId="2" fillId="54" borderId="0" xfId="0" applyNumberFormat="1" applyFont="1" applyFill="1" applyAlignment="1" applyProtection="1">
      <alignment horizontal="left"/>
      <protection locked="0"/>
    </xf>
    <xf numFmtId="0" fontId="2" fillId="0" borderId="10" xfId="0" applyNumberFormat="1" applyFont="1" applyFill="1" applyBorder="1" applyAlignment="1" applyProtection="1"/>
    <xf numFmtId="0" fontId="2" fillId="35" borderId="10" xfId="0" applyNumberFormat="1" applyFont="1" applyFill="1" applyBorder="1" applyAlignment="1" applyProtection="1"/>
    <xf numFmtId="37" fontId="2" fillId="54" borderId="0" xfId="0" applyNumberFormat="1" applyFont="1" applyFill="1" applyAlignment="1" applyProtection="1">
      <alignment horizontal="left"/>
      <protection locked="0"/>
    </xf>
    <xf numFmtId="37" fontId="5" fillId="41" borderId="0" xfId="0" applyNumberFormat="1" applyFont="1" applyFill="1" applyAlignment="1" applyProtection="1">
      <alignment horizontal="left"/>
      <protection locked="0"/>
    </xf>
    <xf numFmtId="1" fontId="2" fillId="41" borderId="0" xfId="0" applyNumberFormat="1" applyFont="1" applyFill="1" applyAlignment="1" applyProtection="1">
      <alignment horizontal="center"/>
      <protection locked="0"/>
    </xf>
    <xf numFmtId="0" fontId="11" fillId="0" borderId="0" xfId="0" applyNumberFormat="1" applyFont="1" applyFill="1" applyAlignment="1" applyProtection="1"/>
    <xf numFmtId="3" fontId="2" fillId="0" borderId="0" xfId="0" applyNumberFormat="1" applyFont="1" applyFill="1" applyAlignment="1" applyProtection="1">
      <alignment horizontal="right"/>
      <protection locked="0"/>
    </xf>
    <xf numFmtId="0" fontId="2" fillId="0" borderId="5" xfId="1" applyFont="1" applyFill="1" applyBorder="1" applyAlignment="1"/>
    <xf numFmtId="3" fontId="2" fillId="14" borderId="0" xfId="0" applyNumberFormat="1" applyFont="1" applyFill="1" applyAlignment="1" applyProtection="1">
      <alignment horizontal="left"/>
      <protection locked="0"/>
    </xf>
    <xf numFmtId="3" fontId="5" fillId="14" borderId="0" xfId="0" applyNumberFormat="1" applyFont="1" applyFill="1" applyAlignment="1" applyProtection="1">
      <alignment horizontal="left"/>
      <protection locked="0"/>
    </xf>
    <xf numFmtId="1" fontId="2" fillId="55" borderId="0" xfId="0" applyNumberFormat="1" applyFont="1" applyFill="1" applyAlignment="1" applyProtection="1">
      <alignment horizontal="center"/>
      <protection locked="0"/>
    </xf>
    <xf numFmtId="1" fontId="10" fillId="14" borderId="0" xfId="0" applyNumberFormat="1" applyFont="1" applyFill="1" applyAlignment="1" applyProtection="1">
      <alignment horizontal="center"/>
      <protection locked="0"/>
    </xf>
    <xf numFmtId="49" fontId="2" fillId="41" borderId="5" xfId="0" applyNumberFormat="1" applyFont="1" applyFill="1" applyBorder="1" applyAlignment="1" applyProtection="1">
      <alignment horizontal="center"/>
      <protection locked="0"/>
    </xf>
    <xf numFmtId="49" fontId="2" fillId="41" borderId="0" xfId="0" applyNumberFormat="1" applyFont="1" applyFill="1" applyAlignment="1" applyProtection="1">
      <alignment horizontal="left"/>
      <protection locked="0"/>
    </xf>
    <xf numFmtId="49" fontId="5" fillId="41" borderId="0" xfId="0" applyNumberFormat="1" applyFont="1" applyFill="1" applyAlignment="1" applyProtection="1">
      <alignment horizontal="left"/>
      <protection locked="0"/>
    </xf>
    <xf numFmtId="3" fontId="2" fillId="0" borderId="0" xfId="0" applyNumberFormat="1" applyFont="1" applyFill="1" applyAlignment="1" applyProtection="1">
      <alignment horizontal="center"/>
    </xf>
    <xf numFmtId="3" fontId="2" fillId="54" borderId="0" xfId="0" applyNumberFormat="1" applyFont="1" applyFill="1" applyAlignment="1" applyProtection="1">
      <alignment horizontal="left"/>
    </xf>
    <xf numFmtId="3" fontId="2" fillId="0" borderId="0" xfId="0" applyNumberFormat="1" applyFont="1" applyFill="1" applyAlignment="1" applyProtection="1">
      <alignment horizontal="left"/>
    </xf>
    <xf numFmtId="0" fontId="63" fillId="0" borderId="0" xfId="0" applyFont="1" applyFill="1"/>
    <xf numFmtId="0" fontId="63" fillId="0" borderId="0" xfId="0" applyFont="1" applyFill="1" applyBorder="1"/>
    <xf numFmtId="0" fontId="63" fillId="0" borderId="32" xfId="0" applyFont="1" applyFill="1" applyBorder="1"/>
    <xf numFmtId="0" fontId="63" fillId="0" borderId="33" xfId="0" applyFont="1" applyFill="1" applyBorder="1"/>
    <xf numFmtId="9" fontId="63" fillId="0" borderId="34" xfId="0" applyNumberFormat="1" applyFont="1" applyFill="1" applyBorder="1"/>
    <xf numFmtId="9" fontId="63" fillId="0" borderId="33" xfId="0" applyNumberFormat="1" applyFont="1" applyFill="1" applyBorder="1"/>
    <xf numFmtId="9" fontId="63" fillId="0" borderId="35" xfId="0" applyNumberFormat="1" applyFont="1" applyFill="1" applyBorder="1"/>
    <xf numFmtId="0" fontId="63" fillId="0" borderId="36" xfId="0" applyFont="1" applyFill="1" applyBorder="1"/>
    <xf numFmtId="0" fontId="63" fillId="0" borderId="37" xfId="0" applyFont="1" applyFill="1" applyBorder="1"/>
    <xf numFmtId="0" fontId="63" fillId="0" borderId="38" xfId="0" applyFont="1" applyFill="1" applyBorder="1"/>
    <xf numFmtId="0" fontId="63" fillId="0" borderId="39" xfId="0" applyFont="1" applyFill="1" applyBorder="1"/>
    <xf numFmtId="9" fontId="63" fillId="0" borderId="40" xfId="0" applyNumberFormat="1" applyFont="1" applyFill="1" applyBorder="1"/>
    <xf numFmtId="9" fontId="63" fillId="0" borderId="32" xfId="0" applyNumberFormat="1" applyFont="1" applyFill="1" applyBorder="1"/>
    <xf numFmtId="0" fontId="63" fillId="0" borderId="34" xfId="0" applyFont="1" applyFill="1" applyBorder="1"/>
    <xf numFmtId="0" fontId="63" fillId="0" borderId="14" xfId="0" applyFont="1" applyFill="1" applyBorder="1"/>
    <xf numFmtId="0" fontId="63" fillId="0" borderId="41" xfId="0" applyFont="1" applyFill="1" applyBorder="1"/>
    <xf numFmtId="9" fontId="63" fillId="0" borderId="42" xfId="0" applyNumberFormat="1" applyFont="1" applyFill="1" applyBorder="1"/>
    <xf numFmtId="9" fontId="63" fillId="0" borderId="43" xfId="0" applyNumberFormat="1" applyFont="1" applyFill="1" applyBorder="1"/>
    <xf numFmtId="0" fontId="64" fillId="0" borderId="32" xfId="0" applyFont="1" applyFill="1" applyBorder="1"/>
    <xf numFmtId="167" fontId="63" fillId="0" borderId="32" xfId="0" applyNumberFormat="1" applyFont="1" applyFill="1" applyBorder="1"/>
    <xf numFmtId="167" fontId="63" fillId="0" borderId="34" xfId="0" applyNumberFormat="1" applyFont="1" applyFill="1" applyBorder="1"/>
    <xf numFmtId="167" fontId="63" fillId="0" borderId="44" xfId="0" applyNumberFormat="1" applyFont="1" applyFill="1" applyBorder="1"/>
    <xf numFmtId="0" fontId="64" fillId="0" borderId="14" xfId="0" applyFont="1" applyFill="1" applyBorder="1"/>
    <xf numFmtId="0" fontId="63" fillId="0" borderId="45" xfId="0" applyFont="1" applyFill="1" applyBorder="1"/>
    <xf numFmtId="167" fontId="63" fillId="0" borderId="45" xfId="0" applyNumberFormat="1" applyFont="1" applyFill="1" applyBorder="1"/>
    <xf numFmtId="167" fontId="63" fillId="0" borderId="0" xfId="0" applyNumberFormat="1" applyFont="1" applyFill="1" applyBorder="1"/>
    <xf numFmtId="167" fontId="63" fillId="0" borderId="46" xfId="0" applyNumberFormat="1" applyFont="1" applyFill="1" applyBorder="1"/>
    <xf numFmtId="0" fontId="0" fillId="0" borderId="46" xfId="0" applyFill="1" applyBorder="1"/>
    <xf numFmtId="0" fontId="64" fillId="0" borderId="47" xfId="0" applyFont="1" applyFill="1" applyBorder="1" applyAlignment="1">
      <alignment horizontal="right"/>
    </xf>
    <xf numFmtId="168" fontId="64" fillId="0" borderId="47" xfId="0" applyNumberFormat="1" applyFont="1" applyFill="1" applyBorder="1"/>
    <xf numFmtId="168" fontId="64" fillId="0" borderId="1" xfId="0" applyNumberFormat="1" applyFont="1" applyFill="1" applyBorder="1"/>
    <xf numFmtId="168" fontId="64" fillId="0" borderId="48" xfId="0" applyNumberFormat="1" applyFont="1" applyFill="1" applyBorder="1"/>
    <xf numFmtId="168" fontId="64" fillId="41" borderId="1" xfId="0" applyNumberFormat="1" applyFont="1" applyFill="1" applyBorder="1"/>
    <xf numFmtId="167" fontId="63" fillId="41" borderId="0" xfId="0" applyNumberFormat="1" applyFont="1" applyFill="1" applyBorder="1"/>
    <xf numFmtId="169" fontId="63" fillId="0" borderId="0" xfId="19705" applyNumberFormat="1" applyFont="1" applyFill="1"/>
    <xf numFmtId="167" fontId="63" fillId="41" borderId="45" xfId="0" applyNumberFormat="1" applyFont="1" applyFill="1" applyBorder="1"/>
    <xf numFmtId="0" fontId="64" fillId="0" borderId="49" xfId="0" applyFont="1" applyFill="1" applyBorder="1" applyAlignment="1">
      <alignment horizontal="right"/>
    </xf>
    <xf numFmtId="168" fontId="64" fillId="0" borderId="49" xfId="0" applyNumberFormat="1" applyFont="1" applyFill="1" applyBorder="1"/>
    <xf numFmtId="168" fontId="64" fillId="0" borderId="50" xfId="0" applyNumberFormat="1" applyFont="1" applyFill="1" applyBorder="1"/>
    <xf numFmtId="168" fontId="64" fillId="0" borderId="51" xfId="0" applyNumberFormat="1" applyFont="1" applyFill="1" applyBorder="1"/>
    <xf numFmtId="0" fontId="64" fillId="0" borderId="52" xfId="0" applyFont="1" applyFill="1" applyBorder="1"/>
    <xf numFmtId="0" fontId="64" fillId="0" borderId="52" xfId="0" applyFont="1" applyFill="1" applyBorder="1" applyAlignment="1">
      <alignment horizontal="right"/>
    </xf>
    <xf numFmtId="168" fontId="64" fillId="0" borderId="52" xfId="0" applyNumberFormat="1" applyFont="1" applyFill="1" applyBorder="1"/>
    <xf numFmtId="168" fontId="64" fillId="0" borderId="53" xfId="0" applyNumberFormat="1" applyFont="1" applyFill="1" applyBorder="1"/>
    <xf numFmtId="168" fontId="64" fillId="0" borderId="54" xfId="0" applyNumberFormat="1" applyFont="1" applyFill="1" applyBorder="1"/>
    <xf numFmtId="0" fontId="64" fillId="0" borderId="45" xfId="0" applyFont="1" applyFill="1" applyBorder="1"/>
    <xf numFmtId="0" fontId="65" fillId="0" borderId="0" xfId="0" applyFont="1" applyFill="1"/>
    <xf numFmtId="168" fontId="64" fillId="41" borderId="48" xfId="0" applyNumberFormat="1" applyFont="1" applyFill="1" applyBorder="1"/>
    <xf numFmtId="168" fontId="64" fillId="41" borderId="47" xfId="0" applyNumberFormat="1" applyFont="1" applyFill="1" applyBorder="1"/>
    <xf numFmtId="169" fontId="63" fillId="0" borderId="0" xfId="2" applyNumberFormat="1" applyFont="1" applyFill="1"/>
    <xf numFmtId="0" fontId="64" fillId="0" borderId="47" xfId="0" applyFont="1" applyFill="1" applyBorder="1"/>
    <xf numFmtId="0" fontId="63" fillId="0" borderId="46" xfId="0" applyFont="1" applyFill="1" applyBorder="1"/>
    <xf numFmtId="0" fontId="0" fillId="34" borderId="0" xfId="0" applyFill="1"/>
    <xf numFmtId="0" fontId="66" fillId="34" borderId="0" xfId="0" applyFont="1" applyFill="1"/>
    <xf numFmtId="0" fontId="67" fillId="34" borderId="0" xfId="0" applyFont="1" applyFill="1"/>
    <xf numFmtId="0" fontId="66" fillId="56" borderId="0" xfId="0" applyFont="1" applyFill="1"/>
    <xf numFmtId="0" fontId="66" fillId="57" borderId="0" xfId="0" applyFont="1" applyFill="1"/>
    <xf numFmtId="0" fontId="66" fillId="58" borderId="0" xfId="0" applyFont="1" applyFill="1"/>
    <xf numFmtId="0" fontId="67" fillId="58" borderId="0" xfId="0" applyFont="1" applyFill="1"/>
    <xf numFmtId="0" fontId="66" fillId="59" borderId="0" xfId="0" applyFont="1" applyFill="1"/>
    <xf numFmtId="0" fontId="66" fillId="60" borderId="0" xfId="0" applyFont="1" applyFill="1"/>
    <xf numFmtId="0" fontId="67" fillId="60" borderId="0" xfId="0" applyFont="1" applyFill="1"/>
    <xf numFmtId="1" fontId="10" fillId="45" borderId="0" xfId="0" applyNumberFormat="1" applyFont="1" applyFill="1" applyAlignment="1" applyProtection="1">
      <alignment horizontal="center"/>
      <protection locked="0"/>
    </xf>
    <xf numFmtId="0" fontId="67" fillId="56" borderId="0" xfId="0" applyFont="1" applyFill="1"/>
    <xf numFmtId="1" fontId="10" fillId="38" borderId="0" xfId="0" applyNumberFormat="1" applyFont="1" applyFill="1" applyAlignment="1" applyProtection="1">
      <alignment horizontal="center"/>
      <protection locked="0"/>
    </xf>
    <xf numFmtId="0" fontId="66" fillId="47" borderId="0" xfId="0" applyFont="1" applyFill="1"/>
    <xf numFmtId="0" fontId="67" fillId="57" borderId="0" xfId="0" applyFont="1" applyFill="1"/>
    <xf numFmtId="0" fontId="66" fillId="61" borderId="0" xfId="0" applyFont="1" applyFill="1"/>
    <xf numFmtId="0" fontId="67" fillId="47" borderId="0" xfId="0" applyFont="1" applyFill="1"/>
    <xf numFmtId="0" fontId="67" fillId="59" borderId="0" xfId="0" applyFont="1" applyFill="1"/>
    <xf numFmtId="1" fontId="10" fillId="55" borderId="0" xfId="0" applyNumberFormat="1" applyFont="1" applyFill="1" applyAlignment="1" applyProtection="1">
      <alignment horizontal="center"/>
      <protection locked="0"/>
    </xf>
    <xf numFmtId="0" fontId="67" fillId="61" borderId="0" xfId="0" applyFont="1" applyFill="1"/>
    <xf numFmtId="0" fontId="68" fillId="5" borderId="16" xfId="0" applyNumberFormat="1" applyFont="1" applyFill="1" applyBorder="1" applyAlignment="1" applyProtection="1">
      <alignment horizontal="left"/>
      <protection locked="0"/>
    </xf>
    <xf numFmtId="165" fontId="63" fillId="0" borderId="0" xfId="19705" applyNumberFormat="1" applyFont="1" applyFill="1"/>
    <xf numFmtId="165" fontId="63" fillId="0" borderId="0" xfId="19705" applyNumberFormat="1" applyFont="1" applyFill="1" applyBorder="1"/>
    <xf numFmtId="165" fontId="63" fillId="0" borderId="1" xfId="19705" applyNumberFormat="1" applyFont="1" applyFill="1" applyBorder="1"/>
    <xf numFmtId="0" fontId="0" fillId="0" borderId="32" xfId="0" applyFont="1" applyFill="1" applyBorder="1"/>
    <xf numFmtId="0" fontId="0" fillId="0" borderId="33" xfId="0" applyFont="1" applyFill="1" applyBorder="1"/>
    <xf numFmtId="9" fontId="63" fillId="0" borderId="55" xfId="0" applyNumberFormat="1" applyFont="1" applyFill="1" applyBorder="1"/>
    <xf numFmtId="0" fontId="0" fillId="0" borderId="0" xfId="0" applyFill="1"/>
    <xf numFmtId="0" fontId="63" fillId="0" borderId="44" xfId="0" applyFont="1" applyFill="1" applyBorder="1"/>
    <xf numFmtId="0" fontId="63" fillId="0" borderId="40" xfId="0" applyFont="1" applyFill="1" applyBorder="1"/>
    <xf numFmtId="0" fontId="0" fillId="0" borderId="56" xfId="0" applyFont="1" applyFill="1" applyBorder="1"/>
    <xf numFmtId="0" fontId="63" fillId="0" borderId="56" xfId="0" applyFont="1" applyFill="1" applyBorder="1"/>
    <xf numFmtId="0" fontId="0" fillId="0" borderId="34" xfId="0" applyFont="1" applyFill="1" applyBorder="1"/>
    <xf numFmtId="0" fontId="63" fillId="0" borderId="57" xfId="0" applyFont="1" applyFill="1" applyBorder="1"/>
    <xf numFmtId="0" fontId="63" fillId="0" borderId="58" xfId="0" applyFont="1" applyFill="1" applyBorder="1"/>
    <xf numFmtId="0" fontId="63" fillId="0" borderId="43" xfId="0" applyFont="1" applyFill="1" applyBorder="1"/>
    <xf numFmtId="0" fontId="63" fillId="0" borderId="42" xfId="0" applyFont="1" applyFill="1" applyBorder="1"/>
    <xf numFmtId="3" fontId="0" fillId="0" borderId="0" xfId="0" applyNumberFormat="1" applyFont="1" applyFill="1" applyBorder="1"/>
    <xf numFmtId="3" fontId="63" fillId="0" borderId="0" xfId="0" applyNumberFormat="1" applyFont="1" applyFill="1" applyBorder="1"/>
    <xf numFmtId="3" fontId="63" fillId="0" borderId="45" xfId="0" applyNumberFormat="1" applyFont="1" applyFill="1" applyBorder="1"/>
    <xf numFmtId="3" fontId="63" fillId="0" borderId="46" xfId="0" applyNumberFormat="1" applyFont="1" applyFill="1" applyBorder="1"/>
    <xf numFmtId="3" fontId="63" fillId="0" borderId="59" xfId="0" applyNumberFormat="1" applyFont="1" applyFill="1" applyBorder="1"/>
    <xf numFmtId="3" fontId="63" fillId="0" borderId="0" xfId="19705" applyNumberFormat="1" applyFont="1" applyFill="1" applyBorder="1"/>
    <xf numFmtId="3" fontId="0" fillId="0" borderId="60" xfId="0" applyNumberFormat="1" applyFont="1" applyFill="1" applyBorder="1"/>
    <xf numFmtId="3" fontId="63" fillId="0" borderId="1" xfId="0" applyNumberFormat="1" applyFont="1" applyFill="1" applyBorder="1"/>
    <xf numFmtId="3" fontId="63" fillId="0" borderId="47" xfId="0" applyNumberFormat="1" applyFont="1" applyFill="1" applyBorder="1"/>
    <xf numFmtId="3" fontId="63" fillId="0" borderId="48" xfId="0" applyNumberFormat="1" applyFont="1" applyFill="1" applyBorder="1"/>
    <xf numFmtId="3" fontId="63" fillId="0" borderId="61" xfId="0" applyNumberFormat="1" applyFont="1" applyFill="1" applyBorder="1"/>
    <xf numFmtId="3" fontId="0" fillId="0" borderId="1" xfId="0" applyNumberFormat="1" applyFont="1" applyFill="1" applyBorder="1"/>
    <xf numFmtId="3" fontId="63" fillId="0" borderId="62" xfId="0" applyNumberFormat="1" applyFont="1" applyFill="1" applyBorder="1"/>
    <xf numFmtId="3" fontId="63" fillId="0" borderId="63" xfId="0" applyNumberFormat="1" applyFont="1" applyFill="1" applyBorder="1"/>
    <xf numFmtId="3" fontId="63" fillId="0" borderId="5" xfId="0" applyNumberFormat="1" applyFont="1" applyFill="1" applyBorder="1"/>
    <xf numFmtId="3" fontId="63" fillId="0" borderId="0" xfId="19705" applyNumberFormat="1" applyFont="1" applyFill="1" applyBorder="1" applyAlignment="1">
      <alignment horizontal="right"/>
    </xf>
    <xf numFmtId="3" fontId="2" fillId="0" borderId="0" xfId="19705" applyNumberFormat="1" applyFont="1" applyFill="1" applyBorder="1"/>
    <xf numFmtId="3" fontId="1" fillId="0" borderId="0" xfId="19705" applyNumberFormat="1" applyFont="1" applyFill="1" applyBorder="1"/>
    <xf numFmtId="3" fontId="65" fillId="0" borderId="0" xfId="19705" applyNumberFormat="1" applyFont="1" applyFill="1" applyBorder="1"/>
    <xf numFmtId="0" fontId="5" fillId="0" borderId="0" xfId="0" applyFont="1" applyAlignment="1">
      <alignment horizontal="left"/>
    </xf>
    <xf numFmtId="0" fontId="0" fillId="0" borderId="0" xfId="0" applyAlignment="1">
      <alignment horizontal="left"/>
    </xf>
    <xf numFmtId="0" fontId="0" fillId="4" borderId="46" xfId="0" applyFill="1" applyBorder="1"/>
    <xf numFmtId="0" fontId="0" fillId="4" borderId="0" xfId="0" applyFill="1" applyBorder="1"/>
    <xf numFmtId="0" fontId="0" fillId="4" borderId="0" xfId="0" applyFill="1"/>
    <xf numFmtId="0" fontId="0" fillId="38" borderId="46" xfId="0" applyFill="1" applyBorder="1"/>
    <xf numFmtId="0" fontId="0" fillId="38" borderId="0" xfId="0" applyFill="1" applyBorder="1"/>
    <xf numFmtId="0" fontId="0" fillId="38" borderId="0" xfId="0" applyFill="1"/>
    <xf numFmtId="0" fontId="0" fillId="49" borderId="46" xfId="0" applyFill="1" applyBorder="1"/>
    <xf numFmtId="0" fontId="0" fillId="49" borderId="0" xfId="0" applyFill="1" applyBorder="1"/>
    <xf numFmtId="0" fontId="0" fillId="4" borderId="48" xfId="0" applyFill="1" applyBorder="1" applyAlignment="1">
      <alignment horizontal="centerContinuous"/>
    </xf>
    <xf numFmtId="0" fontId="0" fillId="4" borderId="64" xfId="0" applyFill="1" applyBorder="1" applyAlignment="1">
      <alignment horizontal="centerContinuous"/>
    </xf>
    <xf numFmtId="0" fontId="0" fillId="4" borderId="7" xfId="0" applyFill="1" applyBorder="1" applyAlignment="1">
      <alignment horizontal="centerContinuous"/>
    </xf>
    <xf numFmtId="0" fontId="0" fillId="4" borderId="1" xfId="0" applyFill="1" applyBorder="1" applyAlignment="1">
      <alignment horizontal="centerContinuous"/>
    </xf>
    <xf numFmtId="0" fontId="0" fillId="38" borderId="7" xfId="0" applyFill="1" applyBorder="1" applyAlignment="1">
      <alignment horizontal="centerContinuous"/>
    </xf>
    <xf numFmtId="0" fontId="0" fillId="38" borderId="1" xfId="0" applyFill="1" applyBorder="1" applyAlignment="1">
      <alignment horizontal="centerContinuous"/>
    </xf>
    <xf numFmtId="0" fontId="0" fillId="49" borderId="7" xfId="0" applyFill="1" applyBorder="1" applyAlignment="1">
      <alignment horizontal="centerContinuous"/>
    </xf>
    <xf numFmtId="0" fontId="0" fillId="49" borderId="1" xfId="0" applyFill="1" applyBorder="1" applyAlignment="1">
      <alignment horizontal="centerContinuous"/>
    </xf>
    <xf numFmtId="1" fontId="0" fillId="62" borderId="1" xfId="0" applyNumberFormat="1" applyFill="1" applyBorder="1" applyAlignment="1">
      <alignment horizontal="left"/>
    </xf>
    <xf numFmtId="1" fontId="2" fillId="62" borderId="39" xfId="0" applyNumberFormat="1" applyFont="1" applyFill="1" applyBorder="1" applyAlignment="1">
      <alignment horizontal="center"/>
    </xf>
    <xf numFmtId="1" fontId="2" fillId="62" borderId="65" xfId="0" applyNumberFormat="1" applyFont="1" applyFill="1" applyBorder="1" applyAlignment="1">
      <alignment horizontal="center"/>
    </xf>
    <xf numFmtId="1" fontId="0" fillId="62" borderId="39" xfId="0" applyNumberFormat="1" applyFill="1" applyBorder="1" applyAlignment="1">
      <alignment horizontal="center"/>
    </xf>
    <xf numFmtId="1" fontId="0" fillId="62" borderId="65" xfId="0" applyNumberFormat="1" applyFill="1" applyBorder="1" applyAlignment="1">
      <alignment horizontal="center"/>
    </xf>
    <xf numFmtId="1" fontId="0" fillId="62" borderId="66" xfId="0" applyNumberFormat="1" applyFill="1" applyBorder="1" applyAlignment="1">
      <alignment horizontal="center"/>
    </xf>
    <xf numFmtId="1" fontId="0" fillId="62" borderId="0" xfId="0" applyNumberFormat="1" applyFill="1" applyBorder="1"/>
    <xf numFmtId="1" fontId="0" fillId="62" borderId="0" xfId="0" applyNumberFormat="1" applyFill="1"/>
    <xf numFmtId="165" fontId="0" fillId="0" borderId="46" xfId="2" applyNumberFormat="1" applyFont="1" applyBorder="1"/>
    <xf numFmtId="165" fontId="0" fillId="0" borderId="0" xfId="2" applyNumberFormat="1" applyFont="1"/>
    <xf numFmtId="165" fontId="0" fillId="4" borderId="0" xfId="2" applyNumberFormat="1" applyFont="1" applyFill="1" applyBorder="1"/>
    <xf numFmtId="165" fontId="0" fillId="0" borderId="0" xfId="2" applyNumberFormat="1" applyFont="1" applyBorder="1"/>
    <xf numFmtId="165" fontId="0" fillId="38" borderId="0" xfId="2" applyNumberFormat="1" applyFont="1" applyFill="1" applyBorder="1"/>
    <xf numFmtId="165" fontId="0" fillId="49" borderId="46" xfId="2" applyNumberFormat="1" applyFont="1" applyFill="1" applyBorder="1"/>
    <xf numFmtId="165" fontId="0" fillId="49" borderId="0" xfId="2" applyNumberFormat="1" applyFont="1" applyFill="1" applyBorder="1"/>
    <xf numFmtId="0" fontId="0" fillId="0" borderId="0" xfId="0" applyBorder="1"/>
    <xf numFmtId="0" fontId="0" fillId="0" borderId="1" xfId="0" applyBorder="1" applyAlignment="1">
      <alignment horizontal="left"/>
    </xf>
    <xf numFmtId="165" fontId="0" fillId="0" borderId="48" xfId="2" applyNumberFormat="1" applyFont="1" applyBorder="1"/>
    <xf numFmtId="165" fontId="0" fillId="0" borderId="1" xfId="2" applyNumberFormat="1" applyFont="1" applyBorder="1"/>
    <xf numFmtId="165" fontId="0" fillId="4" borderId="1" xfId="2" applyNumberFormat="1" applyFont="1" applyFill="1" applyBorder="1"/>
    <xf numFmtId="165" fontId="0" fillId="38" borderId="1" xfId="2" applyNumberFormat="1" applyFont="1" applyFill="1" applyBorder="1"/>
    <xf numFmtId="165" fontId="0" fillId="49" borderId="48" xfId="2" applyNumberFormat="1" applyFont="1" applyFill="1" applyBorder="1"/>
    <xf numFmtId="165" fontId="0" fillId="49" borderId="1" xfId="2" applyNumberFormat="1" applyFont="1" applyFill="1" applyBorder="1"/>
    <xf numFmtId="0" fontId="5" fillId="0" borderId="0" xfId="0" applyFont="1" applyFill="1" applyAlignment="1">
      <alignment horizontal="left"/>
    </xf>
    <xf numFmtId="0" fontId="0" fillId="38" borderId="48" xfId="0" applyFill="1" applyBorder="1" applyAlignment="1">
      <alignment horizontal="centerContinuous"/>
    </xf>
    <xf numFmtId="0" fontId="0" fillId="49" borderId="48" xfId="0" applyFill="1" applyBorder="1" applyAlignment="1">
      <alignment horizontal="centerContinuous"/>
    </xf>
    <xf numFmtId="0" fontId="0" fillId="62" borderId="0" xfId="0" applyFill="1" applyAlignment="1">
      <alignment horizontal="left"/>
    </xf>
    <xf numFmtId="0" fontId="0" fillId="62" borderId="0" xfId="0" applyFill="1" applyBorder="1"/>
    <xf numFmtId="0" fontId="0" fillId="62" borderId="0" xfId="0" applyFill="1"/>
    <xf numFmtId="165" fontId="0" fillId="0" borderId="46" xfId="2" applyNumberFormat="1" applyFont="1" applyFill="1" applyBorder="1"/>
    <xf numFmtId="0" fontId="0" fillId="0" borderId="0" xfId="0" applyFill="1" applyAlignment="1">
      <alignment horizontal="left"/>
    </xf>
    <xf numFmtId="0" fontId="0" fillId="0" borderId="67" xfId="0" applyFont="1" applyFill="1" applyBorder="1"/>
    <xf numFmtId="0" fontId="0" fillId="0" borderId="68" xfId="0" applyFont="1" applyFill="1" applyBorder="1"/>
    <xf numFmtId="9" fontId="63" fillId="0" borderId="72" xfId="0" applyNumberFormat="1" applyFont="1" applyFill="1" applyBorder="1"/>
    <xf numFmtId="9" fontId="63" fillId="0" borderId="68" xfId="0" applyNumberFormat="1" applyFont="1" applyFill="1" applyBorder="1"/>
    <xf numFmtId="0" fontId="0" fillId="0" borderId="81" xfId="0" applyFont="1" applyFill="1" applyBorder="1"/>
    <xf numFmtId="9" fontId="63" fillId="0" borderId="69" xfId="0" applyNumberFormat="1" applyFont="1" applyFill="1" applyBorder="1"/>
    <xf numFmtId="0" fontId="0" fillId="0" borderId="71" xfId="0" applyFont="1" applyFill="1" applyBorder="1"/>
    <xf numFmtId="0" fontId="0" fillId="0" borderId="72" xfId="0" applyFont="1" applyFill="1" applyBorder="1"/>
    <xf numFmtId="0" fontId="0" fillId="0" borderId="70" xfId="0" applyFont="1" applyFill="1" applyBorder="1"/>
    <xf numFmtId="0" fontId="0" fillId="0" borderId="73" xfId="0" applyFont="1" applyFill="1" applyBorder="1"/>
    <xf numFmtId="3" fontId="63" fillId="0" borderId="67" xfId="0" applyNumberFormat="1" applyFont="1" applyFill="1" applyBorder="1"/>
    <xf numFmtId="3" fontId="63" fillId="0" borderId="72" xfId="0" applyNumberFormat="1" applyFont="1" applyFill="1" applyBorder="1"/>
    <xf numFmtId="3" fontId="63" fillId="0" borderId="71" xfId="0" applyNumberFormat="1" applyFont="1" applyFill="1" applyBorder="1"/>
    <xf numFmtId="3" fontId="63" fillId="0" borderId="74" xfId="0" applyNumberFormat="1" applyFont="1" applyFill="1" applyBorder="1"/>
    <xf numFmtId="3" fontId="63" fillId="0" borderId="75" xfId="0" applyNumberFormat="1" applyFont="1" applyFill="1" applyBorder="1"/>
    <xf numFmtId="3" fontId="63" fillId="0" borderId="82" xfId="0" applyNumberFormat="1" applyFont="1" applyFill="1" applyBorder="1"/>
    <xf numFmtId="3" fontId="63" fillId="0" borderId="83" xfId="0" applyNumberFormat="1" applyFont="1" applyFill="1" applyBorder="1"/>
    <xf numFmtId="3" fontId="63" fillId="0" borderId="78" xfId="0" applyNumberFormat="1" applyFont="1" applyFill="1" applyBorder="1"/>
    <xf numFmtId="3" fontId="63" fillId="0" borderId="79" xfId="0" applyNumberFormat="1" applyFont="1" applyFill="1" applyBorder="1"/>
    <xf numFmtId="3" fontId="63" fillId="0" borderId="80" xfId="0" applyNumberFormat="1" applyFont="1" applyFill="1" applyBorder="1"/>
    <xf numFmtId="3" fontId="0" fillId="0" borderId="34" xfId="0" applyNumberFormat="1" applyFont="1" applyFill="1" applyBorder="1"/>
    <xf numFmtId="3" fontId="0" fillId="0" borderId="84" xfId="0" applyNumberFormat="1" applyFont="1" applyFill="1" applyBorder="1"/>
    <xf numFmtId="3" fontId="0" fillId="0" borderId="72" xfId="0" applyNumberFormat="1" applyFont="1" applyFill="1" applyBorder="1"/>
    <xf numFmtId="3" fontId="0" fillId="0" borderId="85" xfId="0" applyNumberFormat="1" applyFont="1" applyFill="1" applyBorder="1"/>
    <xf numFmtId="0" fontId="0" fillId="0" borderId="76" xfId="0" applyFont="1" applyFill="1" applyBorder="1"/>
    <xf numFmtId="0" fontId="63" fillId="0" borderId="76" xfId="0" applyFont="1" applyFill="1" applyBorder="1"/>
    <xf numFmtId="37" fontId="69" fillId="0" borderId="0" xfId="0" applyNumberFormat="1" applyFont="1" applyFill="1" applyAlignment="1" applyProtection="1">
      <alignment horizontal="centerContinuous"/>
    </xf>
    <xf numFmtId="0" fontId="70" fillId="0" borderId="0" xfId="0" applyFont="1" applyFill="1" applyAlignment="1">
      <alignment horizontal="centerContinuous"/>
    </xf>
    <xf numFmtId="0" fontId="70" fillId="0" borderId="0" xfId="0" applyFont="1" applyFill="1" applyBorder="1" applyAlignment="1">
      <alignment horizontal="centerContinuous"/>
    </xf>
    <xf numFmtId="0" fontId="2" fillId="0" borderId="0" xfId="0" applyFont="1" applyFill="1" applyAlignment="1">
      <alignment horizontal="centerContinuous"/>
    </xf>
    <xf numFmtId="165" fontId="71" fillId="0" borderId="0" xfId="2" applyNumberFormat="1" applyFont="1" applyFill="1" applyBorder="1" applyAlignment="1">
      <alignment horizontal="left"/>
    </xf>
    <xf numFmtId="165" fontId="71" fillId="0" borderId="0" xfId="2" applyNumberFormat="1" applyFont="1" applyFill="1" applyBorder="1" applyAlignment="1">
      <alignment horizontal="centerContinuous"/>
    </xf>
    <xf numFmtId="0" fontId="2" fillId="0" borderId="0" xfId="0" applyFont="1" applyFill="1"/>
    <xf numFmtId="37" fontId="5" fillId="0" borderId="0" xfId="0" applyNumberFormat="1" applyFont="1" applyFill="1" applyAlignment="1" applyProtection="1">
      <alignment horizontal="centerContinuous"/>
    </xf>
    <xf numFmtId="0" fontId="2" fillId="0" borderId="0" xfId="0" applyFont="1" applyFill="1" applyBorder="1" applyAlignment="1">
      <alignment horizontal="centerContinuous"/>
    </xf>
    <xf numFmtId="37" fontId="72" fillId="0" borderId="0" xfId="0" applyNumberFormat="1" applyFont="1" applyFill="1" applyAlignment="1" applyProtection="1">
      <alignment horizontal="centerContinuous"/>
    </xf>
    <xf numFmtId="165" fontId="73" fillId="0" borderId="0" xfId="2" applyNumberFormat="1" applyFont="1" applyFill="1" applyBorder="1" applyAlignment="1">
      <alignment horizontal="left"/>
    </xf>
    <xf numFmtId="165" fontId="73" fillId="0" borderId="0" xfId="2" applyNumberFormat="1" applyFont="1" applyFill="1" applyBorder="1" applyAlignment="1">
      <alignment horizontal="centerContinuous"/>
    </xf>
    <xf numFmtId="0" fontId="2" fillId="0" borderId="1" xfId="0" applyFont="1" applyFill="1" applyBorder="1"/>
    <xf numFmtId="3" fontId="2" fillId="0" borderId="1" xfId="0" applyNumberFormat="1" applyFont="1" applyFill="1" applyBorder="1"/>
    <xf numFmtId="0" fontId="2" fillId="0" borderId="1" xfId="0" applyFont="1" applyFill="1" applyBorder="1" applyAlignment="1">
      <alignment horizontal="left"/>
    </xf>
    <xf numFmtId="3" fontId="2" fillId="0" borderId="0" xfId="0" applyNumberFormat="1" applyFont="1" applyFill="1" applyBorder="1"/>
    <xf numFmtId="165" fontId="73" fillId="0" borderId="0" xfId="2" applyNumberFormat="1" applyFont="1" applyFill="1" applyBorder="1"/>
    <xf numFmtId="37" fontId="74" fillId="0" borderId="0" xfId="0" applyNumberFormat="1" applyFont="1" applyFill="1" applyBorder="1" applyProtection="1"/>
    <xf numFmtId="0" fontId="74" fillId="0" borderId="66" xfId="0" applyFont="1" applyFill="1" applyBorder="1" applyAlignment="1">
      <alignment horizontal="centerContinuous"/>
    </xf>
    <xf numFmtId="0" fontId="74" fillId="0" borderId="0" xfId="0" applyFont="1" applyFill="1" applyBorder="1" applyAlignment="1">
      <alignment horizontal="centerContinuous"/>
    </xf>
    <xf numFmtId="165" fontId="75" fillId="0" borderId="0" xfId="2" applyNumberFormat="1" applyFont="1" applyFill="1" applyBorder="1" applyAlignment="1">
      <alignment horizontal="left"/>
    </xf>
    <xf numFmtId="165" fontId="76" fillId="0" borderId="0" xfId="2" applyNumberFormat="1" applyFont="1" applyFill="1" applyBorder="1" applyAlignment="1">
      <alignment horizontal="centerContinuous"/>
    </xf>
    <xf numFmtId="0" fontId="74" fillId="0" borderId="0" xfId="0" applyFont="1" applyFill="1"/>
    <xf numFmtId="0" fontId="74" fillId="0" borderId="41" xfId="0" applyFont="1" applyFill="1" applyBorder="1" applyAlignment="1">
      <alignment horizontal="centerContinuous"/>
    </xf>
    <xf numFmtId="0" fontId="74" fillId="0" borderId="66" xfId="0" applyFont="1" applyFill="1" applyBorder="1" applyAlignment="1">
      <alignment horizontal="center" wrapText="1"/>
    </xf>
    <xf numFmtId="0" fontId="74" fillId="0" borderId="65" xfId="0" applyFont="1" applyFill="1" applyBorder="1" applyAlignment="1">
      <alignment horizontal="center" wrapText="1"/>
    </xf>
    <xf numFmtId="0" fontId="74" fillId="0" borderId="86" xfId="0" applyFont="1" applyFill="1" applyBorder="1" applyAlignment="1">
      <alignment horizontal="center" wrapText="1"/>
    </xf>
    <xf numFmtId="0" fontId="74" fillId="0" borderId="39" xfId="0" applyFont="1" applyFill="1" applyBorder="1" applyAlignment="1">
      <alignment horizontal="centerContinuous"/>
    </xf>
    <xf numFmtId="0" fontId="74" fillId="0" borderId="65" xfId="0" applyFont="1" applyFill="1" applyBorder="1" applyAlignment="1">
      <alignment horizontal="centerContinuous"/>
    </xf>
    <xf numFmtId="0" fontId="74" fillId="0" borderId="48" xfId="0" applyFont="1" applyFill="1" applyBorder="1" applyAlignment="1">
      <alignment horizontal="center" wrapText="1"/>
    </xf>
    <xf numFmtId="3" fontId="76" fillId="0" borderId="0" xfId="0" applyNumberFormat="1" applyFont="1" applyFill="1"/>
    <xf numFmtId="0" fontId="76" fillId="0" borderId="0" xfId="0" applyFont="1" applyFill="1"/>
    <xf numFmtId="0" fontId="2" fillId="0" borderId="38" xfId="0" applyFont="1" applyFill="1" applyBorder="1" applyAlignment="1">
      <alignment horizontal="left"/>
    </xf>
    <xf numFmtId="170" fontId="2" fillId="0" borderId="0" xfId="19706" applyNumberFormat="1" applyFont="1" applyFill="1" applyBorder="1" applyAlignment="1">
      <alignment horizontal="right"/>
    </xf>
    <xf numFmtId="170" fontId="11" fillId="0" borderId="87" xfId="2" applyNumberFormat="1" applyFont="1" applyFill="1" applyBorder="1" applyAlignment="1">
      <alignment horizontal="right"/>
    </xf>
    <xf numFmtId="171" fontId="2" fillId="0" borderId="88" xfId="19706" applyNumberFormat="1" applyFont="1" applyFill="1" applyBorder="1" applyAlignment="1">
      <alignment horizontal="right"/>
    </xf>
    <xf numFmtId="170" fontId="2" fillId="0" borderId="38" xfId="0" applyNumberFormat="1" applyFont="1" applyFill="1" applyBorder="1"/>
    <xf numFmtId="170" fontId="2" fillId="0" borderId="88" xfId="19706" applyNumberFormat="1" applyFont="1" applyFill="1" applyBorder="1" applyAlignment="1">
      <alignment horizontal="right"/>
    </xf>
    <xf numFmtId="169" fontId="73" fillId="0" borderId="0" xfId="2" applyNumberFormat="1" applyFont="1" applyFill="1" applyBorder="1" applyAlignment="1">
      <alignment horizontal="right"/>
    </xf>
    <xf numFmtId="170" fontId="2" fillId="0" borderId="0" xfId="0" applyNumberFormat="1" applyFont="1" applyFill="1"/>
    <xf numFmtId="0" fontId="2" fillId="0" borderId="0" xfId="0" applyFont="1" applyFill="1" applyBorder="1"/>
    <xf numFmtId="2" fontId="2" fillId="0" borderId="77" xfId="19706" applyNumberFormat="1" applyFont="1" applyFill="1" applyBorder="1" applyAlignment="1">
      <alignment horizontal="right"/>
    </xf>
    <xf numFmtId="170" fontId="2" fillId="0" borderId="0" xfId="0" applyNumberFormat="1" applyFont="1" applyFill="1" applyBorder="1"/>
    <xf numFmtId="170" fontId="2" fillId="0" borderId="77" xfId="19706" applyNumberFormat="1" applyFont="1" applyFill="1" applyBorder="1" applyAlignment="1">
      <alignment horizontal="right"/>
    </xf>
    <xf numFmtId="171" fontId="2" fillId="0" borderId="0" xfId="19706" applyNumberFormat="1" applyFont="1" applyFill="1" applyBorder="1" applyAlignment="1">
      <alignment horizontal="right"/>
    </xf>
    <xf numFmtId="172" fontId="2" fillId="0" borderId="77" xfId="19706" applyNumberFormat="1" applyFont="1" applyFill="1" applyBorder="1" applyAlignment="1">
      <alignment horizontal="right"/>
    </xf>
    <xf numFmtId="171" fontId="2" fillId="0" borderId="77" xfId="19706" applyNumberFormat="1" applyFont="1" applyFill="1" applyBorder="1" applyAlignment="1">
      <alignment horizontal="right"/>
    </xf>
    <xf numFmtId="2" fontId="2" fillId="0" borderId="0" xfId="19706" applyNumberFormat="1" applyFont="1" applyFill="1" applyBorder="1" applyAlignment="1">
      <alignment horizontal="right"/>
    </xf>
    <xf numFmtId="170" fontId="2" fillId="0" borderId="1" xfId="19706" applyNumberFormat="1" applyFont="1" applyFill="1" applyBorder="1" applyAlignment="1">
      <alignment horizontal="right"/>
    </xf>
    <xf numFmtId="170" fontId="11" fillId="0" borderId="89" xfId="2" applyNumberFormat="1" applyFont="1" applyFill="1" applyBorder="1" applyAlignment="1">
      <alignment horizontal="right"/>
    </xf>
    <xf numFmtId="170" fontId="2" fillId="0" borderId="64" xfId="19706" applyNumberFormat="1" applyFont="1" applyFill="1" applyBorder="1" applyAlignment="1">
      <alignment horizontal="right"/>
    </xf>
    <xf numFmtId="170" fontId="2" fillId="0" borderId="1" xfId="0" applyNumberFormat="1" applyFont="1" applyFill="1" applyBorder="1"/>
    <xf numFmtId="0" fontId="4" fillId="0" borderId="0" xfId="0" applyFont="1" applyFill="1"/>
    <xf numFmtId="0" fontId="79" fillId="0" borderId="0" xfId="0" applyFont="1" applyFill="1" applyBorder="1" applyAlignment="1">
      <alignment vertical="top"/>
    </xf>
    <xf numFmtId="169" fontId="4" fillId="0" borderId="0" xfId="2" applyNumberFormat="1" applyFont="1" applyFill="1" applyBorder="1" applyAlignment="1">
      <alignment horizontal="right"/>
    </xf>
    <xf numFmtId="169" fontId="4" fillId="0" borderId="0" xfId="2" applyNumberFormat="1" applyFont="1" applyFill="1" applyBorder="1" applyAlignment="1">
      <alignment horizontal="right" indent="1"/>
    </xf>
    <xf numFmtId="170" fontId="4" fillId="0" borderId="0" xfId="0" applyNumberFormat="1" applyFont="1" applyFill="1"/>
    <xf numFmtId="0" fontId="79" fillId="0" borderId="0" xfId="0" applyFont="1" applyFill="1" applyBorder="1" applyAlignment="1">
      <alignment wrapText="1"/>
    </xf>
    <xf numFmtId="0" fontId="63" fillId="0" borderId="0" xfId="0" applyFont="1" applyFill="1" applyAlignment="1"/>
    <xf numFmtId="0" fontId="0" fillId="0" borderId="0" xfId="0" applyFill="1" applyAlignment="1"/>
    <xf numFmtId="49" fontId="4" fillId="0" borderId="0" xfId="0" quotePrefix="1" applyNumberFormat="1" applyFont="1" applyFill="1" applyAlignment="1">
      <alignment horizontal="right"/>
    </xf>
    <xf numFmtId="3" fontId="74" fillId="0" borderId="0" xfId="0" applyNumberFormat="1" applyFont="1" applyFill="1"/>
    <xf numFmtId="0" fontId="2" fillId="0" borderId="38" xfId="0" applyFont="1" applyFill="1" applyBorder="1"/>
    <xf numFmtId="3" fontId="2" fillId="0" borderId="0" xfId="0" applyNumberFormat="1" applyFont="1" applyFill="1"/>
    <xf numFmtId="172" fontId="2" fillId="0" borderId="0" xfId="19706" applyNumberFormat="1" applyFont="1" applyFill="1" applyBorder="1" applyAlignment="1">
      <alignment horizontal="right"/>
    </xf>
    <xf numFmtId="172" fontId="2" fillId="0" borderId="1" xfId="19706" applyNumberFormat="1" applyFont="1" applyFill="1" applyBorder="1" applyAlignment="1">
      <alignment horizontal="right"/>
    </xf>
    <xf numFmtId="0" fontId="79" fillId="0" borderId="0" xfId="0" applyFont="1" applyFill="1"/>
    <xf numFmtId="169" fontId="4" fillId="0" borderId="0" xfId="0" applyNumberFormat="1" applyFont="1" applyFill="1"/>
    <xf numFmtId="0" fontId="4" fillId="0" borderId="0" xfId="0" applyFont="1" applyFill="1" applyBorder="1"/>
    <xf numFmtId="0" fontId="4" fillId="0" borderId="0" xfId="0" applyFont="1" applyFill="1" applyAlignment="1">
      <alignment horizontal="centerContinuous"/>
    </xf>
    <xf numFmtId="0" fontId="79" fillId="0" borderId="0" xfId="0" applyFont="1" applyFill="1" applyBorder="1" applyAlignment="1">
      <alignment vertical="top" wrapText="1"/>
    </xf>
    <xf numFmtId="0" fontId="63" fillId="0" borderId="0" xfId="0" applyFont="1" applyBorder="1" applyAlignment="1">
      <alignment vertical="top" wrapText="1"/>
    </xf>
    <xf numFmtId="0" fontId="0" fillId="0" borderId="0" xfId="0" applyBorder="1" applyAlignment="1">
      <alignment vertical="top" wrapText="1"/>
    </xf>
    <xf numFmtId="0" fontId="63" fillId="0" borderId="0" xfId="0" applyFont="1" applyFill="1" applyBorder="1" applyAlignment="1">
      <alignment vertical="top" wrapText="1"/>
    </xf>
    <xf numFmtId="0" fontId="79" fillId="0" borderId="0" xfId="0" applyFont="1" applyFill="1" applyBorder="1"/>
    <xf numFmtId="2" fontId="2" fillId="0" borderId="88" xfId="19706" applyNumberFormat="1" applyFont="1" applyFill="1" applyBorder="1" applyAlignment="1">
      <alignment horizontal="right"/>
    </xf>
    <xf numFmtId="2" fontId="2" fillId="0" borderId="1" xfId="19706" applyNumberFormat="1" applyFont="1" applyFill="1" applyBorder="1" applyAlignment="1">
      <alignment horizontal="right"/>
    </xf>
    <xf numFmtId="2" fontId="2" fillId="0" borderId="64" xfId="19706" applyNumberFormat="1" applyFont="1" applyFill="1" applyBorder="1" applyAlignment="1">
      <alignment horizontal="right"/>
    </xf>
    <xf numFmtId="0" fontId="2" fillId="0" borderId="0" xfId="0" applyFont="1" applyFill="1" applyBorder="1" applyAlignment="1">
      <alignment horizontal="left"/>
    </xf>
    <xf numFmtId="1" fontId="2" fillId="0" borderId="0" xfId="0" applyNumberFormat="1" applyFont="1" applyFill="1"/>
    <xf numFmtId="170" fontId="2" fillId="0" borderId="0" xfId="2" applyNumberFormat="1" applyFont="1" applyFill="1" applyBorder="1" applyAlignment="1"/>
    <xf numFmtId="169" fontId="80" fillId="0" borderId="0" xfId="2" applyNumberFormat="1" applyFont="1" applyFill="1" applyBorder="1" applyAlignment="1">
      <alignment horizontal="right"/>
    </xf>
    <xf numFmtId="165" fontId="80" fillId="0" borderId="0" xfId="2" applyNumberFormat="1" applyFont="1" applyFill="1" applyBorder="1"/>
    <xf numFmtId="170" fontId="2" fillId="0" borderId="0" xfId="2" applyNumberFormat="1" applyFont="1" applyFill="1" applyBorder="1" applyAlignment="1">
      <alignment horizontal="right"/>
    </xf>
    <xf numFmtId="170" fontId="2" fillId="0" borderId="0" xfId="2" applyNumberFormat="1" applyFont="1" applyFill="1" applyBorder="1" applyAlignment="1">
      <alignment horizontal="right" indent="1"/>
    </xf>
    <xf numFmtId="0" fontId="80" fillId="0" borderId="0" xfId="0" applyFont="1" applyFill="1" applyBorder="1"/>
    <xf numFmtId="0" fontId="4" fillId="0" borderId="0" xfId="0" applyFont="1" applyFill="1" applyBorder="1" applyAlignment="1">
      <alignment horizontal="left"/>
    </xf>
    <xf numFmtId="170" fontId="2" fillId="0" borderId="0" xfId="19706" quotePrefix="1" applyNumberFormat="1" applyFont="1" applyFill="1" applyBorder="1" applyAlignment="1">
      <alignment horizontal="left"/>
    </xf>
    <xf numFmtId="0" fontId="0" fillId="0" borderId="0" xfId="0" applyAlignment="1">
      <alignment wrapText="1"/>
    </xf>
    <xf numFmtId="165" fontId="80" fillId="0" borderId="0" xfId="2" applyNumberFormat="1" applyFont="1" applyFill="1" applyBorder="1" applyAlignment="1">
      <alignment horizontal="left"/>
    </xf>
    <xf numFmtId="165" fontId="2" fillId="0" borderId="0" xfId="2" applyNumberFormat="1" applyFont="1" applyFill="1" applyBorder="1" applyAlignment="1">
      <alignment horizontal="left"/>
    </xf>
    <xf numFmtId="0" fontId="2" fillId="0" borderId="0" xfId="0" applyFont="1" applyFill="1" applyAlignment="1">
      <alignment horizontal="left"/>
    </xf>
    <xf numFmtId="0" fontId="73" fillId="0" borderId="0" xfId="0" applyFont="1" applyFill="1"/>
    <xf numFmtId="165" fontId="85" fillId="0" borderId="0" xfId="2" applyNumberFormat="1" applyFont="1" applyFill="1" applyBorder="1" applyAlignment="1">
      <alignment horizontal="left"/>
    </xf>
    <xf numFmtId="165" fontId="74" fillId="0" borderId="0" xfId="2" applyNumberFormat="1" applyFont="1" applyFill="1" applyBorder="1" applyAlignment="1">
      <alignment horizontal="centerContinuous"/>
    </xf>
    <xf numFmtId="170" fontId="2" fillId="0" borderId="0" xfId="19706" quotePrefix="1" applyNumberFormat="1" applyFont="1" applyFill="1" applyBorder="1" applyAlignment="1">
      <alignment horizontal="right"/>
    </xf>
    <xf numFmtId="170" fontId="73" fillId="0" borderId="0" xfId="0" applyNumberFormat="1" applyFont="1" applyFill="1"/>
    <xf numFmtId="1" fontId="73" fillId="0" borderId="0" xfId="0" applyNumberFormat="1" applyFont="1" applyFill="1"/>
    <xf numFmtId="173" fontId="2" fillId="0" borderId="0" xfId="19706" applyNumberFormat="1" applyFont="1" applyFill="1" applyBorder="1" applyAlignment="1">
      <alignment horizontal="right"/>
    </xf>
    <xf numFmtId="0" fontId="80" fillId="0" borderId="0" xfId="0" applyFont="1" applyFill="1"/>
    <xf numFmtId="170" fontId="80" fillId="0" borderId="0" xfId="0" applyNumberFormat="1" applyFont="1" applyFill="1"/>
    <xf numFmtId="3" fontId="73" fillId="0" borderId="0" xfId="0" applyNumberFormat="1" applyFont="1" applyFill="1"/>
    <xf numFmtId="0" fontId="63" fillId="0" borderId="0" xfId="0" applyFont="1" applyAlignment="1">
      <alignment wrapText="1"/>
    </xf>
    <xf numFmtId="170" fontId="73" fillId="0" borderId="0" xfId="0" applyNumberFormat="1" applyFont="1" applyFill="1" applyBorder="1"/>
    <xf numFmtId="0" fontId="73" fillId="0" borderId="0" xfId="0" applyFont="1" applyFill="1" applyBorder="1"/>
    <xf numFmtId="49" fontId="69" fillId="0" borderId="0" xfId="0" applyNumberFormat="1" applyFont="1" applyFill="1" applyAlignment="1" applyProtection="1">
      <alignment horizontal="centerContinuous"/>
      <protection locked="0"/>
    </xf>
    <xf numFmtId="0" fontId="0" fillId="0" borderId="0" xfId="0" applyFill="1" applyAlignment="1">
      <alignment horizontal="centerContinuous"/>
    </xf>
    <xf numFmtId="0" fontId="63" fillId="0" borderId="0" xfId="0" applyFont="1" applyFill="1" applyAlignment="1">
      <alignment horizontal="centerContinuous"/>
    </xf>
    <xf numFmtId="0" fontId="0" fillId="0" borderId="0" xfId="0" applyFill="1" applyBorder="1" applyAlignment="1">
      <alignment horizontal="centerContinuous"/>
    </xf>
    <xf numFmtId="37" fontId="86" fillId="0" borderId="0" xfId="0" applyNumberFormat="1" applyFont="1" applyFill="1" applyAlignment="1" applyProtection="1">
      <alignment horizontal="centerContinuous"/>
    </xf>
    <xf numFmtId="37" fontId="87" fillId="0" borderId="1" xfId="0" applyNumberFormat="1" applyFont="1" applyFill="1" applyBorder="1" applyProtection="1"/>
    <xf numFmtId="0" fontId="0" fillId="0" borderId="1" xfId="0" applyFill="1" applyBorder="1"/>
    <xf numFmtId="0" fontId="63" fillId="0" borderId="1" xfId="0" applyFont="1" applyFill="1" applyBorder="1"/>
    <xf numFmtId="0" fontId="0" fillId="0" borderId="0" xfId="0" applyFill="1" applyBorder="1"/>
    <xf numFmtId="37" fontId="87" fillId="0" borderId="66" xfId="0" applyNumberFormat="1" applyFont="1" applyFill="1" applyBorder="1" applyProtection="1"/>
    <xf numFmtId="0" fontId="5" fillId="0" borderId="39" xfId="0" applyFont="1" applyFill="1" applyBorder="1" applyAlignment="1">
      <alignment horizontal="centerContinuous"/>
    </xf>
    <xf numFmtId="0" fontId="5" fillId="0" borderId="66" xfId="0" applyFont="1" applyFill="1" applyBorder="1" applyAlignment="1">
      <alignment horizontal="centerContinuous"/>
    </xf>
    <xf numFmtId="0" fontId="5" fillId="0" borderId="0" xfId="0" applyFont="1" applyFill="1"/>
    <xf numFmtId="37" fontId="87" fillId="0" borderId="66" xfId="0" applyNumberFormat="1" applyFont="1" applyFill="1" applyBorder="1" applyAlignment="1" applyProtection="1">
      <alignment horizontal="center"/>
    </xf>
    <xf numFmtId="0" fontId="5" fillId="0" borderId="66" xfId="0" applyFont="1" applyFill="1" applyBorder="1" applyAlignment="1">
      <alignment horizontal="center"/>
    </xf>
    <xf numFmtId="0" fontId="5" fillId="0" borderId="86" xfId="0" applyFont="1" applyFill="1" applyBorder="1" applyAlignment="1">
      <alignment horizontal="center"/>
    </xf>
    <xf numFmtId="0" fontId="5" fillId="0" borderId="39" xfId="0" applyFont="1" applyFill="1" applyBorder="1" applyAlignment="1">
      <alignment horizontal="center" wrapText="1"/>
    </xf>
    <xf numFmtId="0" fontId="5" fillId="0" borderId="39" xfId="0" applyFont="1" applyFill="1" applyBorder="1" applyAlignment="1">
      <alignment horizontal="center"/>
    </xf>
    <xf numFmtId="0" fontId="5" fillId="0" borderId="0" xfId="0" applyFont="1" applyFill="1" applyAlignment="1">
      <alignment horizontal="center"/>
    </xf>
    <xf numFmtId="170" fontId="2" fillId="0" borderId="0" xfId="0" applyNumberFormat="1" applyFont="1" applyFill="1" applyAlignment="1">
      <alignment horizontal="center"/>
    </xf>
    <xf numFmtId="170" fontId="2" fillId="0" borderId="90" xfId="0" applyNumberFormat="1" applyFont="1" applyFill="1" applyBorder="1" applyAlignment="1">
      <alignment horizontal="center"/>
    </xf>
    <xf numFmtId="170" fontId="2" fillId="0" borderId="46" xfId="0" applyNumberFormat="1" applyFont="1" applyFill="1" applyBorder="1" applyAlignment="1">
      <alignment horizontal="center"/>
    </xf>
    <xf numFmtId="170" fontId="2" fillId="0" borderId="46" xfId="0" applyNumberFormat="1" applyFont="1" applyFill="1" applyBorder="1"/>
    <xf numFmtId="170" fontId="2" fillId="0" borderId="41" xfId="0" applyNumberFormat="1" applyFont="1" applyFill="1" applyBorder="1" applyAlignment="1">
      <alignment horizontal="center"/>
    </xf>
    <xf numFmtId="170" fontId="2" fillId="0" borderId="87" xfId="0" applyNumberFormat="1" applyFont="1" applyFill="1" applyBorder="1" applyAlignment="1">
      <alignment horizontal="center"/>
    </xf>
    <xf numFmtId="170" fontId="2" fillId="0" borderId="1" xfId="0" applyNumberFormat="1" applyFont="1" applyFill="1" applyBorder="1" applyAlignment="1">
      <alignment horizontal="center"/>
    </xf>
    <xf numFmtId="170" fontId="2" fillId="0" borderId="89" xfId="0" applyNumberFormat="1" applyFont="1" applyFill="1" applyBorder="1" applyAlignment="1">
      <alignment horizontal="center"/>
    </xf>
    <xf numFmtId="170" fontId="2" fillId="0" borderId="48" xfId="0" applyNumberFormat="1" applyFont="1" applyFill="1" applyBorder="1" applyAlignment="1">
      <alignment horizontal="center"/>
    </xf>
    <xf numFmtId="170" fontId="2" fillId="0" borderId="64" xfId="0" applyNumberFormat="1" applyFont="1" applyFill="1" applyBorder="1" applyAlignment="1">
      <alignment horizontal="center"/>
    </xf>
    <xf numFmtId="170" fontId="2" fillId="0" borderId="48" xfId="0" applyNumberFormat="1" applyFont="1" applyFill="1" applyBorder="1"/>
    <xf numFmtId="49" fontId="4" fillId="0" borderId="0" xfId="0" applyNumberFormat="1" applyFont="1" applyFill="1" applyBorder="1" applyAlignment="1">
      <alignment horizontal="right"/>
    </xf>
    <xf numFmtId="37" fontId="87" fillId="0" borderId="0" xfId="0" applyNumberFormat="1" applyFont="1" applyFill="1" applyAlignment="1" applyProtection="1">
      <alignment horizontal="centerContinuous"/>
    </xf>
    <xf numFmtId="0" fontId="5" fillId="0" borderId="65" xfId="0" applyFont="1" applyFill="1" applyBorder="1" applyAlignment="1">
      <alignment horizontal="centerContinuous"/>
    </xf>
    <xf numFmtId="0" fontId="2" fillId="0" borderId="46" xfId="0" applyFont="1" applyFill="1" applyBorder="1"/>
    <xf numFmtId="0" fontId="4" fillId="0" borderId="46" xfId="0" applyFont="1" applyFill="1" applyBorder="1"/>
    <xf numFmtId="170" fontId="63" fillId="0" borderId="46" xfId="0" applyNumberFormat="1" applyFont="1" applyFill="1" applyBorder="1" applyAlignment="1">
      <alignment horizontal="center"/>
    </xf>
    <xf numFmtId="0" fontId="63" fillId="0" borderId="0" xfId="0" applyFont="1" applyFill="1" applyAlignment="1">
      <alignment horizontal="center"/>
    </xf>
    <xf numFmtId="0" fontId="0" fillId="0" borderId="0" xfId="0" applyFill="1" applyAlignment="1">
      <alignment horizontal="center"/>
    </xf>
    <xf numFmtId="0" fontId="0" fillId="0" borderId="0" xfId="0"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center"/>
    </xf>
    <xf numFmtId="37" fontId="87" fillId="0" borderId="1" xfId="0" applyNumberFormat="1" applyFont="1" applyFill="1" applyBorder="1" applyAlignment="1" applyProtection="1">
      <alignment horizontal="centerContinuous"/>
    </xf>
    <xf numFmtId="0" fontId="0" fillId="0" borderId="1" xfId="0" applyFill="1" applyBorder="1" applyAlignment="1">
      <alignment horizontal="centerContinuous"/>
    </xf>
    <xf numFmtId="0" fontId="5" fillId="0" borderId="0" xfId="0" applyFont="1" applyFill="1" applyBorder="1" applyAlignment="1">
      <alignment horizontal="center"/>
    </xf>
    <xf numFmtId="170" fontId="2" fillId="0" borderId="38" xfId="0" applyNumberFormat="1" applyFont="1" applyFill="1" applyBorder="1" applyAlignment="1">
      <alignment horizontal="center"/>
    </xf>
    <xf numFmtId="170" fontId="63" fillId="0" borderId="0" xfId="0" applyNumberFormat="1" applyFont="1" applyFill="1" applyBorder="1"/>
    <xf numFmtId="170" fontId="0" fillId="0" borderId="0" xfId="0" applyNumberFormat="1" applyFill="1" applyBorder="1"/>
    <xf numFmtId="170" fontId="2" fillId="0" borderId="0" xfId="0" applyNumberFormat="1" applyFont="1" applyFill="1" applyBorder="1" applyAlignment="1">
      <alignment horizontal="center"/>
    </xf>
    <xf numFmtId="37" fontId="86" fillId="0" borderId="0" xfId="0" applyNumberFormat="1" applyFont="1" applyFill="1" applyAlignment="1" applyProtection="1">
      <alignment horizontal="center"/>
    </xf>
    <xf numFmtId="0" fontId="63"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63" fillId="0" borderId="0" xfId="0" applyFont="1" applyFill="1" applyBorder="1" applyAlignment="1">
      <alignment horizontal="centerContinuous"/>
    </xf>
    <xf numFmtId="37" fontId="5" fillId="0" borderId="1" xfId="0" applyNumberFormat="1" applyFont="1" applyFill="1" applyBorder="1" applyProtection="1"/>
    <xf numFmtId="37" fontId="74" fillId="0" borderId="66" xfId="0" applyNumberFormat="1" applyFont="1" applyFill="1" applyBorder="1" applyProtection="1"/>
    <xf numFmtId="37" fontId="74" fillId="0" borderId="66" xfId="0" applyNumberFormat="1" applyFont="1" applyFill="1" applyBorder="1" applyAlignment="1" applyProtection="1">
      <alignment horizontal="center"/>
    </xf>
    <xf numFmtId="0" fontId="74" fillId="0" borderId="66" xfId="0" applyFont="1" applyFill="1" applyBorder="1" applyAlignment="1">
      <alignment horizontal="center"/>
    </xf>
    <xf numFmtId="0" fontId="74" fillId="0" borderId="86" xfId="0" applyFont="1" applyFill="1" applyBorder="1" applyAlignment="1">
      <alignment horizontal="center"/>
    </xf>
    <xf numFmtId="0" fontId="74" fillId="0" borderId="39" xfId="0" applyFont="1" applyFill="1" applyBorder="1" applyAlignment="1">
      <alignment horizontal="center" wrapText="1"/>
    </xf>
    <xf numFmtId="0" fontId="74" fillId="0" borderId="39" xfId="0" applyFont="1" applyFill="1" applyBorder="1" applyAlignment="1">
      <alignment horizontal="center"/>
    </xf>
    <xf numFmtId="170" fontId="63" fillId="0" borderId="0" xfId="0" applyNumberFormat="1" applyFont="1" applyFill="1"/>
    <xf numFmtId="170" fontId="63" fillId="0" borderId="0" xfId="0" applyNumberFormat="1" applyFont="1" applyFill="1" applyBorder="1" applyAlignment="1">
      <alignment horizontal="right"/>
    </xf>
    <xf numFmtId="0" fontId="5" fillId="0" borderId="0" xfId="0" applyFont="1" applyFill="1" applyBorder="1"/>
    <xf numFmtId="0" fontId="10" fillId="0" borderId="0" xfId="0" applyFont="1" applyFill="1" applyAlignment="1">
      <alignment horizontal="center"/>
    </xf>
    <xf numFmtId="0" fontId="10" fillId="0" borderId="0" xfId="0" applyFont="1" applyFill="1"/>
    <xf numFmtId="170" fontId="65" fillId="0" borderId="0" xfId="0" applyNumberFormat="1" applyFont="1" applyFill="1"/>
    <xf numFmtId="170" fontId="2" fillId="0" borderId="0" xfId="0" applyNumberFormat="1" applyFont="1" applyFill="1" applyBorder="1" applyAlignment="1">
      <alignment horizontal="right"/>
    </xf>
    <xf numFmtId="2" fontId="2" fillId="0" borderId="0" xfId="0" applyNumberFormat="1" applyFont="1" applyFill="1" applyBorder="1" applyAlignment="1">
      <alignment horizontal="right"/>
    </xf>
    <xf numFmtId="0" fontId="63" fillId="0" borderId="0" xfId="0" applyFont="1" applyFill="1" applyAlignment="1">
      <alignment wrapText="1"/>
    </xf>
    <xf numFmtId="0" fontId="63" fillId="0" borderId="0" xfId="0" applyFont="1" applyFill="1" applyBorder="1" applyAlignment="1">
      <alignment horizontal="center"/>
    </xf>
    <xf numFmtId="37" fontId="5" fillId="0" borderId="66" xfId="0" applyNumberFormat="1" applyFont="1" applyFill="1" applyBorder="1" applyProtection="1"/>
    <xf numFmtId="37" fontId="5" fillId="0" borderId="66" xfId="0" applyNumberFormat="1" applyFont="1" applyFill="1" applyBorder="1" applyAlignment="1" applyProtection="1">
      <alignment horizontal="center"/>
    </xf>
    <xf numFmtId="37" fontId="72" fillId="0" borderId="0" xfId="0" applyNumberFormat="1" applyFont="1" applyFill="1" applyAlignment="1" applyProtection="1">
      <alignment horizontal="center"/>
    </xf>
    <xf numFmtId="170" fontId="4" fillId="0" borderId="0" xfId="0" applyNumberFormat="1" applyFont="1" applyFill="1" applyBorder="1"/>
    <xf numFmtId="37" fontId="69" fillId="0" borderId="0" xfId="0" applyNumberFormat="1" applyFont="1" applyFill="1" applyAlignment="1" applyProtection="1">
      <alignment horizontal="center"/>
    </xf>
    <xf numFmtId="0" fontId="79" fillId="0" borderId="0" xfId="0" applyFont="1" applyFill="1" applyBorder="1" applyAlignment="1">
      <alignment vertical="center" wrapText="1"/>
    </xf>
    <xf numFmtId="0" fontId="63" fillId="0" borderId="0" xfId="0" applyFont="1" applyFill="1" applyBorder="1" applyAlignment="1">
      <alignment vertical="center" wrapText="1"/>
    </xf>
    <xf numFmtId="0" fontId="79" fillId="0" borderId="0" xfId="0" applyFont="1" applyFill="1" applyBorder="1" applyAlignment="1">
      <alignment horizontal="left" wrapText="1"/>
    </xf>
    <xf numFmtId="0" fontId="79" fillId="0" borderId="38" xfId="0" applyFont="1" applyFill="1" applyBorder="1" applyAlignment="1">
      <alignment horizontal="left" wrapText="1"/>
    </xf>
    <xf numFmtId="0" fontId="79" fillId="0" borderId="0" xfId="0" applyFont="1" applyFill="1" applyBorder="1" applyAlignment="1">
      <alignment vertical="top" wrapText="1"/>
    </xf>
    <xf numFmtId="0" fontId="63" fillId="0" borderId="0" xfId="0" applyFont="1" applyFill="1" applyBorder="1" applyAlignment="1">
      <alignment vertical="top" wrapText="1"/>
    </xf>
    <xf numFmtId="0" fontId="74" fillId="0" borderId="66" xfId="0" applyFont="1" applyFill="1" applyBorder="1" applyAlignment="1">
      <alignment horizontal="center"/>
    </xf>
    <xf numFmtId="0" fontId="74" fillId="0" borderId="65" xfId="0" applyFont="1" applyFill="1" applyBorder="1" applyAlignment="1">
      <alignment horizontal="center"/>
    </xf>
    <xf numFmtId="0" fontId="74" fillId="0" borderId="39" xfId="0" applyFont="1" applyFill="1" applyBorder="1" applyAlignment="1">
      <alignment horizontal="center"/>
    </xf>
    <xf numFmtId="37" fontId="72" fillId="0" borderId="0" xfId="0" applyNumberFormat="1" applyFont="1" applyFill="1" applyAlignment="1" applyProtection="1">
      <alignment horizontal="center"/>
    </xf>
    <xf numFmtId="0" fontId="79" fillId="0" borderId="0" xfId="0" applyFont="1" applyFill="1" applyBorder="1" applyAlignment="1">
      <alignment horizontal="left" vertical="top" wrapText="1"/>
    </xf>
    <xf numFmtId="0" fontId="79" fillId="0" borderId="38" xfId="0" applyFont="1" applyFill="1" applyBorder="1" applyAlignment="1">
      <alignment horizontal="left" vertical="top" wrapText="1"/>
    </xf>
    <xf numFmtId="0" fontId="5" fillId="0" borderId="66" xfId="0" applyFont="1" applyFill="1" applyBorder="1" applyAlignment="1">
      <alignment horizontal="center"/>
    </xf>
    <xf numFmtId="0" fontId="5" fillId="0" borderId="65" xfId="0" applyFont="1" applyFill="1" applyBorder="1" applyAlignment="1">
      <alignment horizontal="center"/>
    </xf>
    <xf numFmtId="0" fontId="5" fillId="0" borderId="39" xfId="0" applyFont="1" applyFill="1" applyBorder="1" applyAlignment="1">
      <alignment horizontal="center"/>
    </xf>
    <xf numFmtId="37" fontId="86" fillId="0" borderId="0" xfId="0" applyNumberFormat="1" applyFont="1" applyFill="1" applyAlignment="1" applyProtection="1">
      <alignment horizontal="center"/>
    </xf>
    <xf numFmtId="0" fontId="63" fillId="0" borderId="0" xfId="0" applyFont="1" applyAlignment="1">
      <alignment vertical="top" wrapText="1"/>
    </xf>
    <xf numFmtId="0" fontId="63" fillId="0" borderId="0" xfId="0" applyFont="1" applyBorder="1" applyAlignment="1">
      <alignment vertical="top" wrapText="1"/>
    </xf>
    <xf numFmtId="0" fontId="79" fillId="0" borderId="0" xfId="0" applyFont="1" applyFill="1" applyBorder="1" applyAlignment="1">
      <alignment wrapText="1"/>
    </xf>
    <xf numFmtId="0" fontId="63" fillId="0" borderId="0" xfId="0" applyFont="1" applyFill="1" applyAlignment="1"/>
    <xf numFmtId="0" fontId="80" fillId="0" borderId="0" xfId="0" applyFont="1" applyFill="1" applyBorder="1" applyAlignment="1">
      <alignment vertical="top" wrapText="1"/>
    </xf>
    <xf numFmtId="0" fontId="65" fillId="0" borderId="0" xfId="0" applyFont="1" applyBorder="1" applyAlignment="1">
      <alignment vertical="top" wrapText="1"/>
    </xf>
    <xf numFmtId="0" fontId="0" fillId="0" borderId="0" xfId="0" applyAlignment="1">
      <alignment vertical="top" wrapText="1"/>
    </xf>
    <xf numFmtId="0" fontId="0" fillId="0" borderId="0" xfId="0" applyBorder="1" applyAlignment="1">
      <alignment vertical="top" wrapText="1"/>
    </xf>
    <xf numFmtId="0" fontId="4" fillId="0" borderId="0" xfId="0" applyFont="1" applyFill="1" applyBorder="1" applyAlignment="1">
      <alignment vertical="top" wrapText="1"/>
    </xf>
    <xf numFmtId="0" fontId="53" fillId="0" borderId="7" xfId="0" applyNumberFormat="1" applyFont="1" applyFill="1" applyBorder="1" applyAlignment="1" applyProtection="1">
      <alignment horizontal="center" wrapText="1"/>
    </xf>
    <xf numFmtId="0" fontId="6" fillId="0" borderId="8" xfId="0" applyNumberFormat="1" applyFont="1" applyFill="1" applyBorder="1" applyAlignment="1" applyProtection="1">
      <alignment horizontal="center" wrapText="1"/>
    </xf>
    <xf numFmtId="170" fontId="17" fillId="0" borderId="0" xfId="3321" applyNumberFormat="1" applyFill="1" applyBorder="1" applyAlignment="1">
      <alignment horizontal="right"/>
    </xf>
  </cellXfs>
  <cellStyles count="19707">
    <cellStyle name="20% - Accent1 2" xfId="3294" xr:uid="{00000000-0005-0000-0000-000000000000}"/>
    <cellStyle name="20% - Accent2 2" xfId="3335" xr:uid="{00000000-0005-0000-0000-000001000000}"/>
    <cellStyle name="20% - Accent3 2" xfId="3325" xr:uid="{00000000-0005-0000-0000-000002000000}"/>
    <cellStyle name="20% - Accent4 2" xfId="3336" xr:uid="{00000000-0005-0000-0000-000003000000}"/>
    <cellStyle name="20% - Accent5 2" xfId="3324" xr:uid="{00000000-0005-0000-0000-000004000000}"/>
    <cellStyle name="20% - Accent6 2" xfId="3337" xr:uid="{00000000-0005-0000-0000-000005000000}"/>
    <cellStyle name="40% - Accent1 2" xfId="3291" xr:uid="{00000000-0005-0000-0000-000006000000}"/>
    <cellStyle name="40% - Accent2 2" xfId="3340" xr:uid="{00000000-0005-0000-0000-000007000000}"/>
    <cellStyle name="40% - Accent3 2" xfId="3321" xr:uid="{00000000-0005-0000-0000-000008000000}"/>
    <cellStyle name="40% - Accent4 2" xfId="3331" xr:uid="{00000000-0005-0000-0000-000009000000}"/>
    <cellStyle name="40% - Accent5 2" xfId="3310" xr:uid="{00000000-0005-0000-0000-00000A000000}"/>
    <cellStyle name="40% - Accent6 2" xfId="3274" xr:uid="{00000000-0005-0000-0000-00000B000000}"/>
    <cellStyle name="60% - Accent1 2" xfId="3305" xr:uid="{00000000-0005-0000-0000-00000C000000}"/>
    <cellStyle name="60% - Accent2 2" xfId="3271" xr:uid="{00000000-0005-0000-0000-00000D000000}"/>
    <cellStyle name="60% - Accent3 2" xfId="3293" xr:uid="{00000000-0005-0000-0000-00000E000000}"/>
    <cellStyle name="60% - Accent4 2" xfId="3334" xr:uid="{00000000-0005-0000-0000-00000F000000}"/>
    <cellStyle name="60% - Accent5 2" xfId="3276" xr:uid="{00000000-0005-0000-0000-000010000000}"/>
    <cellStyle name="60% - Accent6 2" xfId="3319" xr:uid="{00000000-0005-0000-0000-000011000000}"/>
    <cellStyle name="Accent1 2" xfId="3328" xr:uid="{00000000-0005-0000-0000-000012000000}"/>
    <cellStyle name="Accent2 2" xfId="3338" xr:uid="{00000000-0005-0000-0000-000013000000}"/>
    <cellStyle name="Accent3 2" xfId="3302" xr:uid="{00000000-0005-0000-0000-000014000000}"/>
    <cellStyle name="Accent4 2" xfId="3317" xr:uid="{00000000-0005-0000-0000-000015000000}"/>
    <cellStyle name="Accent5 2" xfId="3341" xr:uid="{00000000-0005-0000-0000-000016000000}"/>
    <cellStyle name="Accent6 2" xfId="1839" xr:uid="{00000000-0005-0000-0000-000017000000}"/>
    <cellStyle name="Bad 2" xfId="1861" xr:uid="{00000000-0005-0000-0000-000018000000}"/>
    <cellStyle name="Calculation 2" xfId="3301" xr:uid="{00000000-0005-0000-0000-000019000000}"/>
    <cellStyle name="Calculation 3" xfId="3298" xr:uid="{00000000-0005-0000-0000-00001A000000}"/>
    <cellStyle name="Check Cell 2" xfId="3299" xr:uid="{00000000-0005-0000-0000-00001B000000}"/>
    <cellStyle name="Comma" xfId="19705" builtinId="3"/>
    <cellStyle name="Comma 2" xfId="7" xr:uid="{00000000-0005-0000-0000-00001D000000}"/>
    <cellStyle name="Comma 2 2" xfId="113" xr:uid="{00000000-0005-0000-0000-00001E000000}"/>
    <cellStyle name="Comma 2 3" xfId="90" xr:uid="{00000000-0005-0000-0000-00001F000000}"/>
    <cellStyle name="Comma 2 4" xfId="3289" xr:uid="{00000000-0005-0000-0000-000020000000}"/>
    <cellStyle name="Comma 3" xfId="2" xr:uid="{00000000-0005-0000-0000-000021000000}"/>
    <cellStyle name="Comma 3 2" xfId="3" xr:uid="{00000000-0005-0000-0000-000022000000}"/>
    <cellStyle name="Comma 4" xfId="19" xr:uid="{00000000-0005-0000-0000-000023000000}"/>
    <cellStyle name="Comma 5" xfId="5" xr:uid="{00000000-0005-0000-0000-000024000000}"/>
    <cellStyle name="Comma 5 10" xfId="470" xr:uid="{00000000-0005-0000-0000-000025000000}"/>
    <cellStyle name="Comma 5 10 11" xfId="19641" xr:uid="{00000000-0005-0000-0000-000026000000}"/>
    <cellStyle name="Comma 5 10 11 2" xfId="19642" xr:uid="{00000000-0005-0000-0000-000027000000}"/>
    <cellStyle name="Comma 5 10 11 2 2" xfId="19655" xr:uid="{00000000-0005-0000-0000-000028000000}"/>
    <cellStyle name="Comma 5 10 11 4" xfId="19674" xr:uid="{00000000-0005-0000-0000-000029000000}"/>
    <cellStyle name="Comma 5 10 11 5" xfId="19675" xr:uid="{00000000-0005-0000-0000-00002A000000}"/>
    <cellStyle name="Comma 5 10 2" xfId="496" xr:uid="{00000000-0005-0000-0000-00002B000000}"/>
    <cellStyle name="Comma 5 10 2 2" xfId="2226" xr:uid="{00000000-0005-0000-0000-00002C000000}"/>
    <cellStyle name="Comma 5 10 2 2 2" xfId="16115" xr:uid="{00000000-0005-0000-0000-00002D000000}"/>
    <cellStyle name="Comma 5 10 2 2 3" xfId="12537" xr:uid="{00000000-0005-0000-0000-00002E000000}"/>
    <cellStyle name="Comma 5 10 2 2 4" xfId="7246" xr:uid="{00000000-0005-0000-0000-00002F000000}"/>
    <cellStyle name="Comma 5 10 2 3" xfId="3494" xr:uid="{00000000-0005-0000-0000-000030000000}"/>
    <cellStyle name="Comma 5 10 2 3 2" xfId="17139" xr:uid="{00000000-0005-0000-0000-000031000000}"/>
    <cellStyle name="Comma 5 10 2 3 3" xfId="13560" xr:uid="{00000000-0005-0000-0000-000032000000}"/>
    <cellStyle name="Comma 5 10 2 3 4" xfId="8303" xr:uid="{00000000-0005-0000-0000-000033000000}"/>
    <cellStyle name="Comma 5 10 2 4" xfId="6362" xr:uid="{00000000-0005-0000-0000-000034000000}"/>
    <cellStyle name="Comma 5 10 2 4 2" xfId="15446" xr:uid="{00000000-0005-0000-0000-000035000000}"/>
    <cellStyle name="Comma 5 10 2 5" xfId="9757" xr:uid="{00000000-0005-0000-0000-000036000000}"/>
    <cellStyle name="Comma 5 10 2 5 2" xfId="18584" xr:uid="{00000000-0005-0000-0000-000037000000}"/>
    <cellStyle name="Comma 5 10 2 6" xfId="11201" xr:uid="{00000000-0005-0000-0000-000038000000}"/>
    <cellStyle name="Comma 5 10 2 7" xfId="4840" xr:uid="{00000000-0005-0000-0000-000039000000}"/>
    <cellStyle name="Comma 5 10 3" xfId="854" xr:uid="{00000000-0005-0000-0000-00003A000000}"/>
    <cellStyle name="Comma 5 10 3 2" xfId="2574" xr:uid="{00000000-0005-0000-0000-00003B000000}"/>
    <cellStyle name="Comma 5 10 3 2 2" xfId="16508" xr:uid="{00000000-0005-0000-0000-00003C000000}"/>
    <cellStyle name="Comma 5 10 3 2 3" xfId="12930" xr:uid="{00000000-0005-0000-0000-00003D000000}"/>
    <cellStyle name="Comma 5 10 3 2 4" xfId="7640" xr:uid="{00000000-0005-0000-0000-00003E000000}"/>
    <cellStyle name="Comma 5 10 3 3" xfId="3842" xr:uid="{00000000-0005-0000-0000-00003F000000}"/>
    <cellStyle name="Comma 5 10 3 3 2" xfId="17487" xr:uid="{00000000-0005-0000-0000-000040000000}"/>
    <cellStyle name="Comma 5 10 3 3 3" xfId="13908" xr:uid="{00000000-0005-0000-0000-000041000000}"/>
    <cellStyle name="Comma 5 10 3 3 4" xfId="8651" xr:uid="{00000000-0005-0000-0000-000042000000}"/>
    <cellStyle name="Comma 5 10 3 4" xfId="6730" xr:uid="{00000000-0005-0000-0000-000043000000}"/>
    <cellStyle name="Comma 5 10 3 4 2" xfId="15813" xr:uid="{00000000-0005-0000-0000-000044000000}"/>
    <cellStyle name="Comma 5 10 3 5" xfId="10105" xr:uid="{00000000-0005-0000-0000-000045000000}"/>
    <cellStyle name="Comma 5 10 3 5 2" xfId="18932" xr:uid="{00000000-0005-0000-0000-000046000000}"/>
    <cellStyle name="Comma 5 10 3 6" xfId="11551" xr:uid="{00000000-0005-0000-0000-000047000000}"/>
    <cellStyle name="Comma 5 10 3 7" xfId="5234" xr:uid="{00000000-0005-0000-0000-000048000000}"/>
    <cellStyle name="Comma 5 10 4" xfId="1346" xr:uid="{00000000-0005-0000-0000-000049000000}"/>
    <cellStyle name="Comma 5 10 4 2" xfId="2959" xr:uid="{00000000-0005-0000-0000-00004A000000}"/>
    <cellStyle name="Comma 5 10 4 2 2" xfId="17872" xr:uid="{00000000-0005-0000-0000-00004B000000}"/>
    <cellStyle name="Comma 5 10 4 2 2 2 2" xfId="19644" xr:uid="{00000000-0005-0000-0000-00004C000000}"/>
    <cellStyle name="Comma 5 10 4 2 2 2 2 2" xfId="19657" xr:uid="{00000000-0005-0000-0000-00004D000000}"/>
    <cellStyle name="Comma 5 10 4 2 3" xfId="14293" xr:uid="{00000000-0005-0000-0000-00004E000000}"/>
    <cellStyle name="Comma 5 10 4 2 4" xfId="9036" xr:uid="{00000000-0005-0000-0000-00004F000000}"/>
    <cellStyle name="Comma 5 10 4 3" xfId="10490" xr:uid="{00000000-0005-0000-0000-000050000000}"/>
    <cellStyle name="Comma 5 10 4 3 2" xfId="19317" xr:uid="{00000000-0005-0000-0000-000051000000}"/>
    <cellStyle name="Comma 5 10 4 4" xfId="11936" xr:uid="{00000000-0005-0000-0000-000052000000}"/>
    <cellStyle name="Comma 5 10 4 5" xfId="6931" xr:uid="{00000000-0005-0000-0000-000053000000}"/>
    <cellStyle name="Comma 5 10 4 7" xfId="19669" xr:uid="{00000000-0005-0000-0000-000054000000}"/>
    <cellStyle name="Comma 5 10 4 7 4" xfId="19677" xr:uid="{00000000-0005-0000-0000-000055000000}"/>
    <cellStyle name="Comma 5 10 5" xfId="1916" xr:uid="{00000000-0005-0000-0000-000056000000}"/>
    <cellStyle name="Comma 5 10 5 2" xfId="16827" xr:uid="{00000000-0005-0000-0000-000057000000}"/>
    <cellStyle name="Comma 5 10 5 2 2 2" xfId="19645" xr:uid="{00000000-0005-0000-0000-000058000000}"/>
    <cellStyle name="Comma 5 10 5 2 2 2 2" xfId="19656" xr:uid="{00000000-0005-0000-0000-000059000000}"/>
    <cellStyle name="Comma 5 10 5 3" xfId="13248" xr:uid="{00000000-0005-0000-0000-00005A000000}"/>
    <cellStyle name="Comma 5 10 5 4" xfId="7991" xr:uid="{00000000-0005-0000-0000-00005B000000}"/>
    <cellStyle name="Comma 5 10 5 6" xfId="19670" xr:uid="{00000000-0005-0000-0000-00005C000000}"/>
    <cellStyle name="Comma 5 10 5 6 4" xfId="19679" xr:uid="{00000000-0005-0000-0000-00005D000000}"/>
    <cellStyle name="Comma 5 10 5 6 6" xfId="19678" xr:uid="{00000000-0005-0000-0000-00005E000000}"/>
    <cellStyle name="Comma 5 10 6" xfId="6047" xr:uid="{00000000-0005-0000-0000-00005F000000}"/>
    <cellStyle name="Comma 5 10 6 2" xfId="15131" xr:uid="{00000000-0005-0000-0000-000060000000}"/>
    <cellStyle name="Comma 5 10 6 2 2" xfId="19643" xr:uid="{00000000-0005-0000-0000-000061000000}"/>
    <cellStyle name="Comma 5 10 6 4" xfId="19668" xr:uid="{00000000-0005-0000-0000-000062000000}"/>
    <cellStyle name="Comma 5 10 6 4 4" xfId="19676" xr:uid="{00000000-0005-0000-0000-000063000000}"/>
    <cellStyle name="Comma 5 10 7" xfId="9447" xr:uid="{00000000-0005-0000-0000-000064000000}"/>
    <cellStyle name="Comma 5 10 7 2" xfId="18274" xr:uid="{00000000-0005-0000-0000-000065000000}"/>
    <cellStyle name="Comma 5 10 8" xfId="10891" xr:uid="{00000000-0005-0000-0000-000066000000}"/>
    <cellStyle name="Comma 5 10 9" xfId="4525" xr:uid="{00000000-0005-0000-0000-000067000000}"/>
    <cellStyle name="Comma 5 11" xfId="495" xr:uid="{00000000-0005-0000-0000-000068000000}"/>
    <cellStyle name="Comma 5 11 2" xfId="2225" xr:uid="{00000000-0005-0000-0000-000069000000}"/>
    <cellStyle name="Comma 5 11 2 2" xfId="16114" xr:uid="{00000000-0005-0000-0000-00006A000000}"/>
    <cellStyle name="Comma 5 11 2 3" xfId="12536" xr:uid="{00000000-0005-0000-0000-00006B000000}"/>
    <cellStyle name="Comma 5 11 2 4" xfId="7245" xr:uid="{00000000-0005-0000-0000-00006C000000}"/>
    <cellStyle name="Comma 5 11 3" xfId="3493" xr:uid="{00000000-0005-0000-0000-00006D000000}"/>
    <cellStyle name="Comma 5 11 3 2" xfId="17138" xr:uid="{00000000-0005-0000-0000-00006E000000}"/>
    <cellStyle name="Comma 5 11 3 3" xfId="13559" xr:uid="{00000000-0005-0000-0000-00006F000000}"/>
    <cellStyle name="Comma 5 11 3 4" xfId="8302" xr:uid="{00000000-0005-0000-0000-000070000000}"/>
    <cellStyle name="Comma 5 11 4" xfId="6361" xr:uid="{00000000-0005-0000-0000-000071000000}"/>
    <cellStyle name="Comma 5 11 4 2" xfId="15445" xr:uid="{00000000-0005-0000-0000-000072000000}"/>
    <cellStyle name="Comma 5 11 5" xfId="9756" xr:uid="{00000000-0005-0000-0000-000073000000}"/>
    <cellStyle name="Comma 5 11 5 2" xfId="18583" xr:uid="{00000000-0005-0000-0000-000074000000}"/>
    <cellStyle name="Comma 5 11 6" xfId="11200" xr:uid="{00000000-0005-0000-0000-000075000000}"/>
    <cellStyle name="Comma 5 11 7" xfId="4839" xr:uid="{00000000-0005-0000-0000-000076000000}"/>
    <cellStyle name="Comma 5 11 9" xfId="19671" xr:uid="{00000000-0005-0000-0000-000077000000}"/>
    <cellStyle name="Comma 5 12" xfId="853" xr:uid="{00000000-0005-0000-0000-000078000000}"/>
    <cellStyle name="Comma 5 12 2" xfId="2573" xr:uid="{00000000-0005-0000-0000-000079000000}"/>
    <cellStyle name="Comma 5 12 2 2" xfId="16476" xr:uid="{00000000-0005-0000-0000-00007A000000}"/>
    <cellStyle name="Comma 5 12 2 3" xfId="12898" xr:uid="{00000000-0005-0000-0000-00007B000000}"/>
    <cellStyle name="Comma 5 12 2 4" xfId="7608" xr:uid="{00000000-0005-0000-0000-00007C000000}"/>
    <cellStyle name="Comma 5 12 3" xfId="3841" xr:uid="{00000000-0005-0000-0000-00007D000000}"/>
    <cellStyle name="Comma 5 12 3 2" xfId="17486" xr:uid="{00000000-0005-0000-0000-00007E000000}"/>
    <cellStyle name="Comma 5 12 3 3" xfId="13907" xr:uid="{00000000-0005-0000-0000-00007F000000}"/>
    <cellStyle name="Comma 5 12 3 4" xfId="8650" xr:uid="{00000000-0005-0000-0000-000080000000}"/>
    <cellStyle name="Comma 5 12 4" xfId="5866" xr:uid="{00000000-0005-0000-0000-000081000000}"/>
    <cellStyle name="Comma 5 12 4 2" xfId="14952" xr:uid="{00000000-0005-0000-0000-000082000000}"/>
    <cellStyle name="Comma 5 12 5" xfId="10104" xr:uid="{00000000-0005-0000-0000-000083000000}"/>
    <cellStyle name="Comma 5 12 5 2" xfId="18931" xr:uid="{00000000-0005-0000-0000-000084000000}"/>
    <cellStyle name="Comma 5 12 6" xfId="11550" xr:uid="{00000000-0005-0000-0000-000085000000}"/>
    <cellStyle name="Comma 5 12 7" xfId="5202" xr:uid="{00000000-0005-0000-0000-000086000000}"/>
    <cellStyle name="Comma 5 13" xfId="1275" xr:uid="{00000000-0005-0000-0000-000087000000}"/>
    <cellStyle name="Comma 5 13 2" xfId="2927" xr:uid="{00000000-0005-0000-0000-000088000000}"/>
    <cellStyle name="Comma 5 13 2 2" xfId="17840" xr:uid="{00000000-0005-0000-0000-000089000000}"/>
    <cellStyle name="Comma 5 13 2 3" xfId="14261" xr:uid="{00000000-0005-0000-0000-00008A000000}"/>
    <cellStyle name="Comma 5 13 2 4" xfId="9004" xr:uid="{00000000-0005-0000-0000-00008B000000}"/>
    <cellStyle name="Comma 5 13 3" xfId="10458" xr:uid="{00000000-0005-0000-0000-00008C000000}"/>
    <cellStyle name="Comma 5 13 3 2" xfId="19285" xr:uid="{00000000-0005-0000-0000-00008D000000}"/>
    <cellStyle name="Comma 5 13 4" xfId="11904" xr:uid="{00000000-0005-0000-0000-00008E000000}"/>
    <cellStyle name="Comma 5 13 5" xfId="6752" xr:uid="{00000000-0005-0000-0000-00008F000000}"/>
    <cellStyle name="Comma 5 14" xfId="1884" xr:uid="{00000000-0005-0000-0000-000090000000}"/>
    <cellStyle name="Comma 5 14 2" xfId="9415" xr:uid="{00000000-0005-0000-0000-000091000000}"/>
    <cellStyle name="Comma 5 14 2 2" xfId="18242" xr:uid="{00000000-0005-0000-0000-000092000000}"/>
    <cellStyle name="Comma 5 14 3" xfId="10859" xr:uid="{00000000-0005-0000-0000-000093000000}"/>
    <cellStyle name="Comma 5 14 4" xfId="7959" xr:uid="{00000000-0005-0000-0000-000094000000}"/>
    <cellStyle name="Comma 5 15" xfId="1841" xr:uid="{00000000-0005-0000-0000-000095000000}"/>
    <cellStyle name="Comma 5 15 2" xfId="14640" xr:uid="{00000000-0005-0000-0000-000096000000}"/>
    <cellStyle name="Comma 5 15 3" xfId="5554" xr:uid="{00000000-0005-0000-0000-000097000000}"/>
    <cellStyle name="Comma 5 16" xfId="9375" xr:uid="{00000000-0005-0000-0000-000098000000}"/>
    <cellStyle name="Comma 5 16 2" xfId="18202" xr:uid="{00000000-0005-0000-0000-000099000000}"/>
    <cellStyle name="Comma 5 17" xfId="10814" xr:uid="{00000000-0005-0000-0000-00009A000000}"/>
    <cellStyle name="Comma 5 18" xfId="4347" xr:uid="{00000000-0005-0000-0000-00009B000000}"/>
    <cellStyle name="Comma 5 2" xfId="6" xr:uid="{00000000-0005-0000-0000-00009C000000}"/>
    <cellStyle name="Comma 5 2 10" xfId="497" xr:uid="{00000000-0005-0000-0000-00009D000000}"/>
    <cellStyle name="Comma 5 2 10 2" xfId="2227" xr:uid="{00000000-0005-0000-0000-00009E000000}"/>
    <cellStyle name="Comma 5 2 10 2 2" xfId="16116" xr:uid="{00000000-0005-0000-0000-00009F000000}"/>
    <cellStyle name="Comma 5 2 10 2 3" xfId="12538" xr:uid="{00000000-0005-0000-0000-0000A0000000}"/>
    <cellStyle name="Comma 5 2 10 2 4" xfId="7247" xr:uid="{00000000-0005-0000-0000-0000A1000000}"/>
    <cellStyle name="Comma 5 2 10 3" xfId="3495" xr:uid="{00000000-0005-0000-0000-0000A2000000}"/>
    <cellStyle name="Comma 5 2 10 3 2" xfId="17140" xr:uid="{00000000-0005-0000-0000-0000A3000000}"/>
    <cellStyle name="Comma 5 2 10 3 3" xfId="13561" xr:uid="{00000000-0005-0000-0000-0000A4000000}"/>
    <cellStyle name="Comma 5 2 10 3 4" xfId="8304" xr:uid="{00000000-0005-0000-0000-0000A5000000}"/>
    <cellStyle name="Comma 5 2 10 4" xfId="6363" xr:uid="{00000000-0005-0000-0000-0000A6000000}"/>
    <cellStyle name="Comma 5 2 10 4 2" xfId="15447" xr:uid="{00000000-0005-0000-0000-0000A7000000}"/>
    <cellStyle name="Comma 5 2 10 5" xfId="9758" xr:uid="{00000000-0005-0000-0000-0000A8000000}"/>
    <cellStyle name="Comma 5 2 10 5 2" xfId="18585" xr:uid="{00000000-0005-0000-0000-0000A9000000}"/>
    <cellStyle name="Comma 5 2 10 6" xfId="11202" xr:uid="{00000000-0005-0000-0000-0000AA000000}"/>
    <cellStyle name="Comma 5 2 10 7" xfId="4841" xr:uid="{00000000-0005-0000-0000-0000AB000000}"/>
    <cellStyle name="Comma 5 2 11" xfId="855" xr:uid="{00000000-0005-0000-0000-0000AC000000}"/>
    <cellStyle name="Comma 5 2 11 2" xfId="2575" xr:uid="{00000000-0005-0000-0000-0000AD000000}"/>
    <cellStyle name="Comma 5 2 11 2 2" xfId="16477" xr:uid="{00000000-0005-0000-0000-0000AE000000}"/>
    <cellStyle name="Comma 5 2 11 2 3" xfId="12899" xr:uid="{00000000-0005-0000-0000-0000AF000000}"/>
    <cellStyle name="Comma 5 2 11 2 4" xfId="7609" xr:uid="{00000000-0005-0000-0000-0000B0000000}"/>
    <cellStyle name="Comma 5 2 11 3" xfId="3843" xr:uid="{00000000-0005-0000-0000-0000B1000000}"/>
    <cellStyle name="Comma 5 2 11 3 2" xfId="17488" xr:uid="{00000000-0005-0000-0000-0000B2000000}"/>
    <cellStyle name="Comma 5 2 11 3 3" xfId="13909" xr:uid="{00000000-0005-0000-0000-0000B3000000}"/>
    <cellStyle name="Comma 5 2 11 3 4" xfId="8652" xr:uid="{00000000-0005-0000-0000-0000B4000000}"/>
    <cellStyle name="Comma 5 2 11 4" xfId="5867" xr:uid="{00000000-0005-0000-0000-0000B5000000}"/>
    <cellStyle name="Comma 5 2 11 4 2" xfId="14953" xr:uid="{00000000-0005-0000-0000-0000B6000000}"/>
    <cellStyle name="Comma 5 2 11 5" xfId="10106" xr:uid="{00000000-0005-0000-0000-0000B7000000}"/>
    <cellStyle name="Comma 5 2 11 5 2" xfId="18933" xr:uid="{00000000-0005-0000-0000-0000B8000000}"/>
    <cellStyle name="Comma 5 2 11 6" xfId="11552" xr:uid="{00000000-0005-0000-0000-0000B9000000}"/>
    <cellStyle name="Comma 5 2 11 7" xfId="5203" xr:uid="{00000000-0005-0000-0000-0000BA000000}"/>
    <cellStyle name="Comma 5 2 12" xfId="1276" xr:uid="{00000000-0005-0000-0000-0000BB000000}"/>
    <cellStyle name="Comma 5 2 12 2" xfId="2928" xr:uid="{00000000-0005-0000-0000-0000BC000000}"/>
    <cellStyle name="Comma 5 2 12 2 2" xfId="17841" xr:uid="{00000000-0005-0000-0000-0000BD000000}"/>
    <cellStyle name="Comma 5 2 12 2 3" xfId="14262" xr:uid="{00000000-0005-0000-0000-0000BE000000}"/>
    <cellStyle name="Comma 5 2 12 2 4" xfId="9005" xr:uid="{00000000-0005-0000-0000-0000BF000000}"/>
    <cellStyle name="Comma 5 2 12 3" xfId="10459" xr:uid="{00000000-0005-0000-0000-0000C0000000}"/>
    <cellStyle name="Comma 5 2 12 3 2" xfId="19286" xr:uid="{00000000-0005-0000-0000-0000C1000000}"/>
    <cellStyle name="Comma 5 2 12 4" xfId="11905" xr:uid="{00000000-0005-0000-0000-0000C2000000}"/>
    <cellStyle name="Comma 5 2 12 5" xfId="6753" xr:uid="{00000000-0005-0000-0000-0000C3000000}"/>
    <cellStyle name="Comma 5 2 13" xfId="1885" xr:uid="{00000000-0005-0000-0000-0000C4000000}"/>
    <cellStyle name="Comma 5 2 13 2" xfId="9416" xr:uid="{00000000-0005-0000-0000-0000C5000000}"/>
    <cellStyle name="Comma 5 2 13 2 2" xfId="18243" xr:uid="{00000000-0005-0000-0000-0000C6000000}"/>
    <cellStyle name="Comma 5 2 13 3" xfId="10860" xr:uid="{00000000-0005-0000-0000-0000C7000000}"/>
    <cellStyle name="Comma 5 2 13 4" xfId="7960" xr:uid="{00000000-0005-0000-0000-0000C8000000}"/>
    <cellStyle name="Comma 5 2 14" xfId="1842" xr:uid="{00000000-0005-0000-0000-0000C9000000}"/>
    <cellStyle name="Comma 5 2 14 2" xfId="14641" xr:uid="{00000000-0005-0000-0000-0000CA000000}"/>
    <cellStyle name="Comma 5 2 14 3" xfId="5555" xr:uid="{00000000-0005-0000-0000-0000CB000000}"/>
    <cellStyle name="Comma 5 2 15" xfId="9376" xr:uid="{00000000-0005-0000-0000-0000CC000000}"/>
    <cellStyle name="Comma 5 2 15 2" xfId="18203" xr:uid="{00000000-0005-0000-0000-0000CD000000}"/>
    <cellStyle name="Comma 5 2 16" xfId="10815" xr:uid="{00000000-0005-0000-0000-0000CE000000}"/>
    <cellStyle name="Comma 5 2 17" xfId="4348" xr:uid="{00000000-0005-0000-0000-0000CF000000}"/>
    <cellStyle name="Comma 5 2 19" xfId="19646" xr:uid="{00000000-0005-0000-0000-0000D0000000}"/>
    <cellStyle name="Comma 5 2 2" xfId="123" xr:uid="{00000000-0005-0000-0000-0000D1000000}"/>
    <cellStyle name="Comma 5 2 2 10" xfId="1897" xr:uid="{00000000-0005-0000-0000-0000D2000000}"/>
    <cellStyle name="Comma 5 2 2 10 2" xfId="9428" xr:uid="{00000000-0005-0000-0000-0000D3000000}"/>
    <cellStyle name="Comma 5 2 2 10 2 2" xfId="18255" xr:uid="{00000000-0005-0000-0000-0000D4000000}"/>
    <cellStyle name="Comma 5 2 2 10 3" xfId="10872" xr:uid="{00000000-0005-0000-0000-0000D5000000}"/>
    <cellStyle name="Comma 5 2 2 10 4" xfId="7972" xr:uid="{00000000-0005-0000-0000-0000D6000000}"/>
    <cellStyle name="Comma 5 2 2 11" xfId="1867" xr:uid="{00000000-0005-0000-0000-0000D7000000}"/>
    <cellStyle name="Comma 5 2 2 11 2" xfId="14666" xr:uid="{00000000-0005-0000-0000-0000D8000000}"/>
    <cellStyle name="Comma 5 2 2 11 3" xfId="5580" xr:uid="{00000000-0005-0000-0000-0000D9000000}"/>
    <cellStyle name="Comma 5 2 2 12" xfId="9398" xr:uid="{00000000-0005-0000-0000-0000DA000000}"/>
    <cellStyle name="Comma 5 2 2 12 2" xfId="18225" xr:uid="{00000000-0005-0000-0000-0000DB000000}"/>
    <cellStyle name="Comma 5 2 2 13" xfId="10842" xr:uid="{00000000-0005-0000-0000-0000DC000000}"/>
    <cellStyle name="Comma 5 2 2 14" xfId="4361" xr:uid="{00000000-0005-0000-0000-0000DD000000}"/>
    <cellStyle name="Comma 5 2 2 2" xfId="223" xr:uid="{00000000-0005-0000-0000-0000DE000000}"/>
    <cellStyle name="Comma 5 2 2 2 10" xfId="9530" xr:uid="{00000000-0005-0000-0000-0000DF000000}"/>
    <cellStyle name="Comma 5 2 2 2 10 2" xfId="18357" xr:uid="{00000000-0005-0000-0000-0000E0000000}"/>
    <cellStyle name="Comma 5 2 2 2 11" xfId="10974" xr:uid="{00000000-0005-0000-0000-0000E1000000}"/>
    <cellStyle name="Comma 5 2 2 2 12" xfId="4391" xr:uid="{00000000-0005-0000-0000-0000E2000000}"/>
    <cellStyle name="Comma 5 2 2 2 2" xfId="436" xr:uid="{00000000-0005-0000-0000-0000E3000000}"/>
    <cellStyle name="Comma 5 2 2 2 2 10" xfId="4495" xr:uid="{00000000-0005-0000-0000-0000E4000000}"/>
    <cellStyle name="Comma 5 2 2 2 2 2" xfId="500" xr:uid="{00000000-0005-0000-0000-0000E5000000}"/>
    <cellStyle name="Comma 5 2 2 2 2 2 2" xfId="2230" xr:uid="{00000000-0005-0000-0000-0000E6000000}"/>
    <cellStyle name="Comma 5 2 2 2 2 2 2 2" xfId="16091" xr:uid="{00000000-0005-0000-0000-0000E7000000}"/>
    <cellStyle name="Comma 5 2 2 2 2 2 2 3" xfId="12513" xr:uid="{00000000-0005-0000-0000-0000E8000000}"/>
    <cellStyle name="Comma 5 2 2 2 2 2 2 4" xfId="7218" xr:uid="{00000000-0005-0000-0000-0000E9000000}"/>
    <cellStyle name="Comma 5 2 2 2 2 2 3" xfId="3498" xr:uid="{00000000-0005-0000-0000-0000EA000000}"/>
    <cellStyle name="Comma 5 2 2 2 2 2 3 2" xfId="17143" xr:uid="{00000000-0005-0000-0000-0000EB000000}"/>
    <cellStyle name="Comma 5 2 2 2 2 2 3 3" xfId="13564" xr:uid="{00000000-0005-0000-0000-0000EC000000}"/>
    <cellStyle name="Comma 5 2 2 2 2 2 3 4" xfId="8307" xr:uid="{00000000-0005-0000-0000-0000ED000000}"/>
    <cellStyle name="Comma 5 2 2 2 2 2 4" xfId="6334" xr:uid="{00000000-0005-0000-0000-0000EE000000}"/>
    <cellStyle name="Comma 5 2 2 2 2 2 4 2" xfId="15418" xr:uid="{00000000-0005-0000-0000-0000EF000000}"/>
    <cellStyle name="Comma 5 2 2 2 2 2 5" xfId="9761" xr:uid="{00000000-0005-0000-0000-0000F0000000}"/>
    <cellStyle name="Comma 5 2 2 2 2 2 5 2" xfId="18588" xr:uid="{00000000-0005-0000-0000-0000F1000000}"/>
    <cellStyle name="Comma 5 2 2 2 2 2 6" xfId="11205" xr:uid="{00000000-0005-0000-0000-0000F2000000}"/>
    <cellStyle name="Comma 5 2 2 2 2 2 7" xfId="4812" xr:uid="{00000000-0005-0000-0000-0000F3000000}"/>
    <cellStyle name="Comma 5 2 2 2 2 3" xfId="858" xr:uid="{00000000-0005-0000-0000-0000F4000000}"/>
    <cellStyle name="Comma 5 2 2 2 2 3 2" xfId="2578" xr:uid="{00000000-0005-0000-0000-0000F5000000}"/>
    <cellStyle name="Comma 5 2 2 2 2 3 2 2" xfId="16119" xr:uid="{00000000-0005-0000-0000-0000F6000000}"/>
    <cellStyle name="Comma 5 2 2 2 2 3 2 3" xfId="12541" xr:uid="{00000000-0005-0000-0000-0000F7000000}"/>
    <cellStyle name="Comma 5 2 2 2 2 3 2 4" xfId="7250" xr:uid="{00000000-0005-0000-0000-0000F8000000}"/>
    <cellStyle name="Comma 5 2 2 2 2 3 3" xfId="3846" xr:uid="{00000000-0005-0000-0000-0000F9000000}"/>
    <cellStyle name="Comma 5 2 2 2 2 3 3 2" xfId="17491" xr:uid="{00000000-0005-0000-0000-0000FA000000}"/>
    <cellStyle name="Comma 5 2 2 2 2 3 3 3" xfId="13912" xr:uid="{00000000-0005-0000-0000-0000FB000000}"/>
    <cellStyle name="Comma 5 2 2 2 2 3 3 4" xfId="8655" xr:uid="{00000000-0005-0000-0000-0000FC000000}"/>
    <cellStyle name="Comma 5 2 2 2 2 3 4" xfId="6366" xr:uid="{00000000-0005-0000-0000-0000FD000000}"/>
    <cellStyle name="Comma 5 2 2 2 2 3 4 2" xfId="15450" xr:uid="{00000000-0005-0000-0000-0000FE000000}"/>
    <cellStyle name="Comma 5 2 2 2 2 3 5" xfId="10109" xr:uid="{00000000-0005-0000-0000-0000FF000000}"/>
    <cellStyle name="Comma 5 2 2 2 2 3 5 2" xfId="18936" xr:uid="{00000000-0005-0000-0000-000000010000}"/>
    <cellStyle name="Comma 5 2 2 2 2 3 6" xfId="11555" xr:uid="{00000000-0005-0000-0000-000001010000}"/>
    <cellStyle name="Comma 5 2 2 2 2 3 7" xfId="4844" xr:uid="{00000000-0005-0000-0000-000002010000}"/>
    <cellStyle name="Comma 5 2 2 2 2 4" xfId="1650" xr:uid="{00000000-0005-0000-0000-000003010000}"/>
    <cellStyle name="Comma 5 2 2 2 2 4 2" xfId="3246" xr:uid="{00000000-0005-0000-0000-000004010000}"/>
    <cellStyle name="Comma 5 2 2 2 2 4 2 2" xfId="16795" xr:uid="{00000000-0005-0000-0000-000005010000}"/>
    <cellStyle name="Comma 5 2 2 2 2 4 2 3" xfId="13216" xr:uid="{00000000-0005-0000-0000-000006010000}"/>
    <cellStyle name="Comma 5 2 2 2 2 4 2 4" xfId="7927" xr:uid="{00000000-0005-0000-0000-000007010000}"/>
    <cellStyle name="Comma 5 2 2 2 2 4 3" xfId="4313" xr:uid="{00000000-0005-0000-0000-000008010000}"/>
    <cellStyle name="Comma 5 2 2 2 2 4 3 2" xfId="18159" xr:uid="{00000000-0005-0000-0000-000009010000}"/>
    <cellStyle name="Comma 5 2 2 2 2 4 3 3" xfId="14580" xr:uid="{00000000-0005-0000-0000-00000A010000}"/>
    <cellStyle name="Comma 5 2 2 2 2 4 3 4" xfId="9323" xr:uid="{00000000-0005-0000-0000-00000B010000}"/>
    <cellStyle name="Comma 5 2 2 2 2 4 4" xfId="6015" xr:uid="{00000000-0005-0000-0000-00000C010000}"/>
    <cellStyle name="Comma 5 2 2 2 2 4 4 2" xfId="15101" xr:uid="{00000000-0005-0000-0000-00000D010000}"/>
    <cellStyle name="Comma 5 2 2 2 2 4 5" xfId="10777" xr:uid="{00000000-0005-0000-0000-00000E010000}"/>
    <cellStyle name="Comma 5 2 2 2 2 4 5 2" xfId="19604" xr:uid="{00000000-0005-0000-0000-00000F010000}"/>
    <cellStyle name="Comma 5 2 2 2 2 4 6" xfId="12223" xr:uid="{00000000-0005-0000-0000-000010010000}"/>
    <cellStyle name="Comma 5 2 2 2 2 4 7" xfId="5521" xr:uid="{00000000-0005-0000-0000-000011010000}"/>
    <cellStyle name="Comma 5 2 2 2 2 5" xfId="2203" xr:uid="{00000000-0005-0000-0000-000012010000}"/>
    <cellStyle name="Comma 5 2 2 2 2 5 2" xfId="15944" xr:uid="{00000000-0005-0000-0000-000013010000}"/>
    <cellStyle name="Comma 5 2 2 2 2 5 3" xfId="12278" xr:uid="{00000000-0005-0000-0000-000014010000}"/>
    <cellStyle name="Comma 5 2 2 2 2 5 4" xfId="6901" xr:uid="{00000000-0005-0000-0000-000015010000}"/>
    <cellStyle name="Comma 5 2 2 2 2 6" xfId="3475" xr:uid="{00000000-0005-0000-0000-000016010000}"/>
    <cellStyle name="Comma 5 2 2 2 2 6 2" xfId="17116" xr:uid="{00000000-0005-0000-0000-000017010000}"/>
    <cellStyle name="Comma 5 2 2 2 2 6 3" xfId="13537" xr:uid="{00000000-0005-0000-0000-000018010000}"/>
    <cellStyle name="Comma 5 2 2 2 2 6 4" xfId="8280" xr:uid="{00000000-0005-0000-0000-000019010000}"/>
    <cellStyle name="Comma 5 2 2 2 2 7" xfId="5841" xr:uid="{00000000-0005-0000-0000-00001A010000}"/>
    <cellStyle name="Comma 5 2 2 2 2 7 2" xfId="14927" xr:uid="{00000000-0005-0000-0000-00001B010000}"/>
    <cellStyle name="Comma 5 2 2 2 2 8" xfId="9734" xr:uid="{00000000-0005-0000-0000-00001C010000}"/>
    <cellStyle name="Comma 5 2 2 2 2 8 2" xfId="18561" xr:uid="{00000000-0005-0000-0000-00001D010000}"/>
    <cellStyle name="Comma 5 2 2 2 2 9" xfId="11178" xr:uid="{00000000-0005-0000-0000-00001E010000}"/>
    <cellStyle name="Comma 5 2 2 2 3" xfId="331" xr:uid="{00000000-0005-0000-0000-00001F010000}"/>
    <cellStyle name="Comma 5 2 2 2 3 2" xfId="501" xr:uid="{00000000-0005-0000-0000-000020010000}"/>
    <cellStyle name="Comma 5 2 2 2 3 2 2" xfId="2231" xr:uid="{00000000-0005-0000-0000-000021010000}"/>
    <cellStyle name="Comma 5 2 2 2 3 2 2 2" xfId="16120" xr:uid="{00000000-0005-0000-0000-000022010000}"/>
    <cellStyle name="Comma 5 2 2 2 3 2 2 3" xfId="12542" xr:uid="{00000000-0005-0000-0000-000023010000}"/>
    <cellStyle name="Comma 5 2 2 2 3 2 2 4" xfId="7251" xr:uid="{00000000-0005-0000-0000-000024010000}"/>
    <cellStyle name="Comma 5 2 2 2 3 2 3" xfId="3499" xr:uid="{00000000-0005-0000-0000-000025010000}"/>
    <cellStyle name="Comma 5 2 2 2 3 2 3 2" xfId="17144" xr:uid="{00000000-0005-0000-0000-000026010000}"/>
    <cellStyle name="Comma 5 2 2 2 3 2 3 3" xfId="13565" xr:uid="{00000000-0005-0000-0000-000027010000}"/>
    <cellStyle name="Comma 5 2 2 2 3 2 3 4" xfId="8308" xr:uid="{00000000-0005-0000-0000-000028010000}"/>
    <cellStyle name="Comma 5 2 2 2 3 2 4" xfId="6367" xr:uid="{00000000-0005-0000-0000-000029010000}"/>
    <cellStyle name="Comma 5 2 2 2 3 2 4 2" xfId="15451" xr:uid="{00000000-0005-0000-0000-00002A010000}"/>
    <cellStyle name="Comma 5 2 2 2 3 2 5" xfId="9762" xr:uid="{00000000-0005-0000-0000-00002B010000}"/>
    <cellStyle name="Comma 5 2 2 2 3 2 5 2" xfId="18589" xr:uid="{00000000-0005-0000-0000-00002C010000}"/>
    <cellStyle name="Comma 5 2 2 2 3 2 6" xfId="11206" xr:uid="{00000000-0005-0000-0000-00002D010000}"/>
    <cellStyle name="Comma 5 2 2 2 3 2 7" xfId="4845" xr:uid="{00000000-0005-0000-0000-00002E010000}"/>
    <cellStyle name="Comma 5 2 2 2 3 3" xfId="859" xr:uid="{00000000-0005-0000-0000-00002F010000}"/>
    <cellStyle name="Comma 5 2 2 2 3 3 2" xfId="2579" xr:uid="{00000000-0005-0000-0000-000030010000}"/>
    <cellStyle name="Comma 5 2 2 2 3 3 2 2" xfId="16691" xr:uid="{00000000-0005-0000-0000-000031010000}"/>
    <cellStyle name="Comma 5 2 2 2 3 3 2 3" xfId="13112" xr:uid="{00000000-0005-0000-0000-000032010000}"/>
    <cellStyle name="Comma 5 2 2 2 3 3 2 4" xfId="7823" xr:uid="{00000000-0005-0000-0000-000033010000}"/>
    <cellStyle name="Comma 5 2 2 2 3 3 3" xfId="3847" xr:uid="{00000000-0005-0000-0000-000034010000}"/>
    <cellStyle name="Comma 5 2 2 2 3 3 3 2" xfId="17492" xr:uid="{00000000-0005-0000-0000-000035010000}"/>
    <cellStyle name="Comma 5 2 2 2 3 3 3 3" xfId="13913" xr:uid="{00000000-0005-0000-0000-000036010000}"/>
    <cellStyle name="Comma 5 2 2 2 3 3 3 4" xfId="8656" xr:uid="{00000000-0005-0000-0000-000037010000}"/>
    <cellStyle name="Comma 5 2 2 2 3 3 4" xfId="6230" xr:uid="{00000000-0005-0000-0000-000038010000}"/>
    <cellStyle name="Comma 5 2 2 2 3 3 4 2" xfId="15314" xr:uid="{00000000-0005-0000-0000-000039010000}"/>
    <cellStyle name="Comma 5 2 2 2 3 3 5" xfId="10110" xr:uid="{00000000-0005-0000-0000-00003A010000}"/>
    <cellStyle name="Comma 5 2 2 2 3 3 5 2" xfId="18937" xr:uid="{00000000-0005-0000-0000-00003B010000}"/>
    <cellStyle name="Comma 5 2 2 2 3 3 6" xfId="11556" xr:uid="{00000000-0005-0000-0000-00003C010000}"/>
    <cellStyle name="Comma 5 2 2 2 3 3 7" xfId="5417" xr:uid="{00000000-0005-0000-0000-00003D010000}"/>
    <cellStyle name="Comma 5 2 2 2 3 4" xfId="1543" xr:uid="{00000000-0005-0000-0000-00003E010000}"/>
    <cellStyle name="Comma 5 2 2 2 3 4 2" xfId="3142" xr:uid="{00000000-0005-0000-0000-00003F010000}"/>
    <cellStyle name="Comma 5 2 2 2 3 4 2 2" xfId="18055" xr:uid="{00000000-0005-0000-0000-000040010000}"/>
    <cellStyle name="Comma 5 2 2 2 3 4 2 3" xfId="14476" xr:uid="{00000000-0005-0000-0000-000041010000}"/>
    <cellStyle name="Comma 5 2 2 2 3 4 2 4" xfId="9219" xr:uid="{00000000-0005-0000-0000-000042010000}"/>
    <cellStyle name="Comma 5 2 2 2 3 4 3" xfId="10673" xr:uid="{00000000-0005-0000-0000-000043010000}"/>
    <cellStyle name="Comma 5 2 2 2 3 4 3 2" xfId="19500" xr:uid="{00000000-0005-0000-0000-000044010000}"/>
    <cellStyle name="Comma 5 2 2 2 3 4 4" xfId="12119" xr:uid="{00000000-0005-0000-0000-000045010000}"/>
    <cellStyle name="Comma 5 2 2 2 3 4 5" xfId="7114" xr:uid="{00000000-0005-0000-0000-000046010000}"/>
    <cellStyle name="Comma 5 2 2 2 3 5" xfId="2099" xr:uid="{00000000-0005-0000-0000-000047010000}"/>
    <cellStyle name="Comma 5 2 2 2 3 5 2" xfId="17012" xr:uid="{00000000-0005-0000-0000-000048010000}"/>
    <cellStyle name="Comma 5 2 2 2 3 5 3" xfId="13433" xr:uid="{00000000-0005-0000-0000-000049010000}"/>
    <cellStyle name="Comma 5 2 2 2 3 5 4" xfId="8176" xr:uid="{00000000-0005-0000-0000-00004A010000}"/>
    <cellStyle name="Comma 5 2 2 2 3 6" xfId="5737" xr:uid="{00000000-0005-0000-0000-00004B010000}"/>
    <cellStyle name="Comma 5 2 2 2 3 6 2" xfId="14823" xr:uid="{00000000-0005-0000-0000-00004C010000}"/>
    <cellStyle name="Comma 5 2 2 2 3 7" xfId="9630" xr:uid="{00000000-0005-0000-0000-00004D010000}"/>
    <cellStyle name="Comma 5 2 2 2 3 7 2" xfId="18457" xr:uid="{00000000-0005-0000-0000-00004E010000}"/>
    <cellStyle name="Comma 5 2 2 2 3 8" xfId="11074" xr:uid="{00000000-0005-0000-0000-00004F010000}"/>
    <cellStyle name="Comma 5 2 2 2 3 9" xfId="4708" xr:uid="{00000000-0005-0000-0000-000050010000}"/>
    <cellStyle name="Comma 5 2 2 2 4" xfId="499" xr:uid="{00000000-0005-0000-0000-000051010000}"/>
    <cellStyle name="Comma 5 2 2 2 4 2" xfId="2229" xr:uid="{00000000-0005-0000-0000-000052010000}"/>
    <cellStyle name="Comma 5 2 2 2 4 2 2" xfId="16028" xr:uid="{00000000-0005-0000-0000-000053010000}"/>
    <cellStyle name="Comma 5 2 2 2 4 2 3" xfId="12275" xr:uid="{00000000-0005-0000-0000-000054010000}"/>
    <cellStyle name="Comma 5 2 2 2 4 2 4" xfId="7014" xr:uid="{00000000-0005-0000-0000-000055010000}"/>
    <cellStyle name="Comma 5 2 2 2 4 3" xfId="3497" xr:uid="{00000000-0005-0000-0000-000056010000}"/>
    <cellStyle name="Comma 5 2 2 2 4 3 2" xfId="17142" xr:uid="{00000000-0005-0000-0000-000057010000}"/>
    <cellStyle name="Comma 5 2 2 2 4 3 3" xfId="13563" xr:uid="{00000000-0005-0000-0000-000058010000}"/>
    <cellStyle name="Comma 5 2 2 2 4 3 4" xfId="8306" xr:uid="{00000000-0005-0000-0000-000059010000}"/>
    <cellStyle name="Comma 5 2 2 2 4 4" xfId="6130" xr:uid="{00000000-0005-0000-0000-00005A010000}"/>
    <cellStyle name="Comma 5 2 2 2 4 4 2" xfId="15214" xr:uid="{00000000-0005-0000-0000-00005B010000}"/>
    <cellStyle name="Comma 5 2 2 2 4 5" xfId="9760" xr:uid="{00000000-0005-0000-0000-00005C010000}"/>
    <cellStyle name="Comma 5 2 2 2 4 5 2" xfId="18587" xr:uid="{00000000-0005-0000-0000-00005D010000}"/>
    <cellStyle name="Comma 5 2 2 2 4 6" xfId="11204" xr:uid="{00000000-0005-0000-0000-00005E010000}"/>
    <cellStyle name="Comma 5 2 2 2 4 7" xfId="4608" xr:uid="{00000000-0005-0000-0000-00005F010000}"/>
    <cellStyle name="Comma 5 2 2 2 5" xfId="857" xr:uid="{00000000-0005-0000-0000-000060010000}"/>
    <cellStyle name="Comma 5 2 2 2 5 2" xfId="2577" xr:uid="{00000000-0005-0000-0000-000061010000}"/>
    <cellStyle name="Comma 5 2 2 2 5 2 2" xfId="16118" xr:uid="{00000000-0005-0000-0000-000062010000}"/>
    <cellStyle name="Comma 5 2 2 2 5 2 3" xfId="12540" xr:uid="{00000000-0005-0000-0000-000063010000}"/>
    <cellStyle name="Comma 5 2 2 2 5 2 4" xfId="7249" xr:uid="{00000000-0005-0000-0000-000064010000}"/>
    <cellStyle name="Comma 5 2 2 2 5 3" xfId="3845" xr:uid="{00000000-0005-0000-0000-000065010000}"/>
    <cellStyle name="Comma 5 2 2 2 5 3 2" xfId="17490" xr:uid="{00000000-0005-0000-0000-000066010000}"/>
    <cellStyle name="Comma 5 2 2 2 5 3 3" xfId="13911" xr:uid="{00000000-0005-0000-0000-000067010000}"/>
    <cellStyle name="Comma 5 2 2 2 5 3 4" xfId="8654" xr:uid="{00000000-0005-0000-0000-000068010000}"/>
    <cellStyle name="Comma 5 2 2 2 5 4" xfId="6365" xr:uid="{00000000-0005-0000-0000-000069010000}"/>
    <cellStyle name="Comma 5 2 2 2 5 4 2" xfId="15449" xr:uid="{00000000-0005-0000-0000-00006A010000}"/>
    <cellStyle name="Comma 5 2 2 2 5 5" xfId="10108" xr:uid="{00000000-0005-0000-0000-00006B010000}"/>
    <cellStyle name="Comma 5 2 2 2 5 5 2" xfId="18935" xr:uid="{00000000-0005-0000-0000-00006C010000}"/>
    <cellStyle name="Comma 5 2 2 2 5 6" xfId="11554" xr:uid="{00000000-0005-0000-0000-00006D010000}"/>
    <cellStyle name="Comma 5 2 2 2 5 7" xfId="4843" xr:uid="{00000000-0005-0000-0000-00006E010000}"/>
    <cellStyle name="Comma 5 2 2 2 6" xfId="1441" xr:uid="{00000000-0005-0000-0000-00006F010000}"/>
    <cellStyle name="Comma 5 2 2 2 6 2" xfId="3042" xr:uid="{00000000-0005-0000-0000-000070010000}"/>
    <cellStyle name="Comma 5 2 2 2 6 2 2" xfId="16591" xr:uid="{00000000-0005-0000-0000-000071010000}"/>
    <cellStyle name="Comma 5 2 2 2 6 2 3" xfId="13012" xr:uid="{00000000-0005-0000-0000-000072010000}"/>
    <cellStyle name="Comma 5 2 2 2 6 2 4" xfId="7723" xr:uid="{00000000-0005-0000-0000-000073010000}"/>
    <cellStyle name="Comma 5 2 2 2 6 3" xfId="4250" xr:uid="{00000000-0005-0000-0000-000074010000}"/>
    <cellStyle name="Comma 5 2 2 2 6 3 2" xfId="17955" xr:uid="{00000000-0005-0000-0000-000075010000}"/>
    <cellStyle name="Comma 5 2 2 2 6 3 3" xfId="14376" xr:uid="{00000000-0005-0000-0000-000076010000}"/>
    <cellStyle name="Comma 5 2 2 2 6 3 4" xfId="9119" xr:uid="{00000000-0005-0000-0000-000077010000}"/>
    <cellStyle name="Comma 5 2 2 2 6 4" xfId="5911" xr:uid="{00000000-0005-0000-0000-000078010000}"/>
    <cellStyle name="Comma 5 2 2 2 6 4 2" xfId="14997" xr:uid="{00000000-0005-0000-0000-000079010000}"/>
    <cellStyle name="Comma 5 2 2 2 6 5" xfId="10573" xr:uid="{00000000-0005-0000-0000-00007A010000}"/>
    <cellStyle name="Comma 5 2 2 2 6 5 2" xfId="19400" xr:uid="{00000000-0005-0000-0000-00007B010000}"/>
    <cellStyle name="Comma 5 2 2 2 6 6" xfId="12019" xr:uid="{00000000-0005-0000-0000-00007C010000}"/>
    <cellStyle name="Comma 5 2 2 2 6 7" xfId="5317" xr:uid="{00000000-0005-0000-0000-00007D010000}"/>
    <cellStyle name="Comma 5 2 2 2 7" xfId="1999" xr:uid="{00000000-0005-0000-0000-00007E010000}"/>
    <cellStyle name="Comma 5 2 2 2 7 2" xfId="15843" xr:uid="{00000000-0005-0000-0000-00007F010000}"/>
    <cellStyle name="Comma 5 2 2 2 7 3" xfId="12367" xr:uid="{00000000-0005-0000-0000-000080010000}"/>
    <cellStyle name="Comma 5 2 2 2 7 4" xfId="6797" xr:uid="{00000000-0005-0000-0000-000081010000}"/>
    <cellStyle name="Comma 5 2 2 2 8" xfId="3412" xr:uid="{00000000-0005-0000-0000-000082010000}"/>
    <cellStyle name="Comma 5 2 2 2 8 2" xfId="16912" xr:uid="{00000000-0005-0000-0000-000083010000}"/>
    <cellStyle name="Comma 5 2 2 2 8 3" xfId="13333" xr:uid="{00000000-0005-0000-0000-000084010000}"/>
    <cellStyle name="Comma 5 2 2 2 8 4" xfId="8076" xr:uid="{00000000-0005-0000-0000-000085010000}"/>
    <cellStyle name="Comma 5 2 2 2 9" xfId="5637" xr:uid="{00000000-0005-0000-0000-000086010000}"/>
    <cellStyle name="Comma 5 2 2 2 9 2" xfId="14723" xr:uid="{00000000-0005-0000-0000-000087010000}"/>
    <cellStyle name="Comma 5 2 2 3" xfId="266" xr:uid="{00000000-0005-0000-0000-000088010000}"/>
    <cellStyle name="Comma 5 2 2 3 10" xfId="11017" xr:uid="{00000000-0005-0000-0000-000089010000}"/>
    <cellStyle name="Comma 5 2 2 3 11" xfId="4434" xr:uid="{00000000-0005-0000-0000-00008A010000}"/>
    <cellStyle name="Comma 5 2 2 3 2" xfId="374" xr:uid="{00000000-0005-0000-0000-00008B010000}"/>
    <cellStyle name="Comma 5 2 2 3 2 2" xfId="503" xr:uid="{00000000-0005-0000-0000-00008C010000}"/>
    <cellStyle name="Comma 5 2 2 3 2 2 2" xfId="2233" xr:uid="{00000000-0005-0000-0000-00008D010000}"/>
    <cellStyle name="Comma 5 2 2 3 2 2 2 2" xfId="16122" xr:uid="{00000000-0005-0000-0000-00008E010000}"/>
    <cellStyle name="Comma 5 2 2 3 2 2 2 3" xfId="12544" xr:uid="{00000000-0005-0000-0000-00008F010000}"/>
    <cellStyle name="Comma 5 2 2 3 2 2 2 4" xfId="7253" xr:uid="{00000000-0005-0000-0000-000090010000}"/>
    <cellStyle name="Comma 5 2 2 3 2 2 3" xfId="3501" xr:uid="{00000000-0005-0000-0000-000091010000}"/>
    <cellStyle name="Comma 5 2 2 3 2 2 3 2" xfId="17146" xr:uid="{00000000-0005-0000-0000-000092010000}"/>
    <cellStyle name="Comma 5 2 2 3 2 2 3 3" xfId="13567" xr:uid="{00000000-0005-0000-0000-000093010000}"/>
    <cellStyle name="Comma 5 2 2 3 2 2 3 4" xfId="8310" xr:uid="{00000000-0005-0000-0000-000094010000}"/>
    <cellStyle name="Comma 5 2 2 3 2 2 4" xfId="6369" xr:uid="{00000000-0005-0000-0000-000095010000}"/>
    <cellStyle name="Comma 5 2 2 3 2 2 4 2" xfId="15453" xr:uid="{00000000-0005-0000-0000-000096010000}"/>
    <cellStyle name="Comma 5 2 2 3 2 2 5" xfId="9764" xr:uid="{00000000-0005-0000-0000-000097010000}"/>
    <cellStyle name="Comma 5 2 2 3 2 2 5 2" xfId="18591" xr:uid="{00000000-0005-0000-0000-000098010000}"/>
    <cellStyle name="Comma 5 2 2 3 2 2 6" xfId="11208" xr:uid="{00000000-0005-0000-0000-000099010000}"/>
    <cellStyle name="Comma 5 2 2 3 2 2 7" xfId="4847" xr:uid="{00000000-0005-0000-0000-00009A010000}"/>
    <cellStyle name="Comma 5 2 2 3 2 3" xfId="861" xr:uid="{00000000-0005-0000-0000-00009B010000}"/>
    <cellStyle name="Comma 5 2 2 3 2 3 2" xfId="2581" xr:uid="{00000000-0005-0000-0000-00009C010000}"/>
    <cellStyle name="Comma 5 2 2 3 2 3 2 2" xfId="16734" xr:uid="{00000000-0005-0000-0000-00009D010000}"/>
    <cellStyle name="Comma 5 2 2 3 2 3 2 3" xfId="13155" xr:uid="{00000000-0005-0000-0000-00009E010000}"/>
    <cellStyle name="Comma 5 2 2 3 2 3 2 4" xfId="7866" xr:uid="{00000000-0005-0000-0000-00009F010000}"/>
    <cellStyle name="Comma 5 2 2 3 2 3 3" xfId="3849" xr:uid="{00000000-0005-0000-0000-0000A0010000}"/>
    <cellStyle name="Comma 5 2 2 3 2 3 3 2" xfId="17494" xr:uid="{00000000-0005-0000-0000-0000A1010000}"/>
    <cellStyle name="Comma 5 2 2 3 2 3 3 3" xfId="13915" xr:uid="{00000000-0005-0000-0000-0000A2010000}"/>
    <cellStyle name="Comma 5 2 2 3 2 3 3 4" xfId="8658" xr:uid="{00000000-0005-0000-0000-0000A3010000}"/>
    <cellStyle name="Comma 5 2 2 3 2 3 4" xfId="6273" xr:uid="{00000000-0005-0000-0000-0000A4010000}"/>
    <cellStyle name="Comma 5 2 2 3 2 3 4 2" xfId="15357" xr:uid="{00000000-0005-0000-0000-0000A5010000}"/>
    <cellStyle name="Comma 5 2 2 3 2 3 5" xfId="10112" xr:uid="{00000000-0005-0000-0000-0000A6010000}"/>
    <cellStyle name="Comma 5 2 2 3 2 3 5 2" xfId="18939" xr:uid="{00000000-0005-0000-0000-0000A7010000}"/>
    <cellStyle name="Comma 5 2 2 3 2 3 6" xfId="11558" xr:uid="{00000000-0005-0000-0000-0000A8010000}"/>
    <cellStyle name="Comma 5 2 2 3 2 3 7" xfId="5460" xr:uid="{00000000-0005-0000-0000-0000A9010000}"/>
    <cellStyle name="Comma 5 2 2 3 2 4" xfId="1588" xr:uid="{00000000-0005-0000-0000-0000AA010000}"/>
    <cellStyle name="Comma 5 2 2 3 2 4 2" xfId="3185" xr:uid="{00000000-0005-0000-0000-0000AB010000}"/>
    <cellStyle name="Comma 5 2 2 3 2 4 2 2" xfId="18098" xr:uid="{00000000-0005-0000-0000-0000AC010000}"/>
    <cellStyle name="Comma 5 2 2 3 2 4 2 3" xfId="14519" xr:uid="{00000000-0005-0000-0000-0000AD010000}"/>
    <cellStyle name="Comma 5 2 2 3 2 4 2 4" xfId="9262" xr:uid="{00000000-0005-0000-0000-0000AE010000}"/>
    <cellStyle name="Comma 5 2 2 3 2 4 3" xfId="10716" xr:uid="{00000000-0005-0000-0000-0000AF010000}"/>
    <cellStyle name="Comma 5 2 2 3 2 4 3 2" xfId="19543" xr:uid="{00000000-0005-0000-0000-0000B0010000}"/>
    <cellStyle name="Comma 5 2 2 3 2 4 4" xfId="12162" xr:uid="{00000000-0005-0000-0000-0000B1010000}"/>
    <cellStyle name="Comma 5 2 2 3 2 4 5" xfId="7157" xr:uid="{00000000-0005-0000-0000-0000B2010000}"/>
    <cellStyle name="Comma 5 2 2 3 2 5" xfId="2142" xr:uid="{00000000-0005-0000-0000-0000B3010000}"/>
    <cellStyle name="Comma 5 2 2 3 2 5 2" xfId="17055" xr:uid="{00000000-0005-0000-0000-0000B4010000}"/>
    <cellStyle name="Comma 5 2 2 3 2 5 3" xfId="13476" xr:uid="{00000000-0005-0000-0000-0000B5010000}"/>
    <cellStyle name="Comma 5 2 2 3 2 5 4" xfId="8219" xr:uid="{00000000-0005-0000-0000-0000B6010000}"/>
    <cellStyle name="Comma 5 2 2 3 2 6" xfId="5780" xr:uid="{00000000-0005-0000-0000-0000B7010000}"/>
    <cellStyle name="Comma 5 2 2 3 2 6 2" xfId="14866" xr:uid="{00000000-0005-0000-0000-0000B8010000}"/>
    <cellStyle name="Comma 5 2 2 3 2 7" xfId="9673" xr:uid="{00000000-0005-0000-0000-0000B9010000}"/>
    <cellStyle name="Comma 5 2 2 3 2 7 2" xfId="18500" xr:uid="{00000000-0005-0000-0000-0000BA010000}"/>
    <cellStyle name="Comma 5 2 2 3 2 8" xfId="11117" xr:uid="{00000000-0005-0000-0000-0000BB010000}"/>
    <cellStyle name="Comma 5 2 2 3 2 9" xfId="4751" xr:uid="{00000000-0005-0000-0000-0000BC010000}"/>
    <cellStyle name="Comma 5 2 2 3 3" xfId="502" xr:uid="{00000000-0005-0000-0000-0000BD010000}"/>
    <cellStyle name="Comma 5 2 2 3 3 2" xfId="2232" xr:uid="{00000000-0005-0000-0000-0000BE010000}"/>
    <cellStyle name="Comma 5 2 2 3 3 2 2" xfId="16071" xr:uid="{00000000-0005-0000-0000-0000BF010000}"/>
    <cellStyle name="Comma 5 2 2 3 3 2 3" xfId="12254" xr:uid="{00000000-0005-0000-0000-0000C0010000}"/>
    <cellStyle name="Comma 5 2 2 3 3 2 4" xfId="7057" xr:uid="{00000000-0005-0000-0000-0000C1010000}"/>
    <cellStyle name="Comma 5 2 2 3 3 3" xfId="3500" xr:uid="{00000000-0005-0000-0000-0000C2010000}"/>
    <cellStyle name="Comma 5 2 2 3 3 3 2" xfId="17145" xr:uid="{00000000-0005-0000-0000-0000C3010000}"/>
    <cellStyle name="Comma 5 2 2 3 3 3 3" xfId="13566" xr:uid="{00000000-0005-0000-0000-0000C4010000}"/>
    <cellStyle name="Comma 5 2 2 3 3 3 4" xfId="8309" xr:uid="{00000000-0005-0000-0000-0000C5010000}"/>
    <cellStyle name="Comma 5 2 2 3 3 4" xfId="6173" xr:uid="{00000000-0005-0000-0000-0000C6010000}"/>
    <cellStyle name="Comma 5 2 2 3 3 4 2" xfId="15257" xr:uid="{00000000-0005-0000-0000-0000C7010000}"/>
    <cellStyle name="Comma 5 2 2 3 3 5" xfId="9763" xr:uid="{00000000-0005-0000-0000-0000C8010000}"/>
    <cellStyle name="Comma 5 2 2 3 3 5 2" xfId="18590" xr:uid="{00000000-0005-0000-0000-0000C9010000}"/>
    <cellStyle name="Comma 5 2 2 3 3 6" xfId="11207" xr:uid="{00000000-0005-0000-0000-0000CA010000}"/>
    <cellStyle name="Comma 5 2 2 3 3 7" xfId="4651" xr:uid="{00000000-0005-0000-0000-0000CB010000}"/>
    <cellStyle name="Comma 5 2 2 3 4" xfId="860" xr:uid="{00000000-0005-0000-0000-0000CC010000}"/>
    <cellStyle name="Comma 5 2 2 3 4 2" xfId="2580" xr:uid="{00000000-0005-0000-0000-0000CD010000}"/>
    <cellStyle name="Comma 5 2 2 3 4 2 2" xfId="16121" xr:uid="{00000000-0005-0000-0000-0000CE010000}"/>
    <cellStyle name="Comma 5 2 2 3 4 2 3" xfId="12543" xr:uid="{00000000-0005-0000-0000-0000CF010000}"/>
    <cellStyle name="Comma 5 2 2 3 4 2 4" xfId="7252" xr:uid="{00000000-0005-0000-0000-0000D0010000}"/>
    <cellStyle name="Comma 5 2 2 3 4 3" xfId="3848" xr:uid="{00000000-0005-0000-0000-0000D1010000}"/>
    <cellStyle name="Comma 5 2 2 3 4 3 2" xfId="17493" xr:uid="{00000000-0005-0000-0000-0000D2010000}"/>
    <cellStyle name="Comma 5 2 2 3 4 3 3" xfId="13914" xr:uid="{00000000-0005-0000-0000-0000D3010000}"/>
    <cellStyle name="Comma 5 2 2 3 4 3 4" xfId="8657" xr:uid="{00000000-0005-0000-0000-0000D4010000}"/>
    <cellStyle name="Comma 5 2 2 3 4 4" xfId="6368" xr:uid="{00000000-0005-0000-0000-0000D5010000}"/>
    <cellStyle name="Comma 5 2 2 3 4 4 2" xfId="15452" xr:uid="{00000000-0005-0000-0000-0000D6010000}"/>
    <cellStyle name="Comma 5 2 2 3 4 5" xfId="10111" xr:uid="{00000000-0005-0000-0000-0000D7010000}"/>
    <cellStyle name="Comma 5 2 2 3 4 5 2" xfId="18938" xr:uid="{00000000-0005-0000-0000-0000D8010000}"/>
    <cellStyle name="Comma 5 2 2 3 4 6" xfId="11557" xr:uid="{00000000-0005-0000-0000-0000D9010000}"/>
    <cellStyle name="Comma 5 2 2 3 4 7" xfId="4846" xr:uid="{00000000-0005-0000-0000-0000DA010000}"/>
    <cellStyle name="Comma 5 2 2 3 5" xfId="1486" xr:uid="{00000000-0005-0000-0000-0000DB010000}"/>
    <cellStyle name="Comma 5 2 2 3 5 2" xfId="3085" xr:uid="{00000000-0005-0000-0000-0000DC010000}"/>
    <cellStyle name="Comma 5 2 2 3 5 2 2" xfId="16634" xr:uid="{00000000-0005-0000-0000-0000DD010000}"/>
    <cellStyle name="Comma 5 2 2 3 5 2 3" xfId="13055" xr:uid="{00000000-0005-0000-0000-0000DE010000}"/>
    <cellStyle name="Comma 5 2 2 3 5 2 4" xfId="7766" xr:uid="{00000000-0005-0000-0000-0000DF010000}"/>
    <cellStyle name="Comma 5 2 2 3 5 3" xfId="4293" xr:uid="{00000000-0005-0000-0000-0000E0010000}"/>
    <cellStyle name="Comma 5 2 2 3 5 3 2" xfId="17998" xr:uid="{00000000-0005-0000-0000-0000E1010000}"/>
    <cellStyle name="Comma 5 2 2 3 5 3 3" xfId="14419" xr:uid="{00000000-0005-0000-0000-0000E2010000}"/>
    <cellStyle name="Comma 5 2 2 3 5 3 4" xfId="9162" xr:uid="{00000000-0005-0000-0000-0000E3010000}"/>
    <cellStyle name="Comma 5 2 2 3 5 4" xfId="5954" xr:uid="{00000000-0005-0000-0000-0000E4010000}"/>
    <cellStyle name="Comma 5 2 2 3 5 4 2" xfId="15040" xr:uid="{00000000-0005-0000-0000-0000E5010000}"/>
    <cellStyle name="Comma 5 2 2 3 5 5" xfId="10616" xr:uid="{00000000-0005-0000-0000-0000E6010000}"/>
    <cellStyle name="Comma 5 2 2 3 5 5 2" xfId="19443" xr:uid="{00000000-0005-0000-0000-0000E7010000}"/>
    <cellStyle name="Comma 5 2 2 3 5 6" xfId="12062" xr:uid="{00000000-0005-0000-0000-0000E8010000}"/>
    <cellStyle name="Comma 5 2 2 3 5 7" xfId="5360" xr:uid="{00000000-0005-0000-0000-0000E9010000}"/>
    <cellStyle name="Comma 5 2 2 3 6" xfId="2042" xr:uid="{00000000-0005-0000-0000-0000EA010000}"/>
    <cellStyle name="Comma 5 2 2 3 6 2" xfId="15883" xr:uid="{00000000-0005-0000-0000-0000EB010000}"/>
    <cellStyle name="Comma 5 2 2 3 6 3" xfId="12422" xr:uid="{00000000-0005-0000-0000-0000EC010000}"/>
    <cellStyle name="Comma 5 2 2 3 6 4" xfId="6840" xr:uid="{00000000-0005-0000-0000-0000ED010000}"/>
    <cellStyle name="Comma 5 2 2 3 7" xfId="3455" xr:uid="{00000000-0005-0000-0000-0000EE010000}"/>
    <cellStyle name="Comma 5 2 2 3 7 2" xfId="16955" xr:uid="{00000000-0005-0000-0000-0000EF010000}"/>
    <cellStyle name="Comma 5 2 2 3 7 3" xfId="13376" xr:uid="{00000000-0005-0000-0000-0000F0010000}"/>
    <cellStyle name="Comma 5 2 2 3 7 4" xfId="8119" xr:uid="{00000000-0005-0000-0000-0000F1010000}"/>
    <cellStyle name="Comma 5 2 2 3 8" xfId="5680" xr:uid="{00000000-0005-0000-0000-0000F2010000}"/>
    <cellStyle name="Comma 5 2 2 3 8 2" xfId="14766" xr:uid="{00000000-0005-0000-0000-0000F3010000}"/>
    <cellStyle name="Comma 5 2 2 3 9" xfId="9573" xr:uid="{00000000-0005-0000-0000-0000F4010000}"/>
    <cellStyle name="Comma 5 2 2 3 9 2" xfId="18400" xr:uid="{00000000-0005-0000-0000-0000F5010000}"/>
    <cellStyle name="Comma 5 2 2 4" xfId="190" xr:uid="{00000000-0005-0000-0000-0000F6010000}"/>
    <cellStyle name="Comma 5 2 2 4 10" xfId="10944" xr:uid="{00000000-0005-0000-0000-0000F7010000}"/>
    <cellStyle name="Comma 5 2 2 4 11" xfId="4466" xr:uid="{00000000-0005-0000-0000-0000F8010000}"/>
    <cellStyle name="Comma 5 2 2 4 2" xfId="407" xr:uid="{00000000-0005-0000-0000-0000F9010000}"/>
    <cellStyle name="Comma 5 2 2 4 2 2" xfId="505" xr:uid="{00000000-0005-0000-0000-0000FA010000}"/>
    <cellStyle name="Comma 5 2 2 4 2 2 2" xfId="2235" xr:uid="{00000000-0005-0000-0000-0000FB010000}"/>
    <cellStyle name="Comma 5 2 2 4 2 2 2 2" xfId="16124" xr:uid="{00000000-0005-0000-0000-0000FC010000}"/>
    <cellStyle name="Comma 5 2 2 4 2 2 2 3" xfId="12546" xr:uid="{00000000-0005-0000-0000-0000FD010000}"/>
    <cellStyle name="Comma 5 2 2 4 2 2 2 4" xfId="7255" xr:uid="{00000000-0005-0000-0000-0000FE010000}"/>
    <cellStyle name="Comma 5 2 2 4 2 2 3" xfId="3503" xr:uid="{00000000-0005-0000-0000-0000FF010000}"/>
    <cellStyle name="Comma 5 2 2 4 2 2 3 2" xfId="17148" xr:uid="{00000000-0005-0000-0000-000000020000}"/>
    <cellStyle name="Comma 5 2 2 4 2 2 3 3" xfId="13569" xr:uid="{00000000-0005-0000-0000-000001020000}"/>
    <cellStyle name="Comma 5 2 2 4 2 2 3 4" xfId="8312" xr:uid="{00000000-0005-0000-0000-000002020000}"/>
    <cellStyle name="Comma 5 2 2 4 2 2 4" xfId="6371" xr:uid="{00000000-0005-0000-0000-000003020000}"/>
    <cellStyle name="Comma 5 2 2 4 2 2 4 2" xfId="15455" xr:uid="{00000000-0005-0000-0000-000004020000}"/>
    <cellStyle name="Comma 5 2 2 4 2 2 5" xfId="9766" xr:uid="{00000000-0005-0000-0000-000005020000}"/>
    <cellStyle name="Comma 5 2 2 4 2 2 5 2" xfId="18593" xr:uid="{00000000-0005-0000-0000-000006020000}"/>
    <cellStyle name="Comma 5 2 2 4 2 2 6" xfId="11210" xr:uid="{00000000-0005-0000-0000-000007020000}"/>
    <cellStyle name="Comma 5 2 2 4 2 2 7" xfId="4849" xr:uid="{00000000-0005-0000-0000-000008020000}"/>
    <cellStyle name="Comma 5 2 2 4 2 3" xfId="863" xr:uid="{00000000-0005-0000-0000-000009020000}"/>
    <cellStyle name="Comma 5 2 2 4 2 3 2" xfId="2583" xr:uid="{00000000-0005-0000-0000-00000A020000}"/>
    <cellStyle name="Comma 5 2 2 4 2 3 2 2" xfId="16766" xr:uid="{00000000-0005-0000-0000-00000B020000}"/>
    <cellStyle name="Comma 5 2 2 4 2 3 2 3" xfId="13187" xr:uid="{00000000-0005-0000-0000-00000C020000}"/>
    <cellStyle name="Comma 5 2 2 4 2 3 2 4" xfId="7898" xr:uid="{00000000-0005-0000-0000-00000D020000}"/>
    <cellStyle name="Comma 5 2 2 4 2 3 3" xfId="3851" xr:uid="{00000000-0005-0000-0000-00000E020000}"/>
    <cellStyle name="Comma 5 2 2 4 2 3 3 2" xfId="17496" xr:uid="{00000000-0005-0000-0000-00000F020000}"/>
    <cellStyle name="Comma 5 2 2 4 2 3 3 3" xfId="13917" xr:uid="{00000000-0005-0000-0000-000010020000}"/>
    <cellStyle name="Comma 5 2 2 4 2 3 3 4" xfId="8660" xr:uid="{00000000-0005-0000-0000-000011020000}"/>
    <cellStyle name="Comma 5 2 2 4 2 3 4" xfId="6305" xr:uid="{00000000-0005-0000-0000-000012020000}"/>
    <cellStyle name="Comma 5 2 2 4 2 3 4 2" xfId="15389" xr:uid="{00000000-0005-0000-0000-000013020000}"/>
    <cellStyle name="Comma 5 2 2 4 2 3 5" xfId="10114" xr:uid="{00000000-0005-0000-0000-000014020000}"/>
    <cellStyle name="Comma 5 2 2 4 2 3 5 2" xfId="18941" xr:uid="{00000000-0005-0000-0000-000015020000}"/>
    <cellStyle name="Comma 5 2 2 4 2 3 6" xfId="11560" xr:uid="{00000000-0005-0000-0000-000016020000}"/>
    <cellStyle name="Comma 5 2 2 4 2 3 7" xfId="5492" xr:uid="{00000000-0005-0000-0000-000017020000}"/>
    <cellStyle name="Comma 5 2 2 4 2 4" xfId="1621" xr:uid="{00000000-0005-0000-0000-000018020000}"/>
    <cellStyle name="Comma 5 2 2 4 2 4 2" xfId="3217" xr:uid="{00000000-0005-0000-0000-000019020000}"/>
    <cellStyle name="Comma 5 2 2 4 2 4 2 2" xfId="18130" xr:uid="{00000000-0005-0000-0000-00001A020000}"/>
    <cellStyle name="Comma 5 2 2 4 2 4 2 3" xfId="14551" xr:uid="{00000000-0005-0000-0000-00001B020000}"/>
    <cellStyle name="Comma 5 2 2 4 2 4 2 4" xfId="9294" xr:uid="{00000000-0005-0000-0000-00001C020000}"/>
    <cellStyle name="Comma 5 2 2 4 2 4 3" xfId="10748" xr:uid="{00000000-0005-0000-0000-00001D020000}"/>
    <cellStyle name="Comma 5 2 2 4 2 4 3 2" xfId="19575" xr:uid="{00000000-0005-0000-0000-00001E020000}"/>
    <cellStyle name="Comma 5 2 2 4 2 4 4" xfId="12194" xr:uid="{00000000-0005-0000-0000-00001F020000}"/>
    <cellStyle name="Comma 5 2 2 4 2 4 5" xfId="7189" xr:uid="{00000000-0005-0000-0000-000020020000}"/>
    <cellStyle name="Comma 5 2 2 4 2 5" xfId="2174" xr:uid="{00000000-0005-0000-0000-000021020000}"/>
    <cellStyle name="Comma 5 2 2 4 2 5 2" xfId="17087" xr:uid="{00000000-0005-0000-0000-000022020000}"/>
    <cellStyle name="Comma 5 2 2 4 2 5 3" xfId="13508" xr:uid="{00000000-0005-0000-0000-000023020000}"/>
    <cellStyle name="Comma 5 2 2 4 2 5 4" xfId="8251" xr:uid="{00000000-0005-0000-0000-000024020000}"/>
    <cellStyle name="Comma 5 2 2 4 2 6" xfId="5812" xr:uid="{00000000-0005-0000-0000-000025020000}"/>
    <cellStyle name="Comma 5 2 2 4 2 6 2" xfId="14898" xr:uid="{00000000-0005-0000-0000-000026020000}"/>
    <cellStyle name="Comma 5 2 2 4 2 7" xfId="9705" xr:uid="{00000000-0005-0000-0000-000027020000}"/>
    <cellStyle name="Comma 5 2 2 4 2 7 2" xfId="18532" xr:uid="{00000000-0005-0000-0000-000028020000}"/>
    <cellStyle name="Comma 5 2 2 4 2 8" xfId="11149" xr:uid="{00000000-0005-0000-0000-000029020000}"/>
    <cellStyle name="Comma 5 2 2 4 2 9" xfId="4783" xr:uid="{00000000-0005-0000-0000-00002A020000}"/>
    <cellStyle name="Comma 5 2 2 4 3" xfId="504" xr:uid="{00000000-0005-0000-0000-00002B020000}"/>
    <cellStyle name="Comma 5 2 2 4 3 2" xfId="2234" xr:uid="{00000000-0005-0000-0000-00002C020000}"/>
    <cellStyle name="Comma 5 2 2 4 3 2 2" xfId="15998" xr:uid="{00000000-0005-0000-0000-00002D020000}"/>
    <cellStyle name="Comma 5 2 2 4 3 2 3" xfId="12308" xr:uid="{00000000-0005-0000-0000-00002E020000}"/>
    <cellStyle name="Comma 5 2 2 4 3 2 4" xfId="6984" xr:uid="{00000000-0005-0000-0000-00002F020000}"/>
    <cellStyle name="Comma 5 2 2 4 3 3" xfId="3502" xr:uid="{00000000-0005-0000-0000-000030020000}"/>
    <cellStyle name="Comma 5 2 2 4 3 3 2" xfId="17147" xr:uid="{00000000-0005-0000-0000-000031020000}"/>
    <cellStyle name="Comma 5 2 2 4 3 3 3" xfId="13568" xr:uid="{00000000-0005-0000-0000-000032020000}"/>
    <cellStyle name="Comma 5 2 2 4 3 3 4" xfId="8311" xr:uid="{00000000-0005-0000-0000-000033020000}"/>
    <cellStyle name="Comma 5 2 2 4 3 4" xfId="6100" xr:uid="{00000000-0005-0000-0000-000034020000}"/>
    <cellStyle name="Comma 5 2 2 4 3 4 2" xfId="15184" xr:uid="{00000000-0005-0000-0000-000035020000}"/>
    <cellStyle name="Comma 5 2 2 4 3 5" xfId="9765" xr:uid="{00000000-0005-0000-0000-000036020000}"/>
    <cellStyle name="Comma 5 2 2 4 3 5 2" xfId="18592" xr:uid="{00000000-0005-0000-0000-000037020000}"/>
    <cellStyle name="Comma 5 2 2 4 3 6" xfId="11209" xr:uid="{00000000-0005-0000-0000-000038020000}"/>
    <cellStyle name="Comma 5 2 2 4 3 7" xfId="4578" xr:uid="{00000000-0005-0000-0000-000039020000}"/>
    <cellStyle name="Comma 5 2 2 4 4" xfId="862" xr:uid="{00000000-0005-0000-0000-00003A020000}"/>
    <cellStyle name="Comma 5 2 2 4 4 2" xfId="2582" xr:uid="{00000000-0005-0000-0000-00003B020000}"/>
    <cellStyle name="Comma 5 2 2 4 4 2 2" xfId="16123" xr:uid="{00000000-0005-0000-0000-00003C020000}"/>
    <cellStyle name="Comma 5 2 2 4 4 2 3" xfId="12545" xr:uid="{00000000-0005-0000-0000-00003D020000}"/>
    <cellStyle name="Comma 5 2 2 4 4 2 4" xfId="7254" xr:uid="{00000000-0005-0000-0000-00003E020000}"/>
    <cellStyle name="Comma 5 2 2 4 4 3" xfId="3850" xr:uid="{00000000-0005-0000-0000-00003F020000}"/>
    <cellStyle name="Comma 5 2 2 4 4 3 2" xfId="17495" xr:uid="{00000000-0005-0000-0000-000040020000}"/>
    <cellStyle name="Comma 5 2 2 4 4 3 3" xfId="13916" xr:uid="{00000000-0005-0000-0000-000041020000}"/>
    <cellStyle name="Comma 5 2 2 4 4 3 4" xfId="8659" xr:uid="{00000000-0005-0000-0000-000042020000}"/>
    <cellStyle name="Comma 5 2 2 4 4 4" xfId="6370" xr:uid="{00000000-0005-0000-0000-000043020000}"/>
    <cellStyle name="Comma 5 2 2 4 4 4 2" xfId="15454" xr:uid="{00000000-0005-0000-0000-000044020000}"/>
    <cellStyle name="Comma 5 2 2 4 4 5" xfId="10113" xr:uid="{00000000-0005-0000-0000-000045020000}"/>
    <cellStyle name="Comma 5 2 2 4 4 5 2" xfId="18940" xr:uid="{00000000-0005-0000-0000-000046020000}"/>
    <cellStyle name="Comma 5 2 2 4 4 6" xfId="11559" xr:uid="{00000000-0005-0000-0000-000047020000}"/>
    <cellStyle name="Comma 5 2 2 4 4 7" xfId="4848" xr:uid="{00000000-0005-0000-0000-000048020000}"/>
    <cellStyle name="Comma 5 2 2 4 5" xfId="1407" xr:uid="{00000000-0005-0000-0000-000049020000}"/>
    <cellStyle name="Comma 5 2 2 4 5 2" xfId="3012" xr:uid="{00000000-0005-0000-0000-00004A020000}"/>
    <cellStyle name="Comma 5 2 2 4 5 2 2" xfId="16561" xr:uid="{00000000-0005-0000-0000-00004B020000}"/>
    <cellStyle name="Comma 5 2 2 4 5 2 3" xfId="12982" xr:uid="{00000000-0005-0000-0000-00004C020000}"/>
    <cellStyle name="Comma 5 2 2 4 5 2 4" xfId="7693" xr:uid="{00000000-0005-0000-0000-00004D020000}"/>
    <cellStyle name="Comma 5 2 2 4 5 3" xfId="4220" xr:uid="{00000000-0005-0000-0000-00004E020000}"/>
    <cellStyle name="Comma 5 2 2 4 5 3 2" xfId="17925" xr:uid="{00000000-0005-0000-0000-00004F020000}"/>
    <cellStyle name="Comma 5 2 2 4 5 3 3" xfId="14346" xr:uid="{00000000-0005-0000-0000-000050020000}"/>
    <cellStyle name="Comma 5 2 2 4 5 3 4" xfId="9089" xr:uid="{00000000-0005-0000-0000-000051020000}"/>
    <cellStyle name="Comma 5 2 2 4 5 4" xfId="5986" xr:uid="{00000000-0005-0000-0000-000052020000}"/>
    <cellStyle name="Comma 5 2 2 4 5 4 2" xfId="15072" xr:uid="{00000000-0005-0000-0000-000053020000}"/>
    <cellStyle name="Comma 5 2 2 4 5 5" xfId="10543" xr:uid="{00000000-0005-0000-0000-000054020000}"/>
    <cellStyle name="Comma 5 2 2 4 5 5 2" xfId="19370" xr:uid="{00000000-0005-0000-0000-000055020000}"/>
    <cellStyle name="Comma 5 2 2 4 5 6" xfId="11989" xr:uid="{00000000-0005-0000-0000-000056020000}"/>
    <cellStyle name="Comma 5 2 2 4 5 7" xfId="5287" xr:uid="{00000000-0005-0000-0000-000057020000}"/>
    <cellStyle name="Comma 5 2 2 4 6" xfId="1969" xr:uid="{00000000-0005-0000-0000-000058020000}"/>
    <cellStyle name="Comma 5 2 2 4 6 2" xfId="15915" xr:uid="{00000000-0005-0000-0000-000059020000}"/>
    <cellStyle name="Comma 5 2 2 4 6 3" xfId="12415" xr:uid="{00000000-0005-0000-0000-00005A020000}"/>
    <cellStyle name="Comma 5 2 2 4 6 4" xfId="6872" xr:uid="{00000000-0005-0000-0000-00005B020000}"/>
    <cellStyle name="Comma 5 2 2 4 7" xfId="3383" xr:uid="{00000000-0005-0000-0000-00005C020000}"/>
    <cellStyle name="Comma 5 2 2 4 7 2" xfId="16882" xr:uid="{00000000-0005-0000-0000-00005D020000}"/>
    <cellStyle name="Comma 5 2 2 4 7 3" xfId="13303" xr:uid="{00000000-0005-0000-0000-00005E020000}"/>
    <cellStyle name="Comma 5 2 2 4 7 4" xfId="8046" xr:uid="{00000000-0005-0000-0000-00005F020000}"/>
    <cellStyle name="Comma 5 2 2 4 8" xfId="5607" xr:uid="{00000000-0005-0000-0000-000060020000}"/>
    <cellStyle name="Comma 5 2 2 4 8 2" xfId="14693" xr:uid="{00000000-0005-0000-0000-000061020000}"/>
    <cellStyle name="Comma 5 2 2 4 9" xfId="9500" xr:uid="{00000000-0005-0000-0000-000062020000}"/>
    <cellStyle name="Comma 5 2 2 4 9 2" xfId="18327" xr:uid="{00000000-0005-0000-0000-000063020000}"/>
    <cellStyle name="Comma 5 2 2 5" xfId="301" xr:uid="{00000000-0005-0000-0000-000064020000}"/>
    <cellStyle name="Comma 5 2 2 5 2" xfId="506" xr:uid="{00000000-0005-0000-0000-000065020000}"/>
    <cellStyle name="Comma 5 2 2 5 2 2" xfId="2236" xr:uid="{00000000-0005-0000-0000-000066020000}"/>
    <cellStyle name="Comma 5 2 2 5 2 2 2" xfId="16125" xr:uid="{00000000-0005-0000-0000-000067020000}"/>
    <cellStyle name="Comma 5 2 2 5 2 2 3" xfId="12547" xr:uid="{00000000-0005-0000-0000-000068020000}"/>
    <cellStyle name="Comma 5 2 2 5 2 2 4" xfId="7256" xr:uid="{00000000-0005-0000-0000-000069020000}"/>
    <cellStyle name="Comma 5 2 2 5 2 3" xfId="3504" xr:uid="{00000000-0005-0000-0000-00006A020000}"/>
    <cellStyle name="Comma 5 2 2 5 2 3 2" xfId="17149" xr:uid="{00000000-0005-0000-0000-00006B020000}"/>
    <cellStyle name="Comma 5 2 2 5 2 3 3" xfId="13570" xr:uid="{00000000-0005-0000-0000-00006C020000}"/>
    <cellStyle name="Comma 5 2 2 5 2 3 4" xfId="8313" xr:uid="{00000000-0005-0000-0000-00006D020000}"/>
    <cellStyle name="Comma 5 2 2 5 2 4" xfId="6372" xr:uid="{00000000-0005-0000-0000-00006E020000}"/>
    <cellStyle name="Comma 5 2 2 5 2 4 2" xfId="15456" xr:uid="{00000000-0005-0000-0000-00006F020000}"/>
    <cellStyle name="Comma 5 2 2 5 2 5" xfId="9767" xr:uid="{00000000-0005-0000-0000-000070020000}"/>
    <cellStyle name="Comma 5 2 2 5 2 5 2" xfId="18594" xr:uid="{00000000-0005-0000-0000-000071020000}"/>
    <cellStyle name="Comma 5 2 2 5 2 6" xfId="11211" xr:uid="{00000000-0005-0000-0000-000072020000}"/>
    <cellStyle name="Comma 5 2 2 5 2 7" xfId="4850" xr:uid="{00000000-0005-0000-0000-000073020000}"/>
    <cellStyle name="Comma 5 2 2 5 3" xfId="864" xr:uid="{00000000-0005-0000-0000-000074020000}"/>
    <cellStyle name="Comma 5 2 2 5 3 2" xfId="2584" xr:uid="{00000000-0005-0000-0000-000075020000}"/>
    <cellStyle name="Comma 5 2 2 5 3 2 2" xfId="16661" xr:uid="{00000000-0005-0000-0000-000076020000}"/>
    <cellStyle name="Comma 5 2 2 5 3 2 3" xfId="13082" xr:uid="{00000000-0005-0000-0000-000077020000}"/>
    <cellStyle name="Comma 5 2 2 5 3 2 4" xfId="7793" xr:uid="{00000000-0005-0000-0000-000078020000}"/>
    <cellStyle name="Comma 5 2 2 5 3 3" xfId="3852" xr:uid="{00000000-0005-0000-0000-000079020000}"/>
    <cellStyle name="Comma 5 2 2 5 3 3 2" xfId="17497" xr:uid="{00000000-0005-0000-0000-00007A020000}"/>
    <cellStyle name="Comma 5 2 2 5 3 3 3" xfId="13918" xr:uid="{00000000-0005-0000-0000-00007B020000}"/>
    <cellStyle name="Comma 5 2 2 5 3 3 4" xfId="8661" xr:uid="{00000000-0005-0000-0000-00007C020000}"/>
    <cellStyle name="Comma 5 2 2 5 3 4" xfId="6200" xr:uid="{00000000-0005-0000-0000-00007D020000}"/>
    <cellStyle name="Comma 5 2 2 5 3 4 2" xfId="15284" xr:uid="{00000000-0005-0000-0000-00007E020000}"/>
    <cellStyle name="Comma 5 2 2 5 3 5" xfId="10115" xr:uid="{00000000-0005-0000-0000-00007F020000}"/>
    <cellStyle name="Comma 5 2 2 5 3 5 2" xfId="18942" xr:uid="{00000000-0005-0000-0000-000080020000}"/>
    <cellStyle name="Comma 5 2 2 5 3 6" xfId="11561" xr:uid="{00000000-0005-0000-0000-000081020000}"/>
    <cellStyle name="Comma 5 2 2 5 3 7" xfId="5387" xr:uid="{00000000-0005-0000-0000-000082020000}"/>
    <cellStyle name="Comma 5 2 2 5 4" xfId="1513" xr:uid="{00000000-0005-0000-0000-000083020000}"/>
    <cellStyle name="Comma 5 2 2 5 4 2" xfId="3112" xr:uid="{00000000-0005-0000-0000-000084020000}"/>
    <cellStyle name="Comma 5 2 2 5 4 2 2" xfId="18025" xr:uid="{00000000-0005-0000-0000-000085020000}"/>
    <cellStyle name="Comma 5 2 2 5 4 2 3" xfId="14446" xr:uid="{00000000-0005-0000-0000-000086020000}"/>
    <cellStyle name="Comma 5 2 2 5 4 2 4" xfId="9189" xr:uid="{00000000-0005-0000-0000-000087020000}"/>
    <cellStyle name="Comma 5 2 2 5 4 3" xfId="10643" xr:uid="{00000000-0005-0000-0000-000088020000}"/>
    <cellStyle name="Comma 5 2 2 5 4 3 2" xfId="19470" xr:uid="{00000000-0005-0000-0000-000089020000}"/>
    <cellStyle name="Comma 5 2 2 5 4 4" xfId="12089" xr:uid="{00000000-0005-0000-0000-00008A020000}"/>
    <cellStyle name="Comma 5 2 2 5 4 5" xfId="7084" xr:uid="{00000000-0005-0000-0000-00008B020000}"/>
    <cellStyle name="Comma 5 2 2 5 5" xfId="2069" xr:uid="{00000000-0005-0000-0000-00008C020000}"/>
    <cellStyle name="Comma 5 2 2 5 5 2" xfId="16982" xr:uid="{00000000-0005-0000-0000-00008D020000}"/>
    <cellStyle name="Comma 5 2 2 5 5 3" xfId="13403" xr:uid="{00000000-0005-0000-0000-00008E020000}"/>
    <cellStyle name="Comma 5 2 2 5 5 4" xfId="8146" xr:uid="{00000000-0005-0000-0000-00008F020000}"/>
    <cellStyle name="Comma 5 2 2 5 6" xfId="5707" xr:uid="{00000000-0005-0000-0000-000090020000}"/>
    <cellStyle name="Comma 5 2 2 5 6 2" xfId="14793" xr:uid="{00000000-0005-0000-0000-000091020000}"/>
    <cellStyle name="Comma 5 2 2 5 7" xfId="9600" xr:uid="{00000000-0005-0000-0000-000092020000}"/>
    <cellStyle name="Comma 5 2 2 5 7 2" xfId="18427" xr:uid="{00000000-0005-0000-0000-000093020000}"/>
    <cellStyle name="Comma 5 2 2 5 8" xfId="11044" xr:uid="{00000000-0005-0000-0000-000094020000}"/>
    <cellStyle name="Comma 5 2 2 5 9" xfId="4678" xr:uid="{00000000-0005-0000-0000-000095020000}"/>
    <cellStyle name="Comma 5 2 2 6" xfId="481" xr:uid="{00000000-0005-0000-0000-000096020000}"/>
    <cellStyle name="Comma 5 2 2 6 2" xfId="507" xr:uid="{00000000-0005-0000-0000-000097020000}"/>
    <cellStyle name="Comma 5 2 2 6 2 2" xfId="2237" xr:uid="{00000000-0005-0000-0000-000098020000}"/>
    <cellStyle name="Comma 5 2 2 6 2 2 2" xfId="16126" xr:uid="{00000000-0005-0000-0000-000099020000}"/>
    <cellStyle name="Comma 5 2 2 6 2 2 3" xfId="12548" xr:uid="{00000000-0005-0000-0000-00009A020000}"/>
    <cellStyle name="Comma 5 2 2 6 2 2 4" xfId="7257" xr:uid="{00000000-0005-0000-0000-00009B020000}"/>
    <cellStyle name="Comma 5 2 2 6 2 3" xfId="3505" xr:uid="{00000000-0005-0000-0000-00009C020000}"/>
    <cellStyle name="Comma 5 2 2 6 2 3 2" xfId="17150" xr:uid="{00000000-0005-0000-0000-00009D020000}"/>
    <cellStyle name="Comma 5 2 2 6 2 3 3" xfId="13571" xr:uid="{00000000-0005-0000-0000-00009E020000}"/>
    <cellStyle name="Comma 5 2 2 6 2 3 4" xfId="8314" xr:uid="{00000000-0005-0000-0000-00009F020000}"/>
    <cellStyle name="Comma 5 2 2 6 2 4" xfId="6373" xr:uid="{00000000-0005-0000-0000-0000A0020000}"/>
    <cellStyle name="Comma 5 2 2 6 2 4 2" xfId="15457" xr:uid="{00000000-0005-0000-0000-0000A1020000}"/>
    <cellStyle name="Comma 5 2 2 6 2 5" xfId="9768" xr:uid="{00000000-0005-0000-0000-0000A2020000}"/>
    <cellStyle name="Comma 5 2 2 6 2 5 2" xfId="18595" xr:uid="{00000000-0005-0000-0000-0000A3020000}"/>
    <cellStyle name="Comma 5 2 2 6 2 6" xfId="11212" xr:uid="{00000000-0005-0000-0000-0000A4020000}"/>
    <cellStyle name="Comma 5 2 2 6 2 7" xfId="4851" xr:uid="{00000000-0005-0000-0000-0000A5020000}"/>
    <cellStyle name="Comma 5 2 2 6 3" xfId="865" xr:uid="{00000000-0005-0000-0000-0000A6020000}"/>
    <cellStyle name="Comma 5 2 2 6 3 2" xfId="2585" xr:uid="{00000000-0005-0000-0000-0000A7020000}"/>
    <cellStyle name="Comma 5 2 2 6 3 2 2" xfId="16534" xr:uid="{00000000-0005-0000-0000-0000A8020000}"/>
    <cellStyle name="Comma 5 2 2 6 3 2 3" xfId="12955" xr:uid="{00000000-0005-0000-0000-0000A9020000}"/>
    <cellStyle name="Comma 5 2 2 6 3 2 4" xfId="7666" xr:uid="{00000000-0005-0000-0000-0000AA020000}"/>
    <cellStyle name="Comma 5 2 2 6 3 3" xfId="3853" xr:uid="{00000000-0005-0000-0000-0000AB020000}"/>
    <cellStyle name="Comma 5 2 2 6 3 3 2" xfId="17498" xr:uid="{00000000-0005-0000-0000-0000AC020000}"/>
    <cellStyle name="Comma 5 2 2 6 3 3 3" xfId="13919" xr:uid="{00000000-0005-0000-0000-0000AD020000}"/>
    <cellStyle name="Comma 5 2 2 6 3 3 4" xfId="8662" xr:uid="{00000000-0005-0000-0000-0000AE020000}"/>
    <cellStyle name="Comma 5 2 2 6 3 4" xfId="6721" xr:uid="{00000000-0005-0000-0000-0000AF020000}"/>
    <cellStyle name="Comma 5 2 2 6 3 4 2" xfId="15804" xr:uid="{00000000-0005-0000-0000-0000B0020000}"/>
    <cellStyle name="Comma 5 2 2 6 3 5" xfId="10116" xr:uid="{00000000-0005-0000-0000-0000B1020000}"/>
    <cellStyle name="Comma 5 2 2 6 3 5 2" xfId="18943" xr:uid="{00000000-0005-0000-0000-0000B2020000}"/>
    <cellStyle name="Comma 5 2 2 6 3 6" xfId="11562" xr:uid="{00000000-0005-0000-0000-0000B3020000}"/>
    <cellStyle name="Comma 5 2 2 6 3 7" xfId="5260" xr:uid="{00000000-0005-0000-0000-0000B4020000}"/>
    <cellStyle name="Comma 5 2 2 6 4" xfId="1376" xr:uid="{00000000-0005-0000-0000-0000B5020000}"/>
    <cellStyle name="Comma 5 2 2 6 4 2" xfId="2985" xr:uid="{00000000-0005-0000-0000-0000B6020000}"/>
    <cellStyle name="Comma 5 2 2 6 4 2 2" xfId="17898" xr:uid="{00000000-0005-0000-0000-0000B7020000}"/>
    <cellStyle name="Comma 5 2 2 6 4 2 3" xfId="14319" xr:uid="{00000000-0005-0000-0000-0000B8020000}"/>
    <cellStyle name="Comma 5 2 2 6 4 2 4" xfId="9062" xr:uid="{00000000-0005-0000-0000-0000B9020000}"/>
    <cellStyle name="Comma 5 2 2 6 4 3" xfId="10516" xr:uid="{00000000-0005-0000-0000-0000BA020000}"/>
    <cellStyle name="Comma 5 2 2 6 4 3 2" xfId="19343" xr:uid="{00000000-0005-0000-0000-0000BB020000}"/>
    <cellStyle name="Comma 5 2 2 6 4 4" xfId="11962" xr:uid="{00000000-0005-0000-0000-0000BC020000}"/>
    <cellStyle name="Comma 5 2 2 6 4 5" xfId="6957" xr:uid="{00000000-0005-0000-0000-0000BD020000}"/>
    <cellStyle name="Comma 5 2 2 6 5" xfId="1942" xr:uid="{00000000-0005-0000-0000-0000BE020000}"/>
    <cellStyle name="Comma 5 2 2 6 5 2" xfId="16853" xr:uid="{00000000-0005-0000-0000-0000BF020000}"/>
    <cellStyle name="Comma 5 2 2 6 5 3" xfId="13274" xr:uid="{00000000-0005-0000-0000-0000C0020000}"/>
    <cellStyle name="Comma 5 2 2 6 5 4" xfId="8017" xr:uid="{00000000-0005-0000-0000-0000C1020000}"/>
    <cellStyle name="Comma 5 2 2 6 6" xfId="6073" xr:uid="{00000000-0005-0000-0000-0000C2020000}"/>
    <cellStyle name="Comma 5 2 2 6 6 2" xfId="15157" xr:uid="{00000000-0005-0000-0000-0000C3020000}"/>
    <cellStyle name="Comma 5 2 2 6 7" xfId="9473" xr:uid="{00000000-0005-0000-0000-0000C4020000}"/>
    <cellStyle name="Comma 5 2 2 6 7 2" xfId="18300" xr:uid="{00000000-0005-0000-0000-0000C5020000}"/>
    <cellStyle name="Comma 5 2 2 6 8" xfId="10917" xr:uid="{00000000-0005-0000-0000-0000C6020000}"/>
    <cellStyle name="Comma 5 2 2 6 9" xfId="4551" xr:uid="{00000000-0005-0000-0000-0000C7020000}"/>
    <cellStyle name="Comma 5 2 2 7" xfId="498" xr:uid="{00000000-0005-0000-0000-0000C8020000}"/>
    <cellStyle name="Comma 5 2 2 7 2" xfId="2228" xr:uid="{00000000-0005-0000-0000-0000C9020000}"/>
    <cellStyle name="Comma 5 2 2 7 2 2" xfId="16117" xr:uid="{00000000-0005-0000-0000-0000CA020000}"/>
    <cellStyle name="Comma 5 2 2 7 2 3" xfId="12539" xr:uid="{00000000-0005-0000-0000-0000CB020000}"/>
    <cellStyle name="Comma 5 2 2 7 2 4" xfId="7248" xr:uid="{00000000-0005-0000-0000-0000CC020000}"/>
    <cellStyle name="Comma 5 2 2 7 3" xfId="3496" xr:uid="{00000000-0005-0000-0000-0000CD020000}"/>
    <cellStyle name="Comma 5 2 2 7 3 2" xfId="17141" xr:uid="{00000000-0005-0000-0000-0000CE020000}"/>
    <cellStyle name="Comma 5 2 2 7 3 3" xfId="13562" xr:uid="{00000000-0005-0000-0000-0000CF020000}"/>
    <cellStyle name="Comma 5 2 2 7 3 4" xfId="8305" xr:uid="{00000000-0005-0000-0000-0000D0020000}"/>
    <cellStyle name="Comma 5 2 2 7 4" xfId="6364" xr:uid="{00000000-0005-0000-0000-0000D1020000}"/>
    <cellStyle name="Comma 5 2 2 7 4 2" xfId="15448" xr:uid="{00000000-0005-0000-0000-0000D2020000}"/>
    <cellStyle name="Comma 5 2 2 7 5" xfId="9759" xr:uid="{00000000-0005-0000-0000-0000D3020000}"/>
    <cellStyle name="Comma 5 2 2 7 5 2" xfId="18586" xr:uid="{00000000-0005-0000-0000-0000D4020000}"/>
    <cellStyle name="Comma 5 2 2 7 6" xfId="11203" xr:uid="{00000000-0005-0000-0000-0000D5020000}"/>
    <cellStyle name="Comma 5 2 2 7 7" xfId="4842" xr:uid="{00000000-0005-0000-0000-0000D6020000}"/>
    <cellStyle name="Comma 5 2 2 8" xfId="856" xr:uid="{00000000-0005-0000-0000-0000D7020000}"/>
    <cellStyle name="Comma 5 2 2 8 2" xfId="2576" xr:uid="{00000000-0005-0000-0000-0000D8020000}"/>
    <cellStyle name="Comma 5 2 2 8 2 2" xfId="16489" xr:uid="{00000000-0005-0000-0000-0000D9020000}"/>
    <cellStyle name="Comma 5 2 2 8 2 3" xfId="12911" xr:uid="{00000000-0005-0000-0000-0000DA020000}"/>
    <cellStyle name="Comma 5 2 2 8 2 4" xfId="7621" xr:uid="{00000000-0005-0000-0000-0000DB020000}"/>
    <cellStyle name="Comma 5 2 2 8 3" xfId="3844" xr:uid="{00000000-0005-0000-0000-0000DC020000}"/>
    <cellStyle name="Comma 5 2 2 8 3 2" xfId="17489" xr:uid="{00000000-0005-0000-0000-0000DD020000}"/>
    <cellStyle name="Comma 5 2 2 8 3 3" xfId="13910" xr:uid="{00000000-0005-0000-0000-0000DE020000}"/>
    <cellStyle name="Comma 5 2 2 8 3 4" xfId="8653" xr:uid="{00000000-0005-0000-0000-0000DF020000}"/>
    <cellStyle name="Comma 5 2 2 8 4" xfId="5880" xr:uid="{00000000-0005-0000-0000-0000E0020000}"/>
    <cellStyle name="Comma 5 2 2 8 4 2" xfId="14966" xr:uid="{00000000-0005-0000-0000-0000E1020000}"/>
    <cellStyle name="Comma 5 2 2 8 5" xfId="10107" xr:uid="{00000000-0005-0000-0000-0000E2020000}"/>
    <cellStyle name="Comma 5 2 2 8 5 2" xfId="18934" xr:uid="{00000000-0005-0000-0000-0000E3020000}"/>
    <cellStyle name="Comma 5 2 2 8 6" xfId="11553" xr:uid="{00000000-0005-0000-0000-0000E4020000}"/>
    <cellStyle name="Comma 5 2 2 8 7" xfId="5215" xr:uid="{00000000-0005-0000-0000-0000E5020000}"/>
    <cellStyle name="Comma 5 2 2 9" xfId="1325" xr:uid="{00000000-0005-0000-0000-0000E6020000}"/>
    <cellStyle name="Comma 5 2 2 9 2" xfId="2940" xr:uid="{00000000-0005-0000-0000-0000E7020000}"/>
    <cellStyle name="Comma 5 2 2 9 2 2" xfId="17853" xr:uid="{00000000-0005-0000-0000-0000E8020000}"/>
    <cellStyle name="Comma 5 2 2 9 2 3" xfId="14274" xr:uid="{00000000-0005-0000-0000-0000E9020000}"/>
    <cellStyle name="Comma 5 2 2 9 2 4" xfId="9017" xr:uid="{00000000-0005-0000-0000-0000EA020000}"/>
    <cellStyle name="Comma 5 2 2 9 3" xfId="10471" xr:uid="{00000000-0005-0000-0000-0000EB020000}"/>
    <cellStyle name="Comma 5 2 2 9 3 2" xfId="19298" xr:uid="{00000000-0005-0000-0000-0000EC020000}"/>
    <cellStyle name="Comma 5 2 2 9 4" xfId="11917" xr:uid="{00000000-0005-0000-0000-0000ED020000}"/>
    <cellStyle name="Comma 5 2 2 9 5" xfId="6766" xr:uid="{00000000-0005-0000-0000-0000EE020000}"/>
    <cellStyle name="Comma 5 2 3" xfId="156" xr:uid="{00000000-0005-0000-0000-0000EF020000}"/>
    <cellStyle name="Comma 5 2 3 10" xfId="1905" xr:uid="{00000000-0005-0000-0000-0000F0020000}"/>
    <cellStyle name="Comma 5 2 3 10 2" xfId="9436" xr:uid="{00000000-0005-0000-0000-0000F1020000}"/>
    <cellStyle name="Comma 5 2 3 10 2 2" xfId="18263" xr:uid="{00000000-0005-0000-0000-0000F2020000}"/>
    <cellStyle name="Comma 5 2 3 10 3" xfId="10880" xr:uid="{00000000-0005-0000-0000-0000F3020000}"/>
    <cellStyle name="Comma 5 2 3 10 4" xfId="7980" xr:uid="{00000000-0005-0000-0000-0000F4020000}"/>
    <cellStyle name="Comma 5 2 3 11" xfId="1875" xr:uid="{00000000-0005-0000-0000-0000F5020000}"/>
    <cellStyle name="Comma 5 2 3 11 2" xfId="14674" xr:uid="{00000000-0005-0000-0000-0000F6020000}"/>
    <cellStyle name="Comma 5 2 3 11 3" xfId="5588" xr:uid="{00000000-0005-0000-0000-0000F7020000}"/>
    <cellStyle name="Comma 5 2 3 12" xfId="9406" xr:uid="{00000000-0005-0000-0000-0000F8020000}"/>
    <cellStyle name="Comma 5 2 3 12 2" xfId="18233" xr:uid="{00000000-0005-0000-0000-0000F9020000}"/>
    <cellStyle name="Comma 5 2 3 13" xfId="10850" xr:uid="{00000000-0005-0000-0000-0000FA020000}"/>
    <cellStyle name="Comma 5 2 3 14" xfId="4367" xr:uid="{00000000-0005-0000-0000-0000FB020000}"/>
    <cellStyle name="Comma 5 2 3 2" xfId="231" xr:uid="{00000000-0005-0000-0000-0000FC020000}"/>
    <cellStyle name="Comma 5 2 3 2 10" xfId="9538" xr:uid="{00000000-0005-0000-0000-0000FD020000}"/>
    <cellStyle name="Comma 5 2 3 2 10 2" xfId="18365" xr:uid="{00000000-0005-0000-0000-0000FE020000}"/>
    <cellStyle name="Comma 5 2 3 2 11" xfId="10982" xr:uid="{00000000-0005-0000-0000-0000FF020000}"/>
    <cellStyle name="Comma 5 2 3 2 12" xfId="4399" xr:uid="{00000000-0005-0000-0000-000000030000}"/>
    <cellStyle name="Comma 5 2 3 2 2" xfId="444" xr:uid="{00000000-0005-0000-0000-000001030000}"/>
    <cellStyle name="Comma 5 2 3 2 2 10" xfId="4503" xr:uid="{00000000-0005-0000-0000-000002030000}"/>
    <cellStyle name="Comma 5 2 3 2 2 2" xfId="510" xr:uid="{00000000-0005-0000-0000-000003030000}"/>
    <cellStyle name="Comma 5 2 3 2 2 2 2" xfId="2240" xr:uid="{00000000-0005-0000-0000-000004030000}"/>
    <cellStyle name="Comma 5 2 3 2 2 2 2 2" xfId="16095" xr:uid="{00000000-0005-0000-0000-000005030000}"/>
    <cellStyle name="Comma 5 2 3 2 2 2 2 3" xfId="12517" xr:uid="{00000000-0005-0000-0000-000006030000}"/>
    <cellStyle name="Comma 5 2 3 2 2 2 2 4" xfId="7226" xr:uid="{00000000-0005-0000-0000-000007030000}"/>
    <cellStyle name="Comma 5 2 3 2 2 2 3" xfId="3508" xr:uid="{00000000-0005-0000-0000-000008030000}"/>
    <cellStyle name="Comma 5 2 3 2 2 2 3 2" xfId="17153" xr:uid="{00000000-0005-0000-0000-000009030000}"/>
    <cellStyle name="Comma 5 2 3 2 2 2 3 3" xfId="13574" xr:uid="{00000000-0005-0000-0000-00000A030000}"/>
    <cellStyle name="Comma 5 2 3 2 2 2 3 4" xfId="8317" xr:uid="{00000000-0005-0000-0000-00000B030000}"/>
    <cellStyle name="Comma 5 2 3 2 2 2 4" xfId="6342" xr:uid="{00000000-0005-0000-0000-00000C030000}"/>
    <cellStyle name="Comma 5 2 3 2 2 2 4 2" xfId="15426" xr:uid="{00000000-0005-0000-0000-00000D030000}"/>
    <cellStyle name="Comma 5 2 3 2 2 2 5" xfId="9771" xr:uid="{00000000-0005-0000-0000-00000E030000}"/>
    <cellStyle name="Comma 5 2 3 2 2 2 5 2" xfId="18598" xr:uid="{00000000-0005-0000-0000-00000F030000}"/>
    <cellStyle name="Comma 5 2 3 2 2 2 6" xfId="11215" xr:uid="{00000000-0005-0000-0000-000010030000}"/>
    <cellStyle name="Comma 5 2 3 2 2 2 7" xfId="4820" xr:uid="{00000000-0005-0000-0000-000011030000}"/>
    <cellStyle name="Comma 5 2 3 2 2 3" xfId="868" xr:uid="{00000000-0005-0000-0000-000012030000}"/>
    <cellStyle name="Comma 5 2 3 2 2 3 2" xfId="2588" xr:uid="{00000000-0005-0000-0000-000013030000}"/>
    <cellStyle name="Comma 5 2 3 2 2 3 2 2" xfId="16129" xr:uid="{00000000-0005-0000-0000-000014030000}"/>
    <cellStyle name="Comma 5 2 3 2 2 3 2 3" xfId="12551" xr:uid="{00000000-0005-0000-0000-000015030000}"/>
    <cellStyle name="Comma 5 2 3 2 2 3 2 4" xfId="7260" xr:uid="{00000000-0005-0000-0000-000016030000}"/>
    <cellStyle name="Comma 5 2 3 2 2 3 3" xfId="3856" xr:uid="{00000000-0005-0000-0000-000017030000}"/>
    <cellStyle name="Comma 5 2 3 2 2 3 3 2" xfId="17501" xr:uid="{00000000-0005-0000-0000-000018030000}"/>
    <cellStyle name="Comma 5 2 3 2 2 3 3 3" xfId="13922" xr:uid="{00000000-0005-0000-0000-000019030000}"/>
    <cellStyle name="Comma 5 2 3 2 2 3 3 4" xfId="8665" xr:uid="{00000000-0005-0000-0000-00001A030000}"/>
    <cellStyle name="Comma 5 2 3 2 2 3 4" xfId="6376" xr:uid="{00000000-0005-0000-0000-00001B030000}"/>
    <cellStyle name="Comma 5 2 3 2 2 3 4 2" xfId="15460" xr:uid="{00000000-0005-0000-0000-00001C030000}"/>
    <cellStyle name="Comma 5 2 3 2 2 3 5" xfId="10119" xr:uid="{00000000-0005-0000-0000-00001D030000}"/>
    <cellStyle name="Comma 5 2 3 2 2 3 5 2" xfId="18946" xr:uid="{00000000-0005-0000-0000-00001E030000}"/>
    <cellStyle name="Comma 5 2 3 2 2 3 6" xfId="11565" xr:uid="{00000000-0005-0000-0000-00001F030000}"/>
    <cellStyle name="Comma 5 2 3 2 2 3 7" xfId="4854" xr:uid="{00000000-0005-0000-0000-000020030000}"/>
    <cellStyle name="Comma 5 2 3 2 2 4" xfId="1658" xr:uid="{00000000-0005-0000-0000-000021030000}"/>
    <cellStyle name="Comma 5 2 3 2 2 4 2" xfId="3254" xr:uid="{00000000-0005-0000-0000-000022030000}"/>
    <cellStyle name="Comma 5 2 3 2 2 4 2 2" xfId="16803" xr:uid="{00000000-0005-0000-0000-000023030000}"/>
    <cellStyle name="Comma 5 2 3 2 2 4 2 3" xfId="13224" xr:uid="{00000000-0005-0000-0000-000024030000}"/>
    <cellStyle name="Comma 5 2 3 2 2 4 2 4" xfId="7935" xr:uid="{00000000-0005-0000-0000-000025030000}"/>
    <cellStyle name="Comma 5 2 3 2 2 4 3" xfId="4317" xr:uid="{00000000-0005-0000-0000-000026030000}"/>
    <cellStyle name="Comma 5 2 3 2 2 4 3 2" xfId="18167" xr:uid="{00000000-0005-0000-0000-000027030000}"/>
    <cellStyle name="Comma 5 2 3 2 2 4 3 3" xfId="14588" xr:uid="{00000000-0005-0000-0000-000028030000}"/>
    <cellStyle name="Comma 5 2 3 2 2 4 3 4" xfId="9331" xr:uid="{00000000-0005-0000-0000-000029030000}"/>
    <cellStyle name="Comma 5 2 3 2 2 4 4" xfId="6023" xr:uid="{00000000-0005-0000-0000-00002A030000}"/>
    <cellStyle name="Comma 5 2 3 2 2 4 4 2" xfId="15109" xr:uid="{00000000-0005-0000-0000-00002B030000}"/>
    <cellStyle name="Comma 5 2 3 2 2 4 5" xfId="10785" xr:uid="{00000000-0005-0000-0000-00002C030000}"/>
    <cellStyle name="Comma 5 2 3 2 2 4 5 2" xfId="19612" xr:uid="{00000000-0005-0000-0000-00002D030000}"/>
    <cellStyle name="Comma 5 2 3 2 2 4 6" xfId="12231" xr:uid="{00000000-0005-0000-0000-00002E030000}"/>
    <cellStyle name="Comma 5 2 3 2 2 4 7" xfId="5529" xr:uid="{00000000-0005-0000-0000-00002F030000}"/>
    <cellStyle name="Comma 5 2 3 2 2 5" xfId="2211" xr:uid="{00000000-0005-0000-0000-000030030000}"/>
    <cellStyle name="Comma 5 2 3 2 2 5 2" xfId="15952" xr:uid="{00000000-0005-0000-0000-000031030000}"/>
    <cellStyle name="Comma 5 2 3 2 2 5 3" xfId="12497" xr:uid="{00000000-0005-0000-0000-000032030000}"/>
    <cellStyle name="Comma 5 2 3 2 2 5 4" xfId="6909" xr:uid="{00000000-0005-0000-0000-000033030000}"/>
    <cellStyle name="Comma 5 2 3 2 2 6" xfId="3479" xr:uid="{00000000-0005-0000-0000-000034030000}"/>
    <cellStyle name="Comma 5 2 3 2 2 6 2" xfId="17124" xr:uid="{00000000-0005-0000-0000-000035030000}"/>
    <cellStyle name="Comma 5 2 3 2 2 6 3" xfId="13545" xr:uid="{00000000-0005-0000-0000-000036030000}"/>
    <cellStyle name="Comma 5 2 3 2 2 6 4" xfId="8288" xr:uid="{00000000-0005-0000-0000-000037030000}"/>
    <cellStyle name="Comma 5 2 3 2 2 7" xfId="5849" xr:uid="{00000000-0005-0000-0000-000038030000}"/>
    <cellStyle name="Comma 5 2 3 2 2 7 2" xfId="14935" xr:uid="{00000000-0005-0000-0000-000039030000}"/>
    <cellStyle name="Comma 5 2 3 2 2 8" xfId="9742" xr:uid="{00000000-0005-0000-0000-00003A030000}"/>
    <cellStyle name="Comma 5 2 3 2 2 8 2" xfId="18569" xr:uid="{00000000-0005-0000-0000-00003B030000}"/>
    <cellStyle name="Comma 5 2 3 2 2 9" xfId="11186" xr:uid="{00000000-0005-0000-0000-00003C030000}"/>
    <cellStyle name="Comma 5 2 3 2 3" xfId="339" xr:uid="{00000000-0005-0000-0000-00003D030000}"/>
    <cellStyle name="Comma 5 2 3 2 3 2" xfId="511" xr:uid="{00000000-0005-0000-0000-00003E030000}"/>
    <cellStyle name="Comma 5 2 3 2 3 2 2" xfId="2241" xr:uid="{00000000-0005-0000-0000-00003F030000}"/>
    <cellStyle name="Comma 5 2 3 2 3 2 2 2" xfId="16130" xr:uid="{00000000-0005-0000-0000-000040030000}"/>
    <cellStyle name="Comma 5 2 3 2 3 2 2 3" xfId="12552" xr:uid="{00000000-0005-0000-0000-000041030000}"/>
    <cellStyle name="Comma 5 2 3 2 3 2 2 4" xfId="7261" xr:uid="{00000000-0005-0000-0000-000042030000}"/>
    <cellStyle name="Comma 5 2 3 2 3 2 3" xfId="3509" xr:uid="{00000000-0005-0000-0000-000043030000}"/>
    <cellStyle name="Comma 5 2 3 2 3 2 3 2" xfId="17154" xr:uid="{00000000-0005-0000-0000-000044030000}"/>
    <cellStyle name="Comma 5 2 3 2 3 2 3 3" xfId="13575" xr:uid="{00000000-0005-0000-0000-000045030000}"/>
    <cellStyle name="Comma 5 2 3 2 3 2 3 4" xfId="8318" xr:uid="{00000000-0005-0000-0000-000046030000}"/>
    <cellStyle name="Comma 5 2 3 2 3 2 4" xfId="6377" xr:uid="{00000000-0005-0000-0000-000047030000}"/>
    <cellStyle name="Comma 5 2 3 2 3 2 4 2" xfId="15461" xr:uid="{00000000-0005-0000-0000-000048030000}"/>
    <cellStyle name="Comma 5 2 3 2 3 2 5" xfId="9772" xr:uid="{00000000-0005-0000-0000-000049030000}"/>
    <cellStyle name="Comma 5 2 3 2 3 2 5 2" xfId="18599" xr:uid="{00000000-0005-0000-0000-00004A030000}"/>
    <cellStyle name="Comma 5 2 3 2 3 2 6" xfId="11216" xr:uid="{00000000-0005-0000-0000-00004B030000}"/>
    <cellStyle name="Comma 5 2 3 2 3 2 7" xfId="4855" xr:uid="{00000000-0005-0000-0000-00004C030000}"/>
    <cellStyle name="Comma 5 2 3 2 3 3" xfId="869" xr:uid="{00000000-0005-0000-0000-00004D030000}"/>
    <cellStyle name="Comma 5 2 3 2 3 3 2" xfId="2589" xr:uid="{00000000-0005-0000-0000-00004E030000}"/>
    <cellStyle name="Comma 5 2 3 2 3 3 2 2" xfId="16699" xr:uid="{00000000-0005-0000-0000-00004F030000}"/>
    <cellStyle name="Comma 5 2 3 2 3 3 2 3" xfId="13120" xr:uid="{00000000-0005-0000-0000-000050030000}"/>
    <cellStyle name="Comma 5 2 3 2 3 3 2 4" xfId="7831" xr:uid="{00000000-0005-0000-0000-000051030000}"/>
    <cellStyle name="Comma 5 2 3 2 3 3 3" xfId="3857" xr:uid="{00000000-0005-0000-0000-000052030000}"/>
    <cellStyle name="Comma 5 2 3 2 3 3 3 2" xfId="17502" xr:uid="{00000000-0005-0000-0000-000053030000}"/>
    <cellStyle name="Comma 5 2 3 2 3 3 3 3" xfId="13923" xr:uid="{00000000-0005-0000-0000-000054030000}"/>
    <cellStyle name="Comma 5 2 3 2 3 3 3 4" xfId="8666" xr:uid="{00000000-0005-0000-0000-000055030000}"/>
    <cellStyle name="Comma 5 2 3 2 3 3 4" xfId="6238" xr:uid="{00000000-0005-0000-0000-000056030000}"/>
    <cellStyle name="Comma 5 2 3 2 3 3 4 2" xfId="15322" xr:uid="{00000000-0005-0000-0000-000057030000}"/>
    <cellStyle name="Comma 5 2 3 2 3 3 5" xfId="10120" xr:uid="{00000000-0005-0000-0000-000058030000}"/>
    <cellStyle name="Comma 5 2 3 2 3 3 5 2" xfId="18947" xr:uid="{00000000-0005-0000-0000-000059030000}"/>
    <cellStyle name="Comma 5 2 3 2 3 3 6" xfId="11566" xr:uid="{00000000-0005-0000-0000-00005A030000}"/>
    <cellStyle name="Comma 5 2 3 2 3 3 7" xfId="5425" xr:uid="{00000000-0005-0000-0000-00005B030000}"/>
    <cellStyle name="Comma 5 2 3 2 3 4" xfId="1551" xr:uid="{00000000-0005-0000-0000-00005C030000}"/>
    <cellStyle name="Comma 5 2 3 2 3 4 2" xfId="3150" xr:uid="{00000000-0005-0000-0000-00005D030000}"/>
    <cellStyle name="Comma 5 2 3 2 3 4 2 2" xfId="18063" xr:uid="{00000000-0005-0000-0000-00005E030000}"/>
    <cellStyle name="Comma 5 2 3 2 3 4 2 3" xfId="14484" xr:uid="{00000000-0005-0000-0000-00005F030000}"/>
    <cellStyle name="Comma 5 2 3 2 3 4 2 4" xfId="9227" xr:uid="{00000000-0005-0000-0000-000060030000}"/>
    <cellStyle name="Comma 5 2 3 2 3 4 3" xfId="10681" xr:uid="{00000000-0005-0000-0000-000061030000}"/>
    <cellStyle name="Comma 5 2 3 2 3 4 3 2" xfId="19508" xr:uid="{00000000-0005-0000-0000-000062030000}"/>
    <cellStyle name="Comma 5 2 3 2 3 4 4" xfId="12127" xr:uid="{00000000-0005-0000-0000-000063030000}"/>
    <cellStyle name="Comma 5 2 3 2 3 4 5" xfId="7122" xr:uid="{00000000-0005-0000-0000-000064030000}"/>
    <cellStyle name="Comma 5 2 3 2 3 5" xfId="2107" xr:uid="{00000000-0005-0000-0000-000065030000}"/>
    <cellStyle name="Comma 5 2 3 2 3 5 2" xfId="17020" xr:uid="{00000000-0005-0000-0000-000066030000}"/>
    <cellStyle name="Comma 5 2 3 2 3 5 3" xfId="13441" xr:uid="{00000000-0005-0000-0000-000067030000}"/>
    <cellStyle name="Comma 5 2 3 2 3 5 4" xfId="8184" xr:uid="{00000000-0005-0000-0000-000068030000}"/>
    <cellStyle name="Comma 5 2 3 2 3 6" xfId="5745" xr:uid="{00000000-0005-0000-0000-000069030000}"/>
    <cellStyle name="Comma 5 2 3 2 3 6 2" xfId="14831" xr:uid="{00000000-0005-0000-0000-00006A030000}"/>
    <cellStyle name="Comma 5 2 3 2 3 7" xfId="9638" xr:uid="{00000000-0005-0000-0000-00006B030000}"/>
    <cellStyle name="Comma 5 2 3 2 3 7 2" xfId="18465" xr:uid="{00000000-0005-0000-0000-00006C030000}"/>
    <cellStyle name="Comma 5 2 3 2 3 8" xfId="11082" xr:uid="{00000000-0005-0000-0000-00006D030000}"/>
    <cellStyle name="Comma 5 2 3 2 3 9" xfId="4716" xr:uid="{00000000-0005-0000-0000-00006E030000}"/>
    <cellStyle name="Comma 5 2 3 2 4" xfId="509" xr:uid="{00000000-0005-0000-0000-00006F030000}"/>
    <cellStyle name="Comma 5 2 3 2 4 2" xfId="2239" xr:uid="{00000000-0005-0000-0000-000070030000}"/>
    <cellStyle name="Comma 5 2 3 2 4 2 2" xfId="16036" xr:uid="{00000000-0005-0000-0000-000071030000}"/>
    <cellStyle name="Comma 5 2 3 2 4 2 3" xfId="12504" xr:uid="{00000000-0005-0000-0000-000072030000}"/>
    <cellStyle name="Comma 5 2 3 2 4 2 4" xfId="7022" xr:uid="{00000000-0005-0000-0000-000073030000}"/>
    <cellStyle name="Comma 5 2 3 2 4 3" xfId="3507" xr:uid="{00000000-0005-0000-0000-000074030000}"/>
    <cellStyle name="Comma 5 2 3 2 4 3 2" xfId="17152" xr:uid="{00000000-0005-0000-0000-000075030000}"/>
    <cellStyle name="Comma 5 2 3 2 4 3 3" xfId="13573" xr:uid="{00000000-0005-0000-0000-000076030000}"/>
    <cellStyle name="Comma 5 2 3 2 4 3 4" xfId="8316" xr:uid="{00000000-0005-0000-0000-000077030000}"/>
    <cellStyle name="Comma 5 2 3 2 4 4" xfId="6138" xr:uid="{00000000-0005-0000-0000-000078030000}"/>
    <cellStyle name="Comma 5 2 3 2 4 4 2" xfId="15222" xr:uid="{00000000-0005-0000-0000-000079030000}"/>
    <cellStyle name="Comma 5 2 3 2 4 5" xfId="9770" xr:uid="{00000000-0005-0000-0000-00007A030000}"/>
    <cellStyle name="Comma 5 2 3 2 4 5 2" xfId="18597" xr:uid="{00000000-0005-0000-0000-00007B030000}"/>
    <cellStyle name="Comma 5 2 3 2 4 6" xfId="11214" xr:uid="{00000000-0005-0000-0000-00007C030000}"/>
    <cellStyle name="Comma 5 2 3 2 4 7" xfId="4616" xr:uid="{00000000-0005-0000-0000-00007D030000}"/>
    <cellStyle name="Comma 5 2 3 2 5" xfId="867" xr:uid="{00000000-0005-0000-0000-00007E030000}"/>
    <cellStyle name="Comma 5 2 3 2 5 2" xfId="2587" xr:uid="{00000000-0005-0000-0000-00007F030000}"/>
    <cellStyle name="Comma 5 2 3 2 5 2 2" xfId="16128" xr:uid="{00000000-0005-0000-0000-000080030000}"/>
    <cellStyle name="Comma 5 2 3 2 5 2 3" xfId="12550" xr:uid="{00000000-0005-0000-0000-000081030000}"/>
    <cellStyle name="Comma 5 2 3 2 5 2 4" xfId="7259" xr:uid="{00000000-0005-0000-0000-000082030000}"/>
    <cellStyle name="Comma 5 2 3 2 5 3" xfId="3855" xr:uid="{00000000-0005-0000-0000-000083030000}"/>
    <cellStyle name="Comma 5 2 3 2 5 3 2" xfId="17500" xr:uid="{00000000-0005-0000-0000-000084030000}"/>
    <cellStyle name="Comma 5 2 3 2 5 3 3" xfId="13921" xr:uid="{00000000-0005-0000-0000-000085030000}"/>
    <cellStyle name="Comma 5 2 3 2 5 3 4" xfId="8664" xr:uid="{00000000-0005-0000-0000-000086030000}"/>
    <cellStyle name="Comma 5 2 3 2 5 4" xfId="6375" xr:uid="{00000000-0005-0000-0000-000087030000}"/>
    <cellStyle name="Comma 5 2 3 2 5 4 2" xfId="15459" xr:uid="{00000000-0005-0000-0000-000088030000}"/>
    <cellStyle name="Comma 5 2 3 2 5 5" xfId="10118" xr:uid="{00000000-0005-0000-0000-000089030000}"/>
    <cellStyle name="Comma 5 2 3 2 5 5 2" xfId="18945" xr:uid="{00000000-0005-0000-0000-00008A030000}"/>
    <cellStyle name="Comma 5 2 3 2 5 6" xfId="11564" xr:uid="{00000000-0005-0000-0000-00008B030000}"/>
    <cellStyle name="Comma 5 2 3 2 5 7" xfId="4853" xr:uid="{00000000-0005-0000-0000-00008C030000}"/>
    <cellStyle name="Comma 5 2 3 2 6" xfId="1449" xr:uid="{00000000-0005-0000-0000-00008D030000}"/>
    <cellStyle name="Comma 5 2 3 2 6 2" xfId="3050" xr:uid="{00000000-0005-0000-0000-00008E030000}"/>
    <cellStyle name="Comma 5 2 3 2 6 2 2" xfId="16599" xr:uid="{00000000-0005-0000-0000-00008F030000}"/>
    <cellStyle name="Comma 5 2 3 2 6 2 3" xfId="13020" xr:uid="{00000000-0005-0000-0000-000090030000}"/>
    <cellStyle name="Comma 5 2 3 2 6 2 4" xfId="7731" xr:uid="{00000000-0005-0000-0000-000091030000}"/>
    <cellStyle name="Comma 5 2 3 2 6 3" xfId="4258" xr:uid="{00000000-0005-0000-0000-000092030000}"/>
    <cellStyle name="Comma 5 2 3 2 6 3 2" xfId="17963" xr:uid="{00000000-0005-0000-0000-000093030000}"/>
    <cellStyle name="Comma 5 2 3 2 6 3 3" xfId="14384" xr:uid="{00000000-0005-0000-0000-000094030000}"/>
    <cellStyle name="Comma 5 2 3 2 6 3 4" xfId="9127" xr:uid="{00000000-0005-0000-0000-000095030000}"/>
    <cellStyle name="Comma 5 2 3 2 6 4" xfId="5919" xr:uid="{00000000-0005-0000-0000-000096030000}"/>
    <cellStyle name="Comma 5 2 3 2 6 4 2" xfId="15005" xr:uid="{00000000-0005-0000-0000-000097030000}"/>
    <cellStyle name="Comma 5 2 3 2 6 5" xfId="10581" xr:uid="{00000000-0005-0000-0000-000098030000}"/>
    <cellStyle name="Comma 5 2 3 2 6 5 2" xfId="19408" xr:uid="{00000000-0005-0000-0000-000099030000}"/>
    <cellStyle name="Comma 5 2 3 2 6 6" xfId="12027" xr:uid="{00000000-0005-0000-0000-00009A030000}"/>
    <cellStyle name="Comma 5 2 3 2 6 7" xfId="5325" xr:uid="{00000000-0005-0000-0000-00009B030000}"/>
    <cellStyle name="Comma 5 2 3 2 7" xfId="2007" xr:uid="{00000000-0005-0000-0000-00009C030000}"/>
    <cellStyle name="Comma 5 2 3 2 7 2" xfId="15848" xr:uid="{00000000-0005-0000-0000-00009D030000}"/>
    <cellStyle name="Comma 5 2 3 2 7 3" xfId="12471" xr:uid="{00000000-0005-0000-0000-00009E030000}"/>
    <cellStyle name="Comma 5 2 3 2 7 4" xfId="6805" xr:uid="{00000000-0005-0000-0000-00009F030000}"/>
    <cellStyle name="Comma 5 2 3 2 8" xfId="3420" xr:uid="{00000000-0005-0000-0000-0000A0030000}"/>
    <cellStyle name="Comma 5 2 3 2 8 2" xfId="16920" xr:uid="{00000000-0005-0000-0000-0000A1030000}"/>
    <cellStyle name="Comma 5 2 3 2 8 3" xfId="13341" xr:uid="{00000000-0005-0000-0000-0000A2030000}"/>
    <cellStyle name="Comma 5 2 3 2 8 4" xfId="8084" xr:uid="{00000000-0005-0000-0000-0000A3030000}"/>
    <cellStyle name="Comma 5 2 3 2 9" xfId="5645" xr:uid="{00000000-0005-0000-0000-0000A4030000}"/>
    <cellStyle name="Comma 5 2 3 2 9 2" xfId="14731" xr:uid="{00000000-0005-0000-0000-0000A5030000}"/>
    <cellStyle name="Comma 5 2 3 3" xfId="274" xr:uid="{00000000-0005-0000-0000-0000A6030000}"/>
    <cellStyle name="Comma 5 2 3 3 10" xfId="11025" xr:uid="{00000000-0005-0000-0000-0000A7030000}"/>
    <cellStyle name="Comma 5 2 3 3 11" xfId="4442" xr:uid="{00000000-0005-0000-0000-0000A8030000}"/>
    <cellStyle name="Comma 5 2 3 3 2" xfId="382" xr:uid="{00000000-0005-0000-0000-0000A9030000}"/>
    <cellStyle name="Comma 5 2 3 3 2 2" xfId="513" xr:uid="{00000000-0005-0000-0000-0000AA030000}"/>
    <cellStyle name="Comma 5 2 3 3 2 2 2" xfId="2243" xr:uid="{00000000-0005-0000-0000-0000AB030000}"/>
    <cellStyle name="Comma 5 2 3 3 2 2 2 2" xfId="16132" xr:uid="{00000000-0005-0000-0000-0000AC030000}"/>
    <cellStyle name="Comma 5 2 3 3 2 2 2 3" xfId="12554" xr:uid="{00000000-0005-0000-0000-0000AD030000}"/>
    <cellStyle name="Comma 5 2 3 3 2 2 2 4" xfId="7263" xr:uid="{00000000-0005-0000-0000-0000AE030000}"/>
    <cellStyle name="Comma 5 2 3 3 2 2 3" xfId="3511" xr:uid="{00000000-0005-0000-0000-0000AF030000}"/>
    <cellStyle name="Comma 5 2 3 3 2 2 3 2" xfId="17156" xr:uid="{00000000-0005-0000-0000-0000B0030000}"/>
    <cellStyle name="Comma 5 2 3 3 2 2 3 3" xfId="13577" xr:uid="{00000000-0005-0000-0000-0000B1030000}"/>
    <cellStyle name="Comma 5 2 3 3 2 2 3 4" xfId="8320" xr:uid="{00000000-0005-0000-0000-0000B2030000}"/>
    <cellStyle name="Comma 5 2 3 3 2 2 4" xfId="6379" xr:uid="{00000000-0005-0000-0000-0000B3030000}"/>
    <cellStyle name="Comma 5 2 3 3 2 2 4 2" xfId="15463" xr:uid="{00000000-0005-0000-0000-0000B4030000}"/>
    <cellStyle name="Comma 5 2 3 3 2 2 5" xfId="9774" xr:uid="{00000000-0005-0000-0000-0000B5030000}"/>
    <cellStyle name="Comma 5 2 3 3 2 2 5 2" xfId="18601" xr:uid="{00000000-0005-0000-0000-0000B6030000}"/>
    <cellStyle name="Comma 5 2 3 3 2 2 6" xfId="11218" xr:uid="{00000000-0005-0000-0000-0000B7030000}"/>
    <cellStyle name="Comma 5 2 3 3 2 2 7" xfId="4857" xr:uid="{00000000-0005-0000-0000-0000B8030000}"/>
    <cellStyle name="Comma 5 2 3 3 2 3" xfId="871" xr:uid="{00000000-0005-0000-0000-0000B9030000}"/>
    <cellStyle name="Comma 5 2 3 3 2 3 2" xfId="2591" xr:uid="{00000000-0005-0000-0000-0000BA030000}"/>
    <cellStyle name="Comma 5 2 3 3 2 3 2 2" xfId="16742" xr:uid="{00000000-0005-0000-0000-0000BB030000}"/>
    <cellStyle name="Comma 5 2 3 3 2 3 2 3" xfId="13163" xr:uid="{00000000-0005-0000-0000-0000BC030000}"/>
    <cellStyle name="Comma 5 2 3 3 2 3 2 4" xfId="7874" xr:uid="{00000000-0005-0000-0000-0000BD030000}"/>
    <cellStyle name="Comma 5 2 3 3 2 3 3" xfId="3859" xr:uid="{00000000-0005-0000-0000-0000BE030000}"/>
    <cellStyle name="Comma 5 2 3 3 2 3 3 2" xfId="17504" xr:uid="{00000000-0005-0000-0000-0000BF030000}"/>
    <cellStyle name="Comma 5 2 3 3 2 3 3 3" xfId="13925" xr:uid="{00000000-0005-0000-0000-0000C0030000}"/>
    <cellStyle name="Comma 5 2 3 3 2 3 3 4" xfId="8668" xr:uid="{00000000-0005-0000-0000-0000C1030000}"/>
    <cellStyle name="Comma 5 2 3 3 2 3 4" xfId="6281" xr:uid="{00000000-0005-0000-0000-0000C2030000}"/>
    <cellStyle name="Comma 5 2 3 3 2 3 4 2" xfId="15365" xr:uid="{00000000-0005-0000-0000-0000C3030000}"/>
    <cellStyle name="Comma 5 2 3 3 2 3 5" xfId="10122" xr:uid="{00000000-0005-0000-0000-0000C4030000}"/>
    <cellStyle name="Comma 5 2 3 3 2 3 5 2" xfId="18949" xr:uid="{00000000-0005-0000-0000-0000C5030000}"/>
    <cellStyle name="Comma 5 2 3 3 2 3 6" xfId="11568" xr:uid="{00000000-0005-0000-0000-0000C6030000}"/>
    <cellStyle name="Comma 5 2 3 3 2 3 7" xfId="5468" xr:uid="{00000000-0005-0000-0000-0000C7030000}"/>
    <cellStyle name="Comma 5 2 3 3 2 4" xfId="1596" xr:uid="{00000000-0005-0000-0000-0000C8030000}"/>
    <cellStyle name="Comma 5 2 3 3 2 4 2" xfId="3193" xr:uid="{00000000-0005-0000-0000-0000C9030000}"/>
    <cellStyle name="Comma 5 2 3 3 2 4 2 2" xfId="18106" xr:uid="{00000000-0005-0000-0000-0000CA030000}"/>
    <cellStyle name="Comma 5 2 3 3 2 4 2 3" xfId="14527" xr:uid="{00000000-0005-0000-0000-0000CB030000}"/>
    <cellStyle name="Comma 5 2 3 3 2 4 2 4" xfId="9270" xr:uid="{00000000-0005-0000-0000-0000CC030000}"/>
    <cellStyle name="Comma 5 2 3 3 2 4 3" xfId="10724" xr:uid="{00000000-0005-0000-0000-0000CD030000}"/>
    <cellStyle name="Comma 5 2 3 3 2 4 3 2" xfId="19551" xr:uid="{00000000-0005-0000-0000-0000CE030000}"/>
    <cellStyle name="Comma 5 2 3 3 2 4 4" xfId="12170" xr:uid="{00000000-0005-0000-0000-0000CF030000}"/>
    <cellStyle name="Comma 5 2 3 3 2 4 5" xfId="7165" xr:uid="{00000000-0005-0000-0000-0000D0030000}"/>
    <cellStyle name="Comma 5 2 3 3 2 5" xfId="2150" xr:uid="{00000000-0005-0000-0000-0000D1030000}"/>
    <cellStyle name="Comma 5 2 3 3 2 5 2" xfId="17063" xr:uid="{00000000-0005-0000-0000-0000D2030000}"/>
    <cellStyle name="Comma 5 2 3 3 2 5 3" xfId="13484" xr:uid="{00000000-0005-0000-0000-0000D3030000}"/>
    <cellStyle name="Comma 5 2 3 3 2 5 4" xfId="8227" xr:uid="{00000000-0005-0000-0000-0000D4030000}"/>
    <cellStyle name="Comma 5 2 3 3 2 6" xfId="5788" xr:uid="{00000000-0005-0000-0000-0000D5030000}"/>
    <cellStyle name="Comma 5 2 3 3 2 6 2" xfId="14874" xr:uid="{00000000-0005-0000-0000-0000D6030000}"/>
    <cellStyle name="Comma 5 2 3 3 2 7" xfId="9681" xr:uid="{00000000-0005-0000-0000-0000D7030000}"/>
    <cellStyle name="Comma 5 2 3 3 2 7 2" xfId="18508" xr:uid="{00000000-0005-0000-0000-0000D8030000}"/>
    <cellStyle name="Comma 5 2 3 3 2 8" xfId="11125" xr:uid="{00000000-0005-0000-0000-0000D9030000}"/>
    <cellStyle name="Comma 5 2 3 3 2 9" xfId="4759" xr:uid="{00000000-0005-0000-0000-0000DA030000}"/>
    <cellStyle name="Comma 5 2 3 3 3" xfId="512" xr:uid="{00000000-0005-0000-0000-0000DB030000}"/>
    <cellStyle name="Comma 5 2 3 3 3 2" xfId="2242" xr:uid="{00000000-0005-0000-0000-0000DC030000}"/>
    <cellStyle name="Comma 5 2 3 3 3 2 2" xfId="16079" xr:uid="{00000000-0005-0000-0000-0000DD030000}"/>
    <cellStyle name="Comma 5 2 3 3 3 2 3" xfId="12464" xr:uid="{00000000-0005-0000-0000-0000DE030000}"/>
    <cellStyle name="Comma 5 2 3 3 3 2 4" xfId="7065" xr:uid="{00000000-0005-0000-0000-0000DF030000}"/>
    <cellStyle name="Comma 5 2 3 3 3 3" xfId="3510" xr:uid="{00000000-0005-0000-0000-0000E0030000}"/>
    <cellStyle name="Comma 5 2 3 3 3 3 2" xfId="17155" xr:uid="{00000000-0005-0000-0000-0000E1030000}"/>
    <cellStyle name="Comma 5 2 3 3 3 3 3" xfId="13576" xr:uid="{00000000-0005-0000-0000-0000E2030000}"/>
    <cellStyle name="Comma 5 2 3 3 3 3 4" xfId="8319" xr:uid="{00000000-0005-0000-0000-0000E3030000}"/>
    <cellStyle name="Comma 5 2 3 3 3 4" xfId="6181" xr:uid="{00000000-0005-0000-0000-0000E4030000}"/>
    <cellStyle name="Comma 5 2 3 3 3 4 2" xfId="15265" xr:uid="{00000000-0005-0000-0000-0000E5030000}"/>
    <cellStyle name="Comma 5 2 3 3 3 5" xfId="9773" xr:uid="{00000000-0005-0000-0000-0000E6030000}"/>
    <cellStyle name="Comma 5 2 3 3 3 5 2" xfId="18600" xr:uid="{00000000-0005-0000-0000-0000E7030000}"/>
    <cellStyle name="Comma 5 2 3 3 3 6" xfId="11217" xr:uid="{00000000-0005-0000-0000-0000E8030000}"/>
    <cellStyle name="Comma 5 2 3 3 3 7" xfId="4659" xr:uid="{00000000-0005-0000-0000-0000E9030000}"/>
    <cellStyle name="Comma 5 2 3 3 4" xfId="870" xr:uid="{00000000-0005-0000-0000-0000EA030000}"/>
    <cellStyle name="Comma 5 2 3 3 4 2" xfId="2590" xr:uid="{00000000-0005-0000-0000-0000EB030000}"/>
    <cellStyle name="Comma 5 2 3 3 4 2 2" xfId="16131" xr:uid="{00000000-0005-0000-0000-0000EC030000}"/>
    <cellStyle name="Comma 5 2 3 3 4 2 3" xfId="12553" xr:uid="{00000000-0005-0000-0000-0000ED030000}"/>
    <cellStyle name="Comma 5 2 3 3 4 2 4" xfId="7262" xr:uid="{00000000-0005-0000-0000-0000EE030000}"/>
    <cellStyle name="Comma 5 2 3 3 4 3" xfId="3858" xr:uid="{00000000-0005-0000-0000-0000EF030000}"/>
    <cellStyle name="Comma 5 2 3 3 4 3 2" xfId="17503" xr:uid="{00000000-0005-0000-0000-0000F0030000}"/>
    <cellStyle name="Comma 5 2 3 3 4 3 3" xfId="13924" xr:uid="{00000000-0005-0000-0000-0000F1030000}"/>
    <cellStyle name="Comma 5 2 3 3 4 3 4" xfId="8667" xr:uid="{00000000-0005-0000-0000-0000F2030000}"/>
    <cellStyle name="Comma 5 2 3 3 4 4" xfId="6378" xr:uid="{00000000-0005-0000-0000-0000F3030000}"/>
    <cellStyle name="Comma 5 2 3 3 4 4 2" xfId="15462" xr:uid="{00000000-0005-0000-0000-0000F4030000}"/>
    <cellStyle name="Comma 5 2 3 3 4 5" xfId="10121" xr:uid="{00000000-0005-0000-0000-0000F5030000}"/>
    <cellStyle name="Comma 5 2 3 3 4 5 2" xfId="18948" xr:uid="{00000000-0005-0000-0000-0000F6030000}"/>
    <cellStyle name="Comma 5 2 3 3 4 6" xfId="11567" xr:uid="{00000000-0005-0000-0000-0000F7030000}"/>
    <cellStyle name="Comma 5 2 3 3 4 7" xfId="4856" xr:uid="{00000000-0005-0000-0000-0000F8030000}"/>
    <cellStyle name="Comma 5 2 3 3 5" xfId="1494" xr:uid="{00000000-0005-0000-0000-0000F9030000}"/>
    <cellStyle name="Comma 5 2 3 3 5 2" xfId="3093" xr:uid="{00000000-0005-0000-0000-0000FA030000}"/>
    <cellStyle name="Comma 5 2 3 3 5 2 2" xfId="16642" xr:uid="{00000000-0005-0000-0000-0000FB030000}"/>
    <cellStyle name="Comma 5 2 3 3 5 2 3" xfId="13063" xr:uid="{00000000-0005-0000-0000-0000FC030000}"/>
    <cellStyle name="Comma 5 2 3 3 5 2 4" xfId="7774" xr:uid="{00000000-0005-0000-0000-0000FD030000}"/>
    <cellStyle name="Comma 5 2 3 3 5 3" xfId="4301" xr:uid="{00000000-0005-0000-0000-0000FE030000}"/>
    <cellStyle name="Comma 5 2 3 3 5 3 2" xfId="18006" xr:uid="{00000000-0005-0000-0000-0000FF030000}"/>
    <cellStyle name="Comma 5 2 3 3 5 3 3" xfId="14427" xr:uid="{00000000-0005-0000-0000-000000040000}"/>
    <cellStyle name="Comma 5 2 3 3 5 3 4" xfId="9170" xr:uid="{00000000-0005-0000-0000-000001040000}"/>
    <cellStyle name="Comma 5 2 3 3 5 4" xfId="5962" xr:uid="{00000000-0005-0000-0000-000002040000}"/>
    <cellStyle name="Comma 5 2 3 3 5 4 2" xfId="15048" xr:uid="{00000000-0005-0000-0000-000003040000}"/>
    <cellStyle name="Comma 5 2 3 3 5 5" xfId="10624" xr:uid="{00000000-0005-0000-0000-000004040000}"/>
    <cellStyle name="Comma 5 2 3 3 5 5 2" xfId="19451" xr:uid="{00000000-0005-0000-0000-000005040000}"/>
    <cellStyle name="Comma 5 2 3 3 5 6" xfId="12070" xr:uid="{00000000-0005-0000-0000-000006040000}"/>
    <cellStyle name="Comma 5 2 3 3 5 7" xfId="5368" xr:uid="{00000000-0005-0000-0000-000007040000}"/>
    <cellStyle name="Comma 5 2 3 3 6" xfId="2050" xr:uid="{00000000-0005-0000-0000-000008040000}"/>
    <cellStyle name="Comma 5 2 3 3 6 2" xfId="15891" xr:uid="{00000000-0005-0000-0000-000009040000}"/>
    <cellStyle name="Comma 5 2 3 3 6 3" xfId="11362" xr:uid="{00000000-0005-0000-0000-00000A040000}"/>
    <cellStyle name="Comma 5 2 3 3 6 4" xfId="6848" xr:uid="{00000000-0005-0000-0000-00000B040000}"/>
    <cellStyle name="Comma 5 2 3 3 7" xfId="3463" xr:uid="{00000000-0005-0000-0000-00000C040000}"/>
    <cellStyle name="Comma 5 2 3 3 7 2" xfId="16963" xr:uid="{00000000-0005-0000-0000-00000D040000}"/>
    <cellStyle name="Comma 5 2 3 3 7 3" xfId="13384" xr:uid="{00000000-0005-0000-0000-00000E040000}"/>
    <cellStyle name="Comma 5 2 3 3 7 4" xfId="8127" xr:uid="{00000000-0005-0000-0000-00000F040000}"/>
    <cellStyle name="Comma 5 2 3 3 8" xfId="5688" xr:uid="{00000000-0005-0000-0000-000010040000}"/>
    <cellStyle name="Comma 5 2 3 3 8 2" xfId="14774" xr:uid="{00000000-0005-0000-0000-000011040000}"/>
    <cellStyle name="Comma 5 2 3 3 9" xfId="9581" xr:uid="{00000000-0005-0000-0000-000012040000}"/>
    <cellStyle name="Comma 5 2 3 3 9 2" xfId="18408" xr:uid="{00000000-0005-0000-0000-000013040000}"/>
    <cellStyle name="Comma 5 2 3 4" xfId="196" xr:uid="{00000000-0005-0000-0000-000014040000}"/>
    <cellStyle name="Comma 5 2 3 4 10" xfId="10950" xr:uid="{00000000-0005-0000-0000-000015040000}"/>
    <cellStyle name="Comma 5 2 3 4 11" xfId="4472" xr:uid="{00000000-0005-0000-0000-000016040000}"/>
    <cellStyle name="Comma 5 2 3 4 2" xfId="413" xr:uid="{00000000-0005-0000-0000-000017040000}"/>
    <cellStyle name="Comma 5 2 3 4 2 2" xfId="515" xr:uid="{00000000-0005-0000-0000-000018040000}"/>
    <cellStyle name="Comma 5 2 3 4 2 2 2" xfId="2245" xr:uid="{00000000-0005-0000-0000-000019040000}"/>
    <cellStyle name="Comma 5 2 3 4 2 2 2 2" xfId="16134" xr:uid="{00000000-0005-0000-0000-00001A040000}"/>
    <cellStyle name="Comma 5 2 3 4 2 2 2 3" xfId="12556" xr:uid="{00000000-0005-0000-0000-00001B040000}"/>
    <cellStyle name="Comma 5 2 3 4 2 2 2 4" xfId="7265" xr:uid="{00000000-0005-0000-0000-00001C040000}"/>
    <cellStyle name="Comma 5 2 3 4 2 2 3" xfId="3513" xr:uid="{00000000-0005-0000-0000-00001D040000}"/>
    <cellStyle name="Comma 5 2 3 4 2 2 3 2" xfId="17158" xr:uid="{00000000-0005-0000-0000-00001E040000}"/>
    <cellStyle name="Comma 5 2 3 4 2 2 3 3" xfId="13579" xr:uid="{00000000-0005-0000-0000-00001F040000}"/>
    <cellStyle name="Comma 5 2 3 4 2 2 3 4" xfId="8322" xr:uid="{00000000-0005-0000-0000-000020040000}"/>
    <cellStyle name="Comma 5 2 3 4 2 2 4" xfId="6381" xr:uid="{00000000-0005-0000-0000-000021040000}"/>
    <cellStyle name="Comma 5 2 3 4 2 2 4 2" xfId="15465" xr:uid="{00000000-0005-0000-0000-000022040000}"/>
    <cellStyle name="Comma 5 2 3 4 2 2 5" xfId="9776" xr:uid="{00000000-0005-0000-0000-000023040000}"/>
    <cellStyle name="Comma 5 2 3 4 2 2 5 2" xfId="18603" xr:uid="{00000000-0005-0000-0000-000024040000}"/>
    <cellStyle name="Comma 5 2 3 4 2 2 6" xfId="11220" xr:uid="{00000000-0005-0000-0000-000025040000}"/>
    <cellStyle name="Comma 5 2 3 4 2 2 7" xfId="4859" xr:uid="{00000000-0005-0000-0000-000026040000}"/>
    <cellStyle name="Comma 5 2 3 4 2 3" xfId="873" xr:uid="{00000000-0005-0000-0000-000027040000}"/>
    <cellStyle name="Comma 5 2 3 4 2 3 2" xfId="2593" xr:uid="{00000000-0005-0000-0000-000028040000}"/>
    <cellStyle name="Comma 5 2 3 4 2 3 2 2" xfId="16772" xr:uid="{00000000-0005-0000-0000-000029040000}"/>
    <cellStyle name="Comma 5 2 3 4 2 3 2 3" xfId="13193" xr:uid="{00000000-0005-0000-0000-00002A040000}"/>
    <cellStyle name="Comma 5 2 3 4 2 3 2 4" xfId="7904" xr:uid="{00000000-0005-0000-0000-00002B040000}"/>
    <cellStyle name="Comma 5 2 3 4 2 3 3" xfId="3861" xr:uid="{00000000-0005-0000-0000-00002C040000}"/>
    <cellStyle name="Comma 5 2 3 4 2 3 3 2" xfId="17506" xr:uid="{00000000-0005-0000-0000-00002D040000}"/>
    <cellStyle name="Comma 5 2 3 4 2 3 3 3" xfId="13927" xr:uid="{00000000-0005-0000-0000-00002E040000}"/>
    <cellStyle name="Comma 5 2 3 4 2 3 3 4" xfId="8670" xr:uid="{00000000-0005-0000-0000-00002F040000}"/>
    <cellStyle name="Comma 5 2 3 4 2 3 4" xfId="6311" xr:uid="{00000000-0005-0000-0000-000030040000}"/>
    <cellStyle name="Comma 5 2 3 4 2 3 4 2" xfId="15395" xr:uid="{00000000-0005-0000-0000-000031040000}"/>
    <cellStyle name="Comma 5 2 3 4 2 3 5" xfId="10124" xr:uid="{00000000-0005-0000-0000-000032040000}"/>
    <cellStyle name="Comma 5 2 3 4 2 3 5 2" xfId="18951" xr:uid="{00000000-0005-0000-0000-000033040000}"/>
    <cellStyle name="Comma 5 2 3 4 2 3 6" xfId="11570" xr:uid="{00000000-0005-0000-0000-000034040000}"/>
    <cellStyle name="Comma 5 2 3 4 2 3 7" xfId="5498" xr:uid="{00000000-0005-0000-0000-000035040000}"/>
    <cellStyle name="Comma 5 2 3 4 2 4" xfId="1627" xr:uid="{00000000-0005-0000-0000-000036040000}"/>
    <cellStyle name="Comma 5 2 3 4 2 4 2" xfId="3223" xr:uid="{00000000-0005-0000-0000-000037040000}"/>
    <cellStyle name="Comma 5 2 3 4 2 4 2 2" xfId="18136" xr:uid="{00000000-0005-0000-0000-000038040000}"/>
    <cellStyle name="Comma 5 2 3 4 2 4 2 3" xfId="14557" xr:uid="{00000000-0005-0000-0000-000039040000}"/>
    <cellStyle name="Comma 5 2 3 4 2 4 2 4" xfId="9300" xr:uid="{00000000-0005-0000-0000-00003A040000}"/>
    <cellStyle name="Comma 5 2 3 4 2 4 3" xfId="10754" xr:uid="{00000000-0005-0000-0000-00003B040000}"/>
    <cellStyle name="Comma 5 2 3 4 2 4 3 2" xfId="19581" xr:uid="{00000000-0005-0000-0000-00003C040000}"/>
    <cellStyle name="Comma 5 2 3 4 2 4 4" xfId="12200" xr:uid="{00000000-0005-0000-0000-00003D040000}"/>
    <cellStyle name="Comma 5 2 3 4 2 4 5" xfId="7195" xr:uid="{00000000-0005-0000-0000-00003E040000}"/>
    <cellStyle name="Comma 5 2 3 4 2 5" xfId="2180" xr:uid="{00000000-0005-0000-0000-00003F040000}"/>
    <cellStyle name="Comma 5 2 3 4 2 5 2" xfId="17093" xr:uid="{00000000-0005-0000-0000-000040040000}"/>
    <cellStyle name="Comma 5 2 3 4 2 5 3" xfId="13514" xr:uid="{00000000-0005-0000-0000-000041040000}"/>
    <cellStyle name="Comma 5 2 3 4 2 5 4" xfId="8257" xr:uid="{00000000-0005-0000-0000-000042040000}"/>
    <cellStyle name="Comma 5 2 3 4 2 6" xfId="5818" xr:uid="{00000000-0005-0000-0000-000043040000}"/>
    <cellStyle name="Comma 5 2 3 4 2 6 2" xfId="14904" xr:uid="{00000000-0005-0000-0000-000044040000}"/>
    <cellStyle name="Comma 5 2 3 4 2 7" xfId="9711" xr:uid="{00000000-0005-0000-0000-000045040000}"/>
    <cellStyle name="Comma 5 2 3 4 2 7 2" xfId="18538" xr:uid="{00000000-0005-0000-0000-000046040000}"/>
    <cellStyle name="Comma 5 2 3 4 2 8" xfId="11155" xr:uid="{00000000-0005-0000-0000-000047040000}"/>
    <cellStyle name="Comma 5 2 3 4 2 9" xfId="4789" xr:uid="{00000000-0005-0000-0000-000048040000}"/>
    <cellStyle name="Comma 5 2 3 4 3" xfId="514" xr:uid="{00000000-0005-0000-0000-000049040000}"/>
    <cellStyle name="Comma 5 2 3 4 3 2" xfId="2244" xr:uid="{00000000-0005-0000-0000-00004A040000}"/>
    <cellStyle name="Comma 5 2 3 4 3 2 2" xfId="16004" xr:uid="{00000000-0005-0000-0000-00004B040000}"/>
    <cellStyle name="Comma 5 2 3 4 3 2 3" xfId="12322" xr:uid="{00000000-0005-0000-0000-00004C040000}"/>
    <cellStyle name="Comma 5 2 3 4 3 2 4" xfId="6990" xr:uid="{00000000-0005-0000-0000-00004D040000}"/>
    <cellStyle name="Comma 5 2 3 4 3 3" xfId="3512" xr:uid="{00000000-0005-0000-0000-00004E040000}"/>
    <cellStyle name="Comma 5 2 3 4 3 3 2" xfId="17157" xr:uid="{00000000-0005-0000-0000-00004F040000}"/>
    <cellStyle name="Comma 5 2 3 4 3 3 3" xfId="13578" xr:uid="{00000000-0005-0000-0000-000050040000}"/>
    <cellStyle name="Comma 5 2 3 4 3 3 4" xfId="8321" xr:uid="{00000000-0005-0000-0000-000051040000}"/>
    <cellStyle name="Comma 5 2 3 4 3 4" xfId="6106" xr:uid="{00000000-0005-0000-0000-000052040000}"/>
    <cellStyle name="Comma 5 2 3 4 3 4 2" xfId="15190" xr:uid="{00000000-0005-0000-0000-000053040000}"/>
    <cellStyle name="Comma 5 2 3 4 3 5" xfId="9775" xr:uid="{00000000-0005-0000-0000-000054040000}"/>
    <cellStyle name="Comma 5 2 3 4 3 5 2" xfId="18602" xr:uid="{00000000-0005-0000-0000-000055040000}"/>
    <cellStyle name="Comma 5 2 3 4 3 6" xfId="11219" xr:uid="{00000000-0005-0000-0000-000056040000}"/>
    <cellStyle name="Comma 5 2 3 4 3 7" xfId="4584" xr:uid="{00000000-0005-0000-0000-000057040000}"/>
    <cellStyle name="Comma 5 2 3 4 4" xfId="872" xr:uid="{00000000-0005-0000-0000-000058040000}"/>
    <cellStyle name="Comma 5 2 3 4 4 2" xfId="2592" xr:uid="{00000000-0005-0000-0000-000059040000}"/>
    <cellStyle name="Comma 5 2 3 4 4 2 2" xfId="16133" xr:uid="{00000000-0005-0000-0000-00005A040000}"/>
    <cellStyle name="Comma 5 2 3 4 4 2 3" xfId="12555" xr:uid="{00000000-0005-0000-0000-00005B040000}"/>
    <cellStyle name="Comma 5 2 3 4 4 2 4" xfId="7264" xr:uid="{00000000-0005-0000-0000-00005C040000}"/>
    <cellStyle name="Comma 5 2 3 4 4 3" xfId="3860" xr:uid="{00000000-0005-0000-0000-00005D040000}"/>
    <cellStyle name="Comma 5 2 3 4 4 3 2" xfId="17505" xr:uid="{00000000-0005-0000-0000-00005E040000}"/>
    <cellStyle name="Comma 5 2 3 4 4 3 3" xfId="13926" xr:uid="{00000000-0005-0000-0000-00005F040000}"/>
    <cellStyle name="Comma 5 2 3 4 4 3 4" xfId="8669" xr:uid="{00000000-0005-0000-0000-000060040000}"/>
    <cellStyle name="Comma 5 2 3 4 4 4" xfId="6380" xr:uid="{00000000-0005-0000-0000-000061040000}"/>
    <cellStyle name="Comma 5 2 3 4 4 4 2" xfId="15464" xr:uid="{00000000-0005-0000-0000-000062040000}"/>
    <cellStyle name="Comma 5 2 3 4 4 5" xfId="10123" xr:uid="{00000000-0005-0000-0000-000063040000}"/>
    <cellStyle name="Comma 5 2 3 4 4 5 2" xfId="18950" xr:uid="{00000000-0005-0000-0000-000064040000}"/>
    <cellStyle name="Comma 5 2 3 4 4 6" xfId="11569" xr:uid="{00000000-0005-0000-0000-000065040000}"/>
    <cellStyle name="Comma 5 2 3 4 4 7" xfId="4858" xr:uid="{00000000-0005-0000-0000-000066040000}"/>
    <cellStyle name="Comma 5 2 3 4 5" xfId="1413" xr:uid="{00000000-0005-0000-0000-000067040000}"/>
    <cellStyle name="Comma 5 2 3 4 5 2" xfId="3018" xr:uid="{00000000-0005-0000-0000-000068040000}"/>
    <cellStyle name="Comma 5 2 3 4 5 2 2" xfId="16567" xr:uid="{00000000-0005-0000-0000-000069040000}"/>
    <cellStyle name="Comma 5 2 3 4 5 2 3" xfId="12988" xr:uid="{00000000-0005-0000-0000-00006A040000}"/>
    <cellStyle name="Comma 5 2 3 4 5 2 4" xfId="7699" xr:uid="{00000000-0005-0000-0000-00006B040000}"/>
    <cellStyle name="Comma 5 2 3 4 5 3" xfId="4226" xr:uid="{00000000-0005-0000-0000-00006C040000}"/>
    <cellStyle name="Comma 5 2 3 4 5 3 2" xfId="17931" xr:uid="{00000000-0005-0000-0000-00006D040000}"/>
    <cellStyle name="Comma 5 2 3 4 5 3 3" xfId="14352" xr:uid="{00000000-0005-0000-0000-00006E040000}"/>
    <cellStyle name="Comma 5 2 3 4 5 3 4" xfId="9095" xr:uid="{00000000-0005-0000-0000-00006F040000}"/>
    <cellStyle name="Comma 5 2 3 4 5 4" xfId="5992" xr:uid="{00000000-0005-0000-0000-000070040000}"/>
    <cellStyle name="Comma 5 2 3 4 5 4 2" xfId="15078" xr:uid="{00000000-0005-0000-0000-000071040000}"/>
    <cellStyle name="Comma 5 2 3 4 5 5" xfId="10549" xr:uid="{00000000-0005-0000-0000-000072040000}"/>
    <cellStyle name="Comma 5 2 3 4 5 5 2" xfId="19376" xr:uid="{00000000-0005-0000-0000-000073040000}"/>
    <cellStyle name="Comma 5 2 3 4 5 6" xfId="11995" xr:uid="{00000000-0005-0000-0000-000074040000}"/>
    <cellStyle name="Comma 5 2 3 4 5 7" xfId="5293" xr:uid="{00000000-0005-0000-0000-000075040000}"/>
    <cellStyle name="Comma 5 2 3 4 6" xfId="1975" xr:uid="{00000000-0005-0000-0000-000076040000}"/>
    <cellStyle name="Comma 5 2 3 4 6 2" xfId="15921" xr:uid="{00000000-0005-0000-0000-000077040000}"/>
    <cellStyle name="Comma 5 2 3 4 6 3" xfId="12348" xr:uid="{00000000-0005-0000-0000-000078040000}"/>
    <cellStyle name="Comma 5 2 3 4 6 4" xfId="6878" xr:uid="{00000000-0005-0000-0000-000079040000}"/>
    <cellStyle name="Comma 5 2 3 4 7" xfId="3389" xr:uid="{00000000-0005-0000-0000-00007A040000}"/>
    <cellStyle name="Comma 5 2 3 4 7 2" xfId="16888" xr:uid="{00000000-0005-0000-0000-00007B040000}"/>
    <cellStyle name="Comma 5 2 3 4 7 3" xfId="13309" xr:uid="{00000000-0005-0000-0000-00007C040000}"/>
    <cellStyle name="Comma 5 2 3 4 7 4" xfId="8052" xr:uid="{00000000-0005-0000-0000-00007D040000}"/>
    <cellStyle name="Comma 5 2 3 4 8" xfId="5613" xr:uid="{00000000-0005-0000-0000-00007E040000}"/>
    <cellStyle name="Comma 5 2 3 4 8 2" xfId="14699" xr:uid="{00000000-0005-0000-0000-00007F040000}"/>
    <cellStyle name="Comma 5 2 3 4 9" xfId="9506" xr:uid="{00000000-0005-0000-0000-000080040000}"/>
    <cellStyle name="Comma 5 2 3 4 9 2" xfId="18333" xr:uid="{00000000-0005-0000-0000-000081040000}"/>
    <cellStyle name="Comma 5 2 3 5" xfId="307" xr:uid="{00000000-0005-0000-0000-000082040000}"/>
    <cellStyle name="Comma 5 2 3 5 2" xfId="516" xr:uid="{00000000-0005-0000-0000-000083040000}"/>
    <cellStyle name="Comma 5 2 3 5 2 2" xfId="2246" xr:uid="{00000000-0005-0000-0000-000084040000}"/>
    <cellStyle name="Comma 5 2 3 5 2 2 2" xfId="16135" xr:uid="{00000000-0005-0000-0000-000085040000}"/>
    <cellStyle name="Comma 5 2 3 5 2 2 3" xfId="12557" xr:uid="{00000000-0005-0000-0000-000086040000}"/>
    <cellStyle name="Comma 5 2 3 5 2 2 4" xfId="7266" xr:uid="{00000000-0005-0000-0000-000087040000}"/>
    <cellStyle name="Comma 5 2 3 5 2 3" xfId="3514" xr:uid="{00000000-0005-0000-0000-000088040000}"/>
    <cellStyle name="Comma 5 2 3 5 2 3 2" xfId="17159" xr:uid="{00000000-0005-0000-0000-000089040000}"/>
    <cellStyle name="Comma 5 2 3 5 2 3 3" xfId="13580" xr:uid="{00000000-0005-0000-0000-00008A040000}"/>
    <cellStyle name="Comma 5 2 3 5 2 3 4" xfId="8323" xr:uid="{00000000-0005-0000-0000-00008B040000}"/>
    <cellStyle name="Comma 5 2 3 5 2 4" xfId="6382" xr:uid="{00000000-0005-0000-0000-00008C040000}"/>
    <cellStyle name="Comma 5 2 3 5 2 4 2" xfId="15466" xr:uid="{00000000-0005-0000-0000-00008D040000}"/>
    <cellStyle name="Comma 5 2 3 5 2 5" xfId="9777" xr:uid="{00000000-0005-0000-0000-00008E040000}"/>
    <cellStyle name="Comma 5 2 3 5 2 5 2" xfId="18604" xr:uid="{00000000-0005-0000-0000-00008F040000}"/>
    <cellStyle name="Comma 5 2 3 5 2 6" xfId="11221" xr:uid="{00000000-0005-0000-0000-000090040000}"/>
    <cellStyle name="Comma 5 2 3 5 2 7" xfId="4860" xr:uid="{00000000-0005-0000-0000-000091040000}"/>
    <cellStyle name="Comma 5 2 3 5 3" xfId="874" xr:uid="{00000000-0005-0000-0000-000092040000}"/>
    <cellStyle name="Comma 5 2 3 5 3 2" xfId="2594" xr:uid="{00000000-0005-0000-0000-000093040000}"/>
    <cellStyle name="Comma 5 2 3 5 3 2 2" xfId="16667" xr:uid="{00000000-0005-0000-0000-000094040000}"/>
    <cellStyle name="Comma 5 2 3 5 3 2 3" xfId="13088" xr:uid="{00000000-0005-0000-0000-000095040000}"/>
    <cellStyle name="Comma 5 2 3 5 3 2 4" xfId="7799" xr:uid="{00000000-0005-0000-0000-000096040000}"/>
    <cellStyle name="Comma 5 2 3 5 3 3" xfId="3862" xr:uid="{00000000-0005-0000-0000-000097040000}"/>
    <cellStyle name="Comma 5 2 3 5 3 3 2" xfId="17507" xr:uid="{00000000-0005-0000-0000-000098040000}"/>
    <cellStyle name="Comma 5 2 3 5 3 3 3" xfId="13928" xr:uid="{00000000-0005-0000-0000-000099040000}"/>
    <cellStyle name="Comma 5 2 3 5 3 3 4" xfId="8671" xr:uid="{00000000-0005-0000-0000-00009A040000}"/>
    <cellStyle name="Comma 5 2 3 5 3 4" xfId="6206" xr:uid="{00000000-0005-0000-0000-00009B040000}"/>
    <cellStyle name="Comma 5 2 3 5 3 4 2" xfId="15290" xr:uid="{00000000-0005-0000-0000-00009C040000}"/>
    <cellStyle name="Comma 5 2 3 5 3 5" xfId="10125" xr:uid="{00000000-0005-0000-0000-00009D040000}"/>
    <cellStyle name="Comma 5 2 3 5 3 5 2" xfId="18952" xr:uid="{00000000-0005-0000-0000-00009E040000}"/>
    <cellStyle name="Comma 5 2 3 5 3 6" xfId="11571" xr:uid="{00000000-0005-0000-0000-00009F040000}"/>
    <cellStyle name="Comma 5 2 3 5 3 7" xfId="5393" xr:uid="{00000000-0005-0000-0000-0000A0040000}"/>
    <cellStyle name="Comma 5 2 3 5 4" xfId="1519" xr:uid="{00000000-0005-0000-0000-0000A1040000}"/>
    <cellStyle name="Comma 5 2 3 5 4 2" xfId="3118" xr:uid="{00000000-0005-0000-0000-0000A2040000}"/>
    <cellStyle name="Comma 5 2 3 5 4 2 2" xfId="18031" xr:uid="{00000000-0005-0000-0000-0000A3040000}"/>
    <cellStyle name="Comma 5 2 3 5 4 2 3" xfId="14452" xr:uid="{00000000-0005-0000-0000-0000A4040000}"/>
    <cellStyle name="Comma 5 2 3 5 4 2 4" xfId="9195" xr:uid="{00000000-0005-0000-0000-0000A5040000}"/>
    <cellStyle name="Comma 5 2 3 5 4 3" xfId="10649" xr:uid="{00000000-0005-0000-0000-0000A6040000}"/>
    <cellStyle name="Comma 5 2 3 5 4 3 2" xfId="19476" xr:uid="{00000000-0005-0000-0000-0000A7040000}"/>
    <cellStyle name="Comma 5 2 3 5 4 4" xfId="12095" xr:uid="{00000000-0005-0000-0000-0000A8040000}"/>
    <cellStyle name="Comma 5 2 3 5 4 5" xfId="7090" xr:uid="{00000000-0005-0000-0000-0000A9040000}"/>
    <cellStyle name="Comma 5 2 3 5 5" xfId="2075" xr:uid="{00000000-0005-0000-0000-0000AA040000}"/>
    <cellStyle name="Comma 5 2 3 5 5 2" xfId="16988" xr:uid="{00000000-0005-0000-0000-0000AB040000}"/>
    <cellStyle name="Comma 5 2 3 5 5 3" xfId="13409" xr:uid="{00000000-0005-0000-0000-0000AC040000}"/>
    <cellStyle name="Comma 5 2 3 5 5 4" xfId="8152" xr:uid="{00000000-0005-0000-0000-0000AD040000}"/>
    <cellStyle name="Comma 5 2 3 5 6" xfId="5713" xr:uid="{00000000-0005-0000-0000-0000AE040000}"/>
    <cellStyle name="Comma 5 2 3 5 6 2" xfId="14799" xr:uid="{00000000-0005-0000-0000-0000AF040000}"/>
    <cellStyle name="Comma 5 2 3 5 7" xfId="9606" xr:uid="{00000000-0005-0000-0000-0000B0040000}"/>
    <cellStyle name="Comma 5 2 3 5 7 2" xfId="18433" xr:uid="{00000000-0005-0000-0000-0000B1040000}"/>
    <cellStyle name="Comma 5 2 3 5 8" xfId="11050" xr:uid="{00000000-0005-0000-0000-0000B2040000}"/>
    <cellStyle name="Comma 5 2 3 5 9" xfId="4684" xr:uid="{00000000-0005-0000-0000-0000B3040000}"/>
    <cellStyle name="Comma 5 2 3 6" xfId="488" xr:uid="{00000000-0005-0000-0000-0000B4040000}"/>
    <cellStyle name="Comma 5 2 3 6 2" xfId="517" xr:uid="{00000000-0005-0000-0000-0000B5040000}"/>
    <cellStyle name="Comma 5 2 3 6 2 2" xfId="2247" xr:uid="{00000000-0005-0000-0000-0000B6040000}"/>
    <cellStyle name="Comma 5 2 3 6 2 2 2" xfId="16136" xr:uid="{00000000-0005-0000-0000-0000B7040000}"/>
    <cellStyle name="Comma 5 2 3 6 2 2 3" xfId="12558" xr:uid="{00000000-0005-0000-0000-0000B8040000}"/>
    <cellStyle name="Comma 5 2 3 6 2 2 4" xfId="7267" xr:uid="{00000000-0005-0000-0000-0000B9040000}"/>
    <cellStyle name="Comma 5 2 3 6 2 3" xfId="3515" xr:uid="{00000000-0005-0000-0000-0000BA040000}"/>
    <cellStyle name="Comma 5 2 3 6 2 3 2" xfId="17160" xr:uid="{00000000-0005-0000-0000-0000BB040000}"/>
    <cellStyle name="Comma 5 2 3 6 2 3 3" xfId="13581" xr:uid="{00000000-0005-0000-0000-0000BC040000}"/>
    <cellStyle name="Comma 5 2 3 6 2 3 4" xfId="8324" xr:uid="{00000000-0005-0000-0000-0000BD040000}"/>
    <cellStyle name="Comma 5 2 3 6 2 4" xfId="6383" xr:uid="{00000000-0005-0000-0000-0000BE040000}"/>
    <cellStyle name="Comma 5 2 3 6 2 4 2" xfId="15467" xr:uid="{00000000-0005-0000-0000-0000BF040000}"/>
    <cellStyle name="Comma 5 2 3 6 2 5" xfId="9778" xr:uid="{00000000-0005-0000-0000-0000C0040000}"/>
    <cellStyle name="Comma 5 2 3 6 2 5 2" xfId="18605" xr:uid="{00000000-0005-0000-0000-0000C1040000}"/>
    <cellStyle name="Comma 5 2 3 6 2 6" xfId="11222" xr:uid="{00000000-0005-0000-0000-0000C2040000}"/>
    <cellStyle name="Comma 5 2 3 6 2 7" xfId="4861" xr:uid="{00000000-0005-0000-0000-0000C3040000}"/>
    <cellStyle name="Comma 5 2 3 6 3" xfId="875" xr:uid="{00000000-0005-0000-0000-0000C4040000}"/>
    <cellStyle name="Comma 5 2 3 6 3 2" xfId="2595" xr:uid="{00000000-0005-0000-0000-0000C5040000}"/>
    <cellStyle name="Comma 5 2 3 6 3 2 2" xfId="16542" xr:uid="{00000000-0005-0000-0000-0000C6040000}"/>
    <cellStyle name="Comma 5 2 3 6 3 2 3" xfId="12963" xr:uid="{00000000-0005-0000-0000-0000C7040000}"/>
    <cellStyle name="Comma 5 2 3 6 3 2 4" xfId="7674" xr:uid="{00000000-0005-0000-0000-0000C8040000}"/>
    <cellStyle name="Comma 5 2 3 6 3 3" xfId="3863" xr:uid="{00000000-0005-0000-0000-0000C9040000}"/>
    <cellStyle name="Comma 5 2 3 6 3 3 2" xfId="17508" xr:uid="{00000000-0005-0000-0000-0000CA040000}"/>
    <cellStyle name="Comma 5 2 3 6 3 3 3" xfId="13929" xr:uid="{00000000-0005-0000-0000-0000CB040000}"/>
    <cellStyle name="Comma 5 2 3 6 3 3 4" xfId="8672" xr:uid="{00000000-0005-0000-0000-0000CC040000}"/>
    <cellStyle name="Comma 5 2 3 6 3 4" xfId="6719" xr:uid="{00000000-0005-0000-0000-0000CD040000}"/>
    <cellStyle name="Comma 5 2 3 6 3 4 2" xfId="15802" xr:uid="{00000000-0005-0000-0000-0000CE040000}"/>
    <cellStyle name="Comma 5 2 3 6 3 5" xfId="10126" xr:uid="{00000000-0005-0000-0000-0000CF040000}"/>
    <cellStyle name="Comma 5 2 3 6 3 5 2" xfId="18953" xr:uid="{00000000-0005-0000-0000-0000D0040000}"/>
    <cellStyle name="Comma 5 2 3 6 3 6" xfId="11572" xr:uid="{00000000-0005-0000-0000-0000D1040000}"/>
    <cellStyle name="Comma 5 2 3 6 3 7" xfId="5268" xr:uid="{00000000-0005-0000-0000-0000D2040000}"/>
    <cellStyle name="Comma 5 2 3 6 4" xfId="1384" xr:uid="{00000000-0005-0000-0000-0000D3040000}"/>
    <cellStyle name="Comma 5 2 3 6 4 2" xfId="2993" xr:uid="{00000000-0005-0000-0000-0000D4040000}"/>
    <cellStyle name="Comma 5 2 3 6 4 2 2" xfId="17906" xr:uid="{00000000-0005-0000-0000-0000D5040000}"/>
    <cellStyle name="Comma 5 2 3 6 4 2 3" xfId="14327" xr:uid="{00000000-0005-0000-0000-0000D6040000}"/>
    <cellStyle name="Comma 5 2 3 6 4 2 4" xfId="9070" xr:uid="{00000000-0005-0000-0000-0000D7040000}"/>
    <cellStyle name="Comma 5 2 3 6 4 3" xfId="10524" xr:uid="{00000000-0005-0000-0000-0000D8040000}"/>
    <cellStyle name="Comma 5 2 3 6 4 3 2" xfId="19351" xr:uid="{00000000-0005-0000-0000-0000D9040000}"/>
    <cellStyle name="Comma 5 2 3 6 4 4" xfId="11970" xr:uid="{00000000-0005-0000-0000-0000DA040000}"/>
    <cellStyle name="Comma 5 2 3 6 4 5" xfId="6965" xr:uid="{00000000-0005-0000-0000-0000DB040000}"/>
    <cellStyle name="Comma 5 2 3 6 5" xfId="1950" xr:uid="{00000000-0005-0000-0000-0000DC040000}"/>
    <cellStyle name="Comma 5 2 3 6 5 2" xfId="16861" xr:uid="{00000000-0005-0000-0000-0000DD040000}"/>
    <cellStyle name="Comma 5 2 3 6 5 3" xfId="13282" xr:uid="{00000000-0005-0000-0000-0000DE040000}"/>
    <cellStyle name="Comma 5 2 3 6 5 4" xfId="8025" xr:uid="{00000000-0005-0000-0000-0000DF040000}"/>
    <cellStyle name="Comma 5 2 3 6 6" xfId="6081" xr:uid="{00000000-0005-0000-0000-0000E0040000}"/>
    <cellStyle name="Comma 5 2 3 6 6 2" xfId="15165" xr:uid="{00000000-0005-0000-0000-0000E1040000}"/>
    <cellStyle name="Comma 5 2 3 6 7" xfId="9481" xr:uid="{00000000-0005-0000-0000-0000E2040000}"/>
    <cellStyle name="Comma 5 2 3 6 7 2" xfId="18308" xr:uid="{00000000-0005-0000-0000-0000E3040000}"/>
    <cellStyle name="Comma 5 2 3 6 8" xfId="10925" xr:uid="{00000000-0005-0000-0000-0000E4040000}"/>
    <cellStyle name="Comma 5 2 3 6 9" xfId="4559" xr:uid="{00000000-0005-0000-0000-0000E5040000}"/>
    <cellStyle name="Comma 5 2 3 7" xfId="508" xr:uid="{00000000-0005-0000-0000-0000E6040000}"/>
    <cellStyle name="Comma 5 2 3 7 2" xfId="2238" xr:uid="{00000000-0005-0000-0000-0000E7040000}"/>
    <cellStyle name="Comma 5 2 3 7 2 2" xfId="16127" xr:uid="{00000000-0005-0000-0000-0000E8040000}"/>
    <cellStyle name="Comma 5 2 3 7 2 3" xfId="12549" xr:uid="{00000000-0005-0000-0000-0000E9040000}"/>
    <cellStyle name="Comma 5 2 3 7 2 4" xfId="7258" xr:uid="{00000000-0005-0000-0000-0000EA040000}"/>
    <cellStyle name="Comma 5 2 3 7 3" xfId="3506" xr:uid="{00000000-0005-0000-0000-0000EB040000}"/>
    <cellStyle name="Comma 5 2 3 7 3 2" xfId="17151" xr:uid="{00000000-0005-0000-0000-0000EC040000}"/>
    <cellStyle name="Comma 5 2 3 7 3 3" xfId="13572" xr:uid="{00000000-0005-0000-0000-0000ED040000}"/>
    <cellStyle name="Comma 5 2 3 7 3 4" xfId="8315" xr:uid="{00000000-0005-0000-0000-0000EE040000}"/>
    <cellStyle name="Comma 5 2 3 7 4" xfId="6374" xr:uid="{00000000-0005-0000-0000-0000EF040000}"/>
    <cellStyle name="Comma 5 2 3 7 4 2" xfId="15458" xr:uid="{00000000-0005-0000-0000-0000F0040000}"/>
    <cellStyle name="Comma 5 2 3 7 5" xfId="9769" xr:uid="{00000000-0005-0000-0000-0000F1040000}"/>
    <cellStyle name="Comma 5 2 3 7 5 2" xfId="18596" xr:uid="{00000000-0005-0000-0000-0000F2040000}"/>
    <cellStyle name="Comma 5 2 3 7 6" xfId="11213" xr:uid="{00000000-0005-0000-0000-0000F3040000}"/>
    <cellStyle name="Comma 5 2 3 7 7" xfId="4852" xr:uid="{00000000-0005-0000-0000-0000F4040000}"/>
    <cellStyle name="Comma 5 2 3 8" xfId="866" xr:uid="{00000000-0005-0000-0000-0000F5040000}"/>
    <cellStyle name="Comma 5 2 3 8 2" xfId="2586" xr:uid="{00000000-0005-0000-0000-0000F6040000}"/>
    <cellStyle name="Comma 5 2 3 8 2 2" xfId="16497" xr:uid="{00000000-0005-0000-0000-0000F7040000}"/>
    <cellStyle name="Comma 5 2 3 8 2 3" xfId="12919" xr:uid="{00000000-0005-0000-0000-0000F8040000}"/>
    <cellStyle name="Comma 5 2 3 8 2 4" xfId="7629" xr:uid="{00000000-0005-0000-0000-0000F9040000}"/>
    <cellStyle name="Comma 5 2 3 8 3" xfId="3854" xr:uid="{00000000-0005-0000-0000-0000FA040000}"/>
    <cellStyle name="Comma 5 2 3 8 3 2" xfId="17499" xr:uid="{00000000-0005-0000-0000-0000FB040000}"/>
    <cellStyle name="Comma 5 2 3 8 3 3" xfId="13920" xr:uid="{00000000-0005-0000-0000-0000FC040000}"/>
    <cellStyle name="Comma 5 2 3 8 3 4" xfId="8663" xr:uid="{00000000-0005-0000-0000-0000FD040000}"/>
    <cellStyle name="Comma 5 2 3 8 4" xfId="5886" xr:uid="{00000000-0005-0000-0000-0000FE040000}"/>
    <cellStyle name="Comma 5 2 3 8 4 2" xfId="14972" xr:uid="{00000000-0005-0000-0000-0000FF040000}"/>
    <cellStyle name="Comma 5 2 3 8 5" xfId="10117" xr:uid="{00000000-0005-0000-0000-000000050000}"/>
    <cellStyle name="Comma 5 2 3 8 5 2" xfId="18944" xr:uid="{00000000-0005-0000-0000-000001050000}"/>
    <cellStyle name="Comma 5 2 3 8 6" xfId="11563" xr:uid="{00000000-0005-0000-0000-000002050000}"/>
    <cellStyle name="Comma 5 2 3 8 7" xfId="5223" xr:uid="{00000000-0005-0000-0000-000003050000}"/>
    <cellStyle name="Comma 5 2 3 9" xfId="1335" xr:uid="{00000000-0005-0000-0000-000004050000}"/>
    <cellStyle name="Comma 5 2 3 9 2" xfId="2948" xr:uid="{00000000-0005-0000-0000-000005050000}"/>
    <cellStyle name="Comma 5 2 3 9 2 2" xfId="17861" xr:uid="{00000000-0005-0000-0000-000006050000}"/>
    <cellStyle name="Comma 5 2 3 9 2 3" xfId="14282" xr:uid="{00000000-0005-0000-0000-000007050000}"/>
    <cellStyle name="Comma 5 2 3 9 2 4" xfId="9025" xr:uid="{00000000-0005-0000-0000-000008050000}"/>
    <cellStyle name="Comma 5 2 3 9 3" xfId="10479" xr:uid="{00000000-0005-0000-0000-000009050000}"/>
    <cellStyle name="Comma 5 2 3 9 3 2" xfId="19306" xr:uid="{00000000-0005-0000-0000-00000A050000}"/>
    <cellStyle name="Comma 5 2 3 9 4" xfId="11925" xr:uid="{00000000-0005-0000-0000-00000B050000}"/>
    <cellStyle name="Comma 5 2 3 9 5" xfId="6773" xr:uid="{00000000-0005-0000-0000-00000C050000}"/>
    <cellStyle name="Comma 5 2 4" xfId="142" xr:uid="{00000000-0005-0000-0000-00000D050000}"/>
    <cellStyle name="Comma 5 2 4 10" xfId="5566" xr:uid="{00000000-0005-0000-0000-00000E050000}"/>
    <cellStyle name="Comma 5 2 4 10 2" xfId="14652" xr:uid="{00000000-0005-0000-0000-00000F050000}"/>
    <cellStyle name="Comma 5 2 4 11" xfId="9386" xr:uid="{00000000-0005-0000-0000-000010050000}"/>
    <cellStyle name="Comma 5 2 4 11 2" xfId="18213" xr:uid="{00000000-0005-0000-0000-000011050000}"/>
    <cellStyle name="Comma 5 2 4 12" xfId="10826" xr:uid="{00000000-0005-0000-0000-000012050000}"/>
    <cellStyle name="Comma 5 2 4 13" xfId="4379" xr:uid="{00000000-0005-0000-0000-000013050000}"/>
    <cellStyle name="Comma 5 2 4 2" xfId="254" xr:uid="{00000000-0005-0000-0000-000014050000}"/>
    <cellStyle name="Comma 5 2 4 2 10" xfId="11005" xr:uid="{00000000-0005-0000-0000-000015050000}"/>
    <cellStyle name="Comma 5 2 4 2 11" xfId="4422" xr:uid="{00000000-0005-0000-0000-000016050000}"/>
    <cellStyle name="Comma 5 2 4 2 2" xfId="362" xr:uid="{00000000-0005-0000-0000-000017050000}"/>
    <cellStyle name="Comma 5 2 4 2 2 2" xfId="520" xr:uid="{00000000-0005-0000-0000-000018050000}"/>
    <cellStyle name="Comma 5 2 4 2 2 2 2" xfId="2250" xr:uid="{00000000-0005-0000-0000-000019050000}"/>
    <cellStyle name="Comma 5 2 4 2 2 2 2 2" xfId="16139" xr:uid="{00000000-0005-0000-0000-00001A050000}"/>
    <cellStyle name="Comma 5 2 4 2 2 2 2 3" xfId="12561" xr:uid="{00000000-0005-0000-0000-00001B050000}"/>
    <cellStyle name="Comma 5 2 4 2 2 2 2 4" xfId="7270" xr:uid="{00000000-0005-0000-0000-00001C050000}"/>
    <cellStyle name="Comma 5 2 4 2 2 2 3" xfId="3518" xr:uid="{00000000-0005-0000-0000-00001D050000}"/>
    <cellStyle name="Comma 5 2 4 2 2 2 3 2" xfId="17163" xr:uid="{00000000-0005-0000-0000-00001E050000}"/>
    <cellStyle name="Comma 5 2 4 2 2 2 3 3" xfId="13584" xr:uid="{00000000-0005-0000-0000-00001F050000}"/>
    <cellStyle name="Comma 5 2 4 2 2 2 3 4" xfId="8327" xr:uid="{00000000-0005-0000-0000-000020050000}"/>
    <cellStyle name="Comma 5 2 4 2 2 2 4" xfId="6386" xr:uid="{00000000-0005-0000-0000-000021050000}"/>
    <cellStyle name="Comma 5 2 4 2 2 2 4 2" xfId="15470" xr:uid="{00000000-0005-0000-0000-000022050000}"/>
    <cellStyle name="Comma 5 2 4 2 2 2 5" xfId="9781" xr:uid="{00000000-0005-0000-0000-000023050000}"/>
    <cellStyle name="Comma 5 2 4 2 2 2 5 2" xfId="18608" xr:uid="{00000000-0005-0000-0000-000024050000}"/>
    <cellStyle name="Comma 5 2 4 2 2 2 6" xfId="11225" xr:uid="{00000000-0005-0000-0000-000025050000}"/>
    <cellStyle name="Comma 5 2 4 2 2 2 7" xfId="4864" xr:uid="{00000000-0005-0000-0000-000026050000}"/>
    <cellStyle name="Comma 5 2 4 2 2 3" xfId="878" xr:uid="{00000000-0005-0000-0000-000027050000}"/>
    <cellStyle name="Comma 5 2 4 2 2 3 2" xfId="2598" xr:uid="{00000000-0005-0000-0000-000028050000}"/>
    <cellStyle name="Comma 5 2 4 2 2 3 2 2" xfId="16722" xr:uid="{00000000-0005-0000-0000-000029050000}"/>
    <cellStyle name="Comma 5 2 4 2 2 3 2 3" xfId="13143" xr:uid="{00000000-0005-0000-0000-00002A050000}"/>
    <cellStyle name="Comma 5 2 4 2 2 3 2 4" xfId="7854" xr:uid="{00000000-0005-0000-0000-00002B050000}"/>
    <cellStyle name="Comma 5 2 4 2 2 3 3" xfId="3866" xr:uid="{00000000-0005-0000-0000-00002C050000}"/>
    <cellStyle name="Comma 5 2 4 2 2 3 3 2" xfId="17511" xr:uid="{00000000-0005-0000-0000-00002D050000}"/>
    <cellStyle name="Comma 5 2 4 2 2 3 3 3" xfId="13932" xr:uid="{00000000-0005-0000-0000-00002E050000}"/>
    <cellStyle name="Comma 5 2 4 2 2 3 3 4" xfId="8675" xr:uid="{00000000-0005-0000-0000-00002F050000}"/>
    <cellStyle name="Comma 5 2 4 2 2 3 4" xfId="6261" xr:uid="{00000000-0005-0000-0000-000030050000}"/>
    <cellStyle name="Comma 5 2 4 2 2 3 4 2" xfId="15345" xr:uid="{00000000-0005-0000-0000-000031050000}"/>
    <cellStyle name="Comma 5 2 4 2 2 3 5" xfId="10129" xr:uid="{00000000-0005-0000-0000-000032050000}"/>
    <cellStyle name="Comma 5 2 4 2 2 3 5 2" xfId="18956" xr:uid="{00000000-0005-0000-0000-000033050000}"/>
    <cellStyle name="Comma 5 2 4 2 2 3 6" xfId="11575" xr:uid="{00000000-0005-0000-0000-000034050000}"/>
    <cellStyle name="Comma 5 2 4 2 2 3 7" xfId="5448" xr:uid="{00000000-0005-0000-0000-000035050000}"/>
    <cellStyle name="Comma 5 2 4 2 2 4" xfId="1575" xr:uid="{00000000-0005-0000-0000-000036050000}"/>
    <cellStyle name="Comma 5 2 4 2 2 4 2" xfId="3173" xr:uid="{00000000-0005-0000-0000-000037050000}"/>
    <cellStyle name="Comma 5 2 4 2 2 4 2 2" xfId="18086" xr:uid="{00000000-0005-0000-0000-000038050000}"/>
    <cellStyle name="Comma 5 2 4 2 2 4 2 3" xfId="14507" xr:uid="{00000000-0005-0000-0000-000039050000}"/>
    <cellStyle name="Comma 5 2 4 2 2 4 2 4" xfId="9250" xr:uid="{00000000-0005-0000-0000-00003A050000}"/>
    <cellStyle name="Comma 5 2 4 2 2 4 3" xfId="10704" xr:uid="{00000000-0005-0000-0000-00003B050000}"/>
    <cellStyle name="Comma 5 2 4 2 2 4 3 2" xfId="19531" xr:uid="{00000000-0005-0000-0000-00003C050000}"/>
    <cellStyle name="Comma 5 2 4 2 2 4 4" xfId="12150" xr:uid="{00000000-0005-0000-0000-00003D050000}"/>
    <cellStyle name="Comma 5 2 4 2 2 4 5" xfId="7145" xr:uid="{00000000-0005-0000-0000-00003E050000}"/>
    <cellStyle name="Comma 5 2 4 2 2 5" xfId="2130" xr:uid="{00000000-0005-0000-0000-00003F050000}"/>
    <cellStyle name="Comma 5 2 4 2 2 5 2" xfId="17043" xr:uid="{00000000-0005-0000-0000-000040050000}"/>
    <cellStyle name="Comma 5 2 4 2 2 5 3" xfId="13464" xr:uid="{00000000-0005-0000-0000-000041050000}"/>
    <cellStyle name="Comma 5 2 4 2 2 5 4" xfId="8207" xr:uid="{00000000-0005-0000-0000-000042050000}"/>
    <cellStyle name="Comma 5 2 4 2 2 6" xfId="5768" xr:uid="{00000000-0005-0000-0000-000043050000}"/>
    <cellStyle name="Comma 5 2 4 2 2 6 2" xfId="14854" xr:uid="{00000000-0005-0000-0000-000044050000}"/>
    <cellStyle name="Comma 5 2 4 2 2 7" xfId="9661" xr:uid="{00000000-0005-0000-0000-000045050000}"/>
    <cellStyle name="Comma 5 2 4 2 2 7 2" xfId="18488" xr:uid="{00000000-0005-0000-0000-000046050000}"/>
    <cellStyle name="Comma 5 2 4 2 2 8" xfId="11105" xr:uid="{00000000-0005-0000-0000-000047050000}"/>
    <cellStyle name="Comma 5 2 4 2 2 9" xfId="4739" xr:uid="{00000000-0005-0000-0000-000048050000}"/>
    <cellStyle name="Comma 5 2 4 2 3" xfId="519" xr:uid="{00000000-0005-0000-0000-000049050000}"/>
    <cellStyle name="Comma 5 2 4 2 3 2" xfId="2249" xr:uid="{00000000-0005-0000-0000-00004A050000}"/>
    <cellStyle name="Comma 5 2 4 2 3 2 2" xfId="16059" xr:uid="{00000000-0005-0000-0000-00004B050000}"/>
    <cellStyle name="Comma 5 2 4 2 3 2 3" xfId="12380" xr:uid="{00000000-0005-0000-0000-00004C050000}"/>
    <cellStyle name="Comma 5 2 4 2 3 2 4" xfId="7045" xr:uid="{00000000-0005-0000-0000-00004D050000}"/>
    <cellStyle name="Comma 5 2 4 2 3 3" xfId="3517" xr:uid="{00000000-0005-0000-0000-00004E050000}"/>
    <cellStyle name="Comma 5 2 4 2 3 3 2" xfId="17162" xr:uid="{00000000-0005-0000-0000-00004F050000}"/>
    <cellStyle name="Comma 5 2 4 2 3 3 3" xfId="13583" xr:uid="{00000000-0005-0000-0000-000050050000}"/>
    <cellStyle name="Comma 5 2 4 2 3 3 4" xfId="8326" xr:uid="{00000000-0005-0000-0000-000051050000}"/>
    <cellStyle name="Comma 5 2 4 2 3 4" xfId="6161" xr:uid="{00000000-0005-0000-0000-000052050000}"/>
    <cellStyle name="Comma 5 2 4 2 3 4 2" xfId="15245" xr:uid="{00000000-0005-0000-0000-000053050000}"/>
    <cellStyle name="Comma 5 2 4 2 3 5" xfId="9780" xr:uid="{00000000-0005-0000-0000-000054050000}"/>
    <cellStyle name="Comma 5 2 4 2 3 5 2" xfId="18607" xr:uid="{00000000-0005-0000-0000-000055050000}"/>
    <cellStyle name="Comma 5 2 4 2 3 6" xfId="11224" xr:uid="{00000000-0005-0000-0000-000056050000}"/>
    <cellStyle name="Comma 5 2 4 2 3 7" xfId="4639" xr:uid="{00000000-0005-0000-0000-000057050000}"/>
    <cellStyle name="Comma 5 2 4 2 4" xfId="877" xr:uid="{00000000-0005-0000-0000-000058050000}"/>
    <cellStyle name="Comma 5 2 4 2 4 2" xfId="2597" xr:uid="{00000000-0005-0000-0000-000059050000}"/>
    <cellStyle name="Comma 5 2 4 2 4 2 2" xfId="16138" xr:uid="{00000000-0005-0000-0000-00005A050000}"/>
    <cellStyle name="Comma 5 2 4 2 4 2 3" xfId="12560" xr:uid="{00000000-0005-0000-0000-00005B050000}"/>
    <cellStyle name="Comma 5 2 4 2 4 2 4" xfId="7269" xr:uid="{00000000-0005-0000-0000-00005C050000}"/>
    <cellStyle name="Comma 5 2 4 2 4 3" xfId="3865" xr:uid="{00000000-0005-0000-0000-00005D050000}"/>
    <cellStyle name="Comma 5 2 4 2 4 3 2" xfId="17510" xr:uid="{00000000-0005-0000-0000-00005E050000}"/>
    <cellStyle name="Comma 5 2 4 2 4 3 3" xfId="13931" xr:uid="{00000000-0005-0000-0000-00005F050000}"/>
    <cellStyle name="Comma 5 2 4 2 4 3 4" xfId="8674" xr:uid="{00000000-0005-0000-0000-000060050000}"/>
    <cellStyle name="Comma 5 2 4 2 4 4" xfId="6385" xr:uid="{00000000-0005-0000-0000-000061050000}"/>
    <cellStyle name="Comma 5 2 4 2 4 4 2" xfId="15469" xr:uid="{00000000-0005-0000-0000-000062050000}"/>
    <cellStyle name="Comma 5 2 4 2 4 5" xfId="10128" xr:uid="{00000000-0005-0000-0000-000063050000}"/>
    <cellStyle name="Comma 5 2 4 2 4 5 2" xfId="18955" xr:uid="{00000000-0005-0000-0000-000064050000}"/>
    <cellStyle name="Comma 5 2 4 2 4 6" xfId="11574" xr:uid="{00000000-0005-0000-0000-000065050000}"/>
    <cellStyle name="Comma 5 2 4 2 4 7" xfId="4863" xr:uid="{00000000-0005-0000-0000-000066050000}"/>
    <cellStyle name="Comma 5 2 4 2 5" xfId="1473" xr:uid="{00000000-0005-0000-0000-000067050000}"/>
    <cellStyle name="Comma 5 2 4 2 5 2" xfId="3073" xr:uid="{00000000-0005-0000-0000-000068050000}"/>
    <cellStyle name="Comma 5 2 4 2 5 2 2" xfId="16622" xr:uid="{00000000-0005-0000-0000-000069050000}"/>
    <cellStyle name="Comma 5 2 4 2 5 2 3" xfId="13043" xr:uid="{00000000-0005-0000-0000-00006A050000}"/>
    <cellStyle name="Comma 5 2 4 2 5 2 4" xfId="7754" xr:uid="{00000000-0005-0000-0000-00006B050000}"/>
    <cellStyle name="Comma 5 2 4 2 5 3" xfId="4281" xr:uid="{00000000-0005-0000-0000-00006C050000}"/>
    <cellStyle name="Comma 5 2 4 2 5 3 2" xfId="17986" xr:uid="{00000000-0005-0000-0000-00006D050000}"/>
    <cellStyle name="Comma 5 2 4 2 5 3 3" xfId="14407" xr:uid="{00000000-0005-0000-0000-00006E050000}"/>
    <cellStyle name="Comma 5 2 4 2 5 3 4" xfId="9150" xr:uid="{00000000-0005-0000-0000-00006F050000}"/>
    <cellStyle name="Comma 5 2 4 2 5 4" xfId="5942" xr:uid="{00000000-0005-0000-0000-000070050000}"/>
    <cellStyle name="Comma 5 2 4 2 5 4 2" xfId="15028" xr:uid="{00000000-0005-0000-0000-000071050000}"/>
    <cellStyle name="Comma 5 2 4 2 5 5" xfId="10604" xr:uid="{00000000-0005-0000-0000-000072050000}"/>
    <cellStyle name="Comma 5 2 4 2 5 5 2" xfId="19431" xr:uid="{00000000-0005-0000-0000-000073050000}"/>
    <cellStyle name="Comma 5 2 4 2 5 6" xfId="12050" xr:uid="{00000000-0005-0000-0000-000074050000}"/>
    <cellStyle name="Comma 5 2 4 2 5 7" xfId="5348" xr:uid="{00000000-0005-0000-0000-000075050000}"/>
    <cellStyle name="Comma 5 2 4 2 6" xfId="2030" xr:uid="{00000000-0005-0000-0000-000076050000}"/>
    <cellStyle name="Comma 5 2 4 2 6 2" xfId="15871" xr:uid="{00000000-0005-0000-0000-000077050000}"/>
    <cellStyle name="Comma 5 2 4 2 6 3" xfId="12451" xr:uid="{00000000-0005-0000-0000-000078050000}"/>
    <cellStyle name="Comma 5 2 4 2 6 4" xfId="6828" xr:uid="{00000000-0005-0000-0000-000079050000}"/>
    <cellStyle name="Comma 5 2 4 2 7" xfId="3443" xr:uid="{00000000-0005-0000-0000-00007A050000}"/>
    <cellStyle name="Comma 5 2 4 2 7 2" xfId="16943" xr:uid="{00000000-0005-0000-0000-00007B050000}"/>
    <cellStyle name="Comma 5 2 4 2 7 3" xfId="13364" xr:uid="{00000000-0005-0000-0000-00007C050000}"/>
    <cellStyle name="Comma 5 2 4 2 7 4" xfId="8107" xr:uid="{00000000-0005-0000-0000-00007D050000}"/>
    <cellStyle name="Comma 5 2 4 2 8" xfId="5668" xr:uid="{00000000-0005-0000-0000-00007E050000}"/>
    <cellStyle name="Comma 5 2 4 2 8 2" xfId="14754" xr:uid="{00000000-0005-0000-0000-00007F050000}"/>
    <cellStyle name="Comma 5 2 4 2 9" xfId="9561" xr:uid="{00000000-0005-0000-0000-000080050000}"/>
    <cellStyle name="Comma 5 2 4 2 9 2" xfId="18388" xr:uid="{00000000-0005-0000-0000-000081050000}"/>
    <cellStyle name="Comma 5 2 4 3" xfId="211" xr:uid="{00000000-0005-0000-0000-000082050000}"/>
    <cellStyle name="Comma 5 2 4 3 10" xfId="10962" xr:uid="{00000000-0005-0000-0000-000083050000}"/>
    <cellStyle name="Comma 5 2 4 3 11" xfId="4484" xr:uid="{00000000-0005-0000-0000-000084050000}"/>
    <cellStyle name="Comma 5 2 4 3 2" xfId="425" xr:uid="{00000000-0005-0000-0000-000085050000}"/>
    <cellStyle name="Comma 5 2 4 3 2 2" xfId="522" xr:uid="{00000000-0005-0000-0000-000086050000}"/>
    <cellStyle name="Comma 5 2 4 3 2 2 2" xfId="2252" xr:uid="{00000000-0005-0000-0000-000087050000}"/>
    <cellStyle name="Comma 5 2 4 3 2 2 2 2" xfId="16141" xr:uid="{00000000-0005-0000-0000-000088050000}"/>
    <cellStyle name="Comma 5 2 4 3 2 2 2 3" xfId="12563" xr:uid="{00000000-0005-0000-0000-000089050000}"/>
    <cellStyle name="Comma 5 2 4 3 2 2 2 4" xfId="7272" xr:uid="{00000000-0005-0000-0000-00008A050000}"/>
    <cellStyle name="Comma 5 2 4 3 2 2 3" xfId="3520" xr:uid="{00000000-0005-0000-0000-00008B050000}"/>
    <cellStyle name="Comma 5 2 4 3 2 2 3 2" xfId="17165" xr:uid="{00000000-0005-0000-0000-00008C050000}"/>
    <cellStyle name="Comma 5 2 4 3 2 2 3 3" xfId="13586" xr:uid="{00000000-0005-0000-0000-00008D050000}"/>
    <cellStyle name="Comma 5 2 4 3 2 2 3 4" xfId="8329" xr:uid="{00000000-0005-0000-0000-00008E050000}"/>
    <cellStyle name="Comma 5 2 4 3 2 2 4" xfId="6388" xr:uid="{00000000-0005-0000-0000-00008F050000}"/>
    <cellStyle name="Comma 5 2 4 3 2 2 4 2" xfId="15472" xr:uid="{00000000-0005-0000-0000-000090050000}"/>
    <cellStyle name="Comma 5 2 4 3 2 2 5" xfId="9783" xr:uid="{00000000-0005-0000-0000-000091050000}"/>
    <cellStyle name="Comma 5 2 4 3 2 2 5 2" xfId="18610" xr:uid="{00000000-0005-0000-0000-000092050000}"/>
    <cellStyle name="Comma 5 2 4 3 2 2 6" xfId="11227" xr:uid="{00000000-0005-0000-0000-000093050000}"/>
    <cellStyle name="Comma 5 2 4 3 2 2 7" xfId="4866" xr:uid="{00000000-0005-0000-0000-000094050000}"/>
    <cellStyle name="Comma 5 2 4 3 2 3" xfId="880" xr:uid="{00000000-0005-0000-0000-000095050000}"/>
    <cellStyle name="Comma 5 2 4 3 2 3 2" xfId="2600" xr:uid="{00000000-0005-0000-0000-000096050000}"/>
    <cellStyle name="Comma 5 2 4 3 2 3 2 2" xfId="16784" xr:uid="{00000000-0005-0000-0000-000097050000}"/>
    <cellStyle name="Comma 5 2 4 3 2 3 2 3" xfId="13205" xr:uid="{00000000-0005-0000-0000-000098050000}"/>
    <cellStyle name="Comma 5 2 4 3 2 3 2 4" xfId="7916" xr:uid="{00000000-0005-0000-0000-000099050000}"/>
    <cellStyle name="Comma 5 2 4 3 2 3 3" xfId="3868" xr:uid="{00000000-0005-0000-0000-00009A050000}"/>
    <cellStyle name="Comma 5 2 4 3 2 3 3 2" xfId="17513" xr:uid="{00000000-0005-0000-0000-00009B050000}"/>
    <cellStyle name="Comma 5 2 4 3 2 3 3 3" xfId="13934" xr:uid="{00000000-0005-0000-0000-00009C050000}"/>
    <cellStyle name="Comma 5 2 4 3 2 3 3 4" xfId="8677" xr:uid="{00000000-0005-0000-0000-00009D050000}"/>
    <cellStyle name="Comma 5 2 4 3 2 3 4" xfId="6323" xr:uid="{00000000-0005-0000-0000-00009E050000}"/>
    <cellStyle name="Comma 5 2 4 3 2 3 4 2" xfId="15407" xr:uid="{00000000-0005-0000-0000-00009F050000}"/>
    <cellStyle name="Comma 5 2 4 3 2 3 5" xfId="10131" xr:uid="{00000000-0005-0000-0000-0000A0050000}"/>
    <cellStyle name="Comma 5 2 4 3 2 3 5 2" xfId="18958" xr:uid="{00000000-0005-0000-0000-0000A1050000}"/>
    <cellStyle name="Comma 5 2 4 3 2 3 6" xfId="11577" xr:uid="{00000000-0005-0000-0000-0000A2050000}"/>
    <cellStyle name="Comma 5 2 4 3 2 3 7" xfId="5510" xr:uid="{00000000-0005-0000-0000-0000A3050000}"/>
    <cellStyle name="Comma 5 2 4 3 2 4" xfId="1639" xr:uid="{00000000-0005-0000-0000-0000A4050000}"/>
    <cellStyle name="Comma 5 2 4 3 2 4 2" xfId="3235" xr:uid="{00000000-0005-0000-0000-0000A5050000}"/>
    <cellStyle name="Comma 5 2 4 3 2 4 2 2" xfId="18148" xr:uid="{00000000-0005-0000-0000-0000A6050000}"/>
    <cellStyle name="Comma 5 2 4 3 2 4 2 3" xfId="14569" xr:uid="{00000000-0005-0000-0000-0000A7050000}"/>
    <cellStyle name="Comma 5 2 4 3 2 4 2 4" xfId="9312" xr:uid="{00000000-0005-0000-0000-0000A8050000}"/>
    <cellStyle name="Comma 5 2 4 3 2 4 3" xfId="10766" xr:uid="{00000000-0005-0000-0000-0000A9050000}"/>
    <cellStyle name="Comma 5 2 4 3 2 4 3 2" xfId="19593" xr:uid="{00000000-0005-0000-0000-0000AA050000}"/>
    <cellStyle name="Comma 5 2 4 3 2 4 4" xfId="12212" xr:uid="{00000000-0005-0000-0000-0000AB050000}"/>
    <cellStyle name="Comma 5 2 4 3 2 4 5" xfId="7207" xr:uid="{00000000-0005-0000-0000-0000AC050000}"/>
    <cellStyle name="Comma 5 2 4 3 2 5" xfId="2192" xr:uid="{00000000-0005-0000-0000-0000AD050000}"/>
    <cellStyle name="Comma 5 2 4 3 2 5 2" xfId="17105" xr:uid="{00000000-0005-0000-0000-0000AE050000}"/>
    <cellStyle name="Comma 5 2 4 3 2 5 3" xfId="13526" xr:uid="{00000000-0005-0000-0000-0000AF050000}"/>
    <cellStyle name="Comma 5 2 4 3 2 5 4" xfId="8269" xr:uid="{00000000-0005-0000-0000-0000B0050000}"/>
    <cellStyle name="Comma 5 2 4 3 2 6" xfId="5830" xr:uid="{00000000-0005-0000-0000-0000B1050000}"/>
    <cellStyle name="Comma 5 2 4 3 2 6 2" xfId="14916" xr:uid="{00000000-0005-0000-0000-0000B2050000}"/>
    <cellStyle name="Comma 5 2 4 3 2 7" xfId="9723" xr:uid="{00000000-0005-0000-0000-0000B3050000}"/>
    <cellStyle name="Comma 5 2 4 3 2 7 2" xfId="18550" xr:uid="{00000000-0005-0000-0000-0000B4050000}"/>
    <cellStyle name="Comma 5 2 4 3 2 8" xfId="11167" xr:uid="{00000000-0005-0000-0000-0000B5050000}"/>
    <cellStyle name="Comma 5 2 4 3 2 9" xfId="4801" xr:uid="{00000000-0005-0000-0000-0000B6050000}"/>
    <cellStyle name="Comma 5 2 4 3 3" xfId="521" xr:uid="{00000000-0005-0000-0000-0000B7050000}"/>
    <cellStyle name="Comma 5 2 4 3 3 2" xfId="2251" xr:uid="{00000000-0005-0000-0000-0000B8050000}"/>
    <cellStyle name="Comma 5 2 4 3 3 2 2" xfId="16016" xr:uid="{00000000-0005-0000-0000-0000B9050000}"/>
    <cellStyle name="Comma 5 2 4 3 3 2 3" xfId="12500" xr:uid="{00000000-0005-0000-0000-0000BA050000}"/>
    <cellStyle name="Comma 5 2 4 3 3 2 4" xfId="7002" xr:uid="{00000000-0005-0000-0000-0000BB050000}"/>
    <cellStyle name="Comma 5 2 4 3 3 3" xfId="3519" xr:uid="{00000000-0005-0000-0000-0000BC050000}"/>
    <cellStyle name="Comma 5 2 4 3 3 3 2" xfId="17164" xr:uid="{00000000-0005-0000-0000-0000BD050000}"/>
    <cellStyle name="Comma 5 2 4 3 3 3 3" xfId="13585" xr:uid="{00000000-0005-0000-0000-0000BE050000}"/>
    <cellStyle name="Comma 5 2 4 3 3 3 4" xfId="8328" xr:uid="{00000000-0005-0000-0000-0000BF050000}"/>
    <cellStyle name="Comma 5 2 4 3 3 4" xfId="6118" xr:uid="{00000000-0005-0000-0000-0000C0050000}"/>
    <cellStyle name="Comma 5 2 4 3 3 4 2" xfId="15202" xr:uid="{00000000-0005-0000-0000-0000C1050000}"/>
    <cellStyle name="Comma 5 2 4 3 3 5" xfId="9782" xr:uid="{00000000-0005-0000-0000-0000C2050000}"/>
    <cellStyle name="Comma 5 2 4 3 3 5 2" xfId="18609" xr:uid="{00000000-0005-0000-0000-0000C3050000}"/>
    <cellStyle name="Comma 5 2 4 3 3 6" xfId="11226" xr:uid="{00000000-0005-0000-0000-0000C4050000}"/>
    <cellStyle name="Comma 5 2 4 3 3 7" xfId="4596" xr:uid="{00000000-0005-0000-0000-0000C5050000}"/>
    <cellStyle name="Comma 5 2 4 3 4" xfId="879" xr:uid="{00000000-0005-0000-0000-0000C6050000}"/>
    <cellStyle name="Comma 5 2 4 3 4 2" xfId="2599" xr:uid="{00000000-0005-0000-0000-0000C7050000}"/>
    <cellStyle name="Comma 5 2 4 3 4 2 2" xfId="16140" xr:uid="{00000000-0005-0000-0000-0000C8050000}"/>
    <cellStyle name="Comma 5 2 4 3 4 2 3" xfId="12562" xr:uid="{00000000-0005-0000-0000-0000C9050000}"/>
    <cellStyle name="Comma 5 2 4 3 4 2 4" xfId="7271" xr:uid="{00000000-0005-0000-0000-0000CA050000}"/>
    <cellStyle name="Comma 5 2 4 3 4 3" xfId="3867" xr:uid="{00000000-0005-0000-0000-0000CB050000}"/>
    <cellStyle name="Comma 5 2 4 3 4 3 2" xfId="17512" xr:uid="{00000000-0005-0000-0000-0000CC050000}"/>
    <cellStyle name="Comma 5 2 4 3 4 3 3" xfId="13933" xr:uid="{00000000-0005-0000-0000-0000CD050000}"/>
    <cellStyle name="Comma 5 2 4 3 4 3 4" xfId="8676" xr:uid="{00000000-0005-0000-0000-0000CE050000}"/>
    <cellStyle name="Comma 5 2 4 3 4 4" xfId="6387" xr:uid="{00000000-0005-0000-0000-0000CF050000}"/>
    <cellStyle name="Comma 5 2 4 3 4 4 2" xfId="15471" xr:uid="{00000000-0005-0000-0000-0000D0050000}"/>
    <cellStyle name="Comma 5 2 4 3 4 5" xfId="10130" xr:uid="{00000000-0005-0000-0000-0000D1050000}"/>
    <cellStyle name="Comma 5 2 4 3 4 5 2" xfId="18957" xr:uid="{00000000-0005-0000-0000-0000D2050000}"/>
    <cellStyle name="Comma 5 2 4 3 4 6" xfId="11576" xr:uid="{00000000-0005-0000-0000-0000D3050000}"/>
    <cellStyle name="Comma 5 2 4 3 4 7" xfId="4865" xr:uid="{00000000-0005-0000-0000-0000D4050000}"/>
    <cellStyle name="Comma 5 2 4 3 5" xfId="1428" xr:uid="{00000000-0005-0000-0000-0000D5050000}"/>
    <cellStyle name="Comma 5 2 4 3 5 2" xfId="3030" xr:uid="{00000000-0005-0000-0000-0000D6050000}"/>
    <cellStyle name="Comma 5 2 4 3 5 2 2" xfId="16579" xr:uid="{00000000-0005-0000-0000-0000D7050000}"/>
    <cellStyle name="Comma 5 2 4 3 5 2 3" xfId="13000" xr:uid="{00000000-0005-0000-0000-0000D8050000}"/>
    <cellStyle name="Comma 5 2 4 3 5 2 4" xfId="7711" xr:uid="{00000000-0005-0000-0000-0000D9050000}"/>
    <cellStyle name="Comma 5 2 4 3 5 3" xfId="4238" xr:uid="{00000000-0005-0000-0000-0000DA050000}"/>
    <cellStyle name="Comma 5 2 4 3 5 3 2" xfId="17943" xr:uid="{00000000-0005-0000-0000-0000DB050000}"/>
    <cellStyle name="Comma 5 2 4 3 5 3 3" xfId="14364" xr:uid="{00000000-0005-0000-0000-0000DC050000}"/>
    <cellStyle name="Comma 5 2 4 3 5 3 4" xfId="9107" xr:uid="{00000000-0005-0000-0000-0000DD050000}"/>
    <cellStyle name="Comma 5 2 4 3 5 4" xfId="6004" xr:uid="{00000000-0005-0000-0000-0000DE050000}"/>
    <cellStyle name="Comma 5 2 4 3 5 4 2" xfId="15090" xr:uid="{00000000-0005-0000-0000-0000DF050000}"/>
    <cellStyle name="Comma 5 2 4 3 5 5" xfId="10561" xr:uid="{00000000-0005-0000-0000-0000E0050000}"/>
    <cellStyle name="Comma 5 2 4 3 5 5 2" xfId="19388" xr:uid="{00000000-0005-0000-0000-0000E1050000}"/>
    <cellStyle name="Comma 5 2 4 3 5 6" xfId="12007" xr:uid="{00000000-0005-0000-0000-0000E2050000}"/>
    <cellStyle name="Comma 5 2 4 3 5 7" xfId="5305" xr:uid="{00000000-0005-0000-0000-0000E3050000}"/>
    <cellStyle name="Comma 5 2 4 3 6" xfId="1987" xr:uid="{00000000-0005-0000-0000-0000E4050000}"/>
    <cellStyle name="Comma 5 2 4 3 6 2" xfId="15933" xr:uid="{00000000-0005-0000-0000-0000E5050000}"/>
    <cellStyle name="Comma 5 2 4 3 6 3" xfId="12502" xr:uid="{00000000-0005-0000-0000-0000E6050000}"/>
    <cellStyle name="Comma 5 2 4 3 6 4" xfId="6890" xr:uid="{00000000-0005-0000-0000-0000E7050000}"/>
    <cellStyle name="Comma 5 2 4 3 7" xfId="3401" xr:uid="{00000000-0005-0000-0000-0000E8050000}"/>
    <cellStyle name="Comma 5 2 4 3 7 2" xfId="16900" xr:uid="{00000000-0005-0000-0000-0000E9050000}"/>
    <cellStyle name="Comma 5 2 4 3 7 3" xfId="13321" xr:uid="{00000000-0005-0000-0000-0000EA050000}"/>
    <cellStyle name="Comma 5 2 4 3 7 4" xfId="8064" xr:uid="{00000000-0005-0000-0000-0000EB050000}"/>
    <cellStyle name="Comma 5 2 4 3 8" xfId="5625" xr:uid="{00000000-0005-0000-0000-0000EC050000}"/>
    <cellStyle name="Comma 5 2 4 3 8 2" xfId="14711" xr:uid="{00000000-0005-0000-0000-0000ED050000}"/>
    <cellStyle name="Comma 5 2 4 3 9" xfId="9518" xr:uid="{00000000-0005-0000-0000-0000EE050000}"/>
    <cellStyle name="Comma 5 2 4 3 9 2" xfId="18345" xr:uid="{00000000-0005-0000-0000-0000EF050000}"/>
    <cellStyle name="Comma 5 2 4 4" xfId="319" xr:uid="{00000000-0005-0000-0000-0000F0050000}"/>
    <cellStyle name="Comma 5 2 4 4 2" xfId="523" xr:uid="{00000000-0005-0000-0000-0000F1050000}"/>
    <cellStyle name="Comma 5 2 4 4 2 2" xfId="2253" xr:uid="{00000000-0005-0000-0000-0000F2050000}"/>
    <cellStyle name="Comma 5 2 4 4 2 2 2" xfId="16142" xr:uid="{00000000-0005-0000-0000-0000F3050000}"/>
    <cellStyle name="Comma 5 2 4 4 2 2 3" xfId="12564" xr:uid="{00000000-0005-0000-0000-0000F4050000}"/>
    <cellStyle name="Comma 5 2 4 4 2 2 4" xfId="7273" xr:uid="{00000000-0005-0000-0000-0000F5050000}"/>
    <cellStyle name="Comma 5 2 4 4 2 3" xfId="3521" xr:uid="{00000000-0005-0000-0000-0000F6050000}"/>
    <cellStyle name="Comma 5 2 4 4 2 3 2" xfId="17166" xr:uid="{00000000-0005-0000-0000-0000F7050000}"/>
    <cellStyle name="Comma 5 2 4 4 2 3 3" xfId="13587" xr:uid="{00000000-0005-0000-0000-0000F8050000}"/>
    <cellStyle name="Comma 5 2 4 4 2 3 4" xfId="8330" xr:uid="{00000000-0005-0000-0000-0000F9050000}"/>
    <cellStyle name="Comma 5 2 4 4 2 4" xfId="6389" xr:uid="{00000000-0005-0000-0000-0000FA050000}"/>
    <cellStyle name="Comma 5 2 4 4 2 4 2" xfId="15473" xr:uid="{00000000-0005-0000-0000-0000FB050000}"/>
    <cellStyle name="Comma 5 2 4 4 2 5" xfId="9784" xr:uid="{00000000-0005-0000-0000-0000FC050000}"/>
    <cellStyle name="Comma 5 2 4 4 2 5 2" xfId="18611" xr:uid="{00000000-0005-0000-0000-0000FD050000}"/>
    <cellStyle name="Comma 5 2 4 4 2 6" xfId="11228" xr:uid="{00000000-0005-0000-0000-0000FE050000}"/>
    <cellStyle name="Comma 5 2 4 4 2 7" xfId="4867" xr:uid="{00000000-0005-0000-0000-0000FF050000}"/>
    <cellStyle name="Comma 5 2 4 4 3" xfId="881" xr:uid="{00000000-0005-0000-0000-000000060000}"/>
    <cellStyle name="Comma 5 2 4 4 3 2" xfId="2601" xr:uid="{00000000-0005-0000-0000-000001060000}"/>
    <cellStyle name="Comma 5 2 4 4 3 2 2" xfId="16679" xr:uid="{00000000-0005-0000-0000-000002060000}"/>
    <cellStyle name="Comma 5 2 4 4 3 2 3" xfId="13100" xr:uid="{00000000-0005-0000-0000-000003060000}"/>
    <cellStyle name="Comma 5 2 4 4 3 2 4" xfId="7811" xr:uid="{00000000-0005-0000-0000-000004060000}"/>
    <cellStyle name="Comma 5 2 4 4 3 3" xfId="3869" xr:uid="{00000000-0005-0000-0000-000005060000}"/>
    <cellStyle name="Comma 5 2 4 4 3 3 2" xfId="17514" xr:uid="{00000000-0005-0000-0000-000006060000}"/>
    <cellStyle name="Comma 5 2 4 4 3 3 3" xfId="13935" xr:uid="{00000000-0005-0000-0000-000007060000}"/>
    <cellStyle name="Comma 5 2 4 4 3 3 4" xfId="8678" xr:uid="{00000000-0005-0000-0000-000008060000}"/>
    <cellStyle name="Comma 5 2 4 4 3 4" xfId="6218" xr:uid="{00000000-0005-0000-0000-000009060000}"/>
    <cellStyle name="Comma 5 2 4 4 3 4 2" xfId="15302" xr:uid="{00000000-0005-0000-0000-00000A060000}"/>
    <cellStyle name="Comma 5 2 4 4 3 5" xfId="10132" xr:uid="{00000000-0005-0000-0000-00000B060000}"/>
    <cellStyle name="Comma 5 2 4 4 3 5 2" xfId="18959" xr:uid="{00000000-0005-0000-0000-00000C060000}"/>
    <cellStyle name="Comma 5 2 4 4 3 6" xfId="11578" xr:uid="{00000000-0005-0000-0000-00000D060000}"/>
    <cellStyle name="Comma 5 2 4 4 3 7" xfId="5405" xr:uid="{00000000-0005-0000-0000-00000E060000}"/>
    <cellStyle name="Comma 5 2 4 4 4" xfId="1531" xr:uid="{00000000-0005-0000-0000-00000F060000}"/>
    <cellStyle name="Comma 5 2 4 4 4 2" xfId="3130" xr:uid="{00000000-0005-0000-0000-000010060000}"/>
    <cellStyle name="Comma 5 2 4 4 4 2 2" xfId="18043" xr:uid="{00000000-0005-0000-0000-000011060000}"/>
    <cellStyle name="Comma 5 2 4 4 4 2 3" xfId="14464" xr:uid="{00000000-0005-0000-0000-000012060000}"/>
    <cellStyle name="Comma 5 2 4 4 4 2 4" xfId="9207" xr:uid="{00000000-0005-0000-0000-000013060000}"/>
    <cellStyle name="Comma 5 2 4 4 4 3" xfId="10661" xr:uid="{00000000-0005-0000-0000-000014060000}"/>
    <cellStyle name="Comma 5 2 4 4 4 3 2" xfId="19488" xr:uid="{00000000-0005-0000-0000-000015060000}"/>
    <cellStyle name="Comma 5 2 4 4 4 4" xfId="12107" xr:uid="{00000000-0005-0000-0000-000016060000}"/>
    <cellStyle name="Comma 5 2 4 4 4 5" xfId="7102" xr:uid="{00000000-0005-0000-0000-000017060000}"/>
    <cellStyle name="Comma 5 2 4 4 5" xfId="2087" xr:uid="{00000000-0005-0000-0000-000018060000}"/>
    <cellStyle name="Comma 5 2 4 4 5 2" xfId="17000" xr:uid="{00000000-0005-0000-0000-000019060000}"/>
    <cellStyle name="Comma 5 2 4 4 5 3" xfId="13421" xr:uid="{00000000-0005-0000-0000-00001A060000}"/>
    <cellStyle name="Comma 5 2 4 4 5 4" xfId="8164" xr:uid="{00000000-0005-0000-0000-00001B060000}"/>
    <cellStyle name="Comma 5 2 4 4 6" xfId="5725" xr:uid="{00000000-0005-0000-0000-00001C060000}"/>
    <cellStyle name="Comma 5 2 4 4 6 2" xfId="14811" xr:uid="{00000000-0005-0000-0000-00001D060000}"/>
    <cellStyle name="Comma 5 2 4 4 7" xfId="9618" xr:uid="{00000000-0005-0000-0000-00001E060000}"/>
    <cellStyle name="Comma 5 2 4 4 7 2" xfId="18445" xr:uid="{00000000-0005-0000-0000-00001F060000}"/>
    <cellStyle name="Comma 5 2 4 4 8" xfId="11062" xr:uid="{00000000-0005-0000-0000-000020060000}"/>
    <cellStyle name="Comma 5 2 4 4 9" xfId="4696" xr:uid="{00000000-0005-0000-0000-000021060000}"/>
    <cellStyle name="Comma 5 2 4 5" xfId="518" xr:uid="{00000000-0005-0000-0000-000022060000}"/>
    <cellStyle name="Comma 5 2 4 5 2" xfId="2248" xr:uid="{00000000-0005-0000-0000-000023060000}"/>
    <cellStyle name="Comma 5 2 4 5 2 2" xfId="15973" xr:uid="{00000000-0005-0000-0000-000024060000}"/>
    <cellStyle name="Comma 5 2 4 5 2 3" xfId="12340" xr:uid="{00000000-0005-0000-0000-000025060000}"/>
    <cellStyle name="Comma 5 2 4 5 2 4" xfId="6943" xr:uid="{00000000-0005-0000-0000-000026060000}"/>
    <cellStyle name="Comma 5 2 4 5 3" xfId="3516" xr:uid="{00000000-0005-0000-0000-000027060000}"/>
    <cellStyle name="Comma 5 2 4 5 3 2" xfId="17161" xr:uid="{00000000-0005-0000-0000-000028060000}"/>
    <cellStyle name="Comma 5 2 4 5 3 3" xfId="13582" xr:uid="{00000000-0005-0000-0000-000029060000}"/>
    <cellStyle name="Comma 5 2 4 5 3 4" xfId="8325" xr:uid="{00000000-0005-0000-0000-00002A060000}"/>
    <cellStyle name="Comma 5 2 4 5 4" xfId="6059" xr:uid="{00000000-0005-0000-0000-00002B060000}"/>
    <cellStyle name="Comma 5 2 4 5 4 2" xfId="15143" xr:uid="{00000000-0005-0000-0000-00002C060000}"/>
    <cellStyle name="Comma 5 2 4 5 5" xfId="9779" xr:uid="{00000000-0005-0000-0000-00002D060000}"/>
    <cellStyle name="Comma 5 2 4 5 5 2" xfId="18606" xr:uid="{00000000-0005-0000-0000-00002E060000}"/>
    <cellStyle name="Comma 5 2 4 5 6" xfId="11223" xr:uid="{00000000-0005-0000-0000-00002F060000}"/>
    <cellStyle name="Comma 5 2 4 5 7" xfId="4537" xr:uid="{00000000-0005-0000-0000-000030060000}"/>
    <cellStyle name="Comma 5 2 4 6" xfId="876" xr:uid="{00000000-0005-0000-0000-000031060000}"/>
    <cellStyle name="Comma 5 2 4 6 2" xfId="2596" xr:uid="{00000000-0005-0000-0000-000032060000}"/>
    <cellStyle name="Comma 5 2 4 6 2 2" xfId="16137" xr:uid="{00000000-0005-0000-0000-000033060000}"/>
    <cellStyle name="Comma 5 2 4 6 2 3" xfId="12559" xr:uid="{00000000-0005-0000-0000-000034060000}"/>
    <cellStyle name="Comma 5 2 4 6 2 4" xfId="7268" xr:uid="{00000000-0005-0000-0000-000035060000}"/>
    <cellStyle name="Comma 5 2 4 6 3" xfId="3864" xr:uid="{00000000-0005-0000-0000-000036060000}"/>
    <cellStyle name="Comma 5 2 4 6 3 2" xfId="17509" xr:uid="{00000000-0005-0000-0000-000037060000}"/>
    <cellStyle name="Comma 5 2 4 6 3 3" xfId="13930" xr:uid="{00000000-0005-0000-0000-000038060000}"/>
    <cellStyle name="Comma 5 2 4 6 3 4" xfId="8673" xr:uid="{00000000-0005-0000-0000-000039060000}"/>
    <cellStyle name="Comma 5 2 4 6 4" xfId="6384" xr:uid="{00000000-0005-0000-0000-00003A060000}"/>
    <cellStyle name="Comma 5 2 4 6 4 2" xfId="15468" xr:uid="{00000000-0005-0000-0000-00003B060000}"/>
    <cellStyle name="Comma 5 2 4 6 5" xfId="10127" xr:uid="{00000000-0005-0000-0000-00003C060000}"/>
    <cellStyle name="Comma 5 2 4 6 5 2" xfId="18954" xr:uid="{00000000-0005-0000-0000-00003D060000}"/>
    <cellStyle name="Comma 5 2 4 6 6" xfId="11573" xr:uid="{00000000-0005-0000-0000-00003E060000}"/>
    <cellStyle name="Comma 5 2 4 6 7" xfId="4862" xr:uid="{00000000-0005-0000-0000-00003F060000}"/>
    <cellStyle name="Comma 5 2 4 7" xfId="1360" xr:uid="{00000000-0005-0000-0000-000040060000}"/>
    <cellStyle name="Comma 5 2 4 7 2" xfId="2971" xr:uid="{00000000-0005-0000-0000-000041060000}"/>
    <cellStyle name="Comma 5 2 4 7 2 2" xfId="16520" xr:uid="{00000000-0005-0000-0000-000042060000}"/>
    <cellStyle name="Comma 5 2 4 7 2 3" xfId="12942" xr:uid="{00000000-0005-0000-0000-000043060000}"/>
    <cellStyle name="Comma 5 2 4 7 2 4" xfId="7652" xr:uid="{00000000-0005-0000-0000-000044060000}"/>
    <cellStyle name="Comma 5 2 4 7 3" xfId="4196" xr:uid="{00000000-0005-0000-0000-000045060000}"/>
    <cellStyle name="Comma 5 2 4 7 3 2" xfId="17884" xr:uid="{00000000-0005-0000-0000-000046060000}"/>
    <cellStyle name="Comma 5 2 4 7 3 3" xfId="14305" xr:uid="{00000000-0005-0000-0000-000047060000}"/>
    <cellStyle name="Comma 5 2 4 7 3 4" xfId="9048" xr:uid="{00000000-0005-0000-0000-000048060000}"/>
    <cellStyle name="Comma 5 2 4 7 4" xfId="5898" xr:uid="{00000000-0005-0000-0000-000049060000}"/>
    <cellStyle name="Comma 5 2 4 7 4 2" xfId="14984" xr:uid="{00000000-0005-0000-0000-00004A060000}"/>
    <cellStyle name="Comma 5 2 4 7 5" xfId="10502" xr:uid="{00000000-0005-0000-0000-00004B060000}"/>
    <cellStyle name="Comma 5 2 4 7 5 2" xfId="19329" xr:uid="{00000000-0005-0000-0000-00004C060000}"/>
    <cellStyle name="Comma 5 2 4 7 6" xfId="11948" xr:uid="{00000000-0005-0000-0000-00004D060000}"/>
    <cellStyle name="Comma 5 2 4 7 7" xfId="5246" xr:uid="{00000000-0005-0000-0000-00004E060000}"/>
    <cellStyle name="Comma 5 2 4 8" xfId="1928" xr:uid="{00000000-0005-0000-0000-00004F060000}"/>
    <cellStyle name="Comma 5 2 4 8 2" xfId="9459" xr:uid="{00000000-0005-0000-0000-000050060000}"/>
    <cellStyle name="Comma 5 2 4 8 2 2" xfId="18286" xr:uid="{00000000-0005-0000-0000-000051060000}"/>
    <cellStyle name="Comma 5 2 4 8 3" xfId="10903" xr:uid="{00000000-0005-0000-0000-000052060000}"/>
    <cellStyle name="Comma 5 2 4 8 4" xfId="6785" xr:uid="{00000000-0005-0000-0000-000053060000}"/>
    <cellStyle name="Comma 5 2 4 9" xfId="1852" xr:uid="{00000000-0005-0000-0000-000054060000}"/>
    <cellStyle name="Comma 5 2 4 9 2" xfId="16839" xr:uid="{00000000-0005-0000-0000-000055060000}"/>
    <cellStyle name="Comma 5 2 4 9 3" xfId="13260" xr:uid="{00000000-0005-0000-0000-000056060000}"/>
    <cellStyle name="Comma 5 2 4 9 4" xfId="8003" xr:uid="{00000000-0005-0000-0000-000057060000}"/>
    <cellStyle name="Comma 5 2 5" xfId="237" xr:uid="{00000000-0005-0000-0000-000058060000}"/>
    <cellStyle name="Comma 5 2 5 10" xfId="10988" xr:uid="{00000000-0005-0000-0000-000059060000}"/>
    <cellStyle name="Comma 5 2 5 11" xfId="4405" xr:uid="{00000000-0005-0000-0000-00005A060000}"/>
    <cellStyle name="Comma 5 2 5 2" xfId="345" xr:uid="{00000000-0005-0000-0000-00005B060000}"/>
    <cellStyle name="Comma 5 2 5 2 2" xfId="525" xr:uid="{00000000-0005-0000-0000-00005C060000}"/>
    <cellStyle name="Comma 5 2 5 2 2 2" xfId="2255" xr:uid="{00000000-0005-0000-0000-00005D060000}"/>
    <cellStyle name="Comma 5 2 5 2 2 2 2" xfId="16144" xr:uid="{00000000-0005-0000-0000-00005E060000}"/>
    <cellStyle name="Comma 5 2 5 2 2 2 3" xfId="12566" xr:uid="{00000000-0005-0000-0000-00005F060000}"/>
    <cellStyle name="Comma 5 2 5 2 2 2 4" xfId="7275" xr:uid="{00000000-0005-0000-0000-000060060000}"/>
    <cellStyle name="Comma 5 2 5 2 2 3" xfId="3523" xr:uid="{00000000-0005-0000-0000-000061060000}"/>
    <cellStyle name="Comma 5 2 5 2 2 3 2" xfId="17168" xr:uid="{00000000-0005-0000-0000-000062060000}"/>
    <cellStyle name="Comma 5 2 5 2 2 3 3" xfId="13589" xr:uid="{00000000-0005-0000-0000-000063060000}"/>
    <cellStyle name="Comma 5 2 5 2 2 3 4" xfId="8332" xr:uid="{00000000-0005-0000-0000-000064060000}"/>
    <cellStyle name="Comma 5 2 5 2 2 4" xfId="6391" xr:uid="{00000000-0005-0000-0000-000065060000}"/>
    <cellStyle name="Comma 5 2 5 2 2 4 2" xfId="15475" xr:uid="{00000000-0005-0000-0000-000066060000}"/>
    <cellStyle name="Comma 5 2 5 2 2 5" xfId="9786" xr:uid="{00000000-0005-0000-0000-000067060000}"/>
    <cellStyle name="Comma 5 2 5 2 2 5 2" xfId="18613" xr:uid="{00000000-0005-0000-0000-000068060000}"/>
    <cellStyle name="Comma 5 2 5 2 2 6" xfId="11230" xr:uid="{00000000-0005-0000-0000-000069060000}"/>
    <cellStyle name="Comma 5 2 5 2 2 7" xfId="4869" xr:uid="{00000000-0005-0000-0000-00006A060000}"/>
    <cellStyle name="Comma 5 2 5 2 3" xfId="883" xr:uid="{00000000-0005-0000-0000-00006B060000}"/>
    <cellStyle name="Comma 5 2 5 2 3 2" xfId="2603" xr:uid="{00000000-0005-0000-0000-00006C060000}"/>
    <cellStyle name="Comma 5 2 5 2 3 2 2" xfId="16705" xr:uid="{00000000-0005-0000-0000-00006D060000}"/>
    <cellStyle name="Comma 5 2 5 2 3 2 3" xfId="13126" xr:uid="{00000000-0005-0000-0000-00006E060000}"/>
    <cellStyle name="Comma 5 2 5 2 3 2 4" xfId="7837" xr:uid="{00000000-0005-0000-0000-00006F060000}"/>
    <cellStyle name="Comma 5 2 5 2 3 3" xfId="3871" xr:uid="{00000000-0005-0000-0000-000070060000}"/>
    <cellStyle name="Comma 5 2 5 2 3 3 2" xfId="17516" xr:uid="{00000000-0005-0000-0000-000071060000}"/>
    <cellStyle name="Comma 5 2 5 2 3 3 3" xfId="13937" xr:uid="{00000000-0005-0000-0000-000072060000}"/>
    <cellStyle name="Comma 5 2 5 2 3 3 4" xfId="8680" xr:uid="{00000000-0005-0000-0000-000073060000}"/>
    <cellStyle name="Comma 5 2 5 2 3 4" xfId="6244" xr:uid="{00000000-0005-0000-0000-000074060000}"/>
    <cellStyle name="Comma 5 2 5 2 3 4 2" xfId="15328" xr:uid="{00000000-0005-0000-0000-000075060000}"/>
    <cellStyle name="Comma 5 2 5 2 3 5" xfId="10134" xr:uid="{00000000-0005-0000-0000-000076060000}"/>
    <cellStyle name="Comma 5 2 5 2 3 5 2" xfId="18961" xr:uid="{00000000-0005-0000-0000-000077060000}"/>
    <cellStyle name="Comma 5 2 5 2 3 6" xfId="11580" xr:uid="{00000000-0005-0000-0000-000078060000}"/>
    <cellStyle name="Comma 5 2 5 2 3 7" xfId="5431" xr:uid="{00000000-0005-0000-0000-000079060000}"/>
    <cellStyle name="Comma 5 2 5 2 4" xfId="1558" xr:uid="{00000000-0005-0000-0000-00007A060000}"/>
    <cellStyle name="Comma 5 2 5 2 4 2" xfId="3156" xr:uid="{00000000-0005-0000-0000-00007B060000}"/>
    <cellStyle name="Comma 5 2 5 2 4 2 2" xfId="18069" xr:uid="{00000000-0005-0000-0000-00007C060000}"/>
    <cellStyle name="Comma 5 2 5 2 4 2 3" xfId="14490" xr:uid="{00000000-0005-0000-0000-00007D060000}"/>
    <cellStyle name="Comma 5 2 5 2 4 2 4" xfId="9233" xr:uid="{00000000-0005-0000-0000-00007E060000}"/>
    <cellStyle name="Comma 5 2 5 2 4 3" xfId="10687" xr:uid="{00000000-0005-0000-0000-00007F060000}"/>
    <cellStyle name="Comma 5 2 5 2 4 3 2" xfId="19514" xr:uid="{00000000-0005-0000-0000-000080060000}"/>
    <cellStyle name="Comma 5 2 5 2 4 4" xfId="12133" xr:uid="{00000000-0005-0000-0000-000081060000}"/>
    <cellStyle name="Comma 5 2 5 2 4 5" xfId="7128" xr:uid="{00000000-0005-0000-0000-000082060000}"/>
    <cellStyle name="Comma 5 2 5 2 5" xfId="2113" xr:uid="{00000000-0005-0000-0000-000083060000}"/>
    <cellStyle name="Comma 5 2 5 2 5 2" xfId="17026" xr:uid="{00000000-0005-0000-0000-000084060000}"/>
    <cellStyle name="Comma 5 2 5 2 5 3" xfId="13447" xr:uid="{00000000-0005-0000-0000-000085060000}"/>
    <cellStyle name="Comma 5 2 5 2 5 4" xfId="8190" xr:uid="{00000000-0005-0000-0000-000086060000}"/>
    <cellStyle name="Comma 5 2 5 2 6" xfId="5751" xr:uid="{00000000-0005-0000-0000-000087060000}"/>
    <cellStyle name="Comma 5 2 5 2 6 2" xfId="14837" xr:uid="{00000000-0005-0000-0000-000088060000}"/>
    <cellStyle name="Comma 5 2 5 2 7" xfId="9644" xr:uid="{00000000-0005-0000-0000-000089060000}"/>
    <cellStyle name="Comma 5 2 5 2 7 2" xfId="18471" xr:uid="{00000000-0005-0000-0000-00008A060000}"/>
    <cellStyle name="Comma 5 2 5 2 8" xfId="11088" xr:uid="{00000000-0005-0000-0000-00008B060000}"/>
    <cellStyle name="Comma 5 2 5 2 9" xfId="4722" xr:uid="{00000000-0005-0000-0000-00008C060000}"/>
    <cellStyle name="Comma 5 2 5 3" xfId="524" xr:uid="{00000000-0005-0000-0000-00008D060000}"/>
    <cellStyle name="Comma 5 2 5 3 2" xfId="2254" xr:uid="{00000000-0005-0000-0000-00008E060000}"/>
    <cellStyle name="Comma 5 2 5 3 2 2" xfId="16042" xr:uid="{00000000-0005-0000-0000-00008F060000}"/>
    <cellStyle name="Comma 5 2 5 3 2 3" xfId="10836" xr:uid="{00000000-0005-0000-0000-000090060000}"/>
    <cellStyle name="Comma 5 2 5 3 2 4" xfId="7028" xr:uid="{00000000-0005-0000-0000-000091060000}"/>
    <cellStyle name="Comma 5 2 5 3 3" xfId="3522" xr:uid="{00000000-0005-0000-0000-000092060000}"/>
    <cellStyle name="Comma 5 2 5 3 3 2" xfId="17167" xr:uid="{00000000-0005-0000-0000-000093060000}"/>
    <cellStyle name="Comma 5 2 5 3 3 3" xfId="13588" xr:uid="{00000000-0005-0000-0000-000094060000}"/>
    <cellStyle name="Comma 5 2 5 3 3 4" xfId="8331" xr:uid="{00000000-0005-0000-0000-000095060000}"/>
    <cellStyle name="Comma 5 2 5 3 4" xfId="6144" xr:uid="{00000000-0005-0000-0000-000096060000}"/>
    <cellStyle name="Comma 5 2 5 3 4 2" xfId="15228" xr:uid="{00000000-0005-0000-0000-000097060000}"/>
    <cellStyle name="Comma 5 2 5 3 5" xfId="9785" xr:uid="{00000000-0005-0000-0000-000098060000}"/>
    <cellStyle name="Comma 5 2 5 3 5 2" xfId="18612" xr:uid="{00000000-0005-0000-0000-000099060000}"/>
    <cellStyle name="Comma 5 2 5 3 6" xfId="11229" xr:uid="{00000000-0005-0000-0000-00009A060000}"/>
    <cellStyle name="Comma 5 2 5 3 7" xfId="4622" xr:uid="{00000000-0005-0000-0000-00009B060000}"/>
    <cellStyle name="Comma 5 2 5 4" xfId="882" xr:uid="{00000000-0005-0000-0000-00009C060000}"/>
    <cellStyle name="Comma 5 2 5 4 2" xfId="2602" xr:uid="{00000000-0005-0000-0000-00009D060000}"/>
    <cellStyle name="Comma 5 2 5 4 2 2" xfId="16143" xr:uid="{00000000-0005-0000-0000-00009E060000}"/>
    <cellStyle name="Comma 5 2 5 4 2 3" xfId="12565" xr:uid="{00000000-0005-0000-0000-00009F060000}"/>
    <cellStyle name="Comma 5 2 5 4 2 4" xfId="7274" xr:uid="{00000000-0005-0000-0000-0000A0060000}"/>
    <cellStyle name="Comma 5 2 5 4 3" xfId="3870" xr:uid="{00000000-0005-0000-0000-0000A1060000}"/>
    <cellStyle name="Comma 5 2 5 4 3 2" xfId="17515" xr:uid="{00000000-0005-0000-0000-0000A2060000}"/>
    <cellStyle name="Comma 5 2 5 4 3 3" xfId="13936" xr:uid="{00000000-0005-0000-0000-0000A3060000}"/>
    <cellStyle name="Comma 5 2 5 4 3 4" xfId="8679" xr:uid="{00000000-0005-0000-0000-0000A4060000}"/>
    <cellStyle name="Comma 5 2 5 4 4" xfId="6390" xr:uid="{00000000-0005-0000-0000-0000A5060000}"/>
    <cellStyle name="Comma 5 2 5 4 4 2" xfId="15474" xr:uid="{00000000-0005-0000-0000-0000A6060000}"/>
    <cellStyle name="Comma 5 2 5 4 5" xfId="10133" xr:uid="{00000000-0005-0000-0000-0000A7060000}"/>
    <cellStyle name="Comma 5 2 5 4 5 2" xfId="18960" xr:uid="{00000000-0005-0000-0000-0000A8060000}"/>
    <cellStyle name="Comma 5 2 5 4 6" xfId="11579" xr:uid="{00000000-0005-0000-0000-0000A9060000}"/>
    <cellStyle name="Comma 5 2 5 4 7" xfId="4868" xr:uid="{00000000-0005-0000-0000-0000AA060000}"/>
    <cellStyle name="Comma 5 2 5 5" xfId="1456" xr:uid="{00000000-0005-0000-0000-0000AB060000}"/>
    <cellStyle name="Comma 5 2 5 5 2" xfId="3056" xr:uid="{00000000-0005-0000-0000-0000AC060000}"/>
    <cellStyle name="Comma 5 2 5 5 2 2" xfId="16605" xr:uid="{00000000-0005-0000-0000-0000AD060000}"/>
    <cellStyle name="Comma 5 2 5 5 2 3" xfId="13026" xr:uid="{00000000-0005-0000-0000-0000AE060000}"/>
    <cellStyle name="Comma 5 2 5 5 2 4" xfId="7737" xr:uid="{00000000-0005-0000-0000-0000AF060000}"/>
    <cellStyle name="Comma 5 2 5 5 3" xfId="4264" xr:uid="{00000000-0005-0000-0000-0000B0060000}"/>
    <cellStyle name="Comma 5 2 5 5 3 2" xfId="17969" xr:uid="{00000000-0005-0000-0000-0000B1060000}"/>
    <cellStyle name="Comma 5 2 5 5 3 3" xfId="14390" xr:uid="{00000000-0005-0000-0000-0000B2060000}"/>
    <cellStyle name="Comma 5 2 5 5 3 4" xfId="9133" xr:uid="{00000000-0005-0000-0000-0000B3060000}"/>
    <cellStyle name="Comma 5 2 5 5 4" xfId="5925" xr:uid="{00000000-0005-0000-0000-0000B4060000}"/>
    <cellStyle name="Comma 5 2 5 5 4 2" xfId="15011" xr:uid="{00000000-0005-0000-0000-0000B5060000}"/>
    <cellStyle name="Comma 5 2 5 5 5" xfId="10587" xr:uid="{00000000-0005-0000-0000-0000B6060000}"/>
    <cellStyle name="Comma 5 2 5 5 5 2" xfId="19414" xr:uid="{00000000-0005-0000-0000-0000B7060000}"/>
    <cellStyle name="Comma 5 2 5 5 6" xfId="12033" xr:uid="{00000000-0005-0000-0000-0000B8060000}"/>
    <cellStyle name="Comma 5 2 5 5 7" xfId="5331" xr:uid="{00000000-0005-0000-0000-0000B9060000}"/>
    <cellStyle name="Comma 5 2 5 6" xfId="2013" xr:uid="{00000000-0005-0000-0000-0000BA060000}"/>
    <cellStyle name="Comma 5 2 5 6 2" xfId="15854" xr:uid="{00000000-0005-0000-0000-0000BB060000}"/>
    <cellStyle name="Comma 5 2 5 6 3" xfId="12366" xr:uid="{00000000-0005-0000-0000-0000BC060000}"/>
    <cellStyle name="Comma 5 2 5 6 4" xfId="6811" xr:uid="{00000000-0005-0000-0000-0000BD060000}"/>
    <cellStyle name="Comma 5 2 5 7" xfId="3426" xr:uid="{00000000-0005-0000-0000-0000BE060000}"/>
    <cellStyle name="Comma 5 2 5 7 2" xfId="16926" xr:uid="{00000000-0005-0000-0000-0000BF060000}"/>
    <cellStyle name="Comma 5 2 5 7 3" xfId="13347" xr:uid="{00000000-0005-0000-0000-0000C0060000}"/>
    <cellStyle name="Comma 5 2 5 7 4" xfId="8090" xr:uid="{00000000-0005-0000-0000-0000C1060000}"/>
    <cellStyle name="Comma 5 2 5 8" xfId="5651" xr:uid="{00000000-0005-0000-0000-0000C2060000}"/>
    <cellStyle name="Comma 5 2 5 8 2" xfId="14737" xr:uid="{00000000-0005-0000-0000-0000C3060000}"/>
    <cellStyle name="Comma 5 2 5 9" xfId="9544" xr:uid="{00000000-0005-0000-0000-0000C4060000}"/>
    <cellStyle name="Comma 5 2 5 9 2" xfId="18371" xr:uid="{00000000-0005-0000-0000-0000C5060000}"/>
    <cellStyle name="Comma 5 2 6" xfId="177" xr:uid="{00000000-0005-0000-0000-0000C6060000}"/>
    <cellStyle name="Comma 5 2 6 10" xfId="10931" xr:uid="{00000000-0005-0000-0000-0000C7060000}"/>
    <cellStyle name="Comma 5 2 6 11" xfId="4453" xr:uid="{00000000-0005-0000-0000-0000C8060000}"/>
    <cellStyle name="Comma 5 2 6 2" xfId="394" xr:uid="{00000000-0005-0000-0000-0000C9060000}"/>
    <cellStyle name="Comma 5 2 6 2 2" xfId="527" xr:uid="{00000000-0005-0000-0000-0000CA060000}"/>
    <cellStyle name="Comma 5 2 6 2 2 2" xfId="2257" xr:uid="{00000000-0005-0000-0000-0000CB060000}"/>
    <cellStyle name="Comma 5 2 6 2 2 2 2" xfId="16146" xr:uid="{00000000-0005-0000-0000-0000CC060000}"/>
    <cellStyle name="Comma 5 2 6 2 2 2 3" xfId="12568" xr:uid="{00000000-0005-0000-0000-0000CD060000}"/>
    <cellStyle name="Comma 5 2 6 2 2 2 4" xfId="7277" xr:uid="{00000000-0005-0000-0000-0000CE060000}"/>
    <cellStyle name="Comma 5 2 6 2 2 3" xfId="3525" xr:uid="{00000000-0005-0000-0000-0000CF060000}"/>
    <cellStyle name="Comma 5 2 6 2 2 3 2" xfId="17170" xr:uid="{00000000-0005-0000-0000-0000D0060000}"/>
    <cellStyle name="Comma 5 2 6 2 2 3 3" xfId="13591" xr:uid="{00000000-0005-0000-0000-0000D1060000}"/>
    <cellStyle name="Comma 5 2 6 2 2 3 4" xfId="8334" xr:uid="{00000000-0005-0000-0000-0000D2060000}"/>
    <cellStyle name="Comma 5 2 6 2 2 4" xfId="6393" xr:uid="{00000000-0005-0000-0000-0000D3060000}"/>
    <cellStyle name="Comma 5 2 6 2 2 4 2" xfId="15477" xr:uid="{00000000-0005-0000-0000-0000D4060000}"/>
    <cellStyle name="Comma 5 2 6 2 2 5" xfId="9788" xr:uid="{00000000-0005-0000-0000-0000D5060000}"/>
    <cellStyle name="Comma 5 2 6 2 2 5 2" xfId="18615" xr:uid="{00000000-0005-0000-0000-0000D6060000}"/>
    <cellStyle name="Comma 5 2 6 2 2 6" xfId="11232" xr:uid="{00000000-0005-0000-0000-0000D7060000}"/>
    <cellStyle name="Comma 5 2 6 2 2 7" xfId="4871" xr:uid="{00000000-0005-0000-0000-0000D8060000}"/>
    <cellStyle name="Comma 5 2 6 2 3" xfId="885" xr:uid="{00000000-0005-0000-0000-0000D9060000}"/>
    <cellStyle name="Comma 5 2 6 2 3 2" xfId="2605" xr:uid="{00000000-0005-0000-0000-0000DA060000}"/>
    <cellStyle name="Comma 5 2 6 2 3 2 2" xfId="16753" xr:uid="{00000000-0005-0000-0000-0000DB060000}"/>
    <cellStyle name="Comma 5 2 6 2 3 2 3" xfId="13174" xr:uid="{00000000-0005-0000-0000-0000DC060000}"/>
    <cellStyle name="Comma 5 2 6 2 3 2 4" xfId="7885" xr:uid="{00000000-0005-0000-0000-0000DD060000}"/>
    <cellStyle name="Comma 5 2 6 2 3 3" xfId="3873" xr:uid="{00000000-0005-0000-0000-0000DE060000}"/>
    <cellStyle name="Comma 5 2 6 2 3 3 2" xfId="17518" xr:uid="{00000000-0005-0000-0000-0000DF060000}"/>
    <cellStyle name="Comma 5 2 6 2 3 3 3" xfId="13939" xr:uid="{00000000-0005-0000-0000-0000E0060000}"/>
    <cellStyle name="Comma 5 2 6 2 3 3 4" xfId="8682" xr:uid="{00000000-0005-0000-0000-0000E1060000}"/>
    <cellStyle name="Comma 5 2 6 2 3 4" xfId="6292" xr:uid="{00000000-0005-0000-0000-0000E2060000}"/>
    <cellStyle name="Comma 5 2 6 2 3 4 2" xfId="15376" xr:uid="{00000000-0005-0000-0000-0000E3060000}"/>
    <cellStyle name="Comma 5 2 6 2 3 5" xfId="10136" xr:uid="{00000000-0005-0000-0000-0000E4060000}"/>
    <cellStyle name="Comma 5 2 6 2 3 5 2" xfId="18963" xr:uid="{00000000-0005-0000-0000-0000E5060000}"/>
    <cellStyle name="Comma 5 2 6 2 3 6" xfId="11582" xr:uid="{00000000-0005-0000-0000-0000E6060000}"/>
    <cellStyle name="Comma 5 2 6 2 3 7" xfId="5479" xr:uid="{00000000-0005-0000-0000-0000E7060000}"/>
    <cellStyle name="Comma 5 2 6 2 4" xfId="1608" xr:uid="{00000000-0005-0000-0000-0000E8060000}"/>
    <cellStyle name="Comma 5 2 6 2 4 2" xfId="3204" xr:uid="{00000000-0005-0000-0000-0000E9060000}"/>
    <cellStyle name="Comma 5 2 6 2 4 2 2" xfId="18117" xr:uid="{00000000-0005-0000-0000-0000EA060000}"/>
    <cellStyle name="Comma 5 2 6 2 4 2 3" xfId="14538" xr:uid="{00000000-0005-0000-0000-0000EB060000}"/>
    <cellStyle name="Comma 5 2 6 2 4 2 4" xfId="9281" xr:uid="{00000000-0005-0000-0000-0000EC060000}"/>
    <cellStyle name="Comma 5 2 6 2 4 3" xfId="10735" xr:uid="{00000000-0005-0000-0000-0000ED060000}"/>
    <cellStyle name="Comma 5 2 6 2 4 3 2" xfId="19562" xr:uid="{00000000-0005-0000-0000-0000EE060000}"/>
    <cellStyle name="Comma 5 2 6 2 4 4" xfId="12181" xr:uid="{00000000-0005-0000-0000-0000EF060000}"/>
    <cellStyle name="Comma 5 2 6 2 4 5" xfId="7176" xr:uid="{00000000-0005-0000-0000-0000F0060000}"/>
    <cellStyle name="Comma 5 2 6 2 5" xfId="2161" xr:uid="{00000000-0005-0000-0000-0000F1060000}"/>
    <cellStyle name="Comma 5 2 6 2 5 2" xfId="17074" xr:uid="{00000000-0005-0000-0000-0000F2060000}"/>
    <cellStyle name="Comma 5 2 6 2 5 3" xfId="13495" xr:uid="{00000000-0005-0000-0000-0000F3060000}"/>
    <cellStyle name="Comma 5 2 6 2 5 4" xfId="8238" xr:uid="{00000000-0005-0000-0000-0000F4060000}"/>
    <cellStyle name="Comma 5 2 6 2 6" xfId="5799" xr:uid="{00000000-0005-0000-0000-0000F5060000}"/>
    <cellStyle name="Comma 5 2 6 2 6 2" xfId="14885" xr:uid="{00000000-0005-0000-0000-0000F6060000}"/>
    <cellStyle name="Comma 5 2 6 2 7" xfId="9692" xr:uid="{00000000-0005-0000-0000-0000F7060000}"/>
    <cellStyle name="Comma 5 2 6 2 7 2" xfId="18519" xr:uid="{00000000-0005-0000-0000-0000F8060000}"/>
    <cellStyle name="Comma 5 2 6 2 8" xfId="11136" xr:uid="{00000000-0005-0000-0000-0000F9060000}"/>
    <cellStyle name="Comma 5 2 6 2 9" xfId="4770" xr:uid="{00000000-0005-0000-0000-0000FA060000}"/>
    <cellStyle name="Comma 5 2 6 3" xfId="526" xr:uid="{00000000-0005-0000-0000-0000FB060000}"/>
    <cellStyle name="Comma 5 2 6 3 2" xfId="2256" xr:uid="{00000000-0005-0000-0000-0000FC060000}"/>
    <cellStyle name="Comma 5 2 6 3 2 2" xfId="15985" xr:uid="{00000000-0005-0000-0000-0000FD060000}"/>
    <cellStyle name="Comma 5 2 6 3 2 3" xfId="12336" xr:uid="{00000000-0005-0000-0000-0000FE060000}"/>
    <cellStyle name="Comma 5 2 6 3 2 4" xfId="6971" xr:uid="{00000000-0005-0000-0000-0000FF060000}"/>
    <cellStyle name="Comma 5 2 6 3 3" xfId="3524" xr:uid="{00000000-0005-0000-0000-000000070000}"/>
    <cellStyle name="Comma 5 2 6 3 3 2" xfId="17169" xr:uid="{00000000-0005-0000-0000-000001070000}"/>
    <cellStyle name="Comma 5 2 6 3 3 3" xfId="13590" xr:uid="{00000000-0005-0000-0000-000002070000}"/>
    <cellStyle name="Comma 5 2 6 3 3 4" xfId="8333" xr:uid="{00000000-0005-0000-0000-000003070000}"/>
    <cellStyle name="Comma 5 2 6 3 4" xfId="6087" xr:uid="{00000000-0005-0000-0000-000004070000}"/>
    <cellStyle name="Comma 5 2 6 3 4 2" xfId="15171" xr:uid="{00000000-0005-0000-0000-000005070000}"/>
    <cellStyle name="Comma 5 2 6 3 5" xfId="9787" xr:uid="{00000000-0005-0000-0000-000006070000}"/>
    <cellStyle name="Comma 5 2 6 3 5 2" xfId="18614" xr:uid="{00000000-0005-0000-0000-000007070000}"/>
    <cellStyle name="Comma 5 2 6 3 6" xfId="11231" xr:uid="{00000000-0005-0000-0000-000008070000}"/>
    <cellStyle name="Comma 5 2 6 3 7" xfId="4565" xr:uid="{00000000-0005-0000-0000-000009070000}"/>
    <cellStyle name="Comma 5 2 6 4" xfId="884" xr:uid="{00000000-0005-0000-0000-00000A070000}"/>
    <cellStyle name="Comma 5 2 6 4 2" xfId="2604" xr:uid="{00000000-0005-0000-0000-00000B070000}"/>
    <cellStyle name="Comma 5 2 6 4 2 2" xfId="16145" xr:uid="{00000000-0005-0000-0000-00000C070000}"/>
    <cellStyle name="Comma 5 2 6 4 2 3" xfId="12567" xr:uid="{00000000-0005-0000-0000-00000D070000}"/>
    <cellStyle name="Comma 5 2 6 4 2 4" xfId="7276" xr:uid="{00000000-0005-0000-0000-00000E070000}"/>
    <cellStyle name="Comma 5 2 6 4 3" xfId="3872" xr:uid="{00000000-0005-0000-0000-00000F070000}"/>
    <cellStyle name="Comma 5 2 6 4 3 2" xfId="17517" xr:uid="{00000000-0005-0000-0000-000010070000}"/>
    <cellStyle name="Comma 5 2 6 4 3 3" xfId="13938" xr:uid="{00000000-0005-0000-0000-000011070000}"/>
    <cellStyle name="Comma 5 2 6 4 3 4" xfId="8681" xr:uid="{00000000-0005-0000-0000-000012070000}"/>
    <cellStyle name="Comma 5 2 6 4 4" xfId="6392" xr:uid="{00000000-0005-0000-0000-000013070000}"/>
    <cellStyle name="Comma 5 2 6 4 4 2" xfId="15476" xr:uid="{00000000-0005-0000-0000-000014070000}"/>
    <cellStyle name="Comma 5 2 6 4 5" xfId="10135" xr:uid="{00000000-0005-0000-0000-000015070000}"/>
    <cellStyle name="Comma 5 2 6 4 5 2" xfId="18962" xr:uid="{00000000-0005-0000-0000-000016070000}"/>
    <cellStyle name="Comma 5 2 6 4 6" xfId="11581" xr:uid="{00000000-0005-0000-0000-000017070000}"/>
    <cellStyle name="Comma 5 2 6 4 7" xfId="4870" xr:uid="{00000000-0005-0000-0000-000018070000}"/>
    <cellStyle name="Comma 5 2 6 5" xfId="1394" xr:uid="{00000000-0005-0000-0000-000019070000}"/>
    <cellStyle name="Comma 5 2 6 5 2" xfId="2999" xr:uid="{00000000-0005-0000-0000-00001A070000}"/>
    <cellStyle name="Comma 5 2 6 5 2 2" xfId="16548" xr:uid="{00000000-0005-0000-0000-00001B070000}"/>
    <cellStyle name="Comma 5 2 6 5 2 3" xfId="12969" xr:uid="{00000000-0005-0000-0000-00001C070000}"/>
    <cellStyle name="Comma 5 2 6 5 2 4" xfId="7680" xr:uid="{00000000-0005-0000-0000-00001D070000}"/>
    <cellStyle name="Comma 5 2 6 5 3" xfId="4207" xr:uid="{00000000-0005-0000-0000-00001E070000}"/>
    <cellStyle name="Comma 5 2 6 5 3 2" xfId="17912" xr:uid="{00000000-0005-0000-0000-00001F070000}"/>
    <cellStyle name="Comma 5 2 6 5 3 3" xfId="14333" xr:uid="{00000000-0005-0000-0000-000020070000}"/>
    <cellStyle name="Comma 5 2 6 5 3 4" xfId="9076" xr:uid="{00000000-0005-0000-0000-000021070000}"/>
    <cellStyle name="Comma 5 2 6 5 4" xfId="5973" xr:uid="{00000000-0005-0000-0000-000022070000}"/>
    <cellStyle name="Comma 5 2 6 5 4 2" xfId="15059" xr:uid="{00000000-0005-0000-0000-000023070000}"/>
    <cellStyle name="Comma 5 2 6 5 5" xfId="10530" xr:uid="{00000000-0005-0000-0000-000024070000}"/>
    <cellStyle name="Comma 5 2 6 5 5 2" xfId="19357" xr:uid="{00000000-0005-0000-0000-000025070000}"/>
    <cellStyle name="Comma 5 2 6 5 6" xfId="11976" xr:uid="{00000000-0005-0000-0000-000026070000}"/>
    <cellStyle name="Comma 5 2 6 5 7" xfId="5274" xr:uid="{00000000-0005-0000-0000-000027070000}"/>
    <cellStyle name="Comma 5 2 6 6" xfId="1956" xr:uid="{00000000-0005-0000-0000-000028070000}"/>
    <cellStyle name="Comma 5 2 6 6 2" xfId="15902" xr:uid="{00000000-0005-0000-0000-000029070000}"/>
    <cellStyle name="Comma 5 2 6 6 3" xfId="12282" xr:uid="{00000000-0005-0000-0000-00002A070000}"/>
    <cellStyle name="Comma 5 2 6 6 4" xfId="6859" xr:uid="{00000000-0005-0000-0000-00002B070000}"/>
    <cellStyle name="Comma 5 2 6 7" xfId="3370" xr:uid="{00000000-0005-0000-0000-00002C070000}"/>
    <cellStyle name="Comma 5 2 6 7 2" xfId="16869" xr:uid="{00000000-0005-0000-0000-00002D070000}"/>
    <cellStyle name="Comma 5 2 6 7 3" xfId="13290" xr:uid="{00000000-0005-0000-0000-00002E070000}"/>
    <cellStyle name="Comma 5 2 6 7 4" xfId="8033" xr:uid="{00000000-0005-0000-0000-00002F070000}"/>
    <cellStyle name="Comma 5 2 6 8" xfId="5594" xr:uid="{00000000-0005-0000-0000-000030070000}"/>
    <cellStyle name="Comma 5 2 6 8 2" xfId="14680" xr:uid="{00000000-0005-0000-0000-000031070000}"/>
    <cellStyle name="Comma 5 2 6 9" xfId="9487" xr:uid="{00000000-0005-0000-0000-000032070000}"/>
    <cellStyle name="Comma 5 2 6 9 2" xfId="18314" xr:uid="{00000000-0005-0000-0000-000033070000}"/>
    <cellStyle name="Comma 5 2 7" xfId="450" xr:uid="{00000000-0005-0000-0000-000034070000}"/>
    <cellStyle name="Comma 5 2 7 10" xfId="4509" xr:uid="{00000000-0005-0000-0000-000035070000}"/>
    <cellStyle name="Comma 5 2 7 2" xfId="528" xr:uid="{00000000-0005-0000-0000-000036070000}"/>
    <cellStyle name="Comma 5 2 7 2 2" xfId="2258" xr:uid="{00000000-0005-0000-0000-000037070000}"/>
    <cellStyle name="Comma 5 2 7 2 2 2" xfId="16101" xr:uid="{00000000-0005-0000-0000-000038070000}"/>
    <cellStyle name="Comma 5 2 7 2 2 3" xfId="12523" xr:uid="{00000000-0005-0000-0000-000039070000}"/>
    <cellStyle name="Comma 5 2 7 2 2 4" xfId="7232" xr:uid="{00000000-0005-0000-0000-00003A070000}"/>
    <cellStyle name="Comma 5 2 7 2 3" xfId="3526" xr:uid="{00000000-0005-0000-0000-00003B070000}"/>
    <cellStyle name="Comma 5 2 7 2 3 2" xfId="17171" xr:uid="{00000000-0005-0000-0000-00003C070000}"/>
    <cellStyle name="Comma 5 2 7 2 3 3" xfId="13592" xr:uid="{00000000-0005-0000-0000-00003D070000}"/>
    <cellStyle name="Comma 5 2 7 2 3 4" xfId="8335" xr:uid="{00000000-0005-0000-0000-00003E070000}"/>
    <cellStyle name="Comma 5 2 7 2 4" xfId="6348" xr:uid="{00000000-0005-0000-0000-00003F070000}"/>
    <cellStyle name="Comma 5 2 7 2 4 2" xfId="15432" xr:uid="{00000000-0005-0000-0000-000040070000}"/>
    <cellStyle name="Comma 5 2 7 2 5" xfId="9789" xr:uid="{00000000-0005-0000-0000-000041070000}"/>
    <cellStyle name="Comma 5 2 7 2 5 2" xfId="18616" xr:uid="{00000000-0005-0000-0000-000042070000}"/>
    <cellStyle name="Comma 5 2 7 2 6" xfId="11233" xr:uid="{00000000-0005-0000-0000-000043070000}"/>
    <cellStyle name="Comma 5 2 7 2 7" xfId="4826" xr:uid="{00000000-0005-0000-0000-000044070000}"/>
    <cellStyle name="Comma 5 2 7 3" xfId="886" xr:uid="{00000000-0005-0000-0000-000045070000}"/>
    <cellStyle name="Comma 5 2 7 3 2" xfId="2606" xr:uid="{00000000-0005-0000-0000-000046070000}"/>
    <cellStyle name="Comma 5 2 7 3 2 2" xfId="16147" xr:uid="{00000000-0005-0000-0000-000047070000}"/>
    <cellStyle name="Comma 5 2 7 3 2 3" xfId="12569" xr:uid="{00000000-0005-0000-0000-000048070000}"/>
    <cellStyle name="Comma 5 2 7 3 2 4" xfId="7278" xr:uid="{00000000-0005-0000-0000-000049070000}"/>
    <cellStyle name="Comma 5 2 7 3 3" xfId="3874" xr:uid="{00000000-0005-0000-0000-00004A070000}"/>
    <cellStyle name="Comma 5 2 7 3 3 2" xfId="17519" xr:uid="{00000000-0005-0000-0000-00004B070000}"/>
    <cellStyle name="Comma 5 2 7 3 3 3" xfId="13940" xr:uid="{00000000-0005-0000-0000-00004C070000}"/>
    <cellStyle name="Comma 5 2 7 3 3 4" xfId="8683" xr:uid="{00000000-0005-0000-0000-00004D070000}"/>
    <cellStyle name="Comma 5 2 7 3 4" xfId="6394" xr:uid="{00000000-0005-0000-0000-00004E070000}"/>
    <cellStyle name="Comma 5 2 7 3 4 2" xfId="15478" xr:uid="{00000000-0005-0000-0000-00004F070000}"/>
    <cellStyle name="Comma 5 2 7 3 5" xfId="10137" xr:uid="{00000000-0005-0000-0000-000050070000}"/>
    <cellStyle name="Comma 5 2 7 3 5 2" xfId="18964" xr:uid="{00000000-0005-0000-0000-000051070000}"/>
    <cellStyle name="Comma 5 2 7 3 6" xfId="11583" xr:uid="{00000000-0005-0000-0000-000052070000}"/>
    <cellStyle name="Comma 5 2 7 3 7" xfId="4872" xr:uid="{00000000-0005-0000-0000-000053070000}"/>
    <cellStyle name="Comma 5 2 7 4" xfId="1664" xr:uid="{00000000-0005-0000-0000-000054070000}"/>
    <cellStyle name="Comma 5 2 7 4 2" xfId="3260" xr:uid="{00000000-0005-0000-0000-000055070000}"/>
    <cellStyle name="Comma 5 2 7 4 2 2" xfId="16809" xr:uid="{00000000-0005-0000-0000-000056070000}"/>
    <cellStyle name="Comma 5 2 7 4 2 3" xfId="13230" xr:uid="{00000000-0005-0000-0000-000057070000}"/>
    <cellStyle name="Comma 5 2 7 4 2 4" xfId="7941" xr:uid="{00000000-0005-0000-0000-000058070000}"/>
    <cellStyle name="Comma 5 2 7 4 3" xfId="4323" xr:uid="{00000000-0005-0000-0000-000059070000}"/>
    <cellStyle name="Comma 5 2 7 4 3 2" xfId="18173" xr:uid="{00000000-0005-0000-0000-00005A070000}"/>
    <cellStyle name="Comma 5 2 7 4 3 3" xfId="14594" xr:uid="{00000000-0005-0000-0000-00005B070000}"/>
    <cellStyle name="Comma 5 2 7 4 3 4" xfId="9337" xr:uid="{00000000-0005-0000-0000-00005C070000}"/>
    <cellStyle name="Comma 5 2 7 4 4" xfId="6029" xr:uid="{00000000-0005-0000-0000-00005D070000}"/>
    <cellStyle name="Comma 5 2 7 4 4 2" xfId="15115" xr:uid="{00000000-0005-0000-0000-00005E070000}"/>
    <cellStyle name="Comma 5 2 7 4 5" xfId="10791" xr:uid="{00000000-0005-0000-0000-00005F070000}"/>
    <cellStyle name="Comma 5 2 7 4 5 2" xfId="19618" xr:uid="{00000000-0005-0000-0000-000060070000}"/>
    <cellStyle name="Comma 5 2 7 4 6" xfId="12237" xr:uid="{00000000-0005-0000-0000-000061070000}"/>
    <cellStyle name="Comma 5 2 7 4 7" xfId="5535" xr:uid="{00000000-0005-0000-0000-000062070000}"/>
    <cellStyle name="Comma 5 2 7 5" xfId="2217" xr:uid="{00000000-0005-0000-0000-000063070000}"/>
    <cellStyle name="Comma 5 2 7 5 2" xfId="15958" xr:uid="{00000000-0005-0000-0000-000064070000}"/>
    <cellStyle name="Comma 5 2 7 5 3" xfId="12402" xr:uid="{00000000-0005-0000-0000-000065070000}"/>
    <cellStyle name="Comma 5 2 7 5 4" xfId="6915" xr:uid="{00000000-0005-0000-0000-000066070000}"/>
    <cellStyle name="Comma 5 2 7 6" xfId="3485" xr:uid="{00000000-0005-0000-0000-000067070000}"/>
    <cellStyle name="Comma 5 2 7 6 2" xfId="17130" xr:uid="{00000000-0005-0000-0000-000068070000}"/>
    <cellStyle name="Comma 5 2 7 6 3" xfId="13551" xr:uid="{00000000-0005-0000-0000-000069070000}"/>
    <cellStyle name="Comma 5 2 7 6 4" xfId="8294" xr:uid="{00000000-0005-0000-0000-00006A070000}"/>
    <cellStyle name="Comma 5 2 7 7" xfId="5855" xr:uid="{00000000-0005-0000-0000-00006B070000}"/>
    <cellStyle name="Comma 5 2 7 7 2" xfId="14941" xr:uid="{00000000-0005-0000-0000-00006C070000}"/>
    <cellStyle name="Comma 5 2 7 8" xfId="9748" xr:uid="{00000000-0005-0000-0000-00006D070000}"/>
    <cellStyle name="Comma 5 2 7 8 2" xfId="18575" xr:uid="{00000000-0005-0000-0000-00006E070000}"/>
    <cellStyle name="Comma 5 2 7 9" xfId="11192" xr:uid="{00000000-0005-0000-0000-00006F070000}"/>
    <cellStyle name="Comma 5 2 8" xfId="288" xr:uid="{00000000-0005-0000-0000-000070070000}"/>
    <cellStyle name="Comma 5 2 8 2" xfId="529" xr:uid="{00000000-0005-0000-0000-000071070000}"/>
    <cellStyle name="Comma 5 2 8 2 2" xfId="2259" xr:uid="{00000000-0005-0000-0000-000072070000}"/>
    <cellStyle name="Comma 5 2 8 2 2 2" xfId="16148" xr:uid="{00000000-0005-0000-0000-000073070000}"/>
    <cellStyle name="Comma 5 2 8 2 2 3" xfId="12570" xr:uid="{00000000-0005-0000-0000-000074070000}"/>
    <cellStyle name="Comma 5 2 8 2 2 4" xfId="7279" xr:uid="{00000000-0005-0000-0000-000075070000}"/>
    <cellStyle name="Comma 5 2 8 2 3" xfId="3527" xr:uid="{00000000-0005-0000-0000-000076070000}"/>
    <cellStyle name="Comma 5 2 8 2 3 2" xfId="17172" xr:uid="{00000000-0005-0000-0000-000077070000}"/>
    <cellStyle name="Comma 5 2 8 2 3 3" xfId="13593" xr:uid="{00000000-0005-0000-0000-000078070000}"/>
    <cellStyle name="Comma 5 2 8 2 3 4" xfId="8336" xr:uid="{00000000-0005-0000-0000-000079070000}"/>
    <cellStyle name="Comma 5 2 8 2 4" xfId="6395" xr:uid="{00000000-0005-0000-0000-00007A070000}"/>
    <cellStyle name="Comma 5 2 8 2 4 2" xfId="15479" xr:uid="{00000000-0005-0000-0000-00007B070000}"/>
    <cellStyle name="Comma 5 2 8 2 5" xfId="9790" xr:uid="{00000000-0005-0000-0000-00007C070000}"/>
    <cellStyle name="Comma 5 2 8 2 5 2" xfId="18617" xr:uid="{00000000-0005-0000-0000-00007D070000}"/>
    <cellStyle name="Comma 5 2 8 2 6" xfId="11234" xr:uid="{00000000-0005-0000-0000-00007E070000}"/>
    <cellStyle name="Comma 5 2 8 2 7" xfId="4873" xr:uid="{00000000-0005-0000-0000-00007F070000}"/>
    <cellStyle name="Comma 5 2 8 3" xfId="887" xr:uid="{00000000-0005-0000-0000-000080070000}"/>
    <cellStyle name="Comma 5 2 8 3 2" xfId="2607" xr:uid="{00000000-0005-0000-0000-000081070000}"/>
    <cellStyle name="Comma 5 2 8 3 2 2" xfId="16648" xr:uid="{00000000-0005-0000-0000-000082070000}"/>
    <cellStyle name="Comma 5 2 8 3 2 3" xfId="13069" xr:uid="{00000000-0005-0000-0000-000083070000}"/>
    <cellStyle name="Comma 5 2 8 3 2 4" xfId="7780" xr:uid="{00000000-0005-0000-0000-000084070000}"/>
    <cellStyle name="Comma 5 2 8 3 3" xfId="3875" xr:uid="{00000000-0005-0000-0000-000085070000}"/>
    <cellStyle name="Comma 5 2 8 3 3 2" xfId="17520" xr:uid="{00000000-0005-0000-0000-000086070000}"/>
    <cellStyle name="Comma 5 2 8 3 3 3" xfId="13941" xr:uid="{00000000-0005-0000-0000-000087070000}"/>
    <cellStyle name="Comma 5 2 8 3 3 4" xfId="8684" xr:uid="{00000000-0005-0000-0000-000088070000}"/>
    <cellStyle name="Comma 5 2 8 3 4" xfId="6187" xr:uid="{00000000-0005-0000-0000-000089070000}"/>
    <cellStyle name="Comma 5 2 8 3 4 2" xfId="15271" xr:uid="{00000000-0005-0000-0000-00008A070000}"/>
    <cellStyle name="Comma 5 2 8 3 5" xfId="10138" xr:uid="{00000000-0005-0000-0000-00008B070000}"/>
    <cellStyle name="Comma 5 2 8 3 5 2" xfId="18965" xr:uid="{00000000-0005-0000-0000-00008C070000}"/>
    <cellStyle name="Comma 5 2 8 3 6" xfId="11584" xr:uid="{00000000-0005-0000-0000-00008D070000}"/>
    <cellStyle name="Comma 5 2 8 3 7" xfId="5374" xr:uid="{00000000-0005-0000-0000-00008E070000}"/>
    <cellStyle name="Comma 5 2 8 4" xfId="1500" xr:uid="{00000000-0005-0000-0000-00008F070000}"/>
    <cellStyle name="Comma 5 2 8 4 2" xfId="3099" xr:uid="{00000000-0005-0000-0000-000090070000}"/>
    <cellStyle name="Comma 5 2 8 4 2 2" xfId="18012" xr:uid="{00000000-0005-0000-0000-000091070000}"/>
    <cellStyle name="Comma 5 2 8 4 2 3" xfId="14433" xr:uid="{00000000-0005-0000-0000-000092070000}"/>
    <cellStyle name="Comma 5 2 8 4 2 4" xfId="9176" xr:uid="{00000000-0005-0000-0000-000093070000}"/>
    <cellStyle name="Comma 5 2 8 4 3" xfId="10630" xr:uid="{00000000-0005-0000-0000-000094070000}"/>
    <cellStyle name="Comma 5 2 8 4 3 2" xfId="19457" xr:uid="{00000000-0005-0000-0000-000095070000}"/>
    <cellStyle name="Comma 5 2 8 4 4" xfId="12076" xr:uid="{00000000-0005-0000-0000-000096070000}"/>
    <cellStyle name="Comma 5 2 8 4 5" xfId="7071" xr:uid="{00000000-0005-0000-0000-000097070000}"/>
    <cellStyle name="Comma 5 2 8 5" xfId="2056" xr:uid="{00000000-0005-0000-0000-000098070000}"/>
    <cellStyle name="Comma 5 2 8 5 2" xfId="16969" xr:uid="{00000000-0005-0000-0000-000099070000}"/>
    <cellStyle name="Comma 5 2 8 5 3" xfId="13390" xr:uid="{00000000-0005-0000-0000-00009A070000}"/>
    <cellStyle name="Comma 5 2 8 5 4" xfId="8133" xr:uid="{00000000-0005-0000-0000-00009B070000}"/>
    <cellStyle name="Comma 5 2 8 6" xfId="5694" xr:uid="{00000000-0005-0000-0000-00009C070000}"/>
    <cellStyle name="Comma 5 2 8 6 2" xfId="14780" xr:uid="{00000000-0005-0000-0000-00009D070000}"/>
    <cellStyle name="Comma 5 2 8 7" xfId="9587" xr:uid="{00000000-0005-0000-0000-00009E070000}"/>
    <cellStyle name="Comma 5 2 8 7 2" xfId="18414" xr:uid="{00000000-0005-0000-0000-00009F070000}"/>
    <cellStyle name="Comma 5 2 8 8" xfId="11031" xr:uid="{00000000-0005-0000-0000-0000A0070000}"/>
    <cellStyle name="Comma 5 2 8 9" xfId="4665" xr:uid="{00000000-0005-0000-0000-0000A1070000}"/>
    <cellStyle name="Comma 5 2 9" xfId="471" xr:uid="{00000000-0005-0000-0000-0000A2070000}"/>
    <cellStyle name="Comma 5 2 9 2" xfId="530" xr:uid="{00000000-0005-0000-0000-0000A3070000}"/>
    <cellStyle name="Comma 5 2 9 2 2" xfId="2260" xr:uid="{00000000-0005-0000-0000-0000A4070000}"/>
    <cellStyle name="Comma 5 2 9 2 2 2" xfId="16149" xr:uid="{00000000-0005-0000-0000-0000A5070000}"/>
    <cellStyle name="Comma 5 2 9 2 2 3" xfId="12571" xr:uid="{00000000-0005-0000-0000-0000A6070000}"/>
    <cellStyle name="Comma 5 2 9 2 2 4" xfId="7280" xr:uid="{00000000-0005-0000-0000-0000A7070000}"/>
    <cellStyle name="Comma 5 2 9 2 3" xfId="3528" xr:uid="{00000000-0005-0000-0000-0000A8070000}"/>
    <cellStyle name="Comma 5 2 9 2 3 2" xfId="17173" xr:uid="{00000000-0005-0000-0000-0000A9070000}"/>
    <cellStyle name="Comma 5 2 9 2 3 3" xfId="13594" xr:uid="{00000000-0005-0000-0000-0000AA070000}"/>
    <cellStyle name="Comma 5 2 9 2 3 4" xfId="8337" xr:uid="{00000000-0005-0000-0000-0000AB070000}"/>
    <cellStyle name="Comma 5 2 9 2 4" xfId="6396" xr:uid="{00000000-0005-0000-0000-0000AC070000}"/>
    <cellStyle name="Comma 5 2 9 2 4 2" xfId="15480" xr:uid="{00000000-0005-0000-0000-0000AD070000}"/>
    <cellStyle name="Comma 5 2 9 2 5" xfId="9791" xr:uid="{00000000-0005-0000-0000-0000AE070000}"/>
    <cellStyle name="Comma 5 2 9 2 5 2" xfId="18618" xr:uid="{00000000-0005-0000-0000-0000AF070000}"/>
    <cellStyle name="Comma 5 2 9 2 6" xfId="11235" xr:uid="{00000000-0005-0000-0000-0000B0070000}"/>
    <cellStyle name="Comma 5 2 9 2 7" xfId="4874" xr:uid="{00000000-0005-0000-0000-0000B1070000}"/>
    <cellStyle name="Comma 5 2 9 3" xfId="888" xr:uid="{00000000-0005-0000-0000-0000B2070000}"/>
    <cellStyle name="Comma 5 2 9 3 2" xfId="2608" xr:uid="{00000000-0005-0000-0000-0000B3070000}"/>
    <cellStyle name="Comma 5 2 9 3 2 2" xfId="16509" xr:uid="{00000000-0005-0000-0000-0000B4070000}"/>
    <cellStyle name="Comma 5 2 9 3 2 3" xfId="12931" xr:uid="{00000000-0005-0000-0000-0000B5070000}"/>
    <cellStyle name="Comma 5 2 9 3 2 4" xfId="7641" xr:uid="{00000000-0005-0000-0000-0000B6070000}"/>
    <cellStyle name="Comma 5 2 9 3 3" xfId="3876" xr:uid="{00000000-0005-0000-0000-0000B7070000}"/>
    <cellStyle name="Comma 5 2 9 3 3 2" xfId="17521" xr:uid="{00000000-0005-0000-0000-0000B8070000}"/>
    <cellStyle name="Comma 5 2 9 3 3 3" xfId="13942" xr:uid="{00000000-0005-0000-0000-0000B9070000}"/>
    <cellStyle name="Comma 5 2 9 3 3 4" xfId="8685" xr:uid="{00000000-0005-0000-0000-0000BA070000}"/>
    <cellStyle name="Comma 5 2 9 3 4" xfId="6727" xr:uid="{00000000-0005-0000-0000-0000BB070000}"/>
    <cellStyle name="Comma 5 2 9 3 4 2" xfId="15810" xr:uid="{00000000-0005-0000-0000-0000BC070000}"/>
    <cellStyle name="Comma 5 2 9 3 5" xfId="10139" xr:uid="{00000000-0005-0000-0000-0000BD070000}"/>
    <cellStyle name="Comma 5 2 9 3 5 2" xfId="18966" xr:uid="{00000000-0005-0000-0000-0000BE070000}"/>
    <cellStyle name="Comma 5 2 9 3 6" xfId="11585" xr:uid="{00000000-0005-0000-0000-0000BF070000}"/>
    <cellStyle name="Comma 5 2 9 3 7" xfId="5235" xr:uid="{00000000-0005-0000-0000-0000C0070000}"/>
    <cellStyle name="Comma 5 2 9 4" xfId="1347" xr:uid="{00000000-0005-0000-0000-0000C1070000}"/>
    <cellStyle name="Comma 5 2 9 4 2" xfId="2960" xr:uid="{00000000-0005-0000-0000-0000C2070000}"/>
    <cellStyle name="Comma 5 2 9 4 2 2" xfId="17873" xr:uid="{00000000-0005-0000-0000-0000C3070000}"/>
    <cellStyle name="Comma 5 2 9 4 2 3" xfId="14294" xr:uid="{00000000-0005-0000-0000-0000C4070000}"/>
    <cellStyle name="Comma 5 2 9 4 2 4" xfId="9037" xr:uid="{00000000-0005-0000-0000-0000C5070000}"/>
    <cellStyle name="Comma 5 2 9 4 3" xfId="10491" xr:uid="{00000000-0005-0000-0000-0000C6070000}"/>
    <cellStyle name="Comma 5 2 9 4 3 2" xfId="19318" xr:uid="{00000000-0005-0000-0000-0000C7070000}"/>
    <cellStyle name="Comma 5 2 9 4 4" xfId="11937" xr:uid="{00000000-0005-0000-0000-0000C8070000}"/>
    <cellStyle name="Comma 5 2 9 4 5" xfId="6932" xr:uid="{00000000-0005-0000-0000-0000C9070000}"/>
    <cellStyle name="Comma 5 2 9 5" xfId="1917" xr:uid="{00000000-0005-0000-0000-0000CA070000}"/>
    <cellStyle name="Comma 5 2 9 5 2" xfId="16828" xr:uid="{00000000-0005-0000-0000-0000CB070000}"/>
    <cellStyle name="Comma 5 2 9 5 3" xfId="13249" xr:uid="{00000000-0005-0000-0000-0000CC070000}"/>
    <cellStyle name="Comma 5 2 9 5 4" xfId="7992" xr:uid="{00000000-0005-0000-0000-0000CD070000}"/>
    <cellStyle name="Comma 5 2 9 6" xfId="6048" xr:uid="{00000000-0005-0000-0000-0000CE070000}"/>
    <cellStyle name="Comma 5 2 9 6 2" xfId="15132" xr:uid="{00000000-0005-0000-0000-0000CF070000}"/>
    <cellStyle name="Comma 5 2 9 7" xfId="9448" xr:uid="{00000000-0005-0000-0000-0000D0070000}"/>
    <cellStyle name="Comma 5 2 9 7 2" xfId="18275" xr:uid="{00000000-0005-0000-0000-0000D1070000}"/>
    <cellStyle name="Comma 5 2 9 8" xfId="10892" xr:uid="{00000000-0005-0000-0000-0000D2070000}"/>
    <cellStyle name="Comma 5 2 9 9" xfId="4526" xr:uid="{00000000-0005-0000-0000-0000D3070000}"/>
    <cellStyle name="Comma 5 3" xfId="11" xr:uid="{00000000-0005-0000-0000-0000D4070000}"/>
    <cellStyle name="Comma 5 3 10" xfId="1896" xr:uid="{00000000-0005-0000-0000-0000D5070000}"/>
    <cellStyle name="Comma 5 3 10 2" xfId="9427" xr:uid="{00000000-0005-0000-0000-0000D6070000}"/>
    <cellStyle name="Comma 5 3 10 2 2" xfId="18254" xr:uid="{00000000-0005-0000-0000-0000D7070000}"/>
    <cellStyle name="Comma 5 3 10 3" xfId="10871" xr:uid="{00000000-0005-0000-0000-0000D8070000}"/>
    <cellStyle name="Comma 5 3 10 4" xfId="7971" xr:uid="{00000000-0005-0000-0000-0000D9070000}"/>
    <cellStyle name="Comma 5 3 11" xfId="1866" xr:uid="{00000000-0005-0000-0000-0000DA070000}"/>
    <cellStyle name="Comma 5 3 11 2" xfId="14665" xr:uid="{00000000-0005-0000-0000-0000DB070000}"/>
    <cellStyle name="Comma 5 3 11 3" xfId="5579" xr:uid="{00000000-0005-0000-0000-0000DC070000}"/>
    <cellStyle name="Comma 5 3 12" xfId="9397" xr:uid="{00000000-0005-0000-0000-0000DD070000}"/>
    <cellStyle name="Comma 5 3 12 2" xfId="18224" xr:uid="{00000000-0005-0000-0000-0000DE070000}"/>
    <cellStyle name="Comma 5 3 13" xfId="10841" xr:uid="{00000000-0005-0000-0000-0000DF070000}"/>
    <cellStyle name="Comma 5 3 14" xfId="4360" xr:uid="{00000000-0005-0000-0000-0000E0070000}"/>
    <cellStyle name="Comma 5 3 2" xfId="222" xr:uid="{00000000-0005-0000-0000-0000E1070000}"/>
    <cellStyle name="Comma 5 3 2 10" xfId="9529" xr:uid="{00000000-0005-0000-0000-0000E2070000}"/>
    <cellStyle name="Comma 5 3 2 10 2" xfId="18356" xr:uid="{00000000-0005-0000-0000-0000E3070000}"/>
    <cellStyle name="Comma 5 3 2 11" xfId="10973" xr:uid="{00000000-0005-0000-0000-0000E4070000}"/>
    <cellStyle name="Comma 5 3 2 12" xfId="4390" xr:uid="{00000000-0005-0000-0000-0000E5070000}"/>
    <cellStyle name="Comma 5 3 2 2" xfId="435" xr:uid="{00000000-0005-0000-0000-0000E6070000}"/>
    <cellStyle name="Comma 5 3 2 2 10" xfId="4494" xr:uid="{00000000-0005-0000-0000-0000E7070000}"/>
    <cellStyle name="Comma 5 3 2 2 2" xfId="533" xr:uid="{00000000-0005-0000-0000-0000E8070000}"/>
    <cellStyle name="Comma 5 3 2 2 2 2" xfId="2263" xr:uid="{00000000-0005-0000-0000-0000E9070000}"/>
    <cellStyle name="Comma 5 3 2 2 2 2 2" xfId="16090" xr:uid="{00000000-0005-0000-0000-0000EA070000}"/>
    <cellStyle name="Comma 5 3 2 2 2 2 3" xfId="12512" xr:uid="{00000000-0005-0000-0000-0000EB070000}"/>
    <cellStyle name="Comma 5 3 2 2 2 2 4" xfId="7217" xr:uid="{00000000-0005-0000-0000-0000EC070000}"/>
    <cellStyle name="Comma 5 3 2 2 2 3" xfId="3531" xr:uid="{00000000-0005-0000-0000-0000ED070000}"/>
    <cellStyle name="Comma 5 3 2 2 2 3 2" xfId="17176" xr:uid="{00000000-0005-0000-0000-0000EE070000}"/>
    <cellStyle name="Comma 5 3 2 2 2 3 3" xfId="13597" xr:uid="{00000000-0005-0000-0000-0000EF070000}"/>
    <cellStyle name="Comma 5 3 2 2 2 3 4" xfId="8340" xr:uid="{00000000-0005-0000-0000-0000F0070000}"/>
    <cellStyle name="Comma 5 3 2 2 2 4" xfId="6333" xr:uid="{00000000-0005-0000-0000-0000F1070000}"/>
    <cellStyle name="Comma 5 3 2 2 2 4 2" xfId="15417" xr:uid="{00000000-0005-0000-0000-0000F2070000}"/>
    <cellStyle name="Comma 5 3 2 2 2 5" xfId="9794" xr:uid="{00000000-0005-0000-0000-0000F3070000}"/>
    <cellStyle name="Comma 5 3 2 2 2 5 2" xfId="18621" xr:uid="{00000000-0005-0000-0000-0000F4070000}"/>
    <cellStyle name="Comma 5 3 2 2 2 6" xfId="11238" xr:uid="{00000000-0005-0000-0000-0000F5070000}"/>
    <cellStyle name="Comma 5 3 2 2 2 7" xfId="4811" xr:uid="{00000000-0005-0000-0000-0000F6070000}"/>
    <cellStyle name="Comma 5 3 2 2 3" xfId="891" xr:uid="{00000000-0005-0000-0000-0000F7070000}"/>
    <cellStyle name="Comma 5 3 2 2 3 2" xfId="2611" xr:uid="{00000000-0005-0000-0000-0000F8070000}"/>
    <cellStyle name="Comma 5 3 2 2 3 2 2" xfId="16152" xr:uid="{00000000-0005-0000-0000-0000F9070000}"/>
    <cellStyle name="Comma 5 3 2 2 3 2 3" xfId="12574" xr:uid="{00000000-0005-0000-0000-0000FA070000}"/>
    <cellStyle name="Comma 5 3 2 2 3 2 4" xfId="7283" xr:uid="{00000000-0005-0000-0000-0000FB070000}"/>
    <cellStyle name="Comma 5 3 2 2 3 3" xfId="3879" xr:uid="{00000000-0005-0000-0000-0000FC070000}"/>
    <cellStyle name="Comma 5 3 2 2 3 3 2" xfId="17524" xr:uid="{00000000-0005-0000-0000-0000FD070000}"/>
    <cellStyle name="Comma 5 3 2 2 3 3 3" xfId="13945" xr:uid="{00000000-0005-0000-0000-0000FE070000}"/>
    <cellStyle name="Comma 5 3 2 2 3 3 4" xfId="8688" xr:uid="{00000000-0005-0000-0000-0000FF070000}"/>
    <cellStyle name="Comma 5 3 2 2 3 4" xfId="6399" xr:uid="{00000000-0005-0000-0000-000000080000}"/>
    <cellStyle name="Comma 5 3 2 2 3 4 2" xfId="15483" xr:uid="{00000000-0005-0000-0000-000001080000}"/>
    <cellStyle name="Comma 5 3 2 2 3 5" xfId="10142" xr:uid="{00000000-0005-0000-0000-000002080000}"/>
    <cellStyle name="Comma 5 3 2 2 3 5 2" xfId="18969" xr:uid="{00000000-0005-0000-0000-000003080000}"/>
    <cellStyle name="Comma 5 3 2 2 3 6" xfId="11588" xr:uid="{00000000-0005-0000-0000-000004080000}"/>
    <cellStyle name="Comma 5 3 2 2 3 7" xfId="4877" xr:uid="{00000000-0005-0000-0000-000005080000}"/>
    <cellStyle name="Comma 5 3 2 2 4" xfId="1649" xr:uid="{00000000-0005-0000-0000-000006080000}"/>
    <cellStyle name="Comma 5 3 2 2 4 2" xfId="3245" xr:uid="{00000000-0005-0000-0000-000007080000}"/>
    <cellStyle name="Comma 5 3 2 2 4 2 2" xfId="16794" xr:uid="{00000000-0005-0000-0000-000008080000}"/>
    <cellStyle name="Comma 5 3 2 2 4 2 3" xfId="13215" xr:uid="{00000000-0005-0000-0000-000009080000}"/>
    <cellStyle name="Comma 5 3 2 2 4 2 4" xfId="7926" xr:uid="{00000000-0005-0000-0000-00000A080000}"/>
    <cellStyle name="Comma 5 3 2 2 4 3" xfId="4312" xr:uid="{00000000-0005-0000-0000-00000B080000}"/>
    <cellStyle name="Comma 5 3 2 2 4 3 2" xfId="18158" xr:uid="{00000000-0005-0000-0000-00000C080000}"/>
    <cellStyle name="Comma 5 3 2 2 4 3 3" xfId="14579" xr:uid="{00000000-0005-0000-0000-00000D080000}"/>
    <cellStyle name="Comma 5 3 2 2 4 3 4" xfId="9322" xr:uid="{00000000-0005-0000-0000-00000E080000}"/>
    <cellStyle name="Comma 5 3 2 2 4 4" xfId="6014" xr:uid="{00000000-0005-0000-0000-00000F080000}"/>
    <cellStyle name="Comma 5 3 2 2 4 4 2" xfId="15100" xr:uid="{00000000-0005-0000-0000-000010080000}"/>
    <cellStyle name="Comma 5 3 2 2 4 5" xfId="10776" xr:uid="{00000000-0005-0000-0000-000011080000}"/>
    <cellStyle name="Comma 5 3 2 2 4 5 2" xfId="19603" xr:uid="{00000000-0005-0000-0000-000012080000}"/>
    <cellStyle name="Comma 5 3 2 2 4 6" xfId="12222" xr:uid="{00000000-0005-0000-0000-000013080000}"/>
    <cellStyle name="Comma 5 3 2 2 4 7" xfId="5520" xr:uid="{00000000-0005-0000-0000-000014080000}"/>
    <cellStyle name="Comma 5 3 2 2 5" xfId="2202" xr:uid="{00000000-0005-0000-0000-000015080000}"/>
    <cellStyle name="Comma 5 3 2 2 5 2" xfId="15943" xr:uid="{00000000-0005-0000-0000-000016080000}"/>
    <cellStyle name="Comma 5 3 2 2 5 3" xfId="12346" xr:uid="{00000000-0005-0000-0000-000017080000}"/>
    <cellStyle name="Comma 5 3 2 2 5 4" xfId="6900" xr:uid="{00000000-0005-0000-0000-000018080000}"/>
    <cellStyle name="Comma 5 3 2 2 6" xfId="3474" xr:uid="{00000000-0005-0000-0000-000019080000}"/>
    <cellStyle name="Comma 5 3 2 2 6 2" xfId="17115" xr:uid="{00000000-0005-0000-0000-00001A080000}"/>
    <cellStyle name="Comma 5 3 2 2 6 3" xfId="13536" xr:uid="{00000000-0005-0000-0000-00001B080000}"/>
    <cellStyle name="Comma 5 3 2 2 6 4" xfId="8279" xr:uid="{00000000-0005-0000-0000-00001C080000}"/>
    <cellStyle name="Comma 5 3 2 2 7" xfId="5840" xr:uid="{00000000-0005-0000-0000-00001D080000}"/>
    <cellStyle name="Comma 5 3 2 2 7 2" xfId="14926" xr:uid="{00000000-0005-0000-0000-00001E080000}"/>
    <cellStyle name="Comma 5 3 2 2 8" xfId="9733" xr:uid="{00000000-0005-0000-0000-00001F080000}"/>
    <cellStyle name="Comma 5 3 2 2 8 2" xfId="18560" xr:uid="{00000000-0005-0000-0000-000020080000}"/>
    <cellStyle name="Comma 5 3 2 2 9" xfId="11177" xr:uid="{00000000-0005-0000-0000-000021080000}"/>
    <cellStyle name="Comma 5 3 2 3" xfId="330" xr:uid="{00000000-0005-0000-0000-000022080000}"/>
    <cellStyle name="Comma 5 3 2 3 2" xfId="534" xr:uid="{00000000-0005-0000-0000-000023080000}"/>
    <cellStyle name="Comma 5 3 2 3 2 2" xfId="2264" xr:uid="{00000000-0005-0000-0000-000024080000}"/>
    <cellStyle name="Comma 5 3 2 3 2 2 2" xfId="16153" xr:uid="{00000000-0005-0000-0000-000025080000}"/>
    <cellStyle name="Comma 5 3 2 3 2 2 3" xfId="12575" xr:uid="{00000000-0005-0000-0000-000026080000}"/>
    <cellStyle name="Comma 5 3 2 3 2 2 4" xfId="7284" xr:uid="{00000000-0005-0000-0000-000027080000}"/>
    <cellStyle name="Comma 5 3 2 3 2 3" xfId="3532" xr:uid="{00000000-0005-0000-0000-000028080000}"/>
    <cellStyle name="Comma 5 3 2 3 2 3 2" xfId="17177" xr:uid="{00000000-0005-0000-0000-000029080000}"/>
    <cellStyle name="Comma 5 3 2 3 2 3 3" xfId="13598" xr:uid="{00000000-0005-0000-0000-00002A080000}"/>
    <cellStyle name="Comma 5 3 2 3 2 3 4" xfId="8341" xr:uid="{00000000-0005-0000-0000-00002B080000}"/>
    <cellStyle name="Comma 5 3 2 3 2 4" xfId="6400" xr:uid="{00000000-0005-0000-0000-00002C080000}"/>
    <cellStyle name="Comma 5 3 2 3 2 4 2" xfId="15484" xr:uid="{00000000-0005-0000-0000-00002D080000}"/>
    <cellStyle name="Comma 5 3 2 3 2 5" xfId="9795" xr:uid="{00000000-0005-0000-0000-00002E080000}"/>
    <cellStyle name="Comma 5 3 2 3 2 5 2" xfId="18622" xr:uid="{00000000-0005-0000-0000-00002F080000}"/>
    <cellStyle name="Comma 5 3 2 3 2 6" xfId="11239" xr:uid="{00000000-0005-0000-0000-000030080000}"/>
    <cellStyle name="Comma 5 3 2 3 2 7" xfId="4878" xr:uid="{00000000-0005-0000-0000-000031080000}"/>
    <cellStyle name="Comma 5 3 2 3 3" xfId="892" xr:uid="{00000000-0005-0000-0000-000032080000}"/>
    <cellStyle name="Comma 5 3 2 3 3 2" xfId="2612" xr:uid="{00000000-0005-0000-0000-000033080000}"/>
    <cellStyle name="Comma 5 3 2 3 3 2 2" xfId="16690" xr:uid="{00000000-0005-0000-0000-000034080000}"/>
    <cellStyle name="Comma 5 3 2 3 3 2 3" xfId="13111" xr:uid="{00000000-0005-0000-0000-000035080000}"/>
    <cellStyle name="Comma 5 3 2 3 3 2 4" xfId="7822" xr:uid="{00000000-0005-0000-0000-000036080000}"/>
    <cellStyle name="Comma 5 3 2 3 3 3" xfId="3880" xr:uid="{00000000-0005-0000-0000-000037080000}"/>
    <cellStyle name="Comma 5 3 2 3 3 3 2" xfId="17525" xr:uid="{00000000-0005-0000-0000-000038080000}"/>
    <cellStyle name="Comma 5 3 2 3 3 3 3" xfId="13946" xr:uid="{00000000-0005-0000-0000-000039080000}"/>
    <cellStyle name="Comma 5 3 2 3 3 3 4" xfId="8689" xr:uid="{00000000-0005-0000-0000-00003A080000}"/>
    <cellStyle name="Comma 5 3 2 3 3 4" xfId="6229" xr:uid="{00000000-0005-0000-0000-00003B080000}"/>
    <cellStyle name="Comma 5 3 2 3 3 4 2" xfId="15313" xr:uid="{00000000-0005-0000-0000-00003C080000}"/>
    <cellStyle name="Comma 5 3 2 3 3 5" xfId="10143" xr:uid="{00000000-0005-0000-0000-00003D080000}"/>
    <cellStyle name="Comma 5 3 2 3 3 5 2" xfId="18970" xr:uid="{00000000-0005-0000-0000-00003E080000}"/>
    <cellStyle name="Comma 5 3 2 3 3 6" xfId="11589" xr:uid="{00000000-0005-0000-0000-00003F080000}"/>
    <cellStyle name="Comma 5 3 2 3 3 7" xfId="5416" xr:uid="{00000000-0005-0000-0000-000040080000}"/>
    <cellStyle name="Comma 5 3 2 3 4" xfId="1542" xr:uid="{00000000-0005-0000-0000-000041080000}"/>
    <cellStyle name="Comma 5 3 2 3 4 2" xfId="3141" xr:uid="{00000000-0005-0000-0000-000042080000}"/>
    <cellStyle name="Comma 5 3 2 3 4 2 2" xfId="18054" xr:uid="{00000000-0005-0000-0000-000043080000}"/>
    <cellStyle name="Comma 5 3 2 3 4 2 3" xfId="14475" xr:uid="{00000000-0005-0000-0000-000044080000}"/>
    <cellStyle name="Comma 5 3 2 3 4 2 4" xfId="9218" xr:uid="{00000000-0005-0000-0000-000045080000}"/>
    <cellStyle name="Comma 5 3 2 3 4 3" xfId="10672" xr:uid="{00000000-0005-0000-0000-000046080000}"/>
    <cellStyle name="Comma 5 3 2 3 4 3 2" xfId="19499" xr:uid="{00000000-0005-0000-0000-000047080000}"/>
    <cellStyle name="Comma 5 3 2 3 4 4" xfId="12118" xr:uid="{00000000-0005-0000-0000-000048080000}"/>
    <cellStyle name="Comma 5 3 2 3 4 5" xfId="7113" xr:uid="{00000000-0005-0000-0000-000049080000}"/>
    <cellStyle name="Comma 5 3 2 3 5" xfId="2098" xr:uid="{00000000-0005-0000-0000-00004A080000}"/>
    <cellStyle name="Comma 5 3 2 3 5 2" xfId="17011" xr:uid="{00000000-0005-0000-0000-00004B080000}"/>
    <cellStyle name="Comma 5 3 2 3 5 3" xfId="13432" xr:uid="{00000000-0005-0000-0000-00004C080000}"/>
    <cellStyle name="Comma 5 3 2 3 5 4" xfId="8175" xr:uid="{00000000-0005-0000-0000-00004D080000}"/>
    <cellStyle name="Comma 5 3 2 3 6" xfId="5736" xr:uid="{00000000-0005-0000-0000-00004E080000}"/>
    <cellStyle name="Comma 5 3 2 3 6 2" xfId="14822" xr:uid="{00000000-0005-0000-0000-00004F080000}"/>
    <cellStyle name="Comma 5 3 2 3 7" xfId="9629" xr:uid="{00000000-0005-0000-0000-000050080000}"/>
    <cellStyle name="Comma 5 3 2 3 7 2" xfId="18456" xr:uid="{00000000-0005-0000-0000-000051080000}"/>
    <cellStyle name="Comma 5 3 2 3 8" xfId="11073" xr:uid="{00000000-0005-0000-0000-000052080000}"/>
    <cellStyle name="Comma 5 3 2 3 9" xfId="4707" xr:uid="{00000000-0005-0000-0000-000053080000}"/>
    <cellStyle name="Comma 5 3 2 4" xfId="532" xr:uid="{00000000-0005-0000-0000-000054080000}"/>
    <cellStyle name="Comma 5 3 2 4 2" xfId="2262" xr:uid="{00000000-0005-0000-0000-000055080000}"/>
    <cellStyle name="Comma 5 3 2 4 2 2" xfId="16027" xr:uid="{00000000-0005-0000-0000-000056080000}"/>
    <cellStyle name="Comma 5 3 2 4 2 3" xfId="12293" xr:uid="{00000000-0005-0000-0000-000057080000}"/>
    <cellStyle name="Comma 5 3 2 4 2 4" xfId="7013" xr:uid="{00000000-0005-0000-0000-000058080000}"/>
    <cellStyle name="Comma 5 3 2 4 3" xfId="3530" xr:uid="{00000000-0005-0000-0000-000059080000}"/>
    <cellStyle name="Comma 5 3 2 4 3 2" xfId="17175" xr:uid="{00000000-0005-0000-0000-00005A080000}"/>
    <cellStyle name="Comma 5 3 2 4 3 3" xfId="13596" xr:uid="{00000000-0005-0000-0000-00005B080000}"/>
    <cellStyle name="Comma 5 3 2 4 3 4" xfId="8339" xr:uid="{00000000-0005-0000-0000-00005C080000}"/>
    <cellStyle name="Comma 5 3 2 4 4" xfId="6129" xr:uid="{00000000-0005-0000-0000-00005D080000}"/>
    <cellStyle name="Comma 5 3 2 4 4 2" xfId="15213" xr:uid="{00000000-0005-0000-0000-00005E080000}"/>
    <cellStyle name="Comma 5 3 2 4 5" xfId="9793" xr:uid="{00000000-0005-0000-0000-00005F080000}"/>
    <cellStyle name="Comma 5 3 2 4 5 2" xfId="18620" xr:uid="{00000000-0005-0000-0000-000060080000}"/>
    <cellStyle name="Comma 5 3 2 4 6" xfId="11237" xr:uid="{00000000-0005-0000-0000-000061080000}"/>
    <cellStyle name="Comma 5 3 2 4 7" xfId="4607" xr:uid="{00000000-0005-0000-0000-000062080000}"/>
    <cellStyle name="Comma 5 3 2 5" xfId="890" xr:uid="{00000000-0005-0000-0000-000063080000}"/>
    <cellStyle name="Comma 5 3 2 5 2" xfId="2610" xr:uid="{00000000-0005-0000-0000-000064080000}"/>
    <cellStyle name="Comma 5 3 2 5 2 2" xfId="16151" xr:uid="{00000000-0005-0000-0000-000065080000}"/>
    <cellStyle name="Comma 5 3 2 5 2 3" xfId="12573" xr:uid="{00000000-0005-0000-0000-000066080000}"/>
    <cellStyle name="Comma 5 3 2 5 2 4" xfId="7282" xr:uid="{00000000-0005-0000-0000-000067080000}"/>
    <cellStyle name="Comma 5 3 2 5 3" xfId="3878" xr:uid="{00000000-0005-0000-0000-000068080000}"/>
    <cellStyle name="Comma 5 3 2 5 3 2" xfId="17523" xr:uid="{00000000-0005-0000-0000-000069080000}"/>
    <cellStyle name="Comma 5 3 2 5 3 3" xfId="13944" xr:uid="{00000000-0005-0000-0000-00006A080000}"/>
    <cellStyle name="Comma 5 3 2 5 3 4" xfId="8687" xr:uid="{00000000-0005-0000-0000-00006B080000}"/>
    <cellStyle name="Comma 5 3 2 5 4" xfId="6398" xr:uid="{00000000-0005-0000-0000-00006C080000}"/>
    <cellStyle name="Comma 5 3 2 5 4 2" xfId="15482" xr:uid="{00000000-0005-0000-0000-00006D080000}"/>
    <cellStyle name="Comma 5 3 2 5 5" xfId="10141" xr:uid="{00000000-0005-0000-0000-00006E080000}"/>
    <cellStyle name="Comma 5 3 2 5 5 2" xfId="18968" xr:uid="{00000000-0005-0000-0000-00006F080000}"/>
    <cellStyle name="Comma 5 3 2 5 6" xfId="11587" xr:uid="{00000000-0005-0000-0000-000070080000}"/>
    <cellStyle name="Comma 5 3 2 5 7" xfId="4876" xr:uid="{00000000-0005-0000-0000-000071080000}"/>
    <cellStyle name="Comma 5 3 2 6" xfId="1440" xr:uid="{00000000-0005-0000-0000-000072080000}"/>
    <cellStyle name="Comma 5 3 2 6 2" xfId="3041" xr:uid="{00000000-0005-0000-0000-000073080000}"/>
    <cellStyle name="Comma 5 3 2 6 2 2" xfId="16590" xr:uid="{00000000-0005-0000-0000-000074080000}"/>
    <cellStyle name="Comma 5 3 2 6 2 3" xfId="13011" xr:uid="{00000000-0005-0000-0000-000075080000}"/>
    <cellStyle name="Comma 5 3 2 6 2 4" xfId="7722" xr:uid="{00000000-0005-0000-0000-000076080000}"/>
    <cellStyle name="Comma 5 3 2 6 3" xfId="4249" xr:uid="{00000000-0005-0000-0000-000077080000}"/>
    <cellStyle name="Comma 5 3 2 6 3 2" xfId="17954" xr:uid="{00000000-0005-0000-0000-000078080000}"/>
    <cellStyle name="Comma 5 3 2 6 3 3" xfId="14375" xr:uid="{00000000-0005-0000-0000-000079080000}"/>
    <cellStyle name="Comma 5 3 2 6 3 4" xfId="9118" xr:uid="{00000000-0005-0000-0000-00007A080000}"/>
    <cellStyle name="Comma 5 3 2 6 4" xfId="5910" xr:uid="{00000000-0005-0000-0000-00007B080000}"/>
    <cellStyle name="Comma 5 3 2 6 4 2" xfId="14996" xr:uid="{00000000-0005-0000-0000-00007C080000}"/>
    <cellStyle name="Comma 5 3 2 6 5" xfId="10572" xr:uid="{00000000-0005-0000-0000-00007D080000}"/>
    <cellStyle name="Comma 5 3 2 6 5 2" xfId="19399" xr:uid="{00000000-0005-0000-0000-00007E080000}"/>
    <cellStyle name="Comma 5 3 2 6 6" xfId="12018" xr:uid="{00000000-0005-0000-0000-00007F080000}"/>
    <cellStyle name="Comma 5 3 2 6 7" xfId="5316" xr:uid="{00000000-0005-0000-0000-000080080000}"/>
    <cellStyle name="Comma 5 3 2 7" xfId="1998" xr:uid="{00000000-0005-0000-0000-000081080000}"/>
    <cellStyle name="Comma 5 3 2 7 2" xfId="15842" xr:uid="{00000000-0005-0000-0000-000082080000}"/>
    <cellStyle name="Comma 5 3 2 7 3" xfId="12428" xr:uid="{00000000-0005-0000-0000-000083080000}"/>
    <cellStyle name="Comma 5 3 2 7 4" xfId="6796" xr:uid="{00000000-0005-0000-0000-000084080000}"/>
    <cellStyle name="Comma 5 3 2 8" xfId="3411" xr:uid="{00000000-0005-0000-0000-000085080000}"/>
    <cellStyle name="Comma 5 3 2 8 2" xfId="16911" xr:uid="{00000000-0005-0000-0000-000086080000}"/>
    <cellStyle name="Comma 5 3 2 8 3" xfId="13332" xr:uid="{00000000-0005-0000-0000-000087080000}"/>
    <cellStyle name="Comma 5 3 2 8 4" xfId="8075" xr:uid="{00000000-0005-0000-0000-000088080000}"/>
    <cellStyle name="Comma 5 3 2 9" xfId="5636" xr:uid="{00000000-0005-0000-0000-000089080000}"/>
    <cellStyle name="Comma 5 3 2 9 2" xfId="14722" xr:uid="{00000000-0005-0000-0000-00008A080000}"/>
    <cellStyle name="Comma 5 3 3" xfId="265" xr:uid="{00000000-0005-0000-0000-00008B080000}"/>
    <cellStyle name="Comma 5 3 3 10" xfId="11016" xr:uid="{00000000-0005-0000-0000-00008C080000}"/>
    <cellStyle name="Comma 5 3 3 11" xfId="4433" xr:uid="{00000000-0005-0000-0000-00008D080000}"/>
    <cellStyle name="Comma 5 3 3 2" xfId="373" xr:uid="{00000000-0005-0000-0000-00008E080000}"/>
    <cellStyle name="Comma 5 3 3 2 2" xfId="536" xr:uid="{00000000-0005-0000-0000-00008F080000}"/>
    <cellStyle name="Comma 5 3 3 2 2 2" xfId="2266" xr:uid="{00000000-0005-0000-0000-000090080000}"/>
    <cellStyle name="Comma 5 3 3 2 2 2 2" xfId="16155" xr:uid="{00000000-0005-0000-0000-000091080000}"/>
    <cellStyle name="Comma 5 3 3 2 2 2 3" xfId="12577" xr:uid="{00000000-0005-0000-0000-000092080000}"/>
    <cellStyle name="Comma 5 3 3 2 2 2 4" xfId="7286" xr:uid="{00000000-0005-0000-0000-000093080000}"/>
    <cellStyle name="Comma 5 3 3 2 2 3" xfId="3534" xr:uid="{00000000-0005-0000-0000-000094080000}"/>
    <cellStyle name="Comma 5 3 3 2 2 3 2" xfId="17179" xr:uid="{00000000-0005-0000-0000-000095080000}"/>
    <cellStyle name="Comma 5 3 3 2 2 3 3" xfId="13600" xr:uid="{00000000-0005-0000-0000-000096080000}"/>
    <cellStyle name="Comma 5 3 3 2 2 3 4" xfId="8343" xr:uid="{00000000-0005-0000-0000-000097080000}"/>
    <cellStyle name="Comma 5 3 3 2 2 4" xfId="6402" xr:uid="{00000000-0005-0000-0000-000098080000}"/>
    <cellStyle name="Comma 5 3 3 2 2 4 2" xfId="15486" xr:uid="{00000000-0005-0000-0000-000099080000}"/>
    <cellStyle name="Comma 5 3 3 2 2 5" xfId="9797" xr:uid="{00000000-0005-0000-0000-00009A080000}"/>
    <cellStyle name="Comma 5 3 3 2 2 5 2" xfId="18624" xr:uid="{00000000-0005-0000-0000-00009B080000}"/>
    <cellStyle name="Comma 5 3 3 2 2 6" xfId="11241" xr:uid="{00000000-0005-0000-0000-00009C080000}"/>
    <cellStyle name="Comma 5 3 3 2 2 7" xfId="4880" xr:uid="{00000000-0005-0000-0000-00009D080000}"/>
    <cellStyle name="Comma 5 3 3 2 3" xfId="894" xr:uid="{00000000-0005-0000-0000-00009E080000}"/>
    <cellStyle name="Comma 5 3 3 2 3 2" xfId="2614" xr:uid="{00000000-0005-0000-0000-00009F080000}"/>
    <cellStyle name="Comma 5 3 3 2 3 2 2" xfId="16733" xr:uid="{00000000-0005-0000-0000-0000A0080000}"/>
    <cellStyle name="Comma 5 3 3 2 3 2 3" xfId="13154" xr:uid="{00000000-0005-0000-0000-0000A1080000}"/>
    <cellStyle name="Comma 5 3 3 2 3 2 4" xfId="7865" xr:uid="{00000000-0005-0000-0000-0000A2080000}"/>
    <cellStyle name="Comma 5 3 3 2 3 3" xfId="3882" xr:uid="{00000000-0005-0000-0000-0000A3080000}"/>
    <cellStyle name="Comma 5 3 3 2 3 3 2" xfId="17527" xr:uid="{00000000-0005-0000-0000-0000A4080000}"/>
    <cellStyle name="Comma 5 3 3 2 3 3 3" xfId="13948" xr:uid="{00000000-0005-0000-0000-0000A5080000}"/>
    <cellStyle name="Comma 5 3 3 2 3 3 4" xfId="8691" xr:uid="{00000000-0005-0000-0000-0000A6080000}"/>
    <cellStyle name="Comma 5 3 3 2 3 4" xfId="6272" xr:uid="{00000000-0005-0000-0000-0000A7080000}"/>
    <cellStyle name="Comma 5 3 3 2 3 4 2" xfId="15356" xr:uid="{00000000-0005-0000-0000-0000A8080000}"/>
    <cellStyle name="Comma 5 3 3 2 3 5" xfId="10145" xr:uid="{00000000-0005-0000-0000-0000A9080000}"/>
    <cellStyle name="Comma 5 3 3 2 3 5 2" xfId="18972" xr:uid="{00000000-0005-0000-0000-0000AA080000}"/>
    <cellStyle name="Comma 5 3 3 2 3 6" xfId="11591" xr:uid="{00000000-0005-0000-0000-0000AB080000}"/>
    <cellStyle name="Comma 5 3 3 2 3 7" xfId="5459" xr:uid="{00000000-0005-0000-0000-0000AC080000}"/>
    <cellStyle name="Comma 5 3 3 2 4" xfId="1587" xr:uid="{00000000-0005-0000-0000-0000AD080000}"/>
    <cellStyle name="Comma 5 3 3 2 4 2" xfId="3184" xr:uid="{00000000-0005-0000-0000-0000AE080000}"/>
    <cellStyle name="Comma 5 3 3 2 4 2 2" xfId="18097" xr:uid="{00000000-0005-0000-0000-0000AF080000}"/>
    <cellStyle name="Comma 5 3 3 2 4 2 3" xfId="14518" xr:uid="{00000000-0005-0000-0000-0000B0080000}"/>
    <cellStyle name="Comma 5 3 3 2 4 2 4" xfId="9261" xr:uid="{00000000-0005-0000-0000-0000B1080000}"/>
    <cellStyle name="Comma 5 3 3 2 4 3" xfId="10715" xr:uid="{00000000-0005-0000-0000-0000B2080000}"/>
    <cellStyle name="Comma 5 3 3 2 4 3 2" xfId="19542" xr:uid="{00000000-0005-0000-0000-0000B3080000}"/>
    <cellStyle name="Comma 5 3 3 2 4 4" xfId="12161" xr:uid="{00000000-0005-0000-0000-0000B4080000}"/>
    <cellStyle name="Comma 5 3 3 2 4 5" xfId="7156" xr:uid="{00000000-0005-0000-0000-0000B5080000}"/>
    <cellStyle name="Comma 5 3 3 2 5" xfId="2141" xr:uid="{00000000-0005-0000-0000-0000B6080000}"/>
    <cellStyle name="Comma 5 3 3 2 5 2" xfId="17054" xr:uid="{00000000-0005-0000-0000-0000B7080000}"/>
    <cellStyle name="Comma 5 3 3 2 5 3" xfId="13475" xr:uid="{00000000-0005-0000-0000-0000B8080000}"/>
    <cellStyle name="Comma 5 3 3 2 5 4" xfId="8218" xr:uid="{00000000-0005-0000-0000-0000B9080000}"/>
    <cellStyle name="Comma 5 3 3 2 6" xfId="5779" xr:uid="{00000000-0005-0000-0000-0000BA080000}"/>
    <cellStyle name="Comma 5 3 3 2 6 2" xfId="14865" xr:uid="{00000000-0005-0000-0000-0000BB080000}"/>
    <cellStyle name="Comma 5 3 3 2 7" xfId="9672" xr:uid="{00000000-0005-0000-0000-0000BC080000}"/>
    <cellStyle name="Comma 5 3 3 2 7 2" xfId="18499" xr:uid="{00000000-0005-0000-0000-0000BD080000}"/>
    <cellStyle name="Comma 5 3 3 2 8" xfId="11116" xr:uid="{00000000-0005-0000-0000-0000BE080000}"/>
    <cellStyle name="Comma 5 3 3 2 9" xfId="4750" xr:uid="{00000000-0005-0000-0000-0000BF080000}"/>
    <cellStyle name="Comma 5 3 3 3" xfId="535" xr:uid="{00000000-0005-0000-0000-0000C0080000}"/>
    <cellStyle name="Comma 5 3 3 3 2" xfId="2265" xr:uid="{00000000-0005-0000-0000-0000C1080000}"/>
    <cellStyle name="Comma 5 3 3 3 2 2" xfId="16070" xr:uid="{00000000-0005-0000-0000-0000C2080000}"/>
    <cellStyle name="Comma 5 3 3 3 2 3" xfId="12271" xr:uid="{00000000-0005-0000-0000-0000C3080000}"/>
    <cellStyle name="Comma 5 3 3 3 2 4" xfId="7056" xr:uid="{00000000-0005-0000-0000-0000C4080000}"/>
    <cellStyle name="Comma 5 3 3 3 3" xfId="3533" xr:uid="{00000000-0005-0000-0000-0000C5080000}"/>
    <cellStyle name="Comma 5 3 3 3 3 2" xfId="17178" xr:uid="{00000000-0005-0000-0000-0000C6080000}"/>
    <cellStyle name="Comma 5 3 3 3 3 3" xfId="13599" xr:uid="{00000000-0005-0000-0000-0000C7080000}"/>
    <cellStyle name="Comma 5 3 3 3 3 4" xfId="8342" xr:uid="{00000000-0005-0000-0000-0000C8080000}"/>
    <cellStyle name="Comma 5 3 3 3 4" xfId="6172" xr:uid="{00000000-0005-0000-0000-0000C9080000}"/>
    <cellStyle name="Comma 5 3 3 3 4 2" xfId="15256" xr:uid="{00000000-0005-0000-0000-0000CA080000}"/>
    <cellStyle name="Comma 5 3 3 3 5" xfId="9796" xr:uid="{00000000-0005-0000-0000-0000CB080000}"/>
    <cellStyle name="Comma 5 3 3 3 5 2" xfId="18623" xr:uid="{00000000-0005-0000-0000-0000CC080000}"/>
    <cellStyle name="Comma 5 3 3 3 6" xfId="11240" xr:uid="{00000000-0005-0000-0000-0000CD080000}"/>
    <cellStyle name="Comma 5 3 3 3 7" xfId="4650" xr:uid="{00000000-0005-0000-0000-0000CE080000}"/>
    <cellStyle name="Comma 5 3 3 4" xfId="893" xr:uid="{00000000-0005-0000-0000-0000CF080000}"/>
    <cellStyle name="Comma 5 3 3 4 2" xfId="2613" xr:uid="{00000000-0005-0000-0000-0000D0080000}"/>
    <cellStyle name="Comma 5 3 3 4 2 2" xfId="16154" xr:uid="{00000000-0005-0000-0000-0000D1080000}"/>
    <cellStyle name="Comma 5 3 3 4 2 3" xfId="12576" xr:uid="{00000000-0005-0000-0000-0000D2080000}"/>
    <cellStyle name="Comma 5 3 3 4 2 4" xfId="7285" xr:uid="{00000000-0005-0000-0000-0000D3080000}"/>
    <cellStyle name="Comma 5 3 3 4 3" xfId="3881" xr:uid="{00000000-0005-0000-0000-0000D4080000}"/>
    <cellStyle name="Comma 5 3 3 4 3 2" xfId="17526" xr:uid="{00000000-0005-0000-0000-0000D5080000}"/>
    <cellStyle name="Comma 5 3 3 4 3 3" xfId="13947" xr:uid="{00000000-0005-0000-0000-0000D6080000}"/>
    <cellStyle name="Comma 5 3 3 4 3 4" xfId="8690" xr:uid="{00000000-0005-0000-0000-0000D7080000}"/>
    <cellStyle name="Comma 5 3 3 4 4" xfId="6401" xr:uid="{00000000-0005-0000-0000-0000D8080000}"/>
    <cellStyle name="Comma 5 3 3 4 4 2" xfId="15485" xr:uid="{00000000-0005-0000-0000-0000D9080000}"/>
    <cellStyle name="Comma 5 3 3 4 5" xfId="10144" xr:uid="{00000000-0005-0000-0000-0000DA080000}"/>
    <cellStyle name="Comma 5 3 3 4 5 2" xfId="18971" xr:uid="{00000000-0005-0000-0000-0000DB080000}"/>
    <cellStyle name="Comma 5 3 3 4 6" xfId="11590" xr:uid="{00000000-0005-0000-0000-0000DC080000}"/>
    <cellStyle name="Comma 5 3 3 4 7" xfId="4879" xr:uid="{00000000-0005-0000-0000-0000DD080000}"/>
    <cellStyle name="Comma 5 3 3 5" xfId="1485" xr:uid="{00000000-0005-0000-0000-0000DE080000}"/>
    <cellStyle name="Comma 5 3 3 5 2" xfId="3084" xr:uid="{00000000-0005-0000-0000-0000DF080000}"/>
    <cellStyle name="Comma 5 3 3 5 2 2" xfId="16633" xr:uid="{00000000-0005-0000-0000-0000E0080000}"/>
    <cellStyle name="Comma 5 3 3 5 2 3" xfId="13054" xr:uid="{00000000-0005-0000-0000-0000E1080000}"/>
    <cellStyle name="Comma 5 3 3 5 2 4" xfId="7765" xr:uid="{00000000-0005-0000-0000-0000E2080000}"/>
    <cellStyle name="Comma 5 3 3 5 3" xfId="4292" xr:uid="{00000000-0005-0000-0000-0000E3080000}"/>
    <cellStyle name="Comma 5 3 3 5 3 2" xfId="17997" xr:uid="{00000000-0005-0000-0000-0000E4080000}"/>
    <cellStyle name="Comma 5 3 3 5 3 3" xfId="14418" xr:uid="{00000000-0005-0000-0000-0000E5080000}"/>
    <cellStyle name="Comma 5 3 3 5 3 4" xfId="9161" xr:uid="{00000000-0005-0000-0000-0000E6080000}"/>
    <cellStyle name="Comma 5 3 3 5 4" xfId="5953" xr:uid="{00000000-0005-0000-0000-0000E7080000}"/>
    <cellStyle name="Comma 5 3 3 5 4 2" xfId="15039" xr:uid="{00000000-0005-0000-0000-0000E8080000}"/>
    <cellStyle name="Comma 5 3 3 5 5" xfId="10615" xr:uid="{00000000-0005-0000-0000-0000E9080000}"/>
    <cellStyle name="Comma 5 3 3 5 5 2" xfId="19442" xr:uid="{00000000-0005-0000-0000-0000EA080000}"/>
    <cellStyle name="Comma 5 3 3 5 6" xfId="12061" xr:uid="{00000000-0005-0000-0000-0000EB080000}"/>
    <cellStyle name="Comma 5 3 3 5 7" xfId="5359" xr:uid="{00000000-0005-0000-0000-0000EC080000}"/>
    <cellStyle name="Comma 5 3 3 6" xfId="2041" xr:uid="{00000000-0005-0000-0000-0000ED080000}"/>
    <cellStyle name="Comma 5 3 3 6 2" xfId="15882" xr:uid="{00000000-0005-0000-0000-0000EE080000}"/>
    <cellStyle name="Comma 5 3 3 6 3" xfId="12494" xr:uid="{00000000-0005-0000-0000-0000EF080000}"/>
    <cellStyle name="Comma 5 3 3 6 4" xfId="6839" xr:uid="{00000000-0005-0000-0000-0000F0080000}"/>
    <cellStyle name="Comma 5 3 3 7" xfId="3454" xr:uid="{00000000-0005-0000-0000-0000F1080000}"/>
    <cellStyle name="Comma 5 3 3 7 2" xfId="16954" xr:uid="{00000000-0005-0000-0000-0000F2080000}"/>
    <cellStyle name="Comma 5 3 3 7 3" xfId="13375" xr:uid="{00000000-0005-0000-0000-0000F3080000}"/>
    <cellStyle name="Comma 5 3 3 7 4" xfId="8118" xr:uid="{00000000-0005-0000-0000-0000F4080000}"/>
    <cellStyle name="Comma 5 3 3 8" xfId="5679" xr:uid="{00000000-0005-0000-0000-0000F5080000}"/>
    <cellStyle name="Comma 5 3 3 8 2" xfId="14765" xr:uid="{00000000-0005-0000-0000-0000F6080000}"/>
    <cellStyle name="Comma 5 3 3 9" xfId="9572" xr:uid="{00000000-0005-0000-0000-0000F7080000}"/>
    <cellStyle name="Comma 5 3 3 9 2" xfId="18399" xr:uid="{00000000-0005-0000-0000-0000F8080000}"/>
    <cellStyle name="Comma 5 3 4" xfId="189" xr:uid="{00000000-0005-0000-0000-0000F9080000}"/>
    <cellStyle name="Comma 5 3 4 10" xfId="10943" xr:uid="{00000000-0005-0000-0000-0000FA080000}"/>
    <cellStyle name="Comma 5 3 4 11" xfId="4465" xr:uid="{00000000-0005-0000-0000-0000FB080000}"/>
    <cellStyle name="Comma 5 3 4 2" xfId="406" xr:uid="{00000000-0005-0000-0000-0000FC080000}"/>
    <cellStyle name="Comma 5 3 4 2 2" xfId="538" xr:uid="{00000000-0005-0000-0000-0000FD080000}"/>
    <cellStyle name="Comma 5 3 4 2 2 2" xfId="2268" xr:uid="{00000000-0005-0000-0000-0000FE080000}"/>
    <cellStyle name="Comma 5 3 4 2 2 2 2" xfId="16157" xr:uid="{00000000-0005-0000-0000-0000FF080000}"/>
    <cellStyle name="Comma 5 3 4 2 2 2 3" xfId="12579" xr:uid="{00000000-0005-0000-0000-000000090000}"/>
    <cellStyle name="Comma 5 3 4 2 2 2 4" xfId="7288" xr:uid="{00000000-0005-0000-0000-000001090000}"/>
    <cellStyle name="Comma 5 3 4 2 2 3" xfId="3536" xr:uid="{00000000-0005-0000-0000-000002090000}"/>
    <cellStyle name="Comma 5 3 4 2 2 3 2" xfId="17181" xr:uid="{00000000-0005-0000-0000-000003090000}"/>
    <cellStyle name="Comma 5 3 4 2 2 3 3" xfId="13602" xr:uid="{00000000-0005-0000-0000-000004090000}"/>
    <cellStyle name="Comma 5 3 4 2 2 3 4" xfId="8345" xr:uid="{00000000-0005-0000-0000-000005090000}"/>
    <cellStyle name="Comma 5 3 4 2 2 4" xfId="6404" xr:uid="{00000000-0005-0000-0000-000006090000}"/>
    <cellStyle name="Comma 5 3 4 2 2 4 2" xfId="15488" xr:uid="{00000000-0005-0000-0000-000007090000}"/>
    <cellStyle name="Comma 5 3 4 2 2 5" xfId="9799" xr:uid="{00000000-0005-0000-0000-000008090000}"/>
    <cellStyle name="Comma 5 3 4 2 2 5 2" xfId="18626" xr:uid="{00000000-0005-0000-0000-000009090000}"/>
    <cellStyle name="Comma 5 3 4 2 2 6" xfId="11243" xr:uid="{00000000-0005-0000-0000-00000A090000}"/>
    <cellStyle name="Comma 5 3 4 2 2 7" xfId="4882" xr:uid="{00000000-0005-0000-0000-00000B090000}"/>
    <cellStyle name="Comma 5 3 4 2 3" xfId="896" xr:uid="{00000000-0005-0000-0000-00000C090000}"/>
    <cellStyle name="Comma 5 3 4 2 3 2" xfId="2616" xr:uid="{00000000-0005-0000-0000-00000D090000}"/>
    <cellStyle name="Comma 5 3 4 2 3 2 2" xfId="16765" xr:uid="{00000000-0005-0000-0000-00000E090000}"/>
    <cellStyle name="Comma 5 3 4 2 3 2 3" xfId="13186" xr:uid="{00000000-0005-0000-0000-00000F090000}"/>
    <cellStyle name="Comma 5 3 4 2 3 2 4" xfId="7897" xr:uid="{00000000-0005-0000-0000-000010090000}"/>
    <cellStyle name="Comma 5 3 4 2 3 3" xfId="3884" xr:uid="{00000000-0005-0000-0000-000011090000}"/>
    <cellStyle name="Comma 5 3 4 2 3 3 2" xfId="17529" xr:uid="{00000000-0005-0000-0000-000012090000}"/>
    <cellStyle name="Comma 5 3 4 2 3 3 3" xfId="13950" xr:uid="{00000000-0005-0000-0000-000013090000}"/>
    <cellStyle name="Comma 5 3 4 2 3 3 4" xfId="8693" xr:uid="{00000000-0005-0000-0000-000014090000}"/>
    <cellStyle name="Comma 5 3 4 2 3 4" xfId="6304" xr:uid="{00000000-0005-0000-0000-000015090000}"/>
    <cellStyle name="Comma 5 3 4 2 3 4 2" xfId="15388" xr:uid="{00000000-0005-0000-0000-000016090000}"/>
    <cellStyle name="Comma 5 3 4 2 3 5" xfId="10147" xr:uid="{00000000-0005-0000-0000-000017090000}"/>
    <cellStyle name="Comma 5 3 4 2 3 5 2" xfId="18974" xr:uid="{00000000-0005-0000-0000-000018090000}"/>
    <cellStyle name="Comma 5 3 4 2 3 6" xfId="11593" xr:uid="{00000000-0005-0000-0000-000019090000}"/>
    <cellStyle name="Comma 5 3 4 2 3 7" xfId="5491" xr:uid="{00000000-0005-0000-0000-00001A090000}"/>
    <cellStyle name="Comma 5 3 4 2 4" xfId="1620" xr:uid="{00000000-0005-0000-0000-00001B090000}"/>
    <cellStyle name="Comma 5 3 4 2 4 2" xfId="3216" xr:uid="{00000000-0005-0000-0000-00001C090000}"/>
    <cellStyle name="Comma 5 3 4 2 4 2 2" xfId="18129" xr:uid="{00000000-0005-0000-0000-00001D090000}"/>
    <cellStyle name="Comma 5 3 4 2 4 2 3" xfId="14550" xr:uid="{00000000-0005-0000-0000-00001E090000}"/>
    <cellStyle name="Comma 5 3 4 2 4 2 4" xfId="9293" xr:uid="{00000000-0005-0000-0000-00001F090000}"/>
    <cellStyle name="Comma 5 3 4 2 4 3" xfId="10747" xr:uid="{00000000-0005-0000-0000-000020090000}"/>
    <cellStyle name="Comma 5 3 4 2 4 3 2" xfId="19574" xr:uid="{00000000-0005-0000-0000-000021090000}"/>
    <cellStyle name="Comma 5 3 4 2 4 4" xfId="12193" xr:uid="{00000000-0005-0000-0000-000022090000}"/>
    <cellStyle name="Comma 5 3 4 2 4 5" xfId="7188" xr:uid="{00000000-0005-0000-0000-000023090000}"/>
    <cellStyle name="Comma 5 3 4 2 5" xfId="2173" xr:uid="{00000000-0005-0000-0000-000024090000}"/>
    <cellStyle name="Comma 5 3 4 2 5 2" xfId="17086" xr:uid="{00000000-0005-0000-0000-000025090000}"/>
    <cellStyle name="Comma 5 3 4 2 5 3" xfId="13507" xr:uid="{00000000-0005-0000-0000-000026090000}"/>
    <cellStyle name="Comma 5 3 4 2 5 4" xfId="8250" xr:uid="{00000000-0005-0000-0000-000027090000}"/>
    <cellStyle name="Comma 5 3 4 2 6" xfId="5811" xr:uid="{00000000-0005-0000-0000-000028090000}"/>
    <cellStyle name="Comma 5 3 4 2 6 2" xfId="14897" xr:uid="{00000000-0005-0000-0000-000029090000}"/>
    <cellStyle name="Comma 5 3 4 2 7" xfId="9704" xr:uid="{00000000-0005-0000-0000-00002A090000}"/>
    <cellStyle name="Comma 5 3 4 2 7 2" xfId="18531" xr:uid="{00000000-0005-0000-0000-00002B090000}"/>
    <cellStyle name="Comma 5 3 4 2 8" xfId="11148" xr:uid="{00000000-0005-0000-0000-00002C090000}"/>
    <cellStyle name="Comma 5 3 4 2 9" xfId="4782" xr:uid="{00000000-0005-0000-0000-00002D090000}"/>
    <cellStyle name="Comma 5 3 4 3" xfId="537" xr:uid="{00000000-0005-0000-0000-00002E090000}"/>
    <cellStyle name="Comma 5 3 4 3 2" xfId="2267" xr:uid="{00000000-0005-0000-0000-00002F090000}"/>
    <cellStyle name="Comma 5 3 4 3 2 2" xfId="15997" xr:uid="{00000000-0005-0000-0000-000030090000}"/>
    <cellStyle name="Comma 5 3 4 3 2 3" xfId="12333" xr:uid="{00000000-0005-0000-0000-000031090000}"/>
    <cellStyle name="Comma 5 3 4 3 2 4" xfId="6983" xr:uid="{00000000-0005-0000-0000-000032090000}"/>
    <cellStyle name="Comma 5 3 4 3 3" xfId="3535" xr:uid="{00000000-0005-0000-0000-000033090000}"/>
    <cellStyle name="Comma 5 3 4 3 3 2" xfId="17180" xr:uid="{00000000-0005-0000-0000-000034090000}"/>
    <cellStyle name="Comma 5 3 4 3 3 3" xfId="13601" xr:uid="{00000000-0005-0000-0000-000035090000}"/>
    <cellStyle name="Comma 5 3 4 3 3 4" xfId="8344" xr:uid="{00000000-0005-0000-0000-000036090000}"/>
    <cellStyle name="Comma 5 3 4 3 4" xfId="6099" xr:uid="{00000000-0005-0000-0000-000037090000}"/>
    <cellStyle name="Comma 5 3 4 3 4 2" xfId="15183" xr:uid="{00000000-0005-0000-0000-000038090000}"/>
    <cellStyle name="Comma 5 3 4 3 5" xfId="9798" xr:uid="{00000000-0005-0000-0000-000039090000}"/>
    <cellStyle name="Comma 5 3 4 3 5 2" xfId="18625" xr:uid="{00000000-0005-0000-0000-00003A090000}"/>
    <cellStyle name="Comma 5 3 4 3 6" xfId="11242" xr:uid="{00000000-0005-0000-0000-00003B090000}"/>
    <cellStyle name="Comma 5 3 4 3 7" xfId="4577" xr:uid="{00000000-0005-0000-0000-00003C090000}"/>
    <cellStyle name="Comma 5 3 4 4" xfId="895" xr:uid="{00000000-0005-0000-0000-00003D090000}"/>
    <cellStyle name="Comma 5 3 4 4 2" xfId="2615" xr:uid="{00000000-0005-0000-0000-00003E090000}"/>
    <cellStyle name="Comma 5 3 4 4 2 2" xfId="16156" xr:uid="{00000000-0005-0000-0000-00003F090000}"/>
    <cellStyle name="Comma 5 3 4 4 2 3" xfId="12578" xr:uid="{00000000-0005-0000-0000-000040090000}"/>
    <cellStyle name="Comma 5 3 4 4 2 4" xfId="7287" xr:uid="{00000000-0005-0000-0000-000041090000}"/>
    <cellStyle name="Comma 5 3 4 4 3" xfId="3883" xr:uid="{00000000-0005-0000-0000-000042090000}"/>
    <cellStyle name="Comma 5 3 4 4 3 2" xfId="17528" xr:uid="{00000000-0005-0000-0000-000043090000}"/>
    <cellStyle name="Comma 5 3 4 4 3 3" xfId="13949" xr:uid="{00000000-0005-0000-0000-000044090000}"/>
    <cellStyle name="Comma 5 3 4 4 3 4" xfId="8692" xr:uid="{00000000-0005-0000-0000-000045090000}"/>
    <cellStyle name="Comma 5 3 4 4 4" xfId="6403" xr:uid="{00000000-0005-0000-0000-000046090000}"/>
    <cellStyle name="Comma 5 3 4 4 4 2" xfId="15487" xr:uid="{00000000-0005-0000-0000-000047090000}"/>
    <cellStyle name="Comma 5 3 4 4 5" xfId="10146" xr:uid="{00000000-0005-0000-0000-000048090000}"/>
    <cellStyle name="Comma 5 3 4 4 5 2" xfId="18973" xr:uid="{00000000-0005-0000-0000-000049090000}"/>
    <cellStyle name="Comma 5 3 4 4 6" xfId="11592" xr:uid="{00000000-0005-0000-0000-00004A090000}"/>
    <cellStyle name="Comma 5 3 4 4 7" xfId="4881" xr:uid="{00000000-0005-0000-0000-00004B090000}"/>
    <cellStyle name="Comma 5 3 4 5" xfId="1406" xr:uid="{00000000-0005-0000-0000-00004C090000}"/>
    <cellStyle name="Comma 5 3 4 5 2" xfId="3011" xr:uid="{00000000-0005-0000-0000-00004D090000}"/>
    <cellStyle name="Comma 5 3 4 5 2 2" xfId="16560" xr:uid="{00000000-0005-0000-0000-00004E090000}"/>
    <cellStyle name="Comma 5 3 4 5 2 3" xfId="12981" xr:uid="{00000000-0005-0000-0000-00004F090000}"/>
    <cellStyle name="Comma 5 3 4 5 2 4" xfId="7692" xr:uid="{00000000-0005-0000-0000-000050090000}"/>
    <cellStyle name="Comma 5 3 4 5 3" xfId="4219" xr:uid="{00000000-0005-0000-0000-000051090000}"/>
    <cellStyle name="Comma 5 3 4 5 3 2" xfId="17924" xr:uid="{00000000-0005-0000-0000-000052090000}"/>
    <cellStyle name="Comma 5 3 4 5 3 3" xfId="14345" xr:uid="{00000000-0005-0000-0000-000053090000}"/>
    <cellStyle name="Comma 5 3 4 5 3 4" xfId="9088" xr:uid="{00000000-0005-0000-0000-000054090000}"/>
    <cellStyle name="Comma 5 3 4 5 4" xfId="5985" xr:uid="{00000000-0005-0000-0000-000055090000}"/>
    <cellStyle name="Comma 5 3 4 5 4 2" xfId="15071" xr:uid="{00000000-0005-0000-0000-000056090000}"/>
    <cellStyle name="Comma 5 3 4 5 5" xfId="10542" xr:uid="{00000000-0005-0000-0000-000057090000}"/>
    <cellStyle name="Comma 5 3 4 5 5 2" xfId="19369" xr:uid="{00000000-0005-0000-0000-000058090000}"/>
    <cellStyle name="Comma 5 3 4 5 6" xfId="11988" xr:uid="{00000000-0005-0000-0000-000059090000}"/>
    <cellStyle name="Comma 5 3 4 5 7" xfId="5286" xr:uid="{00000000-0005-0000-0000-00005A090000}"/>
    <cellStyle name="Comma 5 3 4 6" xfId="1968" xr:uid="{00000000-0005-0000-0000-00005B090000}"/>
    <cellStyle name="Comma 5 3 4 6 2" xfId="15914" xr:uid="{00000000-0005-0000-0000-00005C090000}"/>
    <cellStyle name="Comma 5 3 4 6 3" xfId="12491" xr:uid="{00000000-0005-0000-0000-00005D090000}"/>
    <cellStyle name="Comma 5 3 4 6 4" xfId="6871" xr:uid="{00000000-0005-0000-0000-00005E090000}"/>
    <cellStyle name="Comma 5 3 4 7" xfId="3382" xr:uid="{00000000-0005-0000-0000-00005F090000}"/>
    <cellStyle name="Comma 5 3 4 7 2" xfId="16881" xr:uid="{00000000-0005-0000-0000-000060090000}"/>
    <cellStyle name="Comma 5 3 4 7 3" xfId="13302" xr:uid="{00000000-0005-0000-0000-000061090000}"/>
    <cellStyle name="Comma 5 3 4 7 4" xfId="8045" xr:uid="{00000000-0005-0000-0000-000062090000}"/>
    <cellStyle name="Comma 5 3 4 8" xfId="5606" xr:uid="{00000000-0005-0000-0000-000063090000}"/>
    <cellStyle name="Comma 5 3 4 8 2" xfId="14692" xr:uid="{00000000-0005-0000-0000-000064090000}"/>
    <cellStyle name="Comma 5 3 4 9" xfId="9499" xr:uid="{00000000-0005-0000-0000-000065090000}"/>
    <cellStyle name="Comma 5 3 4 9 2" xfId="18326" xr:uid="{00000000-0005-0000-0000-000066090000}"/>
    <cellStyle name="Comma 5 3 5" xfId="300" xr:uid="{00000000-0005-0000-0000-000067090000}"/>
    <cellStyle name="Comma 5 3 5 2" xfId="539" xr:uid="{00000000-0005-0000-0000-000068090000}"/>
    <cellStyle name="Comma 5 3 5 2 2" xfId="2269" xr:uid="{00000000-0005-0000-0000-000069090000}"/>
    <cellStyle name="Comma 5 3 5 2 2 2" xfId="16158" xr:uid="{00000000-0005-0000-0000-00006A090000}"/>
    <cellStyle name="Comma 5 3 5 2 2 3" xfId="12580" xr:uid="{00000000-0005-0000-0000-00006B090000}"/>
    <cellStyle name="Comma 5 3 5 2 2 4" xfId="7289" xr:uid="{00000000-0005-0000-0000-00006C090000}"/>
    <cellStyle name="Comma 5 3 5 2 3" xfId="3537" xr:uid="{00000000-0005-0000-0000-00006D090000}"/>
    <cellStyle name="Comma 5 3 5 2 3 2" xfId="17182" xr:uid="{00000000-0005-0000-0000-00006E090000}"/>
    <cellStyle name="Comma 5 3 5 2 3 3" xfId="13603" xr:uid="{00000000-0005-0000-0000-00006F090000}"/>
    <cellStyle name="Comma 5 3 5 2 3 4" xfId="8346" xr:uid="{00000000-0005-0000-0000-000070090000}"/>
    <cellStyle name="Comma 5 3 5 2 4" xfId="6405" xr:uid="{00000000-0005-0000-0000-000071090000}"/>
    <cellStyle name="Comma 5 3 5 2 4 2" xfId="15489" xr:uid="{00000000-0005-0000-0000-000072090000}"/>
    <cellStyle name="Comma 5 3 5 2 5" xfId="9800" xr:uid="{00000000-0005-0000-0000-000073090000}"/>
    <cellStyle name="Comma 5 3 5 2 5 2" xfId="18627" xr:uid="{00000000-0005-0000-0000-000074090000}"/>
    <cellStyle name="Comma 5 3 5 2 6" xfId="11244" xr:uid="{00000000-0005-0000-0000-000075090000}"/>
    <cellStyle name="Comma 5 3 5 2 7" xfId="4883" xr:uid="{00000000-0005-0000-0000-000076090000}"/>
    <cellStyle name="Comma 5 3 5 3" xfId="897" xr:uid="{00000000-0005-0000-0000-000077090000}"/>
    <cellStyle name="Comma 5 3 5 3 2" xfId="2617" xr:uid="{00000000-0005-0000-0000-000078090000}"/>
    <cellStyle name="Comma 5 3 5 3 2 2" xfId="16660" xr:uid="{00000000-0005-0000-0000-000079090000}"/>
    <cellStyle name="Comma 5 3 5 3 2 3" xfId="13081" xr:uid="{00000000-0005-0000-0000-00007A090000}"/>
    <cellStyle name="Comma 5 3 5 3 2 4" xfId="7792" xr:uid="{00000000-0005-0000-0000-00007B090000}"/>
    <cellStyle name="Comma 5 3 5 3 3" xfId="3885" xr:uid="{00000000-0005-0000-0000-00007C090000}"/>
    <cellStyle name="Comma 5 3 5 3 3 2" xfId="17530" xr:uid="{00000000-0005-0000-0000-00007D090000}"/>
    <cellStyle name="Comma 5 3 5 3 3 3" xfId="13951" xr:uid="{00000000-0005-0000-0000-00007E090000}"/>
    <cellStyle name="Comma 5 3 5 3 3 4" xfId="8694" xr:uid="{00000000-0005-0000-0000-00007F090000}"/>
    <cellStyle name="Comma 5 3 5 3 4" xfId="6199" xr:uid="{00000000-0005-0000-0000-000080090000}"/>
    <cellStyle name="Comma 5 3 5 3 4 2" xfId="15283" xr:uid="{00000000-0005-0000-0000-000081090000}"/>
    <cellStyle name="Comma 5 3 5 3 5" xfId="10148" xr:uid="{00000000-0005-0000-0000-000082090000}"/>
    <cellStyle name="Comma 5 3 5 3 5 2" xfId="18975" xr:uid="{00000000-0005-0000-0000-000083090000}"/>
    <cellStyle name="Comma 5 3 5 3 6" xfId="11594" xr:uid="{00000000-0005-0000-0000-000084090000}"/>
    <cellStyle name="Comma 5 3 5 3 7" xfId="5386" xr:uid="{00000000-0005-0000-0000-000085090000}"/>
    <cellStyle name="Comma 5 3 5 4" xfId="1512" xr:uid="{00000000-0005-0000-0000-000086090000}"/>
    <cellStyle name="Comma 5 3 5 4 2" xfId="3111" xr:uid="{00000000-0005-0000-0000-000087090000}"/>
    <cellStyle name="Comma 5 3 5 4 2 2" xfId="18024" xr:uid="{00000000-0005-0000-0000-000088090000}"/>
    <cellStyle name="Comma 5 3 5 4 2 3" xfId="14445" xr:uid="{00000000-0005-0000-0000-000089090000}"/>
    <cellStyle name="Comma 5 3 5 4 2 4" xfId="9188" xr:uid="{00000000-0005-0000-0000-00008A090000}"/>
    <cellStyle name="Comma 5 3 5 4 3" xfId="10642" xr:uid="{00000000-0005-0000-0000-00008B090000}"/>
    <cellStyle name="Comma 5 3 5 4 3 2" xfId="19469" xr:uid="{00000000-0005-0000-0000-00008C090000}"/>
    <cellStyle name="Comma 5 3 5 4 4" xfId="12088" xr:uid="{00000000-0005-0000-0000-00008D090000}"/>
    <cellStyle name="Comma 5 3 5 4 5" xfId="7083" xr:uid="{00000000-0005-0000-0000-00008E090000}"/>
    <cellStyle name="Comma 5 3 5 5" xfId="2068" xr:uid="{00000000-0005-0000-0000-00008F090000}"/>
    <cellStyle name="Comma 5 3 5 5 2" xfId="16981" xr:uid="{00000000-0005-0000-0000-000090090000}"/>
    <cellStyle name="Comma 5 3 5 5 3" xfId="13402" xr:uid="{00000000-0005-0000-0000-000091090000}"/>
    <cellStyle name="Comma 5 3 5 5 4" xfId="8145" xr:uid="{00000000-0005-0000-0000-000092090000}"/>
    <cellStyle name="Comma 5 3 5 6" xfId="5706" xr:uid="{00000000-0005-0000-0000-000093090000}"/>
    <cellStyle name="Comma 5 3 5 6 2" xfId="14792" xr:uid="{00000000-0005-0000-0000-000094090000}"/>
    <cellStyle name="Comma 5 3 5 7" xfId="9599" xr:uid="{00000000-0005-0000-0000-000095090000}"/>
    <cellStyle name="Comma 5 3 5 7 2" xfId="18426" xr:uid="{00000000-0005-0000-0000-000096090000}"/>
    <cellStyle name="Comma 5 3 5 8" xfId="11043" xr:uid="{00000000-0005-0000-0000-000097090000}"/>
    <cellStyle name="Comma 5 3 5 9" xfId="4677" xr:uid="{00000000-0005-0000-0000-000098090000}"/>
    <cellStyle name="Comma 5 3 6" xfId="480" xr:uid="{00000000-0005-0000-0000-000099090000}"/>
    <cellStyle name="Comma 5 3 6 2" xfId="540" xr:uid="{00000000-0005-0000-0000-00009A090000}"/>
    <cellStyle name="Comma 5 3 6 2 2" xfId="2270" xr:uid="{00000000-0005-0000-0000-00009B090000}"/>
    <cellStyle name="Comma 5 3 6 2 2 2" xfId="16159" xr:uid="{00000000-0005-0000-0000-00009C090000}"/>
    <cellStyle name="Comma 5 3 6 2 2 3" xfId="12581" xr:uid="{00000000-0005-0000-0000-00009D090000}"/>
    <cellStyle name="Comma 5 3 6 2 2 4" xfId="7290" xr:uid="{00000000-0005-0000-0000-00009E090000}"/>
    <cellStyle name="Comma 5 3 6 2 3" xfId="3538" xr:uid="{00000000-0005-0000-0000-00009F090000}"/>
    <cellStyle name="Comma 5 3 6 2 3 2" xfId="17183" xr:uid="{00000000-0005-0000-0000-0000A0090000}"/>
    <cellStyle name="Comma 5 3 6 2 3 3" xfId="13604" xr:uid="{00000000-0005-0000-0000-0000A1090000}"/>
    <cellStyle name="Comma 5 3 6 2 3 4" xfId="8347" xr:uid="{00000000-0005-0000-0000-0000A2090000}"/>
    <cellStyle name="Comma 5 3 6 2 4" xfId="6406" xr:uid="{00000000-0005-0000-0000-0000A3090000}"/>
    <cellStyle name="Comma 5 3 6 2 4 2" xfId="15490" xr:uid="{00000000-0005-0000-0000-0000A4090000}"/>
    <cellStyle name="Comma 5 3 6 2 5" xfId="9801" xr:uid="{00000000-0005-0000-0000-0000A5090000}"/>
    <cellStyle name="Comma 5 3 6 2 5 2" xfId="18628" xr:uid="{00000000-0005-0000-0000-0000A6090000}"/>
    <cellStyle name="Comma 5 3 6 2 6" xfId="11245" xr:uid="{00000000-0005-0000-0000-0000A7090000}"/>
    <cellStyle name="Comma 5 3 6 2 7" xfId="4884" xr:uid="{00000000-0005-0000-0000-0000A8090000}"/>
    <cellStyle name="Comma 5 3 6 3" xfId="898" xr:uid="{00000000-0005-0000-0000-0000A9090000}"/>
    <cellStyle name="Comma 5 3 6 3 2" xfId="2618" xr:uid="{00000000-0005-0000-0000-0000AA090000}"/>
    <cellStyle name="Comma 5 3 6 3 2 2" xfId="16533" xr:uid="{00000000-0005-0000-0000-0000AB090000}"/>
    <cellStyle name="Comma 5 3 6 3 2 3" xfId="12954" xr:uid="{00000000-0005-0000-0000-0000AC090000}"/>
    <cellStyle name="Comma 5 3 6 3 2 4" xfId="7665" xr:uid="{00000000-0005-0000-0000-0000AD090000}"/>
    <cellStyle name="Comma 5 3 6 3 3" xfId="3886" xr:uid="{00000000-0005-0000-0000-0000AE090000}"/>
    <cellStyle name="Comma 5 3 6 3 3 2" xfId="17531" xr:uid="{00000000-0005-0000-0000-0000AF090000}"/>
    <cellStyle name="Comma 5 3 6 3 3 3" xfId="13952" xr:uid="{00000000-0005-0000-0000-0000B0090000}"/>
    <cellStyle name="Comma 5 3 6 3 3 4" xfId="8695" xr:uid="{00000000-0005-0000-0000-0000B1090000}"/>
    <cellStyle name="Comma 5 3 6 3 4" xfId="6736" xr:uid="{00000000-0005-0000-0000-0000B2090000}"/>
    <cellStyle name="Comma 5 3 6 3 4 2" xfId="15819" xr:uid="{00000000-0005-0000-0000-0000B3090000}"/>
    <cellStyle name="Comma 5 3 6 3 5" xfId="10149" xr:uid="{00000000-0005-0000-0000-0000B4090000}"/>
    <cellStyle name="Comma 5 3 6 3 5 2" xfId="18976" xr:uid="{00000000-0005-0000-0000-0000B5090000}"/>
    <cellStyle name="Comma 5 3 6 3 6" xfId="11595" xr:uid="{00000000-0005-0000-0000-0000B6090000}"/>
    <cellStyle name="Comma 5 3 6 3 7" xfId="5259" xr:uid="{00000000-0005-0000-0000-0000B7090000}"/>
    <cellStyle name="Comma 5 3 6 4" xfId="1375" xr:uid="{00000000-0005-0000-0000-0000B8090000}"/>
    <cellStyle name="Comma 5 3 6 4 2" xfId="2984" xr:uid="{00000000-0005-0000-0000-0000B9090000}"/>
    <cellStyle name="Comma 5 3 6 4 2 2" xfId="17897" xr:uid="{00000000-0005-0000-0000-0000BA090000}"/>
    <cellStyle name="Comma 5 3 6 4 2 3" xfId="14318" xr:uid="{00000000-0005-0000-0000-0000BB090000}"/>
    <cellStyle name="Comma 5 3 6 4 2 4" xfId="9061" xr:uid="{00000000-0005-0000-0000-0000BC090000}"/>
    <cellStyle name="Comma 5 3 6 4 3" xfId="10515" xr:uid="{00000000-0005-0000-0000-0000BD090000}"/>
    <cellStyle name="Comma 5 3 6 4 3 2" xfId="19342" xr:uid="{00000000-0005-0000-0000-0000BE090000}"/>
    <cellStyle name="Comma 5 3 6 4 4" xfId="11961" xr:uid="{00000000-0005-0000-0000-0000BF090000}"/>
    <cellStyle name="Comma 5 3 6 4 5" xfId="6956" xr:uid="{00000000-0005-0000-0000-0000C0090000}"/>
    <cellStyle name="Comma 5 3 6 5" xfId="1941" xr:uid="{00000000-0005-0000-0000-0000C1090000}"/>
    <cellStyle name="Comma 5 3 6 5 2" xfId="16852" xr:uid="{00000000-0005-0000-0000-0000C2090000}"/>
    <cellStyle name="Comma 5 3 6 5 3" xfId="13273" xr:uid="{00000000-0005-0000-0000-0000C3090000}"/>
    <cellStyle name="Comma 5 3 6 5 4" xfId="8016" xr:uid="{00000000-0005-0000-0000-0000C4090000}"/>
    <cellStyle name="Comma 5 3 6 6" xfId="6072" xr:uid="{00000000-0005-0000-0000-0000C5090000}"/>
    <cellStyle name="Comma 5 3 6 6 2" xfId="15156" xr:uid="{00000000-0005-0000-0000-0000C6090000}"/>
    <cellStyle name="Comma 5 3 6 7" xfId="9472" xr:uid="{00000000-0005-0000-0000-0000C7090000}"/>
    <cellStyle name="Comma 5 3 6 7 2" xfId="18299" xr:uid="{00000000-0005-0000-0000-0000C8090000}"/>
    <cellStyle name="Comma 5 3 6 8" xfId="10916" xr:uid="{00000000-0005-0000-0000-0000C9090000}"/>
    <cellStyle name="Comma 5 3 6 9" xfId="4550" xr:uid="{00000000-0005-0000-0000-0000CA090000}"/>
    <cellStyle name="Comma 5 3 7" xfId="531" xr:uid="{00000000-0005-0000-0000-0000CB090000}"/>
    <cellStyle name="Comma 5 3 7 2" xfId="2261" xr:uid="{00000000-0005-0000-0000-0000CC090000}"/>
    <cellStyle name="Comma 5 3 7 2 2" xfId="16150" xr:uid="{00000000-0005-0000-0000-0000CD090000}"/>
    <cellStyle name="Comma 5 3 7 2 3" xfId="12572" xr:uid="{00000000-0005-0000-0000-0000CE090000}"/>
    <cellStyle name="Comma 5 3 7 2 4" xfId="7281" xr:uid="{00000000-0005-0000-0000-0000CF090000}"/>
    <cellStyle name="Comma 5 3 7 3" xfId="3529" xr:uid="{00000000-0005-0000-0000-0000D0090000}"/>
    <cellStyle name="Comma 5 3 7 3 2" xfId="17174" xr:uid="{00000000-0005-0000-0000-0000D1090000}"/>
    <cellStyle name="Comma 5 3 7 3 3" xfId="13595" xr:uid="{00000000-0005-0000-0000-0000D2090000}"/>
    <cellStyle name="Comma 5 3 7 3 4" xfId="8338" xr:uid="{00000000-0005-0000-0000-0000D3090000}"/>
    <cellStyle name="Comma 5 3 7 4" xfId="6397" xr:uid="{00000000-0005-0000-0000-0000D4090000}"/>
    <cellStyle name="Comma 5 3 7 4 2" xfId="15481" xr:uid="{00000000-0005-0000-0000-0000D5090000}"/>
    <cellStyle name="Comma 5 3 7 5" xfId="9792" xr:uid="{00000000-0005-0000-0000-0000D6090000}"/>
    <cellStyle name="Comma 5 3 7 5 2" xfId="18619" xr:uid="{00000000-0005-0000-0000-0000D7090000}"/>
    <cellStyle name="Comma 5 3 7 6" xfId="11236" xr:uid="{00000000-0005-0000-0000-0000D8090000}"/>
    <cellStyle name="Comma 5 3 7 7" xfId="4875" xr:uid="{00000000-0005-0000-0000-0000D9090000}"/>
    <cellStyle name="Comma 5 3 8" xfId="889" xr:uid="{00000000-0005-0000-0000-0000DA090000}"/>
    <cellStyle name="Comma 5 3 8 2" xfId="2609" xr:uid="{00000000-0005-0000-0000-0000DB090000}"/>
    <cellStyle name="Comma 5 3 8 2 2" xfId="16488" xr:uid="{00000000-0005-0000-0000-0000DC090000}"/>
    <cellStyle name="Comma 5 3 8 2 3" xfId="12910" xr:uid="{00000000-0005-0000-0000-0000DD090000}"/>
    <cellStyle name="Comma 5 3 8 2 4" xfId="7620" xr:uid="{00000000-0005-0000-0000-0000DE090000}"/>
    <cellStyle name="Comma 5 3 8 3" xfId="3877" xr:uid="{00000000-0005-0000-0000-0000DF090000}"/>
    <cellStyle name="Comma 5 3 8 3 2" xfId="17522" xr:uid="{00000000-0005-0000-0000-0000E0090000}"/>
    <cellStyle name="Comma 5 3 8 3 3" xfId="13943" xr:uid="{00000000-0005-0000-0000-0000E1090000}"/>
    <cellStyle name="Comma 5 3 8 3 4" xfId="8686" xr:uid="{00000000-0005-0000-0000-0000E2090000}"/>
    <cellStyle name="Comma 5 3 8 4" xfId="5879" xr:uid="{00000000-0005-0000-0000-0000E3090000}"/>
    <cellStyle name="Comma 5 3 8 4 2" xfId="14965" xr:uid="{00000000-0005-0000-0000-0000E4090000}"/>
    <cellStyle name="Comma 5 3 8 5" xfId="10140" xr:uid="{00000000-0005-0000-0000-0000E5090000}"/>
    <cellStyle name="Comma 5 3 8 5 2" xfId="18967" xr:uid="{00000000-0005-0000-0000-0000E6090000}"/>
    <cellStyle name="Comma 5 3 8 6" xfId="11586" xr:uid="{00000000-0005-0000-0000-0000E7090000}"/>
    <cellStyle name="Comma 5 3 8 7" xfId="5214" xr:uid="{00000000-0005-0000-0000-0000E8090000}"/>
    <cellStyle name="Comma 5 3 9" xfId="1324" xr:uid="{00000000-0005-0000-0000-0000E9090000}"/>
    <cellStyle name="Comma 5 3 9 2" xfId="2939" xr:uid="{00000000-0005-0000-0000-0000EA090000}"/>
    <cellStyle name="Comma 5 3 9 2 2" xfId="17852" xr:uid="{00000000-0005-0000-0000-0000EB090000}"/>
    <cellStyle name="Comma 5 3 9 2 3" xfId="14273" xr:uid="{00000000-0005-0000-0000-0000EC090000}"/>
    <cellStyle name="Comma 5 3 9 2 4" xfId="9016" xr:uid="{00000000-0005-0000-0000-0000ED090000}"/>
    <cellStyle name="Comma 5 3 9 3" xfId="10470" xr:uid="{00000000-0005-0000-0000-0000EE090000}"/>
    <cellStyle name="Comma 5 3 9 3 2" xfId="19297" xr:uid="{00000000-0005-0000-0000-0000EF090000}"/>
    <cellStyle name="Comma 5 3 9 4" xfId="11916" xr:uid="{00000000-0005-0000-0000-0000F0090000}"/>
    <cellStyle name="Comma 5 3 9 5" xfId="6765" xr:uid="{00000000-0005-0000-0000-0000F1090000}"/>
    <cellStyle name="Comma 5 4" xfId="155" xr:uid="{00000000-0005-0000-0000-0000F2090000}"/>
    <cellStyle name="Comma 5 4 10" xfId="1904" xr:uid="{00000000-0005-0000-0000-0000F3090000}"/>
    <cellStyle name="Comma 5 4 10 2" xfId="9435" xr:uid="{00000000-0005-0000-0000-0000F4090000}"/>
    <cellStyle name="Comma 5 4 10 2 2" xfId="18262" xr:uid="{00000000-0005-0000-0000-0000F5090000}"/>
    <cellStyle name="Comma 5 4 10 3" xfId="10879" xr:uid="{00000000-0005-0000-0000-0000F6090000}"/>
    <cellStyle name="Comma 5 4 10 4" xfId="7979" xr:uid="{00000000-0005-0000-0000-0000F7090000}"/>
    <cellStyle name="Comma 5 4 11" xfId="1874" xr:uid="{00000000-0005-0000-0000-0000F8090000}"/>
    <cellStyle name="Comma 5 4 11 2" xfId="14673" xr:uid="{00000000-0005-0000-0000-0000F9090000}"/>
    <cellStyle name="Comma 5 4 11 3" xfId="5587" xr:uid="{00000000-0005-0000-0000-0000FA090000}"/>
    <cellStyle name="Comma 5 4 12" xfId="9405" xr:uid="{00000000-0005-0000-0000-0000FB090000}"/>
    <cellStyle name="Comma 5 4 12 2" xfId="18232" xr:uid="{00000000-0005-0000-0000-0000FC090000}"/>
    <cellStyle name="Comma 5 4 13" xfId="10849" xr:uid="{00000000-0005-0000-0000-0000FD090000}"/>
    <cellStyle name="Comma 5 4 14" xfId="4366" xr:uid="{00000000-0005-0000-0000-0000FE090000}"/>
    <cellStyle name="Comma 5 4 2" xfId="230" xr:uid="{00000000-0005-0000-0000-0000FF090000}"/>
    <cellStyle name="Comma 5 4 2 10" xfId="9537" xr:uid="{00000000-0005-0000-0000-0000000A0000}"/>
    <cellStyle name="Comma 5 4 2 10 2" xfId="18364" xr:uid="{00000000-0005-0000-0000-0000010A0000}"/>
    <cellStyle name="Comma 5 4 2 11" xfId="10981" xr:uid="{00000000-0005-0000-0000-0000020A0000}"/>
    <cellStyle name="Comma 5 4 2 12" xfId="4398" xr:uid="{00000000-0005-0000-0000-0000030A0000}"/>
    <cellStyle name="Comma 5 4 2 2" xfId="443" xr:uid="{00000000-0005-0000-0000-0000040A0000}"/>
    <cellStyle name="Comma 5 4 2 2 10" xfId="4502" xr:uid="{00000000-0005-0000-0000-0000050A0000}"/>
    <cellStyle name="Comma 5 4 2 2 2" xfId="543" xr:uid="{00000000-0005-0000-0000-0000060A0000}"/>
    <cellStyle name="Comma 5 4 2 2 2 2" xfId="2273" xr:uid="{00000000-0005-0000-0000-0000070A0000}"/>
    <cellStyle name="Comma 5 4 2 2 2 2 2" xfId="16094" xr:uid="{00000000-0005-0000-0000-0000080A0000}"/>
    <cellStyle name="Comma 5 4 2 2 2 2 3" xfId="12516" xr:uid="{00000000-0005-0000-0000-0000090A0000}"/>
    <cellStyle name="Comma 5 4 2 2 2 2 4" xfId="7225" xr:uid="{00000000-0005-0000-0000-00000A0A0000}"/>
    <cellStyle name="Comma 5 4 2 2 2 3" xfId="3541" xr:uid="{00000000-0005-0000-0000-00000B0A0000}"/>
    <cellStyle name="Comma 5 4 2 2 2 3 2" xfId="17186" xr:uid="{00000000-0005-0000-0000-00000C0A0000}"/>
    <cellStyle name="Comma 5 4 2 2 2 3 3" xfId="13607" xr:uid="{00000000-0005-0000-0000-00000D0A0000}"/>
    <cellStyle name="Comma 5 4 2 2 2 3 4" xfId="8350" xr:uid="{00000000-0005-0000-0000-00000E0A0000}"/>
    <cellStyle name="Comma 5 4 2 2 2 4" xfId="6341" xr:uid="{00000000-0005-0000-0000-00000F0A0000}"/>
    <cellStyle name="Comma 5 4 2 2 2 4 2" xfId="15425" xr:uid="{00000000-0005-0000-0000-0000100A0000}"/>
    <cellStyle name="Comma 5 4 2 2 2 5" xfId="9804" xr:uid="{00000000-0005-0000-0000-0000110A0000}"/>
    <cellStyle name="Comma 5 4 2 2 2 5 2" xfId="18631" xr:uid="{00000000-0005-0000-0000-0000120A0000}"/>
    <cellStyle name="Comma 5 4 2 2 2 6" xfId="11248" xr:uid="{00000000-0005-0000-0000-0000130A0000}"/>
    <cellStyle name="Comma 5 4 2 2 2 7" xfId="4819" xr:uid="{00000000-0005-0000-0000-0000140A0000}"/>
    <cellStyle name="Comma 5 4 2 2 3" xfId="901" xr:uid="{00000000-0005-0000-0000-0000150A0000}"/>
    <cellStyle name="Comma 5 4 2 2 3 2" xfId="2621" xr:uid="{00000000-0005-0000-0000-0000160A0000}"/>
    <cellStyle name="Comma 5 4 2 2 3 2 2" xfId="16162" xr:uid="{00000000-0005-0000-0000-0000170A0000}"/>
    <cellStyle name="Comma 5 4 2 2 3 2 3" xfId="12584" xr:uid="{00000000-0005-0000-0000-0000180A0000}"/>
    <cellStyle name="Comma 5 4 2 2 3 2 4" xfId="7293" xr:uid="{00000000-0005-0000-0000-0000190A0000}"/>
    <cellStyle name="Comma 5 4 2 2 3 3" xfId="3889" xr:uid="{00000000-0005-0000-0000-00001A0A0000}"/>
    <cellStyle name="Comma 5 4 2 2 3 3 2" xfId="17534" xr:uid="{00000000-0005-0000-0000-00001B0A0000}"/>
    <cellStyle name="Comma 5 4 2 2 3 3 3" xfId="13955" xr:uid="{00000000-0005-0000-0000-00001C0A0000}"/>
    <cellStyle name="Comma 5 4 2 2 3 3 4" xfId="8698" xr:uid="{00000000-0005-0000-0000-00001D0A0000}"/>
    <cellStyle name="Comma 5 4 2 2 3 4" xfId="6409" xr:uid="{00000000-0005-0000-0000-00001E0A0000}"/>
    <cellStyle name="Comma 5 4 2 2 3 4 2" xfId="15493" xr:uid="{00000000-0005-0000-0000-00001F0A0000}"/>
    <cellStyle name="Comma 5 4 2 2 3 5" xfId="10152" xr:uid="{00000000-0005-0000-0000-0000200A0000}"/>
    <cellStyle name="Comma 5 4 2 2 3 5 2" xfId="18979" xr:uid="{00000000-0005-0000-0000-0000210A0000}"/>
    <cellStyle name="Comma 5 4 2 2 3 6" xfId="11598" xr:uid="{00000000-0005-0000-0000-0000220A0000}"/>
    <cellStyle name="Comma 5 4 2 2 3 7" xfId="4887" xr:uid="{00000000-0005-0000-0000-0000230A0000}"/>
    <cellStyle name="Comma 5 4 2 2 4" xfId="1657" xr:uid="{00000000-0005-0000-0000-0000240A0000}"/>
    <cellStyle name="Comma 5 4 2 2 4 2" xfId="3253" xr:uid="{00000000-0005-0000-0000-0000250A0000}"/>
    <cellStyle name="Comma 5 4 2 2 4 2 2" xfId="16802" xr:uid="{00000000-0005-0000-0000-0000260A0000}"/>
    <cellStyle name="Comma 5 4 2 2 4 2 3" xfId="13223" xr:uid="{00000000-0005-0000-0000-0000270A0000}"/>
    <cellStyle name="Comma 5 4 2 2 4 2 4" xfId="7934" xr:uid="{00000000-0005-0000-0000-0000280A0000}"/>
    <cellStyle name="Comma 5 4 2 2 4 3" xfId="4316" xr:uid="{00000000-0005-0000-0000-0000290A0000}"/>
    <cellStyle name="Comma 5 4 2 2 4 3 2" xfId="18166" xr:uid="{00000000-0005-0000-0000-00002A0A0000}"/>
    <cellStyle name="Comma 5 4 2 2 4 3 3" xfId="14587" xr:uid="{00000000-0005-0000-0000-00002B0A0000}"/>
    <cellStyle name="Comma 5 4 2 2 4 3 4" xfId="9330" xr:uid="{00000000-0005-0000-0000-00002C0A0000}"/>
    <cellStyle name="Comma 5 4 2 2 4 4" xfId="6022" xr:uid="{00000000-0005-0000-0000-00002D0A0000}"/>
    <cellStyle name="Comma 5 4 2 2 4 4 2" xfId="15108" xr:uid="{00000000-0005-0000-0000-00002E0A0000}"/>
    <cellStyle name="Comma 5 4 2 2 4 5" xfId="10784" xr:uid="{00000000-0005-0000-0000-00002F0A0000}"/>
    <cellStyle name="Comma 5 4 2 2 4 5 2" xfId="19611" xr:uid="{00000000-0005-0000-0000-0000300A0000}"/>
    <cellStyle name="Comma 5 4 2 2 4 6" xfId="12230" xr:uid="{00000000-0005-0000-0000-0000310A0000}"/>
    <cellStyle name="Comma 5 4 2 2 4 7" xfId="5528" xr:uid="{00000000-0005-0000-0000-0000320A0000}"/>
    <cellStyle name="Comma 5 4 2 2 5" xfId="2210" xr:uid="{00000000-0005-0000-0000-0000330A0000}"/>
    <cellStyle name="Comma 5 4 2 2 5 2" xfId="15951" xr:uid="{00000000-0005-0000-0000-0000340A0000}"/>
    <cellStyle name="Comma 5 4 2 2 5 3" xfId="12343" xr:uid="{00000000-0005-0000-0000-0000350A0000}"/>
    <cellStyle name="Comma 5 4 2 2 5 4" xfId="6908" xr:uid="{00000000-0005-0000-0000-0000360A0000}"/>
    <cellStyle name="Comma 5 4 2 2 6" xfId="3478" xr:uid="{00000000-0005-0000-0000-0000370A0000}"/>
    <cellStyle name="Comma 5 4 2 2 6 2" xfId="17123" xr:uid="{00000000-0005-0000-0000-0000380A0000}"/>
    <cellStyle name="Comma 5 4 2 2 6 3" xfId="13544" xr:uid="{00000000-0005-0000-0000-0000390A0000}"/>
    <cellStyle name="Comma 5 4 2 2 6 4" xfId="8287" xr:uid="{00000000-0005-0000-0000-00003A0A0000}"/>
    <cellStyle name="Comma 5 4 2 2 7" xfId="5848" xr:uid="{00000000-0005-0000-0000-00003B0A0000}"/>
    <cellStyle name="Comma 5 4 2 2 7 2" xfId="14934" xr:uid="{00000000-0005-0000-0000-00003C0A0000}"/>
    <cellStyle name="Comma 5 4 2 2 8" xfId="9741" xr:uid="{00000000-0005-0000-0000-00003D0A0000}"/>
    <cellStyle name="Comma 5 4 2 2 8 2" xfId="18568" xr:uid="{00000000-0005-0000-0000-00003E0A0000}"/>
    <cellStyle name="Comma 5 4 2 2 9" xfId="11185" xr:uid="{00000000-0005-0000-0000-00003F0A0000}"/>
    <cellStyle name="Comma 5 4 2 3" xfId="338" xr:uid="{00000000-0005-0000-0000-0000400A0000}"/>
    <cellStyle name="Comma 5 4 2 3 2" xfId="544" xr:uid="{00000000-0005-0000-0000-0000410A0000}"/>
    <cellStyle name="Comma 5 4 2 3 2 2" xfId="2274" xr:uid="{00000000-0005-0000-0000-0000420A0000}"/>
    <cellStyle name="Comma 5 4 2 3 2 2 2" xfId="16163" xr:uid="{00000000-0005-0000-0000-0000430A0000}"/>
    <cellStyle name="Comma 5 4 2 3 2 2 3" xfId="12585" xr:uid="{00000000-0005-0000-0000-0000440A0000}"/>
    <cellStyle name="Comma 5 4 2 3 2 2 4" xfId="7294" xr:uid="{00000000-0005-0000-0000-0000450A0000}"/>
    <cellStyle name="Comma 5 4 2 3 2 3" xfId="3542" xr:uid="{00000000-0005-0000-0000-0000460A0000}"/>
    <cellStyle name="Comma 5 4 2 3 2 3 2" xfId="17187" xr:uid="{00000000-0005-0000-0000-0000470A0000}"/>
    <cellStyle name="Comma 5 4 2 3 2 3 3" xfId="13608" xr:uid="{00000000-0005-0000-0000-0000480A0000}"/>
    <cellStyle name="Comma 5 4 2 3 2 3 4" xfId="8351" xr:uid="{00000000-0005-0000-0000-0000490A0000}"/>
    <cellStyle name="Comma 5 4 2 3 2 4" xfId="6410" xr:uid="{00000000-0005-0000-0000-00004A0A0000}"/>
    <cellStyle name="Comma 5 4 2 3 2 4 2" xfId="15494" xr:uid="{00000000-0005-0000-0000-00004B0A0000}"/>
    <cellStyle name="Comma 5 4 2 3 2 5" xfId="9805" xr:uid="{00000000-0005-0000-0000-00004C0A0000}"/>
    <cellStyle name="Comma 5 4 2 3 2 5 2" xfId="18632" xr:uid="{00000000-0005-0000-0000-00004D0A0000}"/>
    <cellStyle name="Comma 5 4 2 3 2 6" xfId="11249" xr:uid="{00000000-0005-0000-0000-00004E0A0000}"/>
    <cellStyle name="Comma 5 4 2 3 2 7" xfId="4888" xr:uid="{00000000-0005-0000-0000-00004F0A0000}"/>
    <cellStyle name="Comma 5 4 2 3 3" xfId="902" xr:uid="{00000000-0005-0000-0000-0000500A0000}"/>
    <cellStyle name="Comma 5 4 2 3 3 2" xfId="2622" xr:uid="{00000000-0005-0000-0000-0000510A0000}"/>
    <cellStyle name="Comma 5 4 2 3 3 2 2" xfId="16698" xr:uid="{00000000-0005-0000-0000-0000520A0000}"/>
    <cellStyle name="Comma 5 4 2 3 3 2 3" xfId="13119" xr:uid="{00000000-0005-0000-0000-0000530A0000}"/>
    <cellStyle name="Comma 5 4 2 3 3 2 4" xfId="7830" xr:uid="{00000000-0005-0000-0000-0000540A0000}"/>
    <cellStyle name="Comma 5 4 2 3 3 3" xfId="3890" xr:uid="{00000000-0005-0000-0000-0000550A0000}"/>
    <cellStyle name="Comma 5 4 2 3 3 3 2" xfId="17535" xr:uid="{00000000-0005-0000-0000-0000560A0000}"/>
    <cellStyle name="Comma 5 4 2 3 3 3 3" xfId="13956" xr:uid="{00000000-0005-0000-0000-0000570A0000}"/>
    <cellStyle name="Comma 5 4 2 3 3 3 4" xfId="8699" xr:uid="{00000000-0005-0000-0000-0000580A0000}"/>
    <cellStyle name="Comma 5 4 2 3 3 4" xfId="6237" xr:uid="{00000000-0005-0000-0000-0000590A0000}"/>
    <cellStyle name="Comma 5 4 2 3 3 4 2" xfId="15321" xr:uid="{00000000-0005-0000-0000-00005A0A0000}"/>
    <cellStyle name="Comma 5 4 2 3 3 5" xfId="10153" xr:uid="{00000000-0005-0000-0000-00005B0A0000}"/>
    <cellStyle name="Comma 5 4 2 3 3 5 2" xfId="18980" xr:uid="{00000000-0005-0000-0000-00005C0A0000}"/>
    <cellStyle name="Comma 5 4 2 3 3 6" xfId="11599" xr:uid="{00000000-0005-0000-0000-00005D0A0000}"/>
    <cellStyle name="Comma 5 4 2 3 3 7" xfId="5424" xr:uid="{00000000-0005-0000-0000-00005E0A0000}"/>
    <cellStyle name="Comma 5 4 2 3 4" xfId="1550" xr:uid="{00000000-0005-0000-0000-00005F0A0000}"/>
    <cellStyle name="Comma 5 4 2 3 4 2" xfId="3149" xr:uid="{00000000-0005-0000-0000-0000600A0000}"/>
    <cellStyle name="Comma 5 4 2 3 4 2 2" xfId="18062" xr:uid="{00000000-0005-0000-0000-0000610A0000}"/>
    <cellStyle name="Comma 5 4 2 3 4 2 3" xfId="14483" xr:uid="{00000000-0005-0000-0000-0000620A0000}"/>
    <cellStyle name="Comma 5 4 2 3 4 2 4" xfId="9226" xr:uid="{00000000-0005-0000-0000-0000630A0000}"/>
    <cellStyle name="Comma 5 4 2 3 4 3" xfId="10680" xr:uid="{00000000-0005-0000-0000-0000640A0000}"/>
    <cellStyle name="Comma 5 4 2 3 4 3 2" xfId="19507" xr:uid="{00000000-0005-0000-0000-0000650A0000}"/>
    <cellStyle name="Comma 5 4 2 3 4 4" xfId="12126" xr:uid="{00000000-0005-0000-0000-0000660A0000}"/>
    <cellStyle name="Comma 5 4 2 3 4 5" xfId="7121" xr:uid="{00000000-0005-0000-0000-0000670A0000}"/>
    <cellStyle name="Comma 5 4 2 3 5" xfId="2106" xr:uid="{00000000-0005-0000-0000-0000680A0000}"/>
    <cellStyle name="Comma 5 4 2 3 5 2" xfId="17019" xr:uid="{00000000-0005-0000-0000-0000690A0000}"/>
    <cellStyle name="Comma 5 4 2 3 5 3" xfId="13440" xr:uid="{00000000-0005-0000-0000-00006A0A0000}"/>
    <cellStyle name="Comma 5 4 2 3 5 4" xfId="8183" xr:uid="{00000000-0005-0000-0000-00006B0A0000}"/>
    <cellStyle name="Comma 5 4 2 3 6" xfId="5744" xr:uid="{00000000-0005-0000-0000-00006C0A0000}"/>
    <cellStyle name="Comma 5 4 2 3 6 2" xfId="14830" xr:uid="{00000000-0005-0000-0000-00006D0A0000}"/>
    <cellStyle name="Comma 5 4 2 3 7" xfId="9637" xr:uid="{00000000-0005-0000-0000-00006E0A0000}"/>
    <cellStyle name="Comma 5 4 2 3 7 2" xfId="18464" xr:uid="{00000000-0005-0000-0000-00006F0A0000}"/>
    <cellStyle name="Comma 5 4 2 3 8" xfId="11081" xr:uid="{00000000-0005-0000-0000-0000700A0000}"/>
    <cellStyle name="Comma 5 4 2 3 9" xfId="4715" xr:uid="{00000000-0005-0000-0000-0000710A0000}"/>
    <cellStyle name="Comma 5 4 2 4" xfId="542" xr:uid="{00000000-0005-0000-0000-0000720A0000}"/>
    <cellStyle name="Comma 5 4 2 4 2" xfId="2272" xr:uid="{00000000-0005-0000-0000-0000730A0000}"/>
    <cellStyle name="Comma 5 4 2 4 2 2" xfId="16035" xr:uid="{00000000-0005-0000-0000-0000740A0000}"/>
    <cellStyle name="Comma 5 4 2 4 2 3" xfId="12285" xr:uid="{00000000-0005-0000-0000-0000750A0000}"/>
    <cellStyle name="Comma 5 4 2 4 2 4" xfId="7021" xr:uid="{00000000-0005-0000-0000-0000760A0000}"/>
    <cellStyle name="Comma 5 4 2 4 3" xfId="3540" xr:uid="{00000000-0005-0000-0000-0000770A0000}"/>
    <cellStyle name="Comma 5 4 2 4 3 2" xfId="17185" xr:uid="{00000000-0005-0000-0000-0000780A0000}"/>
    <cellStyle name="Comma 5 4 2 4 3 3" xfId="13606" xr:uid="{00000000-0005-0000-0000-0000790A0000}"/>
    <cellStyle name="Comma 5 4 2 4 3 4" xfId="8349" xr:uid="{00000000-0005-0000-0000-00007A0A0000}"/>
    <cellStyle name="Comma 5 4 2 4 4" xfId="6137" xr:uid="{00000000-0005-0000-0000-00007B0A0000}"/>
    <cellStyle name="Comma 5 4 2 4 4 2" xfId="15221" xr:uid="{00000000-0005-0000-0000-00007C0A0000}"/>
    <cellStyle name="Comma 5 4 2 4 5" xfId="9803" xr:uid="{00000000-0005-0000-0000-00007D0A0000}"/>
    <cellStyle name="Comma 5 4 2 4 5 2" xfId="18630" xr:uid="{00000000-0005-0000-0000-00007E0A0000}"/>
    <cellStyle name="Comma 5 4 2 4 6" xfId="11247" xr:uid="{00000000-0005-0000-0000-00007F0A0000}"/>
    <cellStyle name="Comma 5 4 2 4 7" xfId="4615" xr:uid="{00000000-0005-0000-0000-0000800A0000}"/>
    <cellStyle name="Comma 5 4 2 5" xfId="900" xr:uid="{00000000-0005-0000-0000-0000810A0000}"/>
    <cellStyle name="Comma 5 4 2 5 2" xfId="2620" xr:uid="{00000000-0005-0000-0000-0000820A0000}"/>
    <cellStyle name="Comma 5 4 2 5 2 2" xfId="16161" xr:uid="{00000000-0005-0000-0000-0000830A0000}"/>
    <cellStyle name="Comma 5 4 2 5 2 3" xfId="12583" xr:uid="{00000000-0005-0000-0000-0000840A0000}"/>
    <cellStyle name="Comma 5 4 2 5 2 4" xfId="7292" xr:uid="{00000000-0005-0000-0000-0000850A0000}"/>
    <cellStyle name="Comma 5 4 2 5 3" xfId="3888" xr:uid="{00000000-0005-0000-0000-0000860A0000}"/>
    <cellStyle name="Comma 5 4 2 5 3 2" xfId="17533" xr:uid="{00000000-0005-0000-0000-0000870A0000}"/>
    <cellStyle name="Comma 5 4 2 5 3 3" xfId="13954" xr:uid="{00000000-0005-0000-0000-0000880A0000}"/>
    <cellStyle name="Comma 5 4 2 5 3 4" xfId="8697" xr:uid="{00000000-0005-0000-0000-0000890A0000}"/>
    <cellStyle name="Comma 5 4 2 5 4" xfId="6408" xr:uid="{00000000-0005-0000-0000-00008A0A0000}"/>
    <cellStyle name="Comma 5 4 2 5 4 2" xfId="15492" xr:uid="{00000000-0005-0000-0000-00008B0A0000}"/>
    <cellStyle name="Comma 5 4 2 5 5" xfId="10151" xr:uid="{00000000-0005-0000-0000-00008C0A0000}"/>
    <cellStyle name="Comma 5 4 2 5 5 2" xfId="18978" xr:uid="{00000000-0005-0000-0000-00008D0A0000}"/>
    <cellStyle name="Comma 5 4 2 5 6" xfId="11597" xr:uid="{00000000-0005-0000-0000-00008E0A0000}"/>
    <cellStyle name="Comma 5 4 2 5 7" xfId="4886" xr:uid="{00000000-0005-0000-0000-00008F0A0000}"/>
    <cellStyle name="Comma 5 4 2 6" xfId="1448" xr:uid="{00000000-0005-0000-0000-0000900A0000}"/>
    <cellStyle name="Comma 5 4 2 6 2" xfId="3049" xr:uid="{00000000-0005-0000-0000-0000910A0000}"/>
    <cellStyle name="Comma 5 4 2 6 2 2" xfId="16598" xr:uid="{00000000-0005-0000-0000-0000920A0000}"/>
    <cellStyle name="Comma 5 4 2 6 2 3" xfId="13019" xr:uid="{00000000-0005-0000-0000-0000930A0000}"/>
    <cellStyle name="Comma 5 4 2 6 2 4" xfId="7730" xr:uid="{00000000-0005-0000-0000-0000940A0000}"/>
    <cellStyle name="Comma 5 4 2 6 3" xfId="4257" xr:uid="{00000000-0005-0000-0000-0000950A0000}"/>
    <cellStyle name="Comma 5 4 2 6 3 2" xfId="17962" xr:uid="{00000000-0005-0000-0000-0000960A0000}"/>
    <cellStyle name="Comma 5 4 2 6 3 3" xfId="14383" xr:uid="{00000000-0005-0000-0000-0000970A0000}"/>
    <cellStyle name="Comma 5 4 2 6 3 4" xfId="9126" xr:uid="{00000000-0005-0000-0000-0000980A0000}"/>
    <cellStyle name="Comma 5 4 2 6 4" xfId="5918" xr:uid="{00000000-0005-0000-0000-0000990A0000}"/>
    <cellStyle name="Comma 5 4 2 6 4 2" xfId="15004" xr:uid="{00000000-0005-0000-0000-00009A0A0000}"/>
    <cellStyle name="Comma 5 4 2 6 5" xfId="10580" xr:uid="{00000000-0005-0000-0000-00009B0A0000}"/>
    <cellStyle name="Comma 5 4 2 6 5 2" xfId="19407" xr:uid="{00000000-0005-0000-0000-00009C0A0000}"/>
    <cellStyle name="Comma 5 4 2 6 6" xfId="12026" xr:uid="{00000000-0005-0000-0000-00009D0A0000}"/>
    <cellStyle name="Comma 5 4 2 6 7" xfId="5324" xr:uid="{00000000-0005-0000-0000-00009E0A0000}"/>
    <cellStyle name="Comma 5 4 2 7" xfId="2006" xr:uid="{00000000-0005-0000-0000-00009F0A0000}"/>
    <cellStyle name="Comma 5 4 2 7 2" xfId="15847" xr:uid="{00000000-0005-0000-0000-0000A00A0000}"/>
    <cellStyle name="Comma 5 4 2 7 3" xfId="12444" xr:uid="{00000000-0005-0000-0000-0000A10A0000}"/>
    <cellStyle name="Comma 5 4 2 7 4" xfId="6804" xr:uid="{00000000-0005-0000-0000-0000A20A0000}"/>
    <cellStyle name="Comma 5 4 2 8" xfId="3419" xr:uid="{00000000-0005-0000-0000-0000A30A0000}"/>
    <cellStyle name="Comma 5 4 2 8 2" xfId="16919" xr:uid="{00000000-0005-0000-0000-0000A40A0000}"/>
    <cellStyle name="Comma 5 4 2 8 3" xfId="13340" xr:uid="{00000000-0005-0000-0000-0000A50A0000}"/>
    <cellStyle name="Comma 5 4 2 8 4" xfId="8083" xr:uid="{00000000-0005-0000-0000-0000A60A0000}"/>
    <cellStyle name="Comma 5 4 2 9" xfId="5644" xr:uid="{00000000-0005-0000-0000-0000A70A0000}"/>
    <cellStyle name="Comma 5 4 2 9 2" xfId="14730" xr:uid="{00000000-0005-0000-0000-0000A80A0000}"/>
    <cellStyle name="Comma 5 4 3" xfId="273" xr:uid="{00000000-0005-0000-0000-0000A90A0000}"/>
    <cellStyle name="Comma 5 4 3 10" xfId="11024" xr:uid="{00000000-0005-0000-0000-0000AA0A0000}"/>
    <cellStyle name="Comma 5 4 3 11" xfId="4441" xr:uid="{00000000-0005-0000-0000-0000AB0A0000}"/>
    <cellStyle name="Comma 5 4 3 2" xfId="381" xr:uid="{00000000-0005-0000-0000-0000AC0A0000}"/>
    <cellStyle name="Comma 5 4 3 2 2" xfId="546" xr:uid="{00000000-0005-0000-0000-0000AD0A0000}"/>
    <cellStyle name="Comma 5 4 3 2 2 2" xfId="2276" xr:uid="{00000000-0005-0000-0000-0000AE0A0000}"/>
    <cellStyle name="Comma 5 4 3 2 2 2 2" xfId="16165" xr:uid="{00000000-0005-0000-0000-0000AF0A0000}"/>
    <cellStyle name="Comma 5 4 3 2 2 2 3" xfId="12587" xr:uid="{00000000-0005-0000-0000-0000B00A0000}"/>
    <cellStyle name="Comma 5 4 3 2 2 2 4" xfId="7296" xr:uid="{00000000-0005-0000-0000-0000B10A0000}"/>
    <cellStyle name="Comma 5 4 3 2 2 3" xfId="3544" xr:uid="{00000000-0005-0000-0000-0000B20A0000}"/>
    <cellStyle name="Comma 5 4 3 2 2 3 2" xfId="17189" xr:uid="{00000000-0005-0000-0000-0000B30A0000}"/>
    <cellStyle name="Comma 5 4 3 2 2 3 3" xfId="13610" xr:uid="{00000000-0005-0000-0000-0000B40A0000}"/>
    <cellStyle name="Comma 5 4 3 2 2 3 4" xfId="8353" xr:uid="{00000000-0005-0000-0000-0000B50A0000}"/>
    <cellStyle name="Comma 5 4 3 2 2 4" xfId="6412" xr:uid="{00000000-0005-0000-0000-0000B60A0000}"/>
    <cellStyle name="Comma 5 4 3 2 2 4 2" xfId="15496" xr:uid="{00000000-0005-0000-0000-0000B70A0000}"/>
    <cellStyle name="Comma 5 4 3 2 2 5" xfId="9807" xr:uid="{00000000-0005-0000-0000-0000B80A0000}"/>
    <cellStyle name="Comma 5 4 3 2 2 5 2" xfId="18634" xr:uid="{00000000-0005-0000-0000-0000B90A0000}"/>
    <cellStyle name="Comma 5 4 3 2 2 6" xfId="11251" xr:uid="{00000000-0005-0000-0000-0000BA0A0000}"/>
    <cellStyle name="Comma 5 4 3 2 2 7" xfId="4890" xr:uid="{00000000-0005-0000-0000-0000BB0A0000}"/>
    <cellStyle name="Comma 5 4 3 2 3" xfId="904" xr:uid="{00000000-0005-0000-0000-0000BC0A0000}"/>
    <cellStyle name="Comma 5 4 3 2 3 2" xfId="2624" xr:uid="{00000000-0005-0000-0000-0000BD0A0000}"/>
    <cellStyle name="Comma 5 4 3 2 3 2 2" xfId="16741" xr:uid="{00000000-0005-0000-0000-0000BE0A0000}"/>
    <cellStyle name="Comma 5 4 3 2 3 2 3" xfId="13162" xr:uid="{00000000-0005-0000-0000-0000BF0A0000}"/>
    <cellStyle name="Comma 5 4 3 2 3 2 4" xfId="7873" xr:uid="{00000000-0005-0000-0000-0000C00A0000}"/>
    <cellStyle name="Comma 5 4 3 2 3 3" xfId="3892" xr:uid="{00000000-0005-0000-0000-0000C10A0000}"/>
    <cellStyle name="Comma 5 4 3 2 3 3 2" xfId="17537" xr:uid="{00000000-0005-0000-0000-0000C20A0000}"/>
    <cellStyle name="Comma 5 4 3 2 3 3 3" xfId="13958" xr:uid="{00000000-0005-0000-0000-0000C30A0000}"/>
    <cellStyle name="Comma 5 4 3 2 3 3 4" xfId="8701" xr:uid="{00000000-0005-0000-0000-0000C40A0000}"/>
    <cellStyle name="Comma 5 4 3 2 3 4" xfId="6280" xr:uid="{00000000-0005-0000-0000-0000C50A0000}"/>
    <cellStyle name="Comma 5 4 3 2 3 4 2" xfId="15364" xr:uid="{00000000-0005-0000-0000-0000C60A0000}"/>
    <cellStyle name="Comma 5 4 3 2 3 5" xfId="10155" xr:uid="{00000000-0005-0000-0000-0000C70A0000}"/>
    <cellStyle name="Comma 5 4 3 2 3 5 2" xfId="18982" xr:uid="{00000000-0005-0000-0000-0000C80A0000}"/>
    <cellStyle name="Comma 5 4 3 2 3 6" xfId="11601" xr:uid="{00000000-0005-0000-0000-0000C90A0000}"/>
    <cellStyle name="Comma 5 4 3 2 3 7" xfId="5467" xr:uid="{00000000-0005-0000-0000-0000CA0A0000}"/>
    <cellStyle name="Comma 5 4 3 2 4" xfId="1595" xr:uid="{00000000-0005-0000-0000-0000CB0A0000}"/>
    <cellStyle name="Comma 5 4 3 2 4 2" xfId="3192" xr:uid="{00000000-0005-0000-0000-0000CC0A0000}"/>
    <cellStyle name="Comma 5 4 3 2 4 2 2" xfId="18105" xr:uid="{00000000-0005-0000-0000-0000CD0A0000}"/>
    <cellStyle name="Comma 5 4 3 2 4 2 3" xfId="14526" xr:uid="{00000000-0005-0000-0000-0000CE0A0000}"/>
    <cellStyle name="Comma 5 4 3 2 4 2 4" xfId="9269" xr:uid="{00000000-0005-0000-0000-0000CF0A0000}"/>
    <cellStyle name="Comma 5 4 3 2 4 3" xfId="10723" xr:uid="{00000000-0005-0000-0000-0000D00A0000}"/>
    <cellStyle name="Comma 5 4 3 2 4 3 2" xfId="19550" xr:uid="{00000000-0005-0000-0000-0000D10A0000}"/>
    <cellStyle name="Comma 5 4 3 2 4 4" xfId="12169" xr:uid="{00000000-0005-0000-0000-0000D20A0000}"/>
    <cellStyle name="Comma 5 4 3 2 4 5" xfId="7164" xr:uid="{00000000-0005-0000-0000-0000D30A0000}"/>
    <cellStyle name="Comma 5 4 3 2 5" xfId="2149" xr:uid="{00000000-0005-0000-0000-0000D40A0000}"/>
    <cellStyle name="Comma 5 4 3 2 5 2" xfId="17062" xr:uid="{00000000-0005-0000-0000-0000D50A0000}"/>
    <cellStyle name="Comma 5 4 3 2 5 3" xfId="13483" xr:uid="{00000000-0005-0000-0000-0000D60A0000}"/>
    <cellStyle name="Comma 5 4 3 2 5 4" xfId="8226" xr:uid="{00000000-0005-0000-0000-0000D70A0000}"/>
    <cellStyle name="Comma 5 4 3 2 6" xfId="5787" xr:uid="{00000000-0005-0000-0000-0000D80A0000}"/>
    <cellStyle name="Comma 5 4 3 2 6 2" xfId="14873" xr:uid="{00000000-0005-0000-0000-0000D90A0000}"/>
    <cellStyle name="Comma 5 4 3 2 7" xfId="9680" xr:uid="{00000000-0005-0000-0000-0000DA0A0000}"/>
    <cellStyle name="Comma 5 4 3 2 7 2" xfId="18507" xr:uid="{00000000-0005-0000-0000-0000DB0A0000}"/>
    <cellStyle name="Comma 5 4 3 2 8" xfId="11124" xr:uid="{00000000-0005-0000-0000-0000DC0A0000}"/>
    <cellStyle name="Comma 5 4 3 2 9" xfId="4758" xr:uid="{00000000-0005-0000-0000-0000DD0A0000}"/>
    <cellStyle name="Comma 5 4 3 3" xfId="545" xr:uid="{00000000-0005-0000-0000-0000DE0A0000}"/>
    <cellStyle name="Comma 5 4 3 3 2" xfId="2275" xr:uid="{00000000-0005-0000-0000-0000DF0A0000}"/>
    <cellStyle name="Comma 5 4 3 3 2 2" xfId="16078" xr:uid="{00000000-0005-0000-0000-0000E00A0000}"/>
    <cellStyle name="Comma 5 4 3 3 2 3" xfId="12283" xr:uid="{00000000-0005-0000-0000-0000E10A0000}"/>
    <cellStyle name="Comma 5 4 3 3 2 4" xfId="7064" xr:uid="{00000000-0005-0000-0000-0000E20A0000}"/>
    <cellStyle name="Comma 5 4 3 3 3" xfId="3543" xr:uid="{00000000-0005-0000-0000-0000E30A0000}"/>
    <cellStyle name="Comma 5 4 3 3 3 2" xfId="17188" xr:uid="{00000000-0005-0000-0000-0000E40A0000}"/>
    <cellStyle name="Comma 5 4 3 3 3 3" xfId="13609" xr:uid="{00000000-0005-0000-0000-0000E50A0000}"/>
    <cellStyle name="Comma 5 4 3 3 3 4" xfId="8352" xr:uid="{00000000-0005-0000-0000-0000E60A0000}"/>
    <cellStyle name="Comma 5 4 3 3 4" xfId="6180" xr:uid="{00000000-0005-0000-0000-0000E70A0000}"/>
    <cellStyle name="Comma 5 4 3 3 4 2" xfId="15264" xr:uid="{00000000-0005-0000-0000-0000E80A0000}"/>
    <cellStyle name="Comma 5 4 3 3 5" xfId="9806" xr:uid="{00000000-0005-0000-0000-0000E90A0000}"/>
    <cellStyle name="Comma 5 4 3 3 5 2" xfId="18633" xr:uid="{00000000-0005-0000-0000-0000EA0A0000}"/>
    <cellStyle name="Comma 5 4 3 3 6" xfId="11250" xr:uid="{00000000-0005-0000-0000-0000EB0A0000}"/>
    <cellStyle name="Comma 5 4 3 3 7" xfId="4658" xr:uid="{00000000-0005-0000-0000-0000EC0A0000}"/>
    <cellStyle name="Comma 5 4 3 4" xfId="903" xr:uid="{00000000-0005-0000-0000-0000ED0A0000}"/>
    <cellStyle name="Comma 5 4 3 4 2" xfId="2623" xr:uid="{00000000-0005-0000-0000-0000EE0A0000}"/>
    <cellStyle name="Comma 5 4 3 4 2 2" xfId="16164" xr:uid="{00000000-0005-0000-0000-0000EF0A0000}"/>
    <cellStyle name="Comma 5 4 3 4 2 3" xfId="12586" xr:uid="{00000000-0005-0000-0000-0000F00A0000}"/>
    <cellStyle name="Comma 5 4 3 4 2 4" xfId="7295" xr:uid="{00000000-0005-0000-0000-0000F10A0000}"/>
    <cellStyle name="Comma 5 4 3 4 3" xfId="3891" xr:uid="{00000000-0005-0000-0000-0000F20A0000}"/>
    <cellStyle name="Comma 5 4 3 4 3 2" xfId="17536" xr:uid="{00000000-0005-0000-0000-0000F30A0000}"/>
    <cellStyle name="Comma 5 4 3 4 3 3" xfId="13957" xr:uid="{00000000-0005-0000-0000-0000F40A0000}"/>
    <cellStyle name="Comma 5 4 3 4 3 4" xfId="8700" xr:uid="{00000000-0005-0000-0000-0000F50A0000}"/>
    <cellStyle name="Comma 5 4 3 4 4" xfId="6411" xr:uid="{00000000-0005-0000-0000-0000F60A0000}"/>
    <cellStyle name="Comma 5 4 3 4 4 2" xfId="15495" xr:uid="{00000000-0005-0000-0000-0000F70A0000}"/>
    <cellStyle name="Comma 5 4 3 4 5" xfId="10154" xr:uid="{00000000-0005-0000-0000-0000F80A0000}"/>
    <cellStyle name="Comma 5 4 3 4 5 2" xfId="18981" xr:uid="{00000000-0005-0000-0000-0000F90A0000}"/>
    <cellStyle name="Comma 5 4 3 4 6" xfId="11600" xr:uid="{00000000-0005-0000-0000-0000FA0A0000}"/>
    <cellStyle name="Comma 5 4 3 4 7" xfId="4889" xr:uid="{00000000-0005-0000-0000-0000FB0A0000}"/>
    <cellStyle name="Comma 5 4 3 5" xfId="1493" xr:uid="{00000000-0005-0000-0000-0000FC0A0000}"/>
    <cellStyle name="Comma 5 4 3 5 2" xfId="3092" xr:uid="{00000000-0005-0000-0000-0000FD0A0000}"/>
    <cellStyle name="Comma 5 4 3 5 2 2" xfId="16641" xr:uid="{00000000-0005-0000-0000-0000FE0A0000}"/>
    <cellStyle name="Comma 5 4 3 5 2 3" xfId="13062" xr:uid="{00000000-0005-0000-0000-0000FF0A0000}"/>
    <cellStyle name="Comma 5 4 3 5 2 4" xfId="7773" xr:uid="{00000000-0005-0000-0000-0000000B0000}"/>
    <cellStyle name="Comma 5 4 3 5 3" xfId="4300" xr:uid="{00000000-0005-0000-0000-0000010B0000}"/>
    <cellStyle name="Comma 5 4 3 5 3 2" xfId="18005" xr:uid="{00000000-0005-0000-0000-0000020B0000}"/>
    <cellStyle name="Comma 5 4 3 5 3 3" xfId="14426" xr:uid="{00000000-0005-0000-0000-0000030B0000}"/>
    <cellStyle name="Comma 5 4 3 5 3 4" xfId="9169" xr:uid="{00000000-0005-0000-0000-0000040B0000}"/>
    <cellStyle name="Comma 5 4 3 5 4" xfId="5961" xr:uid="{00000000-0005-0000-0000-0000050B0000}"/>
    <cellStyle name="Comma 5 4 3 5 4 2" xfId="15047" xr:uid="{00000000-0005-0000-0000-0000060B0000}"/>
    <cellStyle name="Comma 5 4 3 5 5" xfId="10623" xr:uid="{00000000-0005-0000-0000-0000070B0000}"/>
    <cellStyle name="Comma 5 4 3 5 5 2" xfId="19450" xr:uid="{00000000-0005-0000-0000-0000080B0000}"/>
    <cellStyle name="Comma 5 4 3 5 6" xfId="12069" xr:uid="{00000000-0005-0000-0000-0000090B0000}"/>
    <cellStyle name="Comma 5 4 3 5 7" xfId="5367" xr:uid="{00000000-0005-0000-0000-00000A0B0000}"/>
    <cellStyle name="Comma 5 4 3 6" xfId="2049" xr:uid="{00000000-0005-0000-0000-00000B0B0000}"/>
    <cellStyle name="Comma 5 4 3 6 2" xfId="15890" xr:uid="{00000000-0005-0000-0000-00000C0B0000}"/>
    <cellStyle name="Comma 5 4 3 6 3" xfId="11509" xr:uid="{00000000-0005-0000-0000-00000D0B0000}"/>
    <cellStyle name="Comma 5 4 3 6 4" xfId="6847" xr:uid="{00000000-0005-0000-0000-00000E0B0000}"/>
    <cellStyle name="Comma 5 4 3 7" xfId="3462" xr:uid="{00000000-0005-0000-0000-00000F0B0000}"/>
    <cellStyle name="Comma 5 4 3 7 2" xfId="16962" xr:uid="{00000000-0005-0000-0000-0000100B0000}"/>
    <cellStyle name="Comma 5 4 3 7 3" xfId="13383" xr:uid="{00000000-0005-0000-0000-0000110B0000}"/>
    <cellStyle name="Comma 5 4 3 7 4" xfId="8126" xr:uid="{00000000-0005-0000-0000-0000120B0000}"/>
    <cellStyle name="Comma 5 4 3 8" xfId="5687" xr:uid="{00000000-0005-0000-0000-0000130B0000}"/>
    <cellStyle name="Comma 5 4 3 8 2" xfId="14773" xr:uid="{00000000-0005-0000-0000-0000140B0000}"/>
    <cellStyle name="Comma 5 4 3 9" xfId="9580" xr:uid="{00000000-0005-0000-0000-0000150B0000}"/>
    <cellStyle name="Comma 5 4 3 9 2" xfId="18407" xr:uid="{00000000-0005-0000-0000-0000160B0000}"/>
    <cellStyle name="Comma 5 4 4" xfId="195" xr:uid="{00000000-0005-0000-0000-0000170B0000}"/>
    <cellStyle name="Comma 5 4 4 10" xfId="10949" xr:uid="{00000000-0005-0000-0000-0000180B0000}"/>
    <cellStyle name="Comma 5 4 4 11" xfId="4471" xr:uid="{00000000-0005-0000-0000-0000190B0000}"/>
    <cellStyle name="Comma 5 4 4 2" xfId="412" xr:uid="{00000000-0005-0000-0000-00001A0B0000}"/>
    <cellStyle name="Comma 5 4 4 2 2" xfId="548" xr:uid="{00000000-0005-0000-0000-00001B0B0000}"/>
    <cellStyle name="Comma 5 4 4 2 2 2" xfId="2278" xr:uid="{00000000-0005-0000-0000-00001C0B0000}"/>
    <cellStyle name="Comma 5 4 4 2 2 2 2" xfId="16167" xr:uid="{00000000-0005-0000-0000-00001D0B0000}"/>
    <cellStyle name="Comma 5 4 4 2 2 2 3" xfId="12589" xr:uid="{00000000-0005-0000-0000-00001E0B0000}"/>
    <cellStyle name="Comma 5 4 4 2 2 2 4" xfId="7298" xr:uid="{00000000-0005-0000-0000-00001F0B0000}"/>
    <cellStyle name="Comma 5 4 4 2 2 3" xfId="3546" xr:uid="{00000000-0005-0000-0000-0000200B0000}"/>
    <cellStyle name="Comma 5 4 4 2 2 3 2" xfId="17191" xr:uid="{00000000-0005-0000-0000-0000210B0000}"/>
    <cellStyle name="Comma 5 4 4 2 2 3 3" xfId="13612" xr:uid="{00000000-0005-0000-0000-0000220B0000}"/>
    <cellStyle name="Comma 5 4 4 2 2 3 4" xfId="8355" xr:uid="{00000000-0005-0000-0000-0000230B0000}"/>
    <cellStyle name="Comma 5 4 4 2 2 4" xfId="6414" xr:uid="{00000000-0005-0000-0000-0000240B0000}"/>
    <cellStyle name="Comma 5 4 4 2 2 4 2" xfId="15498" xr:uid="{00000000-0005-0000-0000-0000250B0000}"/>
    <cellStyle name="Comma 5 4 4 2 2 5" xfId="9809" xr:uid="{00000000-0005-0000-0000-0000260B0000}"/>
    <cellStyle name="Comma 5 4 4 2 2 5 2" xfId="18636" xr:uid="{00000000-0005-0000-0000-0000270B0000}"/>
    <cellStyle name="Comma 5 4 4 2 2 6" xfId="11253" xr:uid="{00000000-0005-0000-0000-0000280B0000}"/>
    <cellStyle name="Comma 5 4 4 2 2 7" xfId="4892" xr:uid="{00000000-0005-0000-0000-0000290B0000}"/>
    <cellStyle name="Comma 5 4 4 2 3" xfId="906" xr:uid="{00000000-0005-0000-0000-00002A0B0000}"/>
    <cellStyle name="Comma 5 4 4 2 3 2" xfId="2626" xr:uid="{00000000-0005-0000-0000-00002B0B0000}"/>
    <cellStyle name="Comma 5 4 4 2 3 2 2" xfId="16771" xr:uid="{00000000-0005-0000-0000-00002C0B0000}"/>
    <cellStyle name="Comma 5 4 4 2 3 2 3" xfId="13192" xr:uid="{00000000-0005-0000-0000-00002D0B0000}"/>
    <cellStyle name="Comma 5 4 4 2 3 2 4" xfId="7903" xr:uid="{00000000-0005-0000-0000-00002E0B0000}"/>
    <cellStyle name="Comma 5 4 4 2 3 3" xfId="3894" xr:uid="{00000000-0005-0000-0000-00002F0B0000}"/>
    <cellStyle name="Comma 5 4 4 2 3 3 2" xfId="17539" xr:uid="{00000000-0005-0000-0000-0000300B0000}"/>
    <cellStyle name="Comma 5 4 4 2 3 3 3" xfId="13960" xr:uid="{00000000-0005-0000-0000-0000310B0000}"/>
    <cellStyle name="Comma 5 4 4 2 3 3 4" xfId="8703" xr:uid="{00000000-0005-0000-0000-0000320B0000}"/>
    <cellStyle name="Comma 5 4 4 2 3 4" xfId="6310" xr:uid="{00000000-0005-0000-0000-0000330B0000}"/>
    <cellStyle name="Comma 5 4 4 2 3 4 2" xfId="15394" xr:uid="{00000000-0005-0000-0000-0000340B0000}"/>
    <cellStyle name="Comma 5 4 4 2 3 5" xfId="10157" xr:uid="{00000000-0005-0000-0000-0000350B0000}"/>
    <cellStyle name="Comma 5 4 4 2 3 5 2" xfId="18984" xr:uid="{00000000-0005-0000-0000-0000360B0000}"/>
    <cellStyle name="Comma 5 4 4 2 3 6" xfId="11603" xr:uid="{00000000-0005-0000-0000-0000370B0000}"/>
    <cellStyle name="Comma 5 4 4 2 3 7" xfId="5497" xr:uid="{00000000-0005-0000-0000-0000380B0000}"/>
    <cellStyle name="Comma 5 4 4 2 4" xfId="1626" xr:uid="{00000000-0005-0000-0000-0000390B0000}"/>
    <cellStyle name="Comma 5 4 4 2 4 2" xfId="3222" xr:uid="{00000000-0005-0000-0000-00003A0B0000}"/>
    <cellStyle name="Comma 5 4 4 2 4 2 2" xfId="18135" xr:uid="{00000000-0005-0000-0000-00003B0B0000}"/>
    <cellStyle name="Comma 5 4 4 2 4 2 3" xfId="14556" xr:uid="{00000000-0005-0000-0000-00003C0B0000}"/>
    <cellStyle name="Comma 5 4 4 2 4 2 4" xfId="9299" xr:uid="{00000000-0005-0000-0000-00003D0B0000}"/>
    <cellStyle name="Comma 5 4 4 2 4 3" xfId="10753" xr:uid="{00000000-0005-0000-0000-00003E0B0000}"/>
    <cellStyle name="Comma 5 4 4 2 4 3 2" xfId="19580" xr:uid="{00000000-0005-0000-0000-00003F0B0000}"/>
    <cellStyle name="Comma 5 4 4 2 4 4" xfId="12199" xr:uid="{00000000-0005-0000-0000-0000400B0000}"/>
    <cellStyle name="Comma 5 4 4 2 4 5" xfId="7194" xr:uid="{00000000-0005-0000-0000-0000410B0000}"/>
    <cellStyle name="Comma 5 4 4 2 5" xfId="2179" xr:uid="{00000000-0005-0000-0000-0000420B0000}"/>
    <cellStyle name="Comma 5 4 4 2 5 2" xfId="17092" xr:uid="{00000000-0005-0000-0000-0000430B0000}"/>
    <cellStyle name="Comma 5 4 4 2 5 3" xfId="13513" xr:uid="{00000000-0005-0000-0000-0000440B0000}"/>
    <cellStyle name="Comma 5 4 4 2 5 4" xfId="8256" xr:uid="{00000000-0005-0000-0000-0000450B0000}"/>
    <cellStyle name="Comma 5 4 4 2 6" xfId="5817" xr:uid="{00000000-0005-0000-0000-0000460B0000}"/>
    <cellStyle name="Comma 5 4 4 2 6 2" xfId="14903" xr:uid="{00000000-0005-0000-0000-0000470B0000}"/>
    <cellStyle name="Comma 5 4 4 2 7" xfId="9710" xr:uid="{00000000-0005-0000-0000-0000480B0000}"/>
    <cellStyle name="Comma 5 4 4 2 7 2" xfId="18537" xr:uid="{00000000-0005-0000-0000-0000490B0000}"/>
    <cellStyle name="Comma 5 4 4 2 8" xfId="11154" xr:uid="{00000000-0005-0000-0000-00004A0B0000}"/>
    <cellStyle name="Comma 5 4 4 2 9" xfId="4788" xr:uid="{00000000-0005-0000-0000-00004B0B0000}"/>
    <cellStyle name="Comma 5 4 4 3" xfId="547" xr:uid="{00000000-0005-0000-0000-00004C0B0000}"/>
    <cellStyle name="Comma 5 4 4 3 2" xfId="2277" xr:uid="{00000000-0005-0000-0000-00004D0B0000}"/>
    <cellStyle name="Comma 5 4 4 3 2 2" xfId="16003" xr:uid="{00000000-0005-0000-0000-00004E0B0000}"/>
    <cellStyle name="Comma 5 4 4 3 2 3" xfId="12384" xr:uid="{00000000-0005-0000-0000-00004F0B0000}"/>
    <cellStyle name="Comma 5 4 4 3 2 4" xfId="6989" xr:uid="{00000000-0005-0000-0000-0000500B0000}"/>
    <cellStyle name="Comma 5 4 4 3 3" xfId="3545" xr:uid="{00000000-0005-0000-0000-0000510B0000}"/>
    <cellStyle name="Comma 5 4 4 3 3 2" xfId="17190" xr:uid="{00000000-0005-0000-0000-0000520B0000}"/>
    <cellStyle name="Comma 5 4 4 3 3 3" xfId="13611" xr:uid="{00000000-0005-0000-0000-0000530B0000}"/>
    <cellStyle name="Comma 5 4 4 3 3 4" xfId="8354" xr:uid="{00000000-0005-0000-0000-0000540B0000}"/>
    <cellStyle name="Comma 5 4 4 3 4" xfId="6105" xr:uid="{00000000-0005-0000-0000-0000550B0000}"/>
    <cellStyle name="Comma 5 4 4 3 4 2" xfId="15189" xr:uid="{00000000-0005-0000-0000-0000560B0000}"/>
    <cellStyle name="Comma 5 4 4 3 5" xfId="9808" xr:uid="{00000000-0005-0000-0000-0000570B0000}"/>
    <cellStyle name="Comma 5 4 4 3 5 2" xfId="18635" xr:uid="{00000000-0005-0000-0000-0000580B0000}"/>
    <cellStyle name="Comma 5 4 4 3 6" xfId="11252" xr:uid="{00000000-0005-0000-0000-0000590B0000}"/>
    <cellStyle name="Comma 5 4 4 3 7" xfId="4583" xr:uid="{00000000-0005-0000-0000-00005A0B0000}"/>
    <cellStyle name="Comma 5 4 4 4" xfId="905" xr:uid="{00000000-0005-0000-0000-00005B0B0000}"/>
    <cellStyle name="Comma 5 4 4 4 2" xfId="2625" xr:uid="{00000000-0005-0000-0000-00005C0B0000}"/>
    <cellStyle name="Comma 5 4 4 4 2 2" xfId="16166" xr:uid="{00000000-0005-0000-0000-00005D0B0000}"/>
    <cellStyle name="Comma 5 4 4 4 2 3" xfId="12588" xr:uid="{00000000-0005-0000-0000-00005E0B0000}"/>
    <cellStyle name="Comma 5 4 4 4 2 4" xfId="7297" xr:uid="{00000000-0005-0000-0000-00005F0B0000}"/>
    <cellStyle name="Comma 5 4 4 4 3" xfId="3893" xr:uid="{00000000-0005-0000-0000-0000600B0000}"/>
    <cellStyle name="Comma 5 4 4 4 3 2" xfId="17538" xr:uid="{00000000-0005-0000-0000-0000610B0000}"/>
    <cellStyle name="Comma 5 4 4 4 3 3" xfId="13959" xr:uid="{00000000-0005-0000-0000-0000620B0000}"/>
    <cellStyle name="Comma 5 4 4 4 3 4" xfId="8702" xr:uid="{00000000-0005-0000-0000-0000630B0000}"/>
    <cellStyle name="Comma 5 4 4 4 4" xfId="6413" xr:uid="{00000000-0005-0000-0000-0000640B0000}"/>
    <cellStyle name="Comma 5 4 4 4 4 2" xfId="15497" xr:uid="{00000000-0005-0000-0000-0000650B0000}"/>
    <cellStyle name="Comma 5 4 4 4 5" xfId="10156" xr:uid="{00000000-0005-0000-0000-0000660B0000}"/>
    <cellStyle name="Comma 5 4 4 4 5 2" xfId="18983" xr:uid="{00000000-0005-0000-0000-0000670B0000}"/>
    <cellStyle name="Comma 5 4 4 4 6" xfId="11602" xr:uid="{00000000-0005-0000-0000-0000680B0000}"/>
    <cellStyle name="Comma 5 4 4 4 7" xfId="4891" xr:uid="{00000000-0005-0000-0000-0000690B0000}"/>
    <cellStyle name="Comma 5 4 4 5" xfId="1412" xr:uid="{00000000-0005-0000-0000-00006A0B0000}"/>
    <cellStyle name="Comma 5 4 4 5 2" xfId="3017" xr:uid="{00000000-0005-0000-0000-00006B0B0000}"/>
    <cellStyle name="Comma 5 4 4 5 2 2" xfId="16566" xr:uid="{00000000-0005-0000-0000-00006C0B0000}"/>
    <cellStyle name="Comma 5 4 4 5 2 3" xfId="12987" xr:uid="{00000000-0005-0000-0000-00006D0B0000}"/>
    <cellStyle name="Comma 5 4 4 5 2 4" xfId="7698" xr:uid="{00000000-0005-0000-0000-00006E0B0000}"/>
    <cellStyle name="Comma 5 4 4 5 3" xfId="4225" xr:uid="{00000000-0005-0000-0000-00006F0B0000}"/>
    <cellStyle name="Comma 5 4 4 5 3 2" xfId="17930" xr:uid="{00000000-0005-0000-0000-0000700B0000}"/>
    <cellStyle name="Comma 5 4 4 5 3 3" xfId="14351" xr:uid="{00000000-0005-0000-0000-0000710B0000}"/>
    <cellStyle name="Comma 5 4 4 5 3 4" xfId="9094" xr:uid="{00000000-0005-0000-0000-0000720B0000}"/>
    <cellStyle name="Comma 5 4 4 5 4" xfId="5991" xr:uid="{00000000-0005-0000-0000-0000730B0000}"/>
    <cellStyle name="Comma 5 4 4 5 4 2" xfId="15077" xr:uid="{00000000-0005-0000-0000-0000740B0000}"/>
    <cellStyle name="Comma 5 4 4 5 5" xfId="10548" xr:uid="{00000000-0005-0000-0000-0000750B0000}"/>
    <cellStyle name="Comma 5 4 4 5 5 2" xfId="19375" xr:uid="{00000000-0005-0000-0000-0000760B0000}"/>
    <cellStyle name="Comma 5 4 4 5 6" xfId="11994" xr:uid="{00000000-0005-0000-0000-0000770B0000}"/>
    <cellStyle name="Comma 5 4 4 5 7" xfId="5292" xr:uid="{00000000-0005-0000-0000-0000780B0000}"/>
    <cellStyle name="Comma 5 4 4 6" xfId="1974" xr:uid="{00000000-0005-0000-0000-0000790B0000}"/>
    <cellStyle name="Comma 5 4 4 6 2" xfId="15920" xr:uid="{00000000-0005-0000-0000-00007A0B0000}"/>
    <cellStyle name="Comma 5 4 4 6 3" xfId="12409" xr:uid="{00000000-0005-0000-0000-00007B0B0000}"/>
    <cellStyle name="Comma 5 4 4 6 4" xfId="6877" xr:uid="{00000000-0005-0000-0000-00007C0B0000}"/>
    <cellStyle name="Comma 5 4 4 7" xfId="3388" xr:uid="{00000000-0005-0000-0000-00007D0B0000}"/>
    <cellStyle name="Comma 5 4 4 7 2" xfId="16887" xr:uid="{00000000-0005-0000-0000-00007E0B0000}"/>
    <cellStyle name="Comma 5 4 4 7 3" xfId="13308" xr:uid="{00000000-0005-0000-0000-00007F0B0000}"/>
    <cellStyle name="Comma 5 4 4 7 4" xfId="8051" xr:uid="{00000000-0005-0000-0000-0000800B0000}"/>
    <cellStyle name="Comma 5 4 4 8" xfId="5612" xr:uid="{00000000-0005-0000-0000-0000810B0000}"/>
    <cellStyle name="Comma 5 4 4 8 2" xfId="14698" xr:uid="{00000000-0005-0000-0000-0000820B0000}"/>
    <cellStyle name="Comma 5 4 4 9" xfId="9505" xr:uid="{00000000-0005-0000-0000-0000830B0000}"/>
    <cellStyle name="Comma 5 4 4 9 2" xfId="18332" xr:uid="{00000000-0005-0000-0000-0000840B0000}"/>
    <cellStyle name="Comma 5 4 5" xfId="306" xr:uid="{00000000-0005-0000-0000-0000850B0000}"/>
    <cellStyle name="Comma 5 4 5 2" xfId="549" xr:uid="{00000000-0005-0000-0000-0000860B0000}"/>
    <cellStyle name="Comma 5 4 5 2 2" xfId="2279" xr:uid="{00000000-0005-0000-0000-0000870B0000}"/>
    <cellStyle name="Comma 5 4 5 2 2 2" xfId="16168" xr:uid="{00000000-0005-0000-0000-0000880B0000}"/>
    <cellStyle name="Comma 5 4 5 2 2 3" xfId="12590" xr:uid="{00000000-0005-0000-0000-0000890B0000}"/>
    <cellStyle name="Comma 5 4 5 2 2 4" xfId="7299" xr:uid="{00000000-0005-0000-0000-00008A0B0000}"/>
    <cellStyle name="Comma 5 4 5 2 3" xfId="3547" xr:uid="{00000000-0005-0000-0000-00008B0B0000}"/>
    <cellStyle name="Comma 5 4 5 2 3 2" xfId="17192" xr:uid="{00000000-0005-0000-0000-00008C0B0000}"/>
    <cellStyle name="Comma 5 4 5 2 3 3" xfId="13613" xr:uid="{00000000-0005-0000-0000-00008D0B0000}"/>
    <cellStyle name="Comma 5 4 5 2 3 4" xfId="8356" xr:uid="{00000000-0005-0000-0000-00008E0B0000}"/>
    <cellStyle name="Comma 5 4 5 2 4" xfId="6415" xr:uid="{00000000-0005-0000-0000-00008F0B0000}"/>
    <cellStyle name="Comma 5 4 5 2 4 2" xfId="15499" xr:uid="{00000000-0005-0000-0000-0000900B0000}"/>
    <cellStyle name="Comma 5 4 5 2 5" xfId="9810" xr:uid="{00000000-0005-0000-0000-0000910B0000}"/>
    <cellStyle name="Comma 5 4 5 2 5 2" xfId="18637" xr:uid="{00000000-0005-0000-0000-0000920B0000}"/>
    <cellStyle name="Comma 5 4 5 2 6" xfId="11254" xr:uid="{00000000-0005-0000-0000-0000930B0000}"/>
    <cellStyle name="Comma 5 4 5 2 7" xfId="4893" xr:uid="{00000000-0005-0000-0000-0000940B0000}"/>
    <cellStyle name="Comma 5 4 5 3" xfId="907" xr:uid="{00000000-0005-0000-0000-0000950B0000}"/>
    <cellStyle name="Comma 5 4 5 3 2" xfId="2627" xr:uid="{00000000-0005-0000-0000-0000960B0000}"/>
    <cellStyle name="Comma 5 4 5 3 2 2" xfId="16666" xr:uid="{00000000-0005-0000-0000-0000970B0000}"/>
    <cellStyle name="Comma 5 4 5 3 2 3" xfId="13087" xr:uid="{00000000-0005-0000-0000-0000980B0000}"/>
    <cellStyle name="Comma 5 4 5 3 2 4" xfId="7798" xr:uid="{00000000-0005-0000-0000-0000990B0000}"/>
    <cellStyle name="Comma 5 4 5 3 3" xfId="3895" xr:uid="{00000000-0005-0000-0000-00009A0B0000}"/>
    <cellStyle name="Comma 5 4 5 3 3 2" xfId="17540" xr:uid="{00000000-0005-0000-0000-00009B0B0000}"/>
    <cellStyle name="Comma 5 4 5 3 3 3" xfId="13961" xr:uid="{00000000-0005-0000-0000-00009C0B0000}"/>
    <cellStyle name="Comma 5 4 5 3 3 4" xfId="8704" xr:uid="{00000000-0005-0000-0000-00009D0B0000}"/>
    <cellStyle name="Comma 5 4 5 3 4" xfId="6205" xr:uid="{00000000-0005-0000-0000-00009E0B0000}"/>
    <cellStyle name="Comma 5 4 5 3 4 2" xfId="15289" xr:uid="{00000000-0005-0000-0000-00009F0B0000}"/>
    <cellStyle name="Comma 5 4 5 3 5" xfId="10158" xr:uid="{00000000-0005-0000-0000-0000A00B0000}"/>
    <cellStyle name="Comma 5 4 5 3 5 2" xfId="18985" xr:uid="{00000000-0005-0000-0000-0000A10B0000}"/>
    <cellStyle name="Comma 5 4 5 3 6" xfId="11604" xr:uid="{00000000-0005-0000-0000-0000A20B0000}"/>
    <cellStyle name="Comma 5 4 5 3 7" xfId="5392" xr:uid="{00000000-0005-0000-0000-0000A30B0000}"/>
    <cellStyle name="Comma 5 4 5 4" xfId="1518" xr:uid="{00000000-0005-0000-0000-0000A40B0000}"/>
    <cellStyle name="Comma 5 4 5 4 2" xfId="3117" xr:uid="{00000000-0005-0000-0000-0000A50B0000}"/>
    <cellStyle name="Comma 5 4 5 4 2 2" xfId="18030" xr:uid="{00000000-0005-0000-0000-0000A60B0000}"/>
    <cellStyle name="Comma 5 4 5 4 2 3" xfId="14451" xr:uid="{00000000-0005-0000-0000-0000A70B0000}"/>
    <cellStyle name="Comma 5 4 5 4 2 4" xfId="9194" xr:uid="{00000000-0005-0000-0000-0000A80B0000}"/>
    <cellStyle name="Comma 5 4 5 4 3" xfId="10648" xr:uid="{00000000-0005-0000-0000-0000A90B0000}"/>
    <cellStyle name="Comma 5 4 5 4 3 2" xfId="19475" xr:uid="{00000000-0005-0000-0000-0000AA0B0000}"/>
    <cellStyle name="Comma 5 4 5 4 4" xfId="12094" xr:uid="{00000000-0005-0000-0000-0000AB0B0000}"/>
    <cellStyle name="Comma 5 4 5 4 5" xfId="7089" xr:uid="{00000000-0005-0000-0000-0000AC0B0000}"/>
    <cellStyle name="Comma 5 4 5 5" xfId="2074" xr:uid="{00000000-0005-0000-0000-0000AD0B0000}"/>
    <cellStyle name="Comma 5 4 5 5 2" xfId="16987" xr:uid="{00000000-0005-0000-0000-0000AE0B0000}"/>
    <cellStyle name="Comma 5 4 5 5 3" xfId="13408" xr:uid="{00000000-0005-0000-0000-0000AF0B0000}"/>
    <cellStyle name="Comma 5 4 5 5 4" xfId="8151" xr:uid="{00000000-0005-0000-0000-0000B00B0000}"/>
    <cellStyle name="Comma 5 4 5 6" xfId="5712" xr:uid="{00000000-0005-0000-0000-0000B10B0000}"/>
    <cellStyle name="Comma 5 4 5 6 2" xfId="14798" xr:uid="{00000000-0005-0000-0000-0000B20B0000}"/>
    <cellStyle name="Comma 5 4 5 7" xfId="9605" xr:uid="{00000000-0005-0000-0000-0000B30B0000}"/>
    <cellStyle name="Comma 5 4 5 7 2" xfId="18432" xr:uid="{00000000-0005-0000-0000-0000B40B0000}"/>
    <cellStyle name="Comma 5 4 5 8" xfId="11049" xr:uid="{00000000-0005-0000-0000-0000B50B0000}"/>
    <cellStyle name="Comma 5 4 5 9" xfId="4683" xr:uid="{00000000-0005-0000-0000-0000B60B0000}"/>
    <cellStyle name="Comma 5 4 6" xfId="487" xr:uid="{00000000-0005-0000-0000-0000B70B0000}"/>
    <cellStyle name="Comma 5 4 6 2" xfId="550" xr:uid="{00000000-0005-0000-0000-0000B80B0000}"/>
    <cellStyle name="Comma 5 4 6 2 2" xfId="2280" xr:uid="{00000000-0005-0000-0000-0000B90B0000}"/>
    <cellStyle name="Comma 5 4 6 2 2 2" xfId="16169" xr:uid="{00000000-0005-0000-0000-0000BA0B0000}"/>
    <cellStyle name="Comma 5 4 6 2 2 3" xfId="12591" xr:uid="{00000000-0005-0000-0000-0000BB0B0000}"/>
    <cellStyle name="Comma 5 4 6 2 2 4" xfId="7300" xr:uid="{00000000-0005-0000-0000-0000BC0B0000}"/>
    <cellStyle name="Comma 5 4 6 2 3" xfId="3548" xr:uid="{00000000-0005-0000-0000-0000BD0B0000}"/>
    <cellStyle name="Comma 5 4 6 2 3 2" xfId="17193" xr:uid="{00000000-0005-0000-0000-0000BE0B0000}"/>
    <cellStyle name="Comma 5 4 6 2 3 3" xfId="13614" xr:uid="{00000000-0005-0000-0000-0000BF0B0000}"/>
    <cellStyle name="Comma 5 4 6 2 3 4" xfId="8357" xr:uid="{00000000-0005-0000-0000-0000C00B0000}"/>
    <cellStyle name="Comma 5 4 6 2 4" xfId="6416" xr:uid="{00000000-0005-0000-0000-0000C10B0000}"/>
    <cellStyle name="Comma 5 4 6 2 4 2" xfId="15500" xr:uid="{00000000-0005-0000-0000-0000C20B0000}"/>
    <cellStyle name="Comma 5 4 6 2 5" xfId="9811" xr:uid="{00000000-0005-0000-0000-0000C30B0000}"/>
    <cellStyle name="Comma 5 4 6 2 5 2" xfId="18638" xr:uid="{00000000-0005-0000-0000-0000C40B0000}"/>
    <cellStyle name="Comma 5 4 6 2 6" xfId="11255" xr:uid="{00000000-0005-0000-0000-0000C50B0000}"/>
    <cellStyle name="Comma 5 4 6 2 7" xfId="4894" xr:uid="{00000000-0005-0000-0000-0000C60B0000}"/>
    <cellStyle name="Comma 5 4 6 3" xfId="908" xr:uid="{00000000-0005-0000-0000-0000C70B0000}"/>
    <cellStyle name="Comma 5 4 6 3 2" xfId="2628" xr:uid="{00000000-0005-0000-0000-0000C80B0000}"/>
    <cellStyle name="Comma 5 4 6 3 2 2" xfId="16541" xr:uid="{00000000-0005-0000-0000-0000C90B0000}"/>
    <cellStyle name="Comma 5 4 6 3 2 3" xfId="12962" xr:uid="{00000000-0005-0000-0000-0000CA0B0000}"/>
    <cellStyle name="Comma 5 4 6 3 2 4" xfId="7673" xr:uid="{00000000-0005-0000-0000-0000CB0B0000}"/>
    <cellStyle name="Comma 5 4 6 3 3" xfId="3896" xr:uid="{00000000-0005-0000-0000-0000CC0B0000}"/>
    <cellStyle name="Comma 5 4 6 3 3 2" xfId="17541" xr:uid="{00000000-0005-0000-0000-0000CD0B0000}"/>
    <cellStyle name="Comma 5 4 6 3 3 3" xfId="13962" xr:uid="{00000000-0005-0000-0000-0000CE0B0000}"/>
    <cellStyle name="Comma 5 4 6 3 3 4" xfId="8705" xr:uid="{00000000-0005-0000-0000-0000CF0B0000}"/>
    <cellStyle name="Comma 5 4 6 3 4" xfId="6720" xr:uid="{00000000-0005-0000-0000-0000D00B0000}"/>
    <cellStyle name="Comma 5 4 6 3 4 2" xfId="15803" xr:uid="{00000000-0005-0000-0000-0000D10B0000}"/>
    <cellStyle name="Comma 5 4 6 3 5" xfId="10159" xr:uid="{00000000-0005-0000-0000-0000D20B0000}"/>
    <cellStyle name="Comma 5 4 6 3 5 2" xfId="18986" xr:uid="{00000000-0005-0000-0000-0000D30B0000}"/>
    <cellStyle name="Comma 5 4 6 3 6" xfId="11605" xr:uid="{00000000-0005-0000-0000-0000D40B0000}"/>
    <cellStyle name="Comma 5 4 6 3 7" xfId="5267" xr:uid="{00000000-0005-0000-0000-0000D50B0000}"/>
    <cellStyle name="Comma 5 4 6 4" xfId="1383" xr:uid="{00000000-0005-0000-0000-0000D60B0000}"/>
    <cellStyle name="Comma 5 4 6 4 2" xfId="2992" xr:uid="{00000000-0005-0000-0000-0000D70B0000}"/>
    <cellStyle name="Comma 5 4 6 4 2 2" xfId="17905" xr:uid="{00000000-0005-0000-0000-0000D80B0000}"/>
    <cellStyle name="Comma 5 4 6 4 2 3" xfId="14326" xr:uid="{00000000-0005-0000-0000-0000D90B0000}"/>
    <cellStyle name="Comma 5 4 6 4 2 4" xfId="9069" xr:uid="{00000000-0005-0000-0000-0000DA0B0000}"/>
    <cellStyle name="Comma 5 4 6 4 3" xfId="10523" xr:uid="{00000000-0005-0000-0000-0000DB0B0000}"/>
    <cellStyle name="Comma 5 4 6 4 3 2" xfId="19350" xr:uid="{00000000-0005-0000-0000-0000DC0B0000}"/>
    <cellStyle name="Comma 5 4 6 4 4" xfId="11969" xr:uid="{00000000-0005-0000-0000-0000DD0B0000}"/>
    <cellStyle name="Comma 5 4 6 4 5" xfId="6964" xr:uid="{00000000-0005-0000-0000-0000DE0B0000}"/>
    <cellStyle name="Comma 5 4 6 5" xfId="1949" xr:uid="{00000000-0005-0000-0000-0000DF0B0000}"/>
    <cellStyle name="Comma 5 4 6 5 2" xfId="16860" xr:uid="{00000000-0005-0000-0000-0000E00B0000}"/>
    <cellStyle name="Comma 5 4 6 5 3" xfId="13281" xr:uid="{00000000-0005-0000-0000-0000E10B0000}"/>
    <cellStyle name="Comma 5 4 6 5 4" xfId="8024" xr:uid="{00000000-0005-0000-0000-0000E20B0000}"/>
    <cellStyle name="Comma 5 4 6 6" xfId="6080" xr:uid="{00000000-0005-0000-0000-0000E30B0000}"/>
    <cellStyle name="Comma 5 4 6 6 2" xfId="15164" xr:uid="{00000000-0005-0000-0000-0000E40B0000}"/>
    <cellStyle name="Comma 5 4 6 7" xfId="9480" xr:uid="{00000000-0005-0000-0000-0000E50B0000}"/>
    <cellStyle name="Comma 5 4 6 7 2" xfId="18307" xr:uid="{00000000-0005-0000-0000-0000E60B0000}"/>
    <cellStyle name="Comma 5 4 6 8" xfId="10924" xr:uid="{00000000-0005-0000-0000-0000E70B0000}"/>
    <cellStyle name="Comma 5 4 6 9" xfId="4558" xr:uid="{00000000-0005-0000-0000-0000E80B0000}"/>
    <cellStyle name="Comma 5 4 7" xfId="541" xr:uid="{00000000-0005-0000-0000-0000E90B0000}"/>
    <cellStyle name="Comma 5 4 7 2" xfId="2271" xr:uid="{00000000-0005-0000-0000-0000EA0B0000}"/>
    <cellStyle name="Comma 5 4 7 2 2" xfId="16160" xr:uid="{00000000-0005-0000-0000-0000EB0B0000}"/>
    <cellStyle name="Comma 5 4 7 2 3" xfId="12582" xr:uid="{00000000-0005-0000-0000-0000EC0B0000}"/>
    <cellStyle name="Comma 5 4 7 2 4" xfId="7291" xr:uid="{00000000-0005-0000-0000-0000ED0B0000}"/>
    <cellStyle name="Comma 5 4 7 3" xfId="3539" xr:uid="{00000000-0005-0000-0000-0000EE0B0000}"/>
    <cellStyle name="Comma 5 4 7 3 2" xfId="17184" xr:uid="{00000000-0005-0000-0000-0000EF0B0000}"/>
    <cellStyle name="Comma 5 4 7 3 3" xfId="13605" xr:uid="{00000000-0005-0000-0000-0000F00B0000}"/>
    <cellStyle name="Comma 5 4 7 3 4" xfId="8348" xr:uid="{00000000-0005-0000-0000-0000F10B0000}"/>
    <cellStyle name="Comma 5 4 7 4" xfId="6407" xr:uid="{00000000-0005-0000-0000-0000F20B0000}"/>
    <cellStyle name="Comma 5 4 7 4 2" xfId="15491" xr:uid="{00000000-0005-0000-0000-0000F30B0000}"/>
    <cellStyle name="Comma 5 4 7 5" xfId="9802" xr:uid="{00000000-0005-0000-0000-0000F40B0000}"/>
    <cellStyle name="Comma 5 4 7 5 2" xfId="18629" xr:uid="{00000000-0005-0000-0000-0000F50B0000}"/>
    <cellStyle name="Comma 5 4 7 6" xfId="11246" xr:uid="{00000000-0005-0000-0000-0000F60B0000}"/>
    <cellStyle name="Comma 5 4 7 7" xfId="4885" xr:uid="{00000000-0005-0000-0000-0000F70B0000}"/>
    <cellStyle name="Comma 5 4 8" xfId="899" xr:uid="{00000000-0005-0000-0000-0000F80B0000}"/>
    <cellStyle name="Comma 5 4 8 2" xfId="2619" xr:uid="{00000000-0005-0000-0000-0000F90B0000}"/>
    <cellStyle name="Comma 5 4 8 2 2" xfId="16496" xr:uid="{00000000-0005-0000-0000-0000FA0B0000}"/>
    <cellStyle name="Comma 5 4 8 2 3" xfId="12918" xr:uid="{00000000-0005-0000-0000-0000FB0B0000}"/>
    <cellStyle name="Comma 5 4 8 2 4" xfId="7628" xr:uid="{00000000-0005-0000-0000-0000FC0B0000}"/>
    <cellStyle name="Comma 5 4 8 3" xfId="3887" xr:uid="{00000000-0005-0000-0000-0000FD0B0000}"/>
    <cellStyle name="Comma 5 4 8 3 2" xfId="17532" xr:uid="{00000000-0005-0000-0000-0000FE0B0000}"/>
    <cellStyle name="Comma 5 4 8 3 3" xfId="13953" xr:uid="{00000000-0005-0000-0000-0000FF0B0000}"/>
    <cellStyle name="Comma 5 4 8 3 4" xfId="8696" xr:uid="{00000000-0005-0000-0000-0000000C0000}"/>
    <cellStyle name="Comma 5 4 8 4" xfId="5885" xr:uid="{00000000-0005-0000-0000-0000010C0000}"/>
    <cellStyle name="Comma 5 4 8 4 2" xfId="14971" xr:uid="{00000000-0005-0000-0000-0000020C0000}"/>
    <cellStyle name="Comma 5 4 8 5" xfId="10150" xr:uid="{00000000-0005-0000-0000-0000030C0000}"/>
    <cellStyle name="Comma 5 4 8 5 2" xfId="18977" xr:uid="{00000000-0005-0000-0000-0000040C0000}"/>
    <cellStyle name="Comma 5 4 8 6" xfId="11596" xr:uid="{00000000-0005-0000-0000-0000050C0000}"/>
    <cellStyle name="Comma 5 4 8 7" xfId="5222" xr:uid="{00000000-0005-0000-0000-0000060C0000}"/>
    <cellStyle name="Comma 5 4 9" xfId="1334" xr:uid="{00000000-0005-0000-0000-0000070C0000}"/>
    <cellStyle name="Comma 5 4 9 2" xfId="2947" xr:uid="{00000000-0005-0000-0000-0000080C0000}"/>
    <cellStyle name="Comma 5 4 9 2 2" xfId="17860" xr:uid="{00000000-0005-0000-0000-0000090C0000}"/>
    <cellStyle name="Comma 5 4 9 2 3" xfId="14281" xr:uid="{00000000-0005-0000-0000-00000A0C0000}"/>
    <cellStyle name="Comma 5 4 9 2 4" xfId="9024" xr:uid="{00000000-0005-0000-0000-00000B0C0000}"/>
    <cellStyle name="Comma 5 4 9 3" xfId="10478" xr:uid="{00000000-0005-0000-0000-00000C0C0000}"/>
    <cellStyle name="Comma 5 4 9 3 2" xfId="19305" xr:uid="{00000000-0005-0000-0000-00000D0C0000}"/>
    <cellStyle name="Comma 5 4 9 4" xfId="11924" xr:uid="{00000000-0005-0000-0000-00000E0C0000}"/>
    <cellStyle name="Comma 5 4 9 5" xfId="6772" xr:uid="{00000000-0005-0000-0000-00000F0C0000}"/>
    <cellStyle name="Comma 5 5" xfId="141" xr:uid="{00000000-0005-0000-0000-0000100C0000}"/>
    <cellStyle name="Comma 5 5 10" xfId="5565" xr:uid="{00000000-0005-0000-0000-0000110C0000}"/>
    <cellStyle name="Comma 5 5 10 2" xfId="14651" xr:uid="{00000000-0005-0000-0000-0000120C0000}"/>
    <cellStyle name="Comma 5 5 11" xfId="9385" xr:uid="{00000000-0005-0000-0000-0000130C0000}"/>
    <cellStyle name="Comma 5 5 11 2" xfId="18212" xr:uid="{00000000-0005-0000-0000-0000140C0000}"/>
    <cellStyle name="Comma 5 5 12" xfId="10825" xr:uid="{00000000-0005-0000-0000-0000150C0000}"/>
    <cellStyle name="Comma 5 5 13" xfId="4378" xr:uid="{00000000-0005-0000-0000-0000160C0000}"/>
    <cellStyle name="Comma 5 5 2" xfId="253" xr:uid="{00000000-0005-0000-0000-0000170C0000}"/>
    <cellStyle name="Comma 5 5 2 10" xfId="11004" xr:uid="{00000000-0005-0000-0000-0000180C0000}"/>
    <cellStyle name="Comma 5 5 2 11" xfId="4421" xr:uid="{00000000-0005-0000-0000-0000190C0000}"/>
    <cellStyle name="Comma 5 5 2 2" xfId="361" xr:uid="{00000000-0005-0000-0000-00001A0C0000}"/>
    <cellStyle name="Comma 5 5 2 2 2" xfId="553" xr:uid="{00000000-0005-0000-0000-00001B0C0000}"/>
    <cellStyle name="Comma 5 5 2 2 2 2" xfId="2283" xr:uid="{00000000-0005-0000-0000-00001C0C0000}"/>
    <cellStyle name="Comma 5 5 2 2 2 2 2" xfId="16172" xr:uid="{00000000-0005-0000-0000-00001D0C0000}"/>
    <cellStyle name="Comma 5 5 2 2 2 2 3" xfId="12594" xr:uid="{00000000-0005-0000-0000-00001E0C0000}"/>
    <cellStyle name="Comma 5 5 2 2 2 2 4" xfId="7303" xr:uid="{00000000-0005-0000-0000-00001F0C0000}"/>
    <cellStyle name="Comma 5 5 2 2 2 3" xfId="3551" xr:uid="{00000000-0005-0000-0000-0000200C0000}"/>
    <cellStyle name="Comma 5 5 2 2 2 3 2" xfId="17196" xr:uid="{00000000-0005-0000-0000-0000210C0000}"/>
    <cellStyle name="Comma 5 5 2 2 2 3 3" xfId="13617" xr:uid="{00000000-0005-0000-0000-0000220C0000}"/>
    <cellStyle name="Comma 5 5 2 2 2 3 4" xfId="8360" xr:uid="{00000000-0005-0000-0000-0000230C0000}"/>
    <cellStyle name="Comma 5 5 2 2 2 4" xfId="6419" xr:uid="{00000000-0005-0000-0000-0000240C0000}"/>
    <cellStyle name="Comma 5 5 2 2 2 4 2" xfId="15503" xr:uid="{00000000-0005-0000-0000-0000250C0000}"/>
    <cellStyle name="Comma 5 5 2 2 2 5" xfId="9814" xr:uid="{00000000-0005-0000-0000-0000260C0000}"/>
    <cellStyle name="Comma 5 5 2 2 2 5 2" xfId="18641" xr:uid="{00000000-0005-0000-0000-0000270C0000}"/>
    <cellStyle name="Comma 5 5 2 2 2 6" xfId="11258" xr:uid="{00000000-0005-0000-0000-0000280C0000}"/>
    <cellStyle name="Comma 5 5 2 2 2 7" xfId="4897" xr:uid="{00000000-0005-0000-0000-0000290C0000}"/>
    <cellStyle name="Comma 5 5 2 2 3" xfId="911" xr:uid="{00000000-0005-0000-0000-00002A0C0000}"/>
    <cellStyle name="Comma 5 5 2 2 3 2" xfId="2631" xr:uid="{00000000-0005-0000-0000-00002B0C0000}"/>
    <cellStyle name="Comma 5 5 2 2 3 2 2" xfId="16721" xr:uid="{00000000-0005-0000-0000-00002C0C0000}"/>
    <cellStyle name="Comma 5 5 2 2 3 2 3" xfId="13142" xr:uid="{00000000-0005-0000-0000-00002D0C0000}"/>
    <cellStyle name="Comma 5 5 2 2 3 2 4" xfId="7853" xr:uid="{00000000-0005-0000-0000-00002E0C0000}"/>
    <cellStyle name="Comma 5 5 2 2 3 3" xfId="3899" xr:uid="{00000000-0005-0000-0000-00002F0C0000}"/>
    <cellStyle name="Comma 5 5 2 2 3 3 2" xfId="17544" xr:uid="{00000000-0005-0000-0000-0000300C0000}"/>
    <cellStyle name="Comma 5 5 2 2 3 3 3" xfId="13965" xr:uid="{00000000-0005-0000-0000-0000310C0000}"/>
    <cellStyle name="Comma 5 5 2 2 3 3 4" xfId="8708" xr:uid="{00000000-0005-0000-0000-0000320C0000}"/>
    <cellStyle name="Comma 5 5 2 2 3 4" xfId="6260" xr:uid="{00000000-0005-0000-0000-0000330C0000}"/>
    <cellStyle name="Comma 5 5 2 2 3 4 2" xfId="15344" xr:uid="{00000000-0005-0000-0000-0000340C0000}"/>
    <cellStyle name="Comma 5 5 2 2 3 5" xfId="10162" xr:uid="{00000000-0005-0000-0000-0000350C0000}"/>
    <cellStyle name="Comma 5 5 2 2 3 5 2" xfId="18989" xr:uid="{00000000-0005-0000-0000-0000360C0000}"/>
    <cellStyle name="Comma 5 5 2 2 3 6" xfId="11608" xr:uid="{00000000-0005-0000-0000-0000370C0000}"/>
    <cellStyle name="Comma 5 5 2 2 3 7" xfId="5447" xr:uid="{00000000-0005-0000-0000-0000380C0000}"/>
    <cellStyle name="Comma 5 5 2 2 4" xfId="1574" xr:uid="{00000000-0005-0000-0000-0000390C0000}"/>
    <cellStyle name="Comma 5 5 2 2 4 2" xfId="3172" xr:uid="{00000000-0005-0000-0000-00003A0C0000}"/>
    <cellStyle name="Comma 5 5 2 2 4 2 2" xfId="18085" xr:uid="{00000000-0005-0000-0000-00003B0C0000}"/>
    <cellStyle name="Comma 5 5 2 2 4 2 3" xfId="14506" xr:uid="{00000000-0005-0000-0000-00003C0C0000}"/>
    <cellStyle name="Comma 5 5 2 2 4 2 4" xfId="9249" xr:uid="{00000000-0005-0000-0000-00003D0C0000}"/>
    <cellStyle name="Comma 5 5 2 2 4 3" xfId="10703" xr:uid="{00000000-0005-0000-0000-00003E0C0000}"/>
    <cellStyle name="Comma 5 5 2 2 4 3 2" xfId="19530" xr:uid="{00000000-0005-0000-0000-00003F0C0000}"/>
    <cellStyle name="Comma 5 5 2 2 4 4" xfId="12149" xr:uid="{00000000-0005-0000-0000-0000400C0000}"/>
    <cellStyle name="Comma 5 5 2 2 4 5" xfId="7144" xr:uid="{00000000-0005-0000-0000-0000410C0000}"/>
    <cellStyle name="Comma 5 5 2 2 5" xfId="2129" xr:uid="{00000000-0005-0000-0000-0000420C0000}"/>
    <cellStyle name="Comma 5 5 2 2 5 2" xfId="17042" xr:uid="{00000000-0005-0000-0000-0000430C0000}"/>
    <cellStyle name="Comma 5 5 2 2 5 3" xfId="13463" xr:uid="{00000000-0005-0000-0000-0000440C0000}"/>
    <cellStyle name="Comma 5 5 2 2 5 4" xfId="8206" xr:uid="{00000000-0005-0000-0000-0000450C0000}"/>
    <cellStyle name="Comma 5 5 2 2 6" xfId="5767" xr:uid="{00000000-0005-0000-0000-0000460C0000}"/>
    <cellStyle name="Comma 5 5 2 2 6 2" xfId="14853" xr:uid="{00000000-0005-0000-0000-0000470C0000}"/>
    <cellStyle name="Comma 5 5 2 2 7" xfId="9660" xr:uid="{00000000-0005-0000-0000-0000480C0000}"/>
    <cellStyle name="Comma 5 5 2 2 7 2" xfId="18487" xr:uid="{00000000-0005-0000-0000-0000490C0000}"/>
    <cellStyle name="Comma 5 5 2 2 8" xfId="11104" xr:uid="{00000000-0005-0000-0000-00004A0C0000}"/>
    <cellStyle name="Comma 5 5 2 2 9" xfId="4738" xr:uid="{00000000-0005-0000-0000-00004B0C0000}"/>
    <cellStyle name="Comma 5 5 2 3" xfId="552" xr:uid="{00000000-0005-0000-0000-00004C0C0000}"/>
    <cellStyle name="Comma 5 5 2 3 2" xfId="2282" xr:uid="{00000000-0005-0000-0000-00004D0C0000}"/>
    <cellStyle name="Comma 5 5 2 3 2 2" xfId="16058" xr:uid="{00000000-0005-0000-0000-00004E0C0000}"/>
    <cellStyle name="Comma 5 5 2 3 2 3" xfId="12498" xr:uid="{00000000-0005-0000-0000-00004F0C0000}"/>
    <cellStyle name="Comma 5 5 2 3 2 4" xfId="7044" xr:uid="{00000000-0005-0000-0000-0000500C0000}"/>
    <cellStyle name="Comma 5 5 2 3 3" xfId="3550" xr:uid="{00000000-0005-0000-0000-0000510C0000}"/>
    <cellStyle name="Comma 5 5 2 3 3 2" xfId="17195" xr:uid="{00000000-0005-0000-0000-0000520C0000}"/>
    <cellStyle name="Comma 5 5 2 3 3 3" xfId="13616" xr:uid="{00000000-0005-0000-0000-0000530C0000}"/>
    <cellStyle name="Comma 5 5 2 3 3 4" xfId="8359" xr:uid="{00000000-0005-0000-0000-0000540C0000}"/>
    <cellStyle name="Comma 5 5 2 3 4" xfId="6160" xr:uid="{00000000-0005-0000-0000-0000550C0000}"/>
    <cellStyle name="Comma 5 5 2 3 4 2" xfId="15244" xr:uid="{00000000-0005-0000-0000-0000560C0000}"/>
    <cellStyle name="Comma 5 5 2 3 5" xfId="9813" xr:uid="{00000000-0005-0000-0000-0000570C0000}"/>
    <cellStyle name="Comma 5 5 2 3 5 2" xfId="18640" xr:uid="{00000000-0005-0000-0000-0000580C0000}"/>
    <cellStyle name="Comma 5 5 2 3 6" xfId="11257" xr:uid="{00000000-0005-0000-0000-0000590C0000}"/>
    <cellStyle name="Comma 5 5 2 3 7" xfId="4638" xr:uid="{00000000-0005-0000-0000-00005A0C0000}"/>
    <cellStyle name="Comma 5 5 2 4" xfId="910" xr:uid="{00000000-0005-0000-0000-00005B0C0000}"/>
    <cellStyle name="Comma 5 5 2 4 2" xfId="2630" xr:uid="{00000000-0005-0000-0000-00005C0C0000}"/>
    <cellStyle name="Comma 5 5 2 4 2 2" xfId="16171" xr:uid="{00000000-0005-0000-0000-00005D0C0000}"/>
    <cellStyle name="Comma 5 5 2 4 2 3" xfId="12593" xr:uid="{00000000-0005-0000-0000-00005E0C0000}"/>
    <cellStyle name="Comma 5 5 2 4 2 4" xfId="7302" xr:uid="{00000000-0005-0000-0000-00005F0C0000}"/>
    <cellStyle name="Comma 5 5 2 4 3" xfId="3898" xr:uid="{00000000-0005-0000-0000-0000600C0000}"/>
    <cellStyle name="Comma 5 5 2 4 3 2" xfId="17543" xr:uid="{00000000-0005-0000-0000-0000610C0000}"/>
    <cellStyle name="Comma 5 5 2 4 3 3" xfId="13964" xr:uid="{00000000-0005-0000-0000-0000620C0000}"/>
    <cellStyle name="Comma 5 5 2 4 3 4" xfId="8707" xr:uid="{00000000-0005-0000-0000-0000630C0000}"/>
    <cellStyle name="Comma 5 5 2 4 4" xfId="6418" xr:uid="{00000000-0005-0000-0000-0000640C0000}"/>
    <cellStyle name="Comma 5 5 2 4 4 2" xfId="15502" xr:uid="{00000000-0005-0000-0000-0000650C0000}"/>
    <cellStyle name="Comma 5 5 2 4 5" xfId="10161" xr:uid="{00000000-0005-0000-0000-0000660C0000}"/>
    <cellStyle name="Comma 5 5 2 4 5 2" xfId="18988" xr:uid="{00000000-0005-0000-0000-0000670C0000}"/>
    <cellStyle name="Comma 5 5 2 4 6" xfId="11607" xr:uid="{00000000-0005-0000-0000-0000680C0000}"/>
    <cellStyle name="Comma 5 5 2 4 7" xfId="4896" xr:uid="{00000000-0005-0000-0000-0000690C0000}"/>
    <cellStyle name="Comma 5 5 2 5" xfId="1472" xr:uid="{00000000-0005-0000-0000-00006A0C0000}"/>
    <cellStyle name="Comma 5 5 2 5 2" xfId="3072" xr:uid="{00000000-0005-0000-0000-00006B0C0000}"/>
    <cellStyle name="Comma 5 5 2 5 2 2" xfId="16621" xr:uid="{00000000-0005-0000-0000-00006C0C0000}"/>
    <cellStyle name="Comma 5 5 2 5 2 3" xfId="13042" xr:uid="{00000000-0005-0000-0000-00006D0C0000}"/>
    <cellStyle name="Comma 5 5 2 5 2 4" xfId="7753" xr:uid="{00000000-0005-0000-0000-00006E0C0000}"/>
    <cellStyle name="Comma 5 5 2 5 3" xfId="4280" xr:uid="{00000000-0005-0000-0000-00006F0C0000}"/>
    <cellStyle name="Comma 5 5 2 5 3 2" xfId="17985" xr:uid="{00000000-0005-0000-0000-0000700C0000}"/>
    <cellStyle name="Comma 5 5 2 5 3 3" xfId="14406" xr:uid="{00000000-0005-0000-0000-0000710C0000}"/>
    <cellStyle name="Comma 5 5 2 5 3 4" xfId="9149" xr:uid="{00000000-0005-0000-0000-0000720C0000}"/>
    <cellStyle name="Comma 5 5 2 5 4" xfId="5941" xr:uid="{00000000-0005-0000-0000-0000730C0000}"/>
    <cellStyle name="Comma 5 5 2 5 4 2" xfId="15027" xr:uid="{00000000-0005-0000-0000-0000740C0000}"/>
    <cellStyle name="Comma 5 5 2 5 5" xfId="10603" xr:uid="{00000000-0005-0000-0000-0000750C0000}"/>
    <cellStyle name="Comma 5 5 2 5 5 2" xfId="19430" xr:uid="{00000000-0005-0000-0000-0000760C0000}"/>
    <cellStyle name="Comma 5 5 2 5 6" xfId="12049" xr:uid="{00000000-0005-0000-0000-0000770C0000}"/>
    <cellStyle name="Comma 5 5 2 5 7" xfId="5347" xr:uid="{00000000-0005-0000-0000-0000780C0000}"/>
    <cellStyle name="Comma 5 5 2 6" xfId="2029" xr:uid="{00000000-0005-0000-0000-0000790C0000}"/>
    <cellStyle name="Comma 5 5 2 6 2" xfId="15870" xr:uid="{00000000-0005-0000-0000-00007A0C0000}"/>
    <cellStyle name="Comma 5 5 2 6 3" xfId="12362" xr:uid="{00000000-0005-0000-0000-00007B0C0000}"/>
    <cellStyle name="Comma 5 5 2 6 4" xfId="6827" xr:uid="{00000000-0005-0000-0000-00007C0C0000}"/>
    <cellStyle name="Comma 5 5 2 7" xfId="3442" xr:uid="{00000000-0005-0000-0000-00007D0C0000}"/>
    <cellStyle name="Comma 5 5 2 7 2" xfId="16942" xr:uid="{00000000-0005-0000-0000-00007E0C0000}"/>
    <cellStyle name="Comma 5 5 2 7 3" xfId="13363" xr:uid="{00000000-0005-0000-0000-00007F0C0000}"/>
    <cellStyle name="Comma 5 5 2 7 4" xfId="8106" xr:uid="{00000000-0005-0000-0000-0000800C0000}"/>
    <cellStyle name="Comma 5 5 2 8" xfId="5667" xr:uid="{00000000-0005-0000-0000-0000810C0000}"/>
    <cellStyle name="Comma 5 5 2 8 2" xfId="14753" xr:uid="{00000000-0005-0000-0000-0000820C0000}"/>
    <cellStyle name="Comma 5 5 2 9" xfId="9560" xr:uid="{00000000-0005-0000-0000-0000830C0000}"/>
    <cellStyle name="Comma 5 5 2 9 2" xfId="18387" xr:uid="{00000000-0005-0000-0000-0000840C0000}"/>
    <cellStyle name="Comma 5 5 3" xfId="210" xr:uid="{00000000-0005-0000-0000-0000850C0000}"/>
    <cellStyle name="Comma 5 5 3 10" xfId="10961" xr:uid="{00000000-0005-0000-0000-0000860C0000}"/>
    <cellStyle name="Comma 5 5 3 11" xfId="4483" xr:uid="{00000000-0005-0000-0000-0000870C0000}"/>
    <cellStyle name="Comma 5 5 3 2" xfId="424" xr:uid="{00000000-0005-0000-0000-0000880C0000}"/>
    <cellStyle name="Comma 5 5 3 2 2" xfId="555" xr:uid="{00000000-0005-0000-0000-0000890C0000}"/>
    <cellStyle name="Comma 5 5 3 2 2 2" xfId="2285" xr:uid="{00000000-0005-0000-0000-00008A0C0000}"/>
    <cellStyle name="Comma 5 5 3 2 2 2 2" xfId="16174" xr:uid="{00000000-0005-0000-0000-00008B0C0000}"/>
    <cellStyle name="Comma 5 5 3 2 2 2 3" xfId="12596" xr:uid="{00000000-0005-0000-0000-00008C0C0000}"/>
    <cellStyle name="Comma 5 5 3 2 2 2 4" xfId="7305" xr:uid="{00000000-0005-0000-0000-00008D0C0000}"/>
    <cellStyle name="Comma 5 5 3 2 2 3" xfId="3553" xr:uid="{00000000-0005-0000-0000-00008E0C0000}"/>
    <cellStyle name="Comma 5 5 3 2 2 3 2" xfId="17198" xr:uid="{00000000-0005-0000-0000-00008F0C0000}"/>
    <cellStyle name="Comma 5 5 3 2 2 3 3" xfId="13619" xr:uid="{00000000-0005-0000-0000-0000900C0000}"/>
    <cellStyle name="Comma 5 5 3 2 2 3 4" xfId="8362" xr:uid="{00000000-0005-0000-0000-0000910C0000}"/>
    <cellStyle name="Comma 5 5 3 2 2 4" xfId="6421" xr:uid="{00000000-0005-0000-0000-0000920C0000}"/>
    <cellStyle name="Comma 5 5 3 2 2 4 2" xfId="15505" xr:uid="{00000000-0005-0000-0000-0000930C0000}"/>
    <cellStyle name="Comma 5 5 3 2 2 5" xfId="9816" xr:uid="{00000000-0005-0000-0000-0000940C0000}"/>
    <cellStyle name="Comma 5 5 3 2 2 5 2" xfId="18643" xr:uid="{00000000-0005-0000-0000-0000950C0000}"/>
    <cellStyle name="Comma 5 5 3 2 2 6" xfId="11260" xr:uid="{00000000-0005-0000-0000-0000960C0000}"/>
    <cellStyle name="Comma 5 5 3 2 2 7" xfId="4899" xr:uid="{00000000-0005-0000-0000-0000970C0000}"/>
    <cellStyle name="Comma 5 5 3 2 3" xfId="913" xr:uid="{00000000-0005-0000-0000-0000980C0000}"/>
    <cellStyle name="Comma 5 5 3 2 3 2" xfId="2633" xr:uid="{00000000-0005-0000-0000-0000990C0000}"/>
    <cellStyle name="Comma 5 5 3 2 3 2 2" xfId="16783" xr:uid="{00000000-0005-0000-0000-00009A0C0000}"/>
    <cellStyle name="Comma 5 5 3 2 3 2 3" xfId="13204" xr:uid="{00000000-0005-0000-0000-00009B0C0000}"/>
    <cellStyle name="Comma 5 5 3 2 3 2 4" xfId="7915" xr:uid="{00000000-0005-0000-0000-00009C0C0000}"/>
    <cellStyle name="Comma 5 5 3 2 3 3" xfId="3901" xr:uid="{00000000-0005-0000-0000-00009D0C0000}"/>
    <cellStyle name="Comma 5 5 3 2 3 3 2" xfId="17546" xr:uid="{00000000-0005-0000-0000-00009E0C0000}"/>
    <cellStyle name="Comma 5 5 3 2 3 3 3" xfId="13967" xr:uid="{00000000-0005-0000-0000-00009F0C0000}"/>
    <cellStyle name="Comma 5 5 3 2 3 3 4" xfId="8710" xr:uid="{00000000-0005-0000-0000-0000A00C0000}"/>
    <cellStyle name="Comma 5 5 3 2 3 4" xfId="6322" xr:uid="{00000000-0005-0000-0000-0000A10C0000}"/>
    <cellStyle name="Comma 5 5 3 2 3 4 2" xfId="15406" xr:uid="{00000000-0005-0000-0000-0000A20C0000}"/>
    <cellStyle name="Comma 5 5 3 2 3 5" xfId="10164" xr:uid="{00000000-0005-0000-0000-0000A30C0000}"/>
    <cellStyle name="Comma 5 5 3 2 3 5 2" xfId="18991" xr:uid="{00000000-0005-0000-0000-0000A40C0000}"/>
    <cellStyle name="Comma 5 5 3 2 3 6" xfId="11610" xr:uid="{00000000-0005-0000-0000-0000A50C0000}"/>
    <cellStyle name="Comma 5 5 3 2 3 7" xfId="5509" xr:uid="{00000000-0005-0000-0000-0000A60C0000}"/>
    <cellStyle name="Comma 5 5 3 2 4" xfId="1638" xr:uid="{00000000-0005-0000-0000-0000A70C0000}"/>
    <cellStyle name="Comma 5 5 3 2 4 2" xfId="3234" xr:uid="{00000000-0005-0000-0000-0000A80C0000}"/>
    <cellStyle name="Comma 5 5 3 2 4 2 2" xfId="18147" xr:uid="{00000000-0005-0000-0000-0000A90C0000}"/>
    <cellStyle name="Comma 5 5 3 2 4 2 3" xfId="14568" xr:uid="{00000000-0005-0000-0000-0000AA0C0000}"/>
    <cellStyle name="Comma 5 5 3 2 4 2 4" xfId="9311" xr:uid="{00000000-0005-0000-0000-0000AB0C0000}"/>
    <cellStyle name="Comma 5 5 3 2 4 3" xfId="10765" xr:uid="{00000000-0005-0000-0000-0000AC0C0000}"/>
    <cellStyle name="Comma 5 5 3 2 4 3 2" xfId="19592" xr:uid="{00000000-0005-0000-0000-0000AD0C0000}"/>
    <cellStyle name="Comma 5 5 3 2 4 4" xfId="12211" xr:uid="{00000000-0005-0000-0000-0000AE0C0000}"/>
    <cellStyle name="Comma 5 5 3 2 4 5" xfId="7206" xr:uid="{00000000-0005-0000-0000-0000AF0C0000}"/>
    <cellStyle name="Comma 5 5 3 2 5" xfId="2191" xr:uid="{00000000-0005-0000-0000-0000B00C0000}"/>
    <cellStyle name="Comma 5 5 3 2 5 2" xfId="17104" xr:uid="{00000000-0005-0000-0000-0000B10C0000}"/>
    <cellStyle name="Comma 5 5 3 2 5 3" xfId="13525" xr:uid="{00000000-0005-0000-0000-0000B20C0000}"/>
    <cellStyle name="Comma 5 5 3 2 5 4" xfId="8268" xr:uid="{00000000-0005-0000-0000-0000B30C0000}"/>
    <cellStyle name="Comma 5 5 3 2 6" xfId="5829" xr:uid="{00000000-0005-0000-0000-0000B40C0000}"/>
    <cellStyle name="Comma 5 5 3 2 6 2" xfId="14915" xr:uid="{00000000-0005-0000-0000-0000B50C0000}"/>
    <cellStyle name="Comma 5 5 3 2 7" xfId="9722" xr:uid="{00000000-0005-0000-0000-0000B60C0000}"/>
    <cellStyle name="Comma 5 5 3 2 7 2" xfId="18549" xr:uid="{00000000-0005-0000-0000-0000B70C0000}"/>
    <cellStyle name="Comma 5 5 3 2 8" xfId="11166" xr:uid="{00000000-0005-0000-0000-0000B80C0000}"/>
    <cellStyle name="Comma 5 5 3 2 9" xfId="4800" xr:uid="{00000000-0005-0000-0000-0000B90C0000}"/>
    <cellStyle name="Comma 5 5 3 3" xfId="554" xr:uid="{00000000-0005-0000-0000-0000BA0C0000}"/>
    <cellStyle name="Comma 5 5 3 3 2" xfId="2284" xr:uid="{00000000-0005-0000-0000-0000BB0C0000}"/>
    <cellStyle name="Comma 5 5 3 3 2 2" xfId="16015" xr:uid="{00000000-0005-0000-0000-0000BC0C0000}"/>
    <cellStyle name="Comma 5 5 3 3 2 3" xfId="12328" xr:uid="{00000000-0005-0000-0000-0000BD0C0000}"/>
    <cellStyle name="Comma 5 5 3 3 2 4" xfId="7001" xr:uid="{00000000-0005-0000-0000-0000BE0C0000}"/>
    <cellStyle name="Comma 5 5 3 3 3" xfId="3552" xr:uid="{00000000-0005-0000-0000-0000BF0C0000}"/>
    <cellStyle name="Comma 5 5 3 3 3 2" xfId="17197" xr:uid="{00000000-0005-0000-0000-0000C00C0000}"/>
    <cellStyle name="Comma 5 5 3 3 3 3" xfId="13618" xr:uid="{00000000-0005-0000-0000-0000C10C0000}"/>
    <cellStyle name="Comma 5 5 3 3 3 4" xfId="8361" xr:uid="{00000000-0005-0000-0000-0000C20C0000}"/>
    <cellStyle name="Comma 5 5 3 3 4" xfId="6117" xr:uid="{00000000-0005-0000-0000-0000C30C0000}"/>
    <cellStyle name="Comma 5 5 3 3 4 2" xfId="15201" xr:uid="{00000000-0005-0000-0000-0000C40C0000}"/>
    <cellStyle name="Comma 5 5 3 3 5" xfId="9815" xr:uid="{00000000-0005-0000-0000-0000C50C0000}"/>
    <cellStyle name="Comma 5 5 3 3 5 2" xfId="18642" xr:uid="{00000000-0005-0000-0000-0000C60C0000}"/>
    <cellStyle name="Comma 5 5 3 3 6" xfId="11259" xr:uid="{00000000-0005-0000-0000-0000C70C0000}"/>
    <cellStyle name="Comma 5 5 3 3 7" xfId="4595" xr:uid="{00000000-0005-0000-0000-0000C80C0000}"/>
    <cellStyle name="Comma 5 5 3 4" xfId="912" xr:uid="{00000000-0005-0000-0000-0000C90C0000}"/>
    <cellStyle name="Comma 5 5 3 4 2" xfId="2632" xr:uid="{00000000-0005-0000-0000-0000CA0C0000}"/>
    <cellStyle name="Comma 5 5 3 4 2 2" xfId="16173" xr:uid="{00000000-0005-0000-0000-0000CB0C0000}"/>
    <cellStyle name="Comma 5 5 3 4 2 3" xfId="12595" xr:uid="{00000000-0005-0000-0000-0000CC0C0000}"/>
    <cellStyle name="Comma 5 5 3 4 2 4" xfId="7304" xr:uid="{00000000-0005-0000-0000-0000CD0C0000}"/>
    <cellStyle name="Comma 5 5 3 4 3" xfId="3900" xr:uid="{00000000-0005-0000-0000-0000CE0C0000}"/>
    <cellStyle name="Comma 5 5 3 4 3 2" xfId="17545" xr:uid="{00000000-0005-0000-0000-0000CF0C0000}"/>
    <cellStyle name="Comma 5 5 3 4 3 3" xfId="13966" xr:uid="{00000000-0005-0000-0000-0000D00C0000}"/>
    <cellStyle name="Comma 5 5 3 4 3 4" xfId="8709" xr:uid="{00000000-0005-0000-0000-0000D10C0000}"/>
    <cellStyle name="Comma 5 5 3 4 4" xfId="6420" xr:uid="{00000000-0005-0000-0000-0000D20C0000}"/>
    <cellStyle name="Comma 5 5 3 4 4 2" xfId="15504" xr:uid="{00000000-0005-0000-0000-0000D30C0000}"/>
    <cellStyle name="Comma 5 5 3 4 5" xfId="10163" xr:uid="{00000000-0005-0000-0000-0000D40C0000}"/>
    <cellStyle name="Comma 5 5 3 4 5 2" xfId="18990" xr:uid="{00000000-0005-0000-0000-0000D50C0000}"/>
    <cellStyle name="Comma 5 5 3 4 6" xfId="11609" xr:uid="{00000000-0005-0000-0000-0000D60C0000}"/>
    <cellStyle name="Comma 5 5 3 4 7" xfId="4898" xr:uid="{00000000-0005-0000-0000-0000D70C0000}"/>
    <cellStyle name="Comma 5 5 3 5" xfId="1427" xr:uid="{00000000-0005-0000-0000-0000D80C0000}"/>
    <cellStyle name="Comma 5 5 3 5 2" xfId="3029" xr:uid="{00000000-0005-0000-0000-0000D90C0000}"/>
    <cellStyle name="Comma 5 5 3 5 2 2" xfId="16578" xr:uid="{00000000-0005-0000-0000-0000DA0C0000}"/>
    <cellStyle name="Comma 5 5 3 5 2 3" xfId="12999" xr:uid="{00000000-0005-0000-0000-0000DB0C0000}"/>
    <cellStyle name="Comma 5 5 3 5 2 4" xfId="7710" xr:uid="{00000000-0005-0000-0000-0000DC0C0000}"/>
    <cellStyle name="Comma 5 5 3 5 3" xfId="4237" xr:uid="{00000000-0005-0000-0000-0000DD0C0000}"/>
    <cellStyle name="Comma 5 5 3 5 3 2" xfId="17942" xr:uid="{00000000-0005-0000-0000-0000DE0C0000}"/>
    <cellStyle name="Comma 5 5 3 5 3 3" xfId="14363" xr:uid="{00000000-0005-0000-0000-0000DF0C0000}"/>
    <cellStyle name="Comma 5 5 3 5 3 4" xfId="9106" xr:uid="{00000000-0005-0000-0000-0000E00C0000}"/>
    <cellStyle name="Comma 5 5 3 5 4" xfId="6003" xr:uid="{00000000-0005-0000-0000-0000E10C0000}"/>
    <cellStyle name="Comma 5 5 3 5 4 2" xfId="15089" xr:uid="{00000000-0005-0000-0000-0000E20C0000}"/>
    <cellStyle name="Comma 5 5 3 5 5" xfId="10560" xr:uid="{00000000-0005-0000-0000-0000E30C0000}"/>
    <cellStyle name="Comma 5 5 3 5 5 2" xfId="19387" xr:uid="{00000000-0005-0000-0000-0000E40C0000}"/>
    <cellStyle name="Comma 5 5 3 5 6" xfId="12006" xr:uid="{00000000-0005-0000-0000-0000E50C0000}"/>
    <cellStyle name="Comma 5 5 3 5 7" xfId="5304" xr:uid="{00000000-0005-0000-0000-0000E60C0000}"/>
    <cellStyle name="Comma 5 5 3 6" xfId="1986" xr:uid="{00000000-0005-0000-0000-0000E70C0000}"/>
    <cellStyle name="Comma 5 5 3 6 2" xfId="15932" xr:uid="{00000000-0005-0000-0000-0000E80C0000}"/>
    <cellStyle name="Comma 5 5 3 6 3" xfId="12349" xr:uid="{00000000-0005-0000-0000-0000E90C0000}"/>
    <cellStyle name="Comma 5 5 3 6 4" xfId="6889" xr:uid="{00000000-0005-0000-0000-0000EA0C0000}"/>
    <cellStyle name="Comma 5 5 3 7" xfId="3400" xr:uid="{00000000-0005-0000-0000-0000EB0C0000}"/>
    <cellStyle name="Comma 5 5 3 7 2" xfId="16899" xr:uid="{00000000-0005-0000-0000-0000EC0C0000}"/>
    <cellStyle name="Comma 5 5 3 7 3" xfId="13320" xr:uid="{00000000-0005-0000-0000-0000ED0C0000}"/>
    <cellStyle name="Comma 5 5 3 7 4" xfId="8063" xr:uid="{00000000-0005-0000-0000-0000EE0C0000}"/>
    <cellStyle name="Comma 5 5 3 8" xfId="5624" xr:uid="{00000000-0005-0000-0000-0000EF0C0000}"/>
    <cellStyle name="Comma 5 5 3 8 2" xfId="14710" xr:uid="{00000000-0005-0000-0000-0000F00C0000}"/>
    <cellStyle name="Comma 5 5 3 9" xfId="9517" xr:uid="{00000000-0005-0000-0000-0000F10C0000}"/>
    <cellStyle name="Comma 5 5 3 9 2" xfId="18344" xr:uid="{00000000-0005-0000-0000-0000F20C0000}"/>
    <cellStyle name="Comma 5 5 4" xfId="318" xr:uid="{00000000-0005-0000-0000-0000F30C0000}"/>
    <cellStyle name="Comma 5 5 4 2" xfId="556" xr:uid="{00000000-0005-0000-0000-0000F40C0000}"/>
    <cellStyle name="Comma 5 5 4 2 2" xfId="2286" xr:uid="{00000000-0005-0000-0000-0000F50C0000}"/>
    <cellStyle name="Comma 5 5 4 2 2 2" xfId="16175" xr:uid="{00000000-0005-0000-0000-0000F60C0000}"/>
    <cellStyle name="Comma 5 5 4 2 2 3" xfId="12597" xr:uid="{00000000-0005-0000-0000-0000F70C0000}"/>
    <cellStyle name="Comma 5 5 4 2 2 4" xfId="7306" xr:uid="{00000000-0005-0000-0000-0000F80C0000}"/>
    <cellStyle name="Comma 5 5 4 2 3" xfId="3554" xr:uid="{00000000-0005-0000-0000-0000F90C0000}"/>
    <cellStyle name="Comma 5 5 4 2 3 2" xfId="17199" xr:uid="{00000000-0005-0000-0000-0000FA0C0000}"/>
    <cellStyle name="Comma 5 5 4 2 3 3" xfId="13620" xr:uid="{00000000-0005-0000-0000-0000FB0C0000}"/>
    <cellStyle name="Comma 5 5 4 2 3 4" xfId="8363" xr:uid="{00000000-0005-0000-0000-0000FC0C0000}"/>
    <cellStyle name="Comma 5 5 4 2 4" xfId="6422" xr:uid="{00000000-0005-0000-0000-0000FD0C0000}"/>
    <cellStyle name="Comma 5 5 4 2 4 2" xfId="15506" xr:uid="{00000000-0005-0000-0000-0000FE0C0000}"/>
    <cellStyle name="Comma 5 5 4 2 5" xfId="9817" xr:uid="{00000000-0005-0000-0000-0000FF0C0000}"/>
    <cellStyle name="Comma 5 5 4 2 5 2" xfId="18644" xr:uid="{00000000-0005-0000-0000-0000000D0000}"/>
    <cellStyle name="Comma 5 5 4 2 6" xfId="11261" xr:uid="{00000000-0005-0000-0000-0000010D0000}"/>
    <cellStyle name="Comma 5 5 4 2 7" xfId="4900" xr:uid="{00000000-0005-0000-0000-0000020D0000}"/>
    <cellStyle name="Comma 5 5 4 3" xfId="914" xr:uid="{00000000-0005-0000-0000-0000030D0000}"/>
    <cellStyle name="Comma 5 5 4 3 2" xfId="2634" xr:uid="{00000000-0005-0000-0000-0000040D0000}"/>
    <cellStyle name="Comma 5 5 4 3 2 2" xfId="16678" xr:uid="{00000000-0005-0000-0000-0000050D0000}"/>
    <cellStyle name="Comma 5 5 4 3 2 3" xfId="13099" xr:uid="{00000000-0005-0000-0000-0000060D0000}"/>
    <cellStyle name="Comma 5 5 4 3 2 4" xfId="7810" xr:uid="{00000000-0005-0000-0000-0000070D0000}"/>
    <cellStyle name="Comma 5 5 4 3 3" xfId="3902" xr:uid="{00000000-0005-0000-0000-0000080D0000}"/>
    <cellStyle name="Comma 5 5 4 3 3 2" xfId="17547" xr:uid="{00000000-0005-0000-0000-0000090D0000}"/>
    <cellStyle name="Comma 5 5 4 3 3 3" xfId="13968" xr:uid="{00000000-0005-0000-0000-00000A0D0000}"/>
    <cellStyle name="Comma 5 5 4 3 3 4" xfId="8711" xr:uid="{00000000-0005-0000-0000-00000B0D0000}"/>
    <cellStyle name="Comma 5 5 4 3 4" xfId="6217" xr:uid="{00000000-0005-0000-0000-00000C0D0000}"/>
    <cellStyle name="Comma 5 5 4 3 4 2" xfId="15301" xr:uid="{00000000-0005-0000-0000-00000D0D0000}"/>
    <cellStyle name="Comma 5 5 4 3 5" xfId="10165" xr:uid="{00000000-0005-0000-0000-00000E0D0000}"/>
    <cellStyle name="Comma 5 5 4 3 5 2" xfId="18992" xr:uid="{00000000-0005-0000-0000-00000F0D0000}"/>
    <cellStyle name="Comma 5 5 4 3 6" xfId="11611" xr:uid="{00000000-0005-0000-0000-0000100D0000}"/>
    <cellStyle name="Comma 5 5 4 3 7" xfId="5404" xr:uid="{00000000-0005-0000-0000-0000110D0000}"/>
    <cellStyle name="Comma 5 5 4 4" xfId="1530" xr:uid="{00000000-0005-0000-0000-0000120D0000}"/>
    <cellStyle name="Comma 5 5 4 4 2" xfId="3129" xr:uid="{00000000-0005-0000-0000-0000130D0000}"/>
    <cellStyle name="Comma 5 5 4 4 2 2" xfId="18042" xr:uid="{00000000-0005-0000-0000-0000140D0000}"/>
    <cellStyle name="Comma 5 5 4 4 2 3" xfId="14463" xr:uid="{00000000-0005-0000-0000-0000150D0000}"/>
    <cellStyle name="Comma 5 5 4 4 2 4" xfId="9206" xr:uid="{00000000-0005-0000-0000-0000160D0000}"/>
    <cellStyle name="Comma 5 5 4 4 3" xfId="10660" xr:uid="{00000000-0005-0000-0000-0000170D0000}"/>
    <cellStyle name="Comma 5 5 4 4 3 2" xfId="19487" xr:uid="{00000000-0005-0000-0000-0000180D0000}"/>
    <cellStyle name="Comma 5 5 4 4 4" xfId="12106" xr:uid="{00000000-0005-0000-0000-0000190D0000}"/>
    <cellStyle name="Comma 5 5 4 4 5" xfId="7101" xr:uid="{00000000-0005-0000-0000-00001A0D0000}"/>
    <cellStyle name="Comma 5 5 4 5" xfId="2086" xr:uid="{00000000-0005-0000-0000-00001B0D0000}"/>
    <cellStyle name="Comma 5 5 4 5 2" xfId="16999" xr:uid="{00000000-0005-0000-0000-00001C0D0000}"/>
    <cellStyle name="Comma 5 5 4 5 3" xfId="13420" xr:uid="{00000000-0005-0000-0000-00001D0D0000}"/>
    <cellStyle name="Comma 5 5 4 5 4" xfId="8163" xr:uid="{00000000-0005-0000-0000-00001E0D0000}"/>
    <cellStyle name="Comma 5 5 4 6" xfId="5724" xr:uid="{00000000-0005-0000-0000-00001F0D0000}"/>
    <cellStyle name="Comma 5 5 4 6 2" xfId="14810" xr:uid="{00000000-0005-0000-0000-0000200D0000}"/>
    <cellStyle name="Comma 5 5 4 7" xfId="9617" xr:uid="{00000000-0005-0000-0000-0000210D0000}"/>
    <cellStyle name="Comma 5 5 4 7 2" xfId="18444" xr:uid="{00000000-0005-0000-0000-0000220D0000}"/>
    <cellStyle name="Comma 5 5 4 8" xfId="11061" xr:uid="{00000000-0005-0000-0000-0000230D0000}"/>
    <cellStyle name="Comma 5 5 4 9" xfId="4695" xr:uid="{00000000-0005-0000-0000-0000240D0000}"/>
    <cellStyle name="Comma 5 5 5" xfId="551" xr:uid="{00000000-0005-0000-0000-0000250D0000}"/>
    <cellStyle name="Comma 5 5 5 2" xfId="2281" xr:uid="{00000000-0005-0000-0000-0000260D0000}"/>
    <cellStyle name="Comma 5 5 5 2 2" xfId="15972" xr:uid="{00000000-0005-0000-0000-0000270D0000}"/>
    <cellStyle name="Comma 5 5 5 2 3" xfId="12401" xr:uid="{00000000-0005-0000-0000-0000280D0000}"/>
    <cellStyle name="Comma 5 5 5 2 4" xfId="6942" xr:uid="{00000000-0005-0000-0000-0000290D0000}"/>
    <cellStyle name="Comma 5 5 5 3" xfId="3549" xr:uid="{00000000-0005-0000-0000-00002A0D0000}"/>
    <cellStyle name="Comma 5 5 5 3 2" xfId="17194" xr:uid="{00000000-0005-0000-0000-00002B0D0000}"/>
    <cellStyle name="Comma 5 5 5 3 3" xfId="13615" xr:uid="{00000000-0005-0000-0000-00002C0D0000}"/>
    <cellStyle name="Comma 5 5 5 3 4" xfId="8358" xr:uid="{00000000-0005-0000-0000-00002D0D0000}"/>
    <cellStyle name="Comma 5 5 5 4" xfId="6058" xr:uid="{00000000-0005-0000-0000-00002E0D0000}"/>
    <cellStyle name="Comma 5 5 5 4 2" xfId="15142" xr:uid="{00000000-0005-0000-0000-00002F0D0000}"/>
    <cellStyle name="Comma 5 5 5 5" xfId="9812" xr:uid="{00000000-0005-0000-0000-0000300D0000}"/>
    <cellStyle name="Comma 5 5 5 5 2" xfId="18639" xr:uid="{00000000-0005-0000-0000-0000310D0000}"/>
    <cellStyle name="Comma 5 5 5 6" xfId="11256" xr:uid="{00000000-0005-0000-0000-0000320D0000}"/>
    <cellStyle name="Comma 5 5 5 7" xfId="4536" xr:uid="{00000000-0005-0000-0000-0000330D0000}"/>
    <cellStyle name="Comma 5 5 6" xfId="909" xr:uid="{00000000-0005-0000-0000-0000340D0000}"/>
    <cellStyle name="Comma 5 5 6 2" xfId="2629" xr:uid="{00000000-0005-0000-0000-0000350D0000}"/>
    <cellStyle name="Comma 5 5 6 2 2" xfId="16170" xr:uid="{00000000-0005-0000-0000-0000360D0000}"/>
    <cellStyle name="Comma 5 5 6 2 3" xfId="12592" xr:uid="{00000000-0005-0000-0000-0000370D0000}"/>
    <cellStyle name="Comma 5 5 6 2 4" xfId="7301" xr:uid="{00000000-0005-0000-0000-0000380D0000}"/>
    <cellStyle name="Comma 5 5 6 3" xfId="3897" xr:uid="{00000000-0005-0000-0000-0000390D0000}"/>
    <cellStyle name="Comma 5 5 6 3 2" xfId="17542" xr:uid="{00000000-0005-0000-0000-00003A0D0000}"/>
    <cellStyle name="Comma 5 5 6 3 3" xfId="13963" xr:uid="{00000000-0005-0000-0000-00003B0D0000}"/>
    <cellStyle name="Comma 5 5 6 3 4" xfId="8706" xr:uid="{00000000-0005-0000-0000-00003C0D0000}"/>
    <cellStyle name="Comma 5 5 6 4" xfId="6417" xr:uid="{00000000-0005-0000-0000-00003D0D0000}"/>
    <cellStyle name="Comma 5 5 6 4 2" xfId="15501" xr:uid="{00000000-0005-0000-0000-00003E0D0000}"/>
    <cellStyle name="Comma 5 5 6 5" xfId="10160" xr:uid="{00000000-0005-0000-0000-00003F0D0000}"/>
    <cellStyle name="Comma 5 5 6 5 2" xfId="18987" xr:uid="{00000000-0005-0000-0000-0000400D0000}"/>
    <cellStyle name="Comma 5 5 6 6" xfId="11606" xr:uid="{00000000-0005-0000-0000-0000410D0000}"/>
    <cellStyle name="Comma 5 5 6 7" xfId="4895" xr:uid="{00000000-0005-0000-0000-0000420D0000}"/>
    <cellStyle name="Comma 5 5 7" xfId="1359" xr:uid="{00000000-0005-0000-0000-0000430D0000}"/>
    <cellStyle name="Comma 5 5 7 2" xfId="2970" xr:uid="{00000000-0005-0000-0000-0000440D0000}"/>
    <cellStyle name="Comma 5 5 7 2 2" xfId="16519" xr:uid="{00000000-0005-0000-0000-0000450D0000}"/>
    <cellStyle name="Comma 5 5 7 2 3" xfId="12941" xr:uid="{00000000-0005-0000-0000-0000460D0000}"/>
    <cellStyle name="Comma 5 5 7 2 4" xfId="7651" xr:uid="{00000000-0005-0000-0000-0000470D0000}"/>
    <cellStyle name="Comma 5 5 7 3" xfId="4195" xr:uid="{00000000-0005-0000-0000-0000480D0000}"/>
    <cellStyle name="Comma 5 5 7 3 2" xfId="17883" xr:uid="{00000000-0005-0000-0000-0000490D0000}"/>
    <cellStyle name="Comma 5 5 7 3 3" xfId="14304" xr:uid="{00000000-0005-0000-0000-00004A0D0000}"/>
    <cellStyle name="Comma 5 5 7 3 4" xfId="9047" xr:uid="{00000000-0005-0000-0000-00004B0D0000}"/>
    <cellStyle name="Comma 5 5 7 4" xfId="5897" xr:uid="{00000000-0005-0000-0000-00004C0D0000}"/>
    <cellStyle name="Comma 5 5 7 4 2" xfId="14983" xr:uid="{00000000-0005-0000-0000-00004D0D0000}"/>
    <cellStyle name="Comma 5 5 7 5" xfId="10501" xr:uid="{00000000-0005-0000-0000-00004E0D0000}"/>
    <cellStyle name="Comma 5 5 7 5 2" xfId="19328" xr:uid="{00000000-0005-0000-0000-00004F0D0000}"/>
    <cellStyle name="Comma 5 5 7 6" xfId="11947" xr:uid="{00000000-0005-0000-0000-0000500D0000}"/>
    <cellStyle name="Comma 5 5 7 7" xfId="5245" xr:uid="{00000000-0005-0000-0000-0000510D0000}"/>
    <cellStyle name="Comma 5 5 8" xfId="1927" xr:uid="{00000000-0005-0000-0000-0000520D0000}"/>
    <cellStyle name="Comma 5 5 8 2" xfId="9458" xr:uid="{00000000-0005-0000-0000-0000530D0000}"/>
    <cellStyle name="Comma 5 5 8 2 2" xfId="18285" xr:uid="{00000000-0005-0000-0000-0000540D0000}"/>
    <cellStyle name="Comma 5 5 8 3" xfId="10902" xr:uid="{00000000-0005-0000-0000-0000550D0000}"/>
    <cellStyle name="Comma 5 5 8 4" xfId="6784" xr:uid="{00000000-0005-0000-0000-0000560D0000}"/>
    <cellStyle name="Comma 5 5 9" xfId="1851" xr:uid="{00000000-0005-0000-0000-0000570D0000}"/>
    <cellStyle name="Comma 5 5 9 2" xfId="16838" xr:uid="{00000000-0005-0000-0000-0000580D0000}"/>
    <cellStyle name="Comma 5 5 9 3" xfId="13259" xr:uid="{00000000-0005-0000-0000-0000590D0000}"/>
    <cellStyle name="Comma 5 5 9 4" xfId="8002" xr:uid="{00000000-0005-0000-0000-00005A0D0000}"/>
    <cellStyle name="Comma 5 6" xfId="236" xr:uid="{00000000-0005-0000-0000-00005B0D0000}"/>
    <cellStyle name="Comma 5 6 10" xfId="10987" xr:uid="{00000000-0005-0000-0000-00005C0D0000}"/>
    <cellStyle name="Comma 5 6 11" xfId="4404" xr:uid="{00000000-0005-0000-0000-00005D0D0000}"/>
    <cellStyle name="Comma 5 6 2" xfId="344" xr:uid="{00000000-0005-0000-0000-00005E0D0000}"/>
    <cellStyle name="Comma 5 6 2 2" xfId="558" xr:uid="{00000000-0005-0000-0000-00005F0D0000}"/>
    <cellStyle name="Comma 5 6 2 2 2" xfId="2288" xr:uid="{00000000-0005-0000-0000-0000600D0000}"/>
    <cellStyle name="Comma 5 6 2 2 2 2" xfId="16177" xr:uid="{00000000-0005-0000-0000-0000610D0000}"/>
    <cellStyle name="Comma 5 6 2 2 2 3" xfId="12599" xr:uid="{00000000-0005-0000-0000-0000620D0000}"/>
    <cellStyle name="Comma 5 6 2 2 2 4" xfId="7308" xr:uid="{00000000-0005-0000-0000-0000630D0000}"/>
    <cellStyle name="Comma 5 6 2 2 3" xfId="3556" xr:uid="{00000000-0005-0000-0000-0000640D0000}"/>
    <cellStyle name="Comma 5 6 2 2 3 2" xfId="17201" xr:uid="{00000000-0005-0000-0000-0000650D0000}"/>
    <cellStyle name="Comma 5 6 2 2 3 3" xfId="13622" xr:uid="{00000000-0005-0000-0000-0000660D0000}"/>
    <cellStyle name="Comma 5 6 2 2 3 4" xfId="8365" xr:uid="{00000000-0005-0000-0000-0000670D0000}"/>
    <cellStyle name="Comma 5 6 2 2 4" xfId="6424" xr:uid="{00000000-0005-0000-0000-0000680D0000}"/>
    <cellStyle name="Comma 5 6 2 2 4 2" xfId="15508" xr:uid="{00000000-0005-0000-0000-0000690D0000}"/>
    <cellStyle name="Comma 5 6 2 2 5" xfId="9819" xr:uid="{00000000-0005-0000-0000-00006A0D0000}"/>
    <cellStyle name="Comma 5 6 2 2 5 2" xfId="18646" xr:uid="{00000000-0005-0000-0000-00006B0D0000}"/>
    <cellStyle name="Comma 5 6 2 2 6" xfId="11263" xr:uid="{00000000-0005-0000-0000-00006C0D0000}"/>
    <cellStyle name="Comma 5 6 2 2 7" xfId="4902" xr:uid="{00000000-0005-0000-0000-00006D0D0000}"/>
    <cellStyle name="Comma 5 6 2 3" xfId="916" xr:uid="{00000000-0005-0000-0000-00006E0D0000}"/>
    <cellStyle name="Comma 5 6 2 3 2" xfId="2636" xr:uid="{00000000-0005-0000-0000-00006F0D0000}"/>
    <cellStyle name="Comma 5 6 2 3 2 2" xfId="16704" xr:uid="{00000000-0005-0000-0000-0000700D0000}"/>
    <cellStyle name="Comma 5 6 2 3 2 3" xfId="13125" xr:uid="{00000000-0005-0000-0000-0000710D0000}"/>
    <cellStyle name="Comma 5 6 2 3 2 4" xfId="7836" xr:uid="{00000000-0005-0000-0000-0000720D0000}"/>
    <cellStyle name="Comma 5 6 2 3 3" xfId="3904" xr:uid="{00000000-0005-0000-0000-0000730D0000}"/>
    <cellStyle name="Comma 5 6 2 3 3 2" xfId="17549" xr:uid="{00000000-0005-0000-0000-0000740D0000}"/>
    <cellStyle name="Comma 5 6 2 3 3 3" xfId="13970" xr:uid="{00000000-0005-0000-0000-0000750D0000}"/>
    <cellStyle name="Comma 5 6 2 3 3 4" xfId="8713" xr:uid="{00000000-0005-0000-0000-0000760D0000}"/>
    <cellStyle name="Comma 5 6 2 3 4" xfId="6243" xr:uid="{00000000-0005-0000-0000-0000770D0000}"/>
    <cellStyle name="Comma 5 6 2 3 4 2" xfId="15327" xr:uid="{00000000-0005-0000-0000-0000780D0000}"/>
    <cellStyle name="Comma 5 6 2 3 5" xfId="10167" xr:uid="{00000000-0005-0000-0000-0000790D0000}"/>
    <cellStyle name="Comma 5 6 2 3 5 2" xfId="18994" xr:uid="{00000000-0005-0000-0000-00007A0D0000}"/>
    <cellStyle name="Comma 5 6 2 3 6" xfId="11613" xr:uid="{00000000-0005-0000-0000-00007B0D0000}"/>
    <cellStyle name="Comma 5 6 2 3 7" xfId="5430" xr:uid="{00000000-0005-0000-0000-00007C0D0000}"/>
    <cellStyle name="Comma 5 6 2 4" xfId="1557" xr:uid="{00000000-0005-0000-0000-00007D0D0000}"/>
    <cellStyle name="Comma 5 6 2 4 2" xfId="3155" xr:uid="{00000000-0005-0000-0000-00007E0D0000}"/>
    <cellStyle name="Comma 5 6 2 4 2 2" xfId="18068" xr:uid="{00000000-0005-0000-0000-00007F0D0000}"/>
    <cellStyle name="Comma 5 6 2 4 2 3" xfId="14489" xr:uid="{00000000-0005-0000-0000-0000800D0000}"/>
    <cellStyle name="Comma 5 6 2 4 2 4" xfId="9232" xr:uid="{00000000-0005-0000-0000-0000810D0000}"/>
    <cellStyle name="Comma 5 6 2 4 3" xfId="10686" xr:uid="{00000000-0005-0000-0000-0000820D0000}"/>
    <cellStyle name="Comma 5 6 2 4 3 2" xfId="19513" xr:uid="{00000000-0005-0000-0000-0000830D0000}"/>
    <cellStyle name="Comma 5 6 2 4 4" xfId="12132" xr:uid="{00000000-0005-0000-0000-0000840D0000}"/>
    <cellStyle name="Comma 5 6 2 4 5" xfId="7127" xr:uid="{00000000-0005-0000-0000-0000850D0000}"/>
    <cellStyle name="Comma 5 6 2 5" xfId="2112" xr:uid="{00000000-0005-0000-0000-0000860D0000}"/>
    <cellStyle name="Comma 5 6 2 5 2" xfId="17025" xr:uid="{00000000-0005-0000-0000-0000870D0000}"/>
    <cellStyle name="Comma 5 6 2 5 3" xfId="13446" xr:uid="{00000000-0005-0000-0000-0000880D0000}"/>
    <cellStyle name="Comma 5 6 2 5 4" xfId="8189" xr:uid="{00000000-0005-0000-0000-0000890D0000}"/>
    <cellStyle name="Comma 5 6 2 6" xfId="5750" xr:uid="{00000000-0005-0000-0000-00008A0D0000}"/>
    <cellStyle name="Comma 5 6 2 6 2" xfId="14836" xr:uid="{00000000-0005-0000-0000-00008B0D0000}"/>
    <cellStyle name="Comma 5 6 2 7" xfId="9643" xr:uid="{00000000-0005-0000-0000-00008C0D0000}"/>
    <cellStyle name="Comma 5 6 2 7 2" xfId="18470" xr:uid="{00000000-0005-0000-0000-00008D0D0000}"/>
    <cellStyle name="Comma 5 6 2 8" xfId="11087" xr:uid="{00000000-0005-0000-0000-00008E0D0000}"/>
    <cellStyle name="Comma 5 6 2 9" xfId="4721" xr:uid="{00000000-0005-0000-0000-00008F0D0000}"/>
    <cellStyle name="Comma 5 6 3" xfId="557" xr:uid="{00000000-0005-0000-0000-0000900D0000}"/>
    <cellStyle name="Comma 5 6 3 2" xfId="2287" xr:uid="{00000000-0005-0000-0000-0000910D0000}"/>
    <cellStyle name="Comma 5 6 3 2 2" xfId="16041" xr:uid="{00000000-0005-0000-0000-0000920D0000}"/>
    <cellStyle name="Comma 5 6 3 2 3" xfId="12248" xr:uid="{00000000-0005-0000-0000-0000930D0000}"/>
    <cellStyle name="Comma 5 6 3 2 4" xfId="7027" xr:uid="{00000000-0005-0000-0000-0000940D0000}"/>
    <cellStyle name="Comma 5 6 3 3" xfId="3555" xr:uid="{00000000-0005-0000-0000-0000950D0000}"/>
    <cellStyle name="Comma 5 6 3 3 2" xfId="17200" xr:uid="{00000000-0005-0000-0000-0000960D0000}"/>
    <cellStyle name="Comma 5 6 3 3 3" xfId="13621" xr:uid="{00000000-0005-0000-0000-0000970D0000}"/>
    <cellStyle name="Comma 5 6 3 3 4" xfId="8364" xr:uid="{00000000-0005-0000-0000-0000980D0000}"/>
    <cellStyle name="Comma 5 6 3 4" xfId="6143" xr:uid="{00000000-0005-0000-0000-0000990D0000}"/>
    <cellStyle name="Comma 5 6 3 4 2" xfId="15227" xr:uid="{00000000-0005-0000-0000-00009A0D0000}"/>
    <cellStyle name="Comma 5 6 3 5" xfId="9818" xr:uid="{00000000-0005-0000-0000-00009B0D0000}"/>
    <cellStyle name="Comma 5 6 3 5 2" xfId="18645" xr:uid="{00000000-0005-0000-0000-00009C0D0000}"/>
    <cellStyle name="Comma 5 6 3 6" xfId="11262" xr:uid="{00000000-0005-0000-0000-00009D0D0000}"/>
    <cellStyle name="Comma 5 6 3 7" xfId="4621" xr:uid="{00000000-0005-0000-0000-00009E0D0000}"/>
    <cellStyle name="Comma 5 6 4" xfId="915" xr:uid="{00000000-0005-0000-0000-00009F0D0000}"/>
    <cellStyle name="Comma 5 6 4 2" xfId="2635" xr:uid="{00000000-0005-0000-0000-0000A00D0000}"/>
    <cellStyle name="Comma 5 6 4 2 2" xfId="16176" xr:uid="{00000000-0005-0000-0000-0000A10D0000}"/>
    <cellStyle name="Comma 5 6 4 2 3" xfId="12598" xr:uid="{00000000-0005-0000-0000-0000A20D0000}"/>
    <cellStyle name="Comma 5 6 4 2 4" xfId="7307" xr:uid="{00000000-0005-0000-0000-0000A30D0000}"/>
    <cellStyle name="Comma 5 6 4 3" xfId="3903" xr:uid="{00000000-0005-0000-0000-0000A40D0000}"/>
    <cellStyle name="Comma 5 6 4 3 2" xfId="17548" xr:uid="{00000000-0005-0000-0000-0000A50D0000}"/>
    <cellStyle name="Comma 5 6 4 3 3" xfId="13969" xr:uid="{00000000-0005-0000-0000-0000A60D0000}"/>
    <cellStyle name="Comma 5 6 4 3 4" xfId="8712" xr:uid="{00000000-0005-0000-0000-0000A70D0000}"/>
    <cellStyle name="Comma 5 6 4 4" xfId="6423" xr:uid="{00000000-0005-0000-0000-0000A80D0000}"/>
    <cellStyle name="Comma 5 6 4 4 2" xfId="15507" xr:uid="{00000000-0005-0000-0000-0000A90D0000}"/>
    <cellStyle name="Comma 5 6 4 5" xfId="10166" xr:uid="{00000000-0005-0000-0000-0000AA0D0000}"/>
    <cellStyle name="Comma 5 6 4 5 2" xfId="18993" xr:uid="{00000000-0005-0000-0000-0000AB0D0000}"/>
    <cellStyle name="Comma 5 6 4 6" xfId="11612" xr:uid="{00000000-0005-0000-0000-0000AC0D0000}"/>
    <cellStyle name="Comma 5 6 4 7" xfId="4901" xr:uid="{00000000-0005-0000-0000-0000AD0D0000}"/>
    <cellStyle name="Comma 5 6 5" xfId="1455" xr:uid="{00000000-0005-0000-0000-0000AE0D0000}"/>
    <cellStyle name="Comma 5 6 5 2" xfId="3055" xr:uid="{00000000-0005-0000-0000-0000AF0D0000}"/>
    <cellStyle name="Comma 5 6 5 2 2" xfId="16604" xr:uid="{00000000-0005-0000-0000-0000B00D0000}"/>
    <cellStyle name="Comma 5 6 5 2 3" xfId="13025" xr:uid="{00000000-0005-0000-0000-0000B10D0000}"/>
    <cellStyle name="Comma 5 6 5 2 4" xfId="7736" xr:uid="{00000000-0005-0000-0000-0000B20D0000}"/>
    <cellStyle name="Comma 5 6 5 3" xfId="4263" xr:uid="{00000000-0005-0000-0000-0000B30D0000}"/>
    <cellStyle name="Comma 5 6 5 3 2" xfId="17968" xr:uid="{00000000-0005-0000-0000-0000B40D0000}"/>
    <cellStyle name="Comma 5 6 5 3 3" xfId="14389" xr:uid="{00000000-0005-0000-0000-0000B50D0000}"/>
    <cellStyle name="Comma 5 6 5 3 4" xfId="9132" xr:uid="{00000000-0005-0000-0000-0000B60D0000}"/>
    <cellStyle name="Comma 5 6 5 4" xfId="5924" xr:uid="{00000000-0005-0000-0000-0000B70D0000}"/>
    <cellStyle name="Comma 5 6 5 4 2" xfId="15010" xr:uid="{00000000-0005-0000-0000-0000B80D0000}"/>
    <cellStyle name="Comma 5 6 5 5" xfId="10586" xr:uid="{00000000-0005-0000-0000-0000B90D0000}"/>
    <cellStyle name="Comma 5 6 5 5 2" xfId="19413" xr:uid="{00000000-0005-0000-0000-0000BA0D0000}"/>
    <cellStyle name="Comma 5 6 5 6" xfId="12032" xr:uid="{00000000-0005-0000-0000-0000BB0D0000}"/>
    <cellStyle name="Comma 5 6 5 7" xfId="5330" xr:uid="{00000000-0005-0000-0000-0000BC0D0000}"/>
    <cellStyle name="Comma 5 6 6" xfId="2012" xr:uid="{00000000-0005-0000-0000-0000BD0D0000}"/>
    <cellStyle name="Comma 5 6 6 2" xfId="15853" xr:uid="{00000000-0005-0000-0000-0000BE0D0000}"/>
    <cellStyle name="Comma 5 6 6 3" xfId="12427" xr:uid="{00000000-0005-0000-0000-0000BF0D0000}"/>
    <cellStyle name="Comma 5 6 6 4" xfId="6810" xr:uid="{00000000-0005-0000-0000-0000C00D0000}"/>
    <cellStyle name="Comma 5 6 7" xfId="3425" xr:uid="{00000000-0005-0000-0000-0000C10D0000}"/>
    <cellStyle name="Comma 5 6 7 2" xfId="16925" xr:uid="{00000000-0005-0000-0000-0000C20D0000}"/>
    <cellStyle name="Comma 5 6 7 3" xfId="13346" xr:uid="{00000000-0005-0000-0000-0000C30D0000}"/>
    <cellStyle name="Comma 5 6 7 4" xfId="8089" xr:uid="{00000000-0005-0000-0000-0000C40D0000}"/>
    <cellStyle name="Comma 5 6 8" xfId="5650" xr:uid="{00000000-0005-0000-0000-0000C50D0000}"/>
    <cellStyle name="Comma 5 6 8 2" xfId="14736" xr:uid="{00000000-0005-0000-0000-0000C60D0000}"/>
    <cellStyle name="Comma 5 6 9" xfId="9543" xr:uid="{00000000-0005-0000-0000-0000C70D0000}"/>
    <cellStyle name="Comma 5 6 9 2" xfId="18370" xr:uid="{00000000-0005-0000-0000-0000C80D0000}"/>
    <cellStyle name="Comma 5 7" xfId="176" xr:uid="{00000000-0005-0000-0000-0000C90D0000}"/>
    <cellStyle name="Comma 5 7 10" xfId="10930" xr:uid="{00000000-0005-0000-0000-0000CA0D0000}"/>
    <cellStyle name="Comma 5 7 11" xfId="4452" xr:uid="{00000000-0005-0000-0000-0000CB0D0000}"/>
    <cellStyle name="Comma 5 7 2" xfId="393" xr:uid="{00000000-0005-0000-0000-0000CC0D0000}"/>
    <cellStyle name="Comma 5 7 2 2" xfId="560" xr:uid="{00000000-0005-0000-0000-0000CD0D0000}"/>
    <cellStyle name="Comma 5 7 2 2 2" xfId="2290" xr:uid="{00000000-0005-0000-0000-0000CE0D0000}"/>
    <cellStyle name="Comma 5 7 2 2 2 2" xfId="16179" xr:uid="{00000000-0005-0000-0000-0000CF0D0000}"/>
    <cellStyle name="Comma 5 7 2 2 2 3" xfId="12601" xr:uid="{00000000-0005-0000-0000-0000D00D0000}"/>
    <cellStyle name="Comma 5 7 2 2 2 4" xfId="7310" xr:uid="{00000000-0005-0000-0000-0000D10D0000}"/>
    <cellStyle name="Comma 5 7 2 2 3" xfId="3558" xr:uid="{00000000-0005-0000-0000-0000D20D0000}"/>
    <cellStyle name="Comma 5 7 2 2 3 2" xfId="17203" xr:uid="{00000000-0005-0000-0000-0000D30D0000}"/>
    <cellStyle name="Comma 5 7 2 2 3 3" xfId="13624" xr:uid="{00000000-0005-0000-0000-0000D40D0000}"/>
    <cellStyle name="Comma 5 7 2 2 3 4" xfId="8367" xr:uid="{00000000-0005-0000-0000-0000D50D0000}"/>
    <cellStyle name="Comma 5 7 2 2 4" xfId="6426" xr:uid="{00000000-0005-0000-0000-0000D60D0000}"/>
    <cellStyle name="Comma 5 7 2 2 4 2" xfId="15510" xr:uid="{00000000-0005-0000-0000-0000D70D0000}"/>
    <cellStyle name="Comma 5 7 2 2 5" xfId="9821" xr:uid="{00000000-0005-0000-0000-0000D80D0000}"/>
    <cellStyle name="Comma 5 7 2 2 5 2" xfId="18648" xr:uid="{00000000-0005-0000-0000-0000D90D0000}"/>
    <cellStyle name="Comma 5 7 2 2 6" xfId="11265" xr:uid="{00000000-0005-0000-0000-0000DA0D0000}"/>
    <cellStyle name="Comma 5 7 2 2 7" xfId="4904" xr:uid="{00000000-0005-0000-0000-0000DB0D0000}"/>
    <cellStyle name="Comma 5 7 2 3" xfId="918" xr:uid="{00000000-0005-0000-0000-0000DC0D0000}"/>
    <cellStyle name="Comma 5 7 2 3 2" xfId="2638" xr:uid="{00000000-0005-0000-0000-0000DD0D0000}"/>
    <cellStyle name="Comma 5 7 2 3 2 2" xfId="16752" xr:uid="{00000000-0005-0000-0000-0000DE0D0000}"/>
    <cellStyle name="Comma 5 7 2 3 2 3" xfId="13173" xr:uid="{00000000-0005-0000-0000-0000DF0D0000}"/>
    <cellStyle name="Comma 5 7 2 3 2 4" xfId="7884" xr:uid="{00000000-0005-0000-0000-0000E00D0000}"/>
    <cellStyle name="Comma 5 7 2 3 3" xfId="3906" xr:uid="{00000000-0005-0000-0000-0000E10D0000}"/>
    <cellStyle name="Comma 5 7 2 3 3 2" xfId="17551" xr:uid="{00000000-0005-0000-0000-0000E20D0000}"/>
    <cellStyle name="Comma 5 7 2 3 3 3" xfId="13972" xr:uid="{00000000-0005-0000-0000-0000E30D0000}"/>
    <cellStyle name="Comma 5 7 2 3 3 4" xfId="8715" xr:uid="{00000000-0005-0000-0000-0000E40D0000}"/>
    <cellStyle name="Comma 5 7 2 3 4" xfId="6291" xr:uid="{00000000-0005-0000-0000-0000E50D0000}"/>
    <cellStyle name="Comma 5 7 2 3 4 2" xfId="15375" xr:uid="{00000000-0005-0000-0000-0000E60D0000}"/>
    <cellStyle name="Comma 5 7 2 3 5" xfId="10169" xr:uid="{00000000-0005-0000-0000-0000E70D0000}"/>
    <cellStyle name="Comma 5 7 2 3 5 2" xfId="18996" xr:uid="{00000000-0005-0000-0000-0000E80D0000}"/>
    <cellStyle name="Comma 5 7 2 3 6" xfId="11615" xr:uid="{00000000-0005-0000-0000-0000E90D0000}"/>
    <cellStyle name="Comma 5 7 2 3 7" xfId="5478" xr:uid="{00000000-0005-0000-0000-0000EA0D0000}"/>
    <cellStyle name="Comma 5 7 2 4" xfId="1607" xr:uid="{00000000-0005-0000-0000-0000EB0D0000}"/>
    <cellStyle name="Comma 5 7 2 4 2" xfId="3203" xr:uid="{00000000-0005-0000-0000-0000EC0D0000}"/>
    <cellStyle name="Comma 5 7 2 4 2 2" xfId="18116" xr:uid="{00000000-0005-0000-0000-0000ED0D0000}"/>
    <cellStyle name="Comma 5 7 2 4 2 3" xfId="14537" xr:uid="{00000000-0005-0000-0000-0000EE0D0000}"/>
    <cellStyle name="Comma 5 7 2 4 2 4" xfId="9280" xr:uid="{00000000-0005-0000-0000-0000EF0D0000}"/>
    <cellStyle name="Comma 5 7 2 4 3" xfId="10734" xr:uid="{00000000-0005-0000-0000-0000F00D0000}"/>
    <cellStyle name="Comma 5 7 2 4 3 2" xfId="19561" xr:uid="{00000000-0005-0000-0000-0000F10D0000}"/>
    <cellStyle name="Comma 5 7 2 4 4" xfId="12180" xr:uid="{00000000-0005-0000-0000-0000F20D0000}"/>
    <cellStyle name="Comma 5 7 2 4 5" xfId="7175" xr:uid="{00000000-0005-0000-0000-0000F30D0000}"/>
    <cellStyle name="Comma 5 7 2 5" xfId="2160" xr:uid="{00000000-0005-0000-0000-0000F40D0000}"/>
    <cellStyle name="Comma 5 7 2 5 2" xfId="17073" xr:uid="{00000000-0005-0000-0000-0000F50D0000}"/>
    <cellStyle name="Comma 5 7 2 5 3" xfId="13494" xr:uid="{00000000-0005-0000-0000-0000F60D0000}"/>
    <cellStyle name="Comma 5 7 2 5 4" xfId="8237" xr:uid="{00000000-0005-0000-0000-0000F70D0000}"/>
    <cellStyle name="Comma 5 7 2 6" xfId="5798" xr:uid="{00000000-0005-0000-0000-0000F80D0000}"/>
    <cellStyle name="Comma 5 7 2 6 2" xfId="14884" xr:uid="{00000000-0005-0000-0000-0000F90D0000}"/>
    <cellStyle name="Comma 5 7 2 7" xfId="9691" xr:uid="{00000000-0005-0000-0000-0000FA0D0000}"/>
    <cellStyle name="Comma 5 7 2 7 2" xfId="18518" xr:uid="{00000000-0005-0000-0000-0000FB0D0000}"/>
    <cellStyle name="Comma 5 7 2 8" xfId="11135" xr:uid="{00000000-0005-0000-0000-0000FC0D0000}"/>
    <cellStyle name="Comma 5 7 2 9" xfId="4769" xr:uid="{00000000-0005-0000-0000-0000FD0D0000}"/>
    <cellStyle name="Comma 5 7 3" xfId="559" xr:uid="{00000000-0005-0000-0000-0000FE0D0000}"/>
    <cellStyle name="Comma 5 7 3 2" xfId="2289" xr:uid="{00000000-0005-0000-0000-0000FF0D0000}"/>
    <cellStyle name="Comma 5 7 3 2 2" xfId="15984" xr:uid="{00000000-0005-0000-0000-0000000E0000}"/>
    <cellStyle name="Comma 5 7 3 2 3" xfId="12397" xr:uid="{00000000-0005-0000-0000-0000010E0000}"/>
    <cellStyle name="Comma 5 7 3 2 4" xfId="6970" xr:uid="{00000000-0005-0000-0000-0000020E0000}"/>
    <cellStyle name="Comma 5 7 3 3" xfId="3557" xr:uid="{00000000-0005-0000-0000-0000030E0000}"/>
    <cellStyle name="Comma 5 7 3 3 2" xfId="17202" xr:uid="{00000000-0005-0000-0000-0000040E0000}"/>
    <cellStyle name="Comma 5 7 3 3 3" xfId="13623" xr:uid="{00000000-0005-0000-0000-0000050E0000}"/>
    <cellStyle name="Comma 5 7 3 3 4" xfId="8366" xr:uid="{00000000-0005-0000-0000-0000060E0000}"/>
    <cellStyle name="Comma 5 7 3 4" xfId="6086" xr:uid="{00000000-0005-0000-0000-0000070E0000}"/>
    <cellStyle name="Comma 5 7 3 4 2" xfId="15170" xr:uid="{00000000-0005-0000-0000-0000080E0000}"/>
    <cellStyle name="Comma 5 7 3 5" xfId="9820" xr:uid="{00000000-0005-0000-0000-0000090E0000}"/>
    <cellStyle name="Comma 5 7 3 5 2" xfId="18647" xr:uid="{00000000-0005-0000-0000-00000A0E0000}"/>
    <cellStyle name="Comma 5 7 3 6" xfId="11264" xr:uid="{00000000-0005-0000-0000-00000B0E0000}"/>
    <cellStyle name="Comma 5 7 3 7" xfId="4564" xr:uid="{00000000-0005-0000-0000-00000C0E0000}"/>
    <cellStyle name="Comma 5 7 4" xfId="917" xr:uid="{00000000-0005-0000-0000-00000D0E0000}"/>
    <cellStyle name="Comma 5 7 4 2" xfId="2637" xr:uid="{00000000-0005-0000-0000-00000E0E0000}"/>
    <cellStyle name="Comma 5 7 4 2 2" xfId="16178" xr:uid="{00000000-0005-0000-0000-00000F0E0000}"/>
    <cellStyle name="Comma 5 7 4 2 3" xfId="12600" xr:uid="{00000000-0005-0000-0000-0000100E0000}"/>
    <cellStyle name="Comma 5 7 4 2 4" xfId="7309" xr:uid="{00000000-0005-0000-0000-0000110E0000}"/>
    <cellStyle name="Comma 5 7 4 3" xfId="3905" xr:uid="{00000000-0005-0000-0000-0000120E0000}"/>
    <cellStyle name="Comma 5 7 4 3 2" xfId="17550" xr:uid="{00000000-0005-0000-0000-0000130E0000}"/>
    <cellStyle name="Comma 5 7 4 3 3" xfId="13971" xr:uid="{00000000-0005-0000-0000-0000140E0000}"/>
    <cellStyle name="Comma 5 7 4 3 4" xfId="8714" xr:uid="{00000000-0005-0000-0000-0000150E0000}"/>
    <cellStyle name="Comma 5 7 4 4" xfId="6425" xr:uid="{00000000-0005-0000-0000-0000160E0000}"/>
    <cellStyle name="Comma 5 7 4 4 2" xfId="15509" xr:uid="{00000000-0005-0000-0000-0000170E0000}"/>
    <cellStyle name="Comma 5 7 4 5" xfId="10168" xr:uid="{00000000-0005-0000-0000-0000180E0000}"/>
    <cellStyle name="Comma 5 7 4 5 2" xfId="18995" xr:uid="{00000000-0005-0000-0000-0000190E0000}"/>
    <cellStyle name="Comma 5 7 4 6" xfId="11614" xr:uid="{00000000-0005-0000-0000-00001A0E0000}"/>
    <cellStyle name="Comma 5 7 4 7" xfId="4903" xr:uid="{00000000-0005-0000-0000-00001B0E0000}"/>
    <cellStyle name="Comma 5 7 5" xfId="1393" xr:uid="{00000000-0005-0000-0000-00001C0E0000}"/>
    <cellStyle name="Comma 5 7 5 2" xfId="2998" xr:uid="{00000000-0005-0000-0000-00001D0E0000}"/>
    <cellStyle name="Comma 5 7 5 2 2" xfId="16547" xr:uid="{00000000-0005-0000-0000-00001E0E0000}"/>
    <cellStyle name="Comma 5 7 5 2 3" xfId="12968" xr:uid="{00000000-0005-0000-0000-00001F0E0000}"/>
    <cellStyle name="Comma 5 7 5 2 4" xfId="7679" xr:uid="{00000000-0005-0000-0000-0000200E0000}"/>
    <cellStyle name="Comma 5 7 5 3" xfId="4206" xr:uid="{00000000-0005-0000-0000-0000210E0000}"/>
    <cellStyle name="Comma 5 7 5 3 2" xfId="17911" xr:uid="{00000000-0005-0000-0000-0000220E0000}"/>
    <cellStyle name="Comma 5 7 5 3 3" xfId="14332" xr:uid="{00000000-0005-0000-0000-0000230E0000}"/>
    <cellStyle name="Comma 5 7 5 3 4" xfId="9075" xr:uid="{00000000-0005-0000-0000-0000240E0000}"/>
    <cellStyle name="Comma 5 7 5 4" xfId="5972" xr:uid="{00000000-0005-0000-0000-0000250E0000}"/>
    <cellStyle name="Comma 5 7 5 4 2" xfId="15058" xr:uid="{00000000-0005-0000-0000-0000260E0000}"/>
    <cellStyle name="Comma 5 7 5 5" xfId="10529" xr:uid="{00000000-0005-0000-0000-0000270E0000}"/>
    <cellStyle name="Comma 5 7 5 5 2" xfId="19356" xr:uid="{00000000-0005-0000-0000-0000280E0000}"/>
    <cellStyle name="Comma 5 7 5 6" xfId="11975" xr:uid="{00000000-0005-0000-0000-0000290E0000}"/>
    <cellStyle name="Comma 5 7 5 7" xfId="5273" xr:uid="{00000000-0005-0000-0000-00002A0E0000}"/>
    <cellStyle name="Comma 5 7 6" xfId="1955" xr:uid="{00000000-0005-0000-0000-00002B0E0000}"/>
    <cellStyle name="Comma 5 7 6 2" xfId="15901" xr:uid="{00000000-0005-0000-0000-00002C0E0000}"/>
    <cellStyle name="Comma 5 7 6 3" xfId="12357" xr:uid="{00000000-0005-0000-0000-00002D0E0000}"/>
    <cellStyle name="Comma 5 7 6 4" xfId="6858" xr:uid="{00000000-0005-0000-0000-00002E0E0000}"/>
    <cellStyle name="Comma 5 7 7" xfId="3369" xr:uid="{00000000-0005-0000-0000-00002F0E0000}"/>
    <cellStyle name="Comma 5 7 7 2" xfId="16868" xr:uid="{00000000-0005-0000-0000-0000300E0000}"/>
    <cellStyle name="Comma 5 7 7 3" xfId="13289" xr:uid="{00000000-0005-0000-0000-0000310E0000}"/>
    <cellStyle name="Comma 5 7 7 4" xfId="8032" xr:uid="{00000000-0005-0000-0000-0000320E0000}"/>
    <cellStyle name="Comma 5 7 8" xfId="5593" xr:uid="{00000000-0005-0000-0000-0000330E0000}"/>
    <cellStyle name="Comma 5 7 8 2" xfId="14679" xr:uid="{00000000-0005-0000-0000-0000340E0000}"/>
    <cellStyle name="Comma 5 7 9" xfId="9486" xr:uid="{00000000-0005-0000-0000-0000350E0000}"/>
    <cellStyle name="Comma 5 7 9 2" xfId="18313" xr:uid="{00000000-0005-0000-0000-0000360E0000}"/>
    <cellStyle name="Comma 5 8" xfId="449" xr:uid="{00000000-0005-0000-0000-0000370E0000}"/>
    <cellStyle name="Comma 5 8 10" xfId="4508" xr:uid="{00000000-0005-0000-0000-0000380E0000}"/>
    <cellStyle name="Comma 5 8 2" xfId="561" xr:uid="{00000000-0005-0000-0000-0000390E0000}"/>
    <cellStyle name="Comma 5 8 2 2" xfId="2291" xr:uid="{00000000-0005-0000-0000-00003A0E0000}"/>
    <cellStyle name="Comma 5 8 2 2 2" xfId="16100" xr:uid="{00000000-0005-0000-0000-00003B0E0000}"/>
    <cellStyle name="Comma 5 8 2 2 3" xfId="12522" xr:uid="{00000000-0005-0000-0000-00003C0E0000}"/>
    <cellStyle name="Comma 5 8 2 2 4" xfId="7231" xr:uid="{00000000-0005-0000-0000-00003D0E0000}"/>
    <cellStyle name="Comma 5 8 2 3" xfId="3559" xr:uid="{00000000-0005-0000-0000-00003E0E0000}"/>
    <cellStyle name="Comma 5 8 2 3 2" xfId="17204" xr:uid="{00000000-0005-0000-0000-00003F0E0000}"/>
    <cellStyle name="Comma 5 8 2 3 3" xfId="13625" xr:uid="{00000000-0005-0000-0000-0000400E0000}"/>
    <cellStyle name="Comma 5 8 2 3 4" xfId="8368" xr:uid="{00000000-0005-0000-0000-0000410E0000}"/>
    <cellStyle name="Comma 5 8 2 4" xfId="6347" xr:uid="{00000000-0005-0000-0000-0000420E0000}"/>
    <cellStyle name="Comma 5 8 2 4 2" xfId="15431" xr:uid="{00000000-0005-0000-0000-0000430E0000}"/>
    <cellStyle name="Comma 5 8 2 5" xfId="9822" xr:uid="{00000000-0005-0000-0000-0000440E0000}"/>
    <cellStyle name="Comma 5 8 2 5 2" xfId="18649" xr:uid="{00000000-0005-0000-0000-0000450E0000}"/>
    <cellStyle name="Comma 5 8 2 6" xfId="11266" xr:uid="{00000000-0005-0000-0000-0000460E0000}"/>
    <cellStyle name="Comma 5 8 2 7" xfId="4825" xr:uid="{00000000-0005-0000-0000-0000470E0000}"/>
    <cellStyle name="Comma 5 8 3" xfId="919" xr:uid="{00000000-0005-0000-0000-0000480E0000}"/>
    <cellStyle name="Comma 5 8 3 2" xfId="2639" xr:uid="{00000000-0005-0000-0000-0000490E0000}"/>
    <cellStyle name="Comma 5 8 3 2 2" xfId="16180" xr:uid="{00000000-0005-0000-0000-00004A0E0000}"/>
    <cellStyle name="Comma 5 8 3 2 3" xfId="12602" xr:uid="{00000000-0005-0000-0000-00004B0E0000}"/>
    <cellStyle name="Comma 5 8 3 2 4" xfId="7311" xr:uid="{00000000-0005-0000-0000-00004C0E0000}"/>
    <cellStyle name="Comma 5 8 3 3" xfId="3907" xr:uid="{00000000-0005-0000-0000-00004D0E0000}"/>
    <cellStyle name="Comma 5 8 3 3 2" xfId="17552" xr:uid="{00000000-0005-0000-0000-00004E0E0000}"/>
    <cellStyle name="Comma 5 8 3 3 3" xfId="13973" xr:uid="{00000000-0005-0000-0000-00004F0E0000}"/>
    <cellStyle name="Comma 5 8 3 3 4" xfId="8716" xr:uid="{00000000-0005-0000-0000-0000500E0000}"/>
    <cellStyle name="Comma 5 8 3 4" xfId="6427" xr:uid="{00000000-0005-0000-0000-0000510E0000}"/>
    <cellStyle name="Comma 5 8 3 4 2" xfId="15511" xr:uid="{00000000-0005-0000-0000-0000520E0000}"/>
    <cellStyle name="Comma 5 8 3 5" xfId="10170" xr:uid="{00000000-0005-0000-0000-0000530E0000}"/>
    <cellStyle name="Comma 5 8 3 5 2" xfId="18997" xr:uid="{00000000-0005-0000-0000-0000540E0000}"/>
    <cellStyle name="Comma 5 8 3 6" xfId="11616" xr:uid="{00000000-0005-0000-0000-0000550E0000}"/>
    <cellStyle name="Comma 5 8 3 7" xfId="4905" xr:uid="{00000000-0005-0000-0000-0000560E0000}"/>
    <cellStyle name="Comma 5 8 4" xfId="1663" xr:uid="{00000000-0005-0000-0000-0000570E0000}"/>
    <cellStyle name="Comma 5 8 4 2" xfId="3259" xr:uid="{00000000-0005-0000-0000-0000580E0000}"/>
    <cellStyle name="Comma 5 8 4 2 2" xfId="16808" xr:uid="{00000000-0005-0000-0000-0000590E0000}"/>
    <cellStyle name="Comma 5 8 4 2 3" xfId="13229" xr:uid="{00000000-0005-0000-0000-00005A0E0000}"/>
    <cellStyle name="Comma 5 8 4 2 4" xfId="7940" xr:uid="{00000000-0005-0000-0000-00005B0E0000}"/>
    <cellStyle name="Comma 5 8 4 3" xfId="4322" xr:uid="{00000000-0005-0000-0000-00005C0E0000}"/>
    <cellStyle name="Comma 5 8 4 3 2" xfId="18172" xr:uid="{00000000-0005-0000-0000-00005D0E0000}"/>
    <cellStyle name="Comma 5 8 4 3 3" xfId="14593" xr:uid="{00000000-0005-0000-0000-00005E0E0000}"/>
    <cellStyle name="Comma 5 8 4 3 4" xfId="9336" xr:uid="{00000000-0005-0000-0000-00005F0E0000}"/>
    <cellStyle name="Comma 5 8 4 4" xfId="6028" xr:uid="{00000000-0005-0000-0000-0000600E0000}"/>
    <cellStyle name="Comma 5 8 4 4 2" xfId="15114" xr:uid="{00000000-0005-0000-0000-0000610E0000}"/>
    <cellStyle name="Comma 5 8 4 5" xfId="10790" xr:uid="{00000000-0005-0000-0000-0000620E0000}"/>
    <cellStyle name="Comma 5 8 4 5 2" xfId="19617" xr:uid="{00000000-0005-0000-0000-0000630E0000}"/>
    <cellStyle name="Comma 5 8 4 6" xfId="12236" xr:uid="{00000000-0005-0000-0000-0000640E0000}"/>
    <cellStyle name="Comma 5 8 4 7" xfId="5534" xr:uid="{00000000-0005-0000-0000-0000650E0000}"/>
    <cellStyle name="Comma 5 8 5" xfId="2216" xr:uid="{00000000-0005-0000-0000-0000660E0000}"/>
    <cellStyle name="Comma 5 8 5 2" xfId="15957" xr:uid="{00000000-0005-0000-0000-0000670E0000}"/>
    <cellStyle name="Comma 5 8 5 3" xfId="12469" xr:uid="{00000000-0005-0000-0000-0000680E0000}"/>
    <cellStyle name="Comma 5 8 5 4" xfId="6914" xr:uid="{00000000-0005-0000-0000-0000690E0000}"/>
    <cellStyle name="Comma 5 8 6" xfId="3484" xr:uid="{00000000-0005-0000-0000-00006A0E0000}"/>
    <cellStyle name="Comma 5 8 6 2" xfId="17129" xr:uid="{00000000-0005-0000-0000-00006B0E0000}"/>
    <cellStyle name="Comma 5 8 6 3" xfId="13550" xr:uid="{00000000-0005-0000-0000-00006C0E0000}"/>
    <cellStyle name="Comma 5 8 6 4" xfId="8293" xr:uid="{00000000-0005-0000-0000-00006D0E0000}"/>
    <cellStyle name="Comma 5 8 7" xfId="5854" xr:uid="{00000000-0005-0000-0000-00006E0E0000}"/>
    <cellStyle name="Comma 5 8 7 2" xfId="14940" xr:uid="{00000000-0005-0000-0000-00006F0E0000}"/>
    <cellStyle name="Comma 5 8 8" xfId="9747" xr:uid="{00000000-0005-0000-0000-0000700E0000}"/>
    <cellStyle name="Comma 5 8 8 2" xfId="18574" xr:uid="{00000000-0005-0000-0000-0000710E0000}"/>
    <cellStyle name="Comma 5 8 9" xfId="11191" xr:uid="{00000000-0005-0000-0000-0000720E0000}"/>
    <cellStyle name="Comma 5 9" xfId="287" xr:uid="{00000000-0005-0000-0000-0000730E0000}"/>
    <cellStyle name="Comma 5 9 2" xfId="562" xr:uid="{00000000-0005-0000-0000-0000740E0000}"/>
    <cellStyle name="Comma 5 9 2 2" xfId="2292" xr:uid="{00000000-0005-0000-0000-0000750E0000}"/>
    <cellStyle name="Comma 5 9 2 2 2" xfId="16181" xr:uid="{00000000-0005-0000-0000-0000760E0000}"/>
    <cellStyle name="Comma 5 9 2 2 3" xfId="12603" xr:uid="{00000000-0005-0000-0000-0000770E0000}"/>
    <cellStyle name="Comma 5 9 2 2 4" xfId="7312" xr:uid="{00000000-0005-0000-0000-0000780E0000}"/>
    <cellStyle name="Comma 5 9 2 3" xfId="3560" xr:uid="{00000000-0005-0000-0000-0000790E0000}"/>
    <cellStyle name="Comma 5 9 2 3 2" xfId="17205" xr:uid="{00000000-0005-0000-0000-00007A0E0000}"/>
    <cellStyle name="Comma 5 9 2 3 3" xfId="13626" xr:uid="{00000000-0005-0000-0000-00007B0E0000}"/>
    <cellStyle name="Comma 5 9 2 3 4" xfId="8369" xr:uid="{00000000-0005-0000-0000-00007C0E0000}"/>
    <cellStyle name="Comma 5 9 2 4" xfId="6428" xr:uid="{00000000-0005-0000-0000-00007D0E0000}"/>
    <cellStyle name="Comma 5 9 2 4 2" xfId="15512" xr:uid="{00000000-0005-0000-0000-00007E0E0000}"/>
    <cellStyle name="Comma 5 9 2 5" xfId="9823" xr:uid="{00000000-0005-0000-0000-00007F0E0000}"/>
    <cellStyle name="Comma 5 9 2 5 2" xfId="18650" xr:uid="{00000000-0005-0000-0000-0000800E0000}"/>
    <cellStyle name="Comma 5 9 2 6" xfId="11267" xr:uid="{00000000-0005-0000-0000-0000810E0000}"/>
    <cellStyle name="Comma 5 9 2 7" xfId="4906" xr:uid="{00000000-0005-0000-0000-0000820E0000}"/>
    <cellStyle name="Comma 5 9 3" xfId="920" xr:uid="{00000000-0005-0000-0000-0000830E0000}"/>
    <cellStyle name="Comma 5 9 3 2" xfId="2640" xr:uid="{00000000-0005-0000-0000-0000840E0000}"/>
    <cellStyle name="Comma 5 9 3 2 2" xfId="16647" xr:uid="{00000000-0005-0000-0000-0000850E0000}"/>
    <cellStyle name="Comma 5 9 3 2 3" xfId="13068" xr:uid="{00000000-0005-0000-0000-0000860E0000}"/>
    <cellStyle name="Comma 5 9 3 2 4" xfId="7779" xr:uid="{00000000-0005-0000-0000-0000870E0000}"/>
    <cellStyle name="Comma 5 9 3 3" xfId="3908" xr:uid="{00000000-0005-0000-0000-0000880E0000}"/>
    <cellStyle name="Comma 5 9 3 3 2" xfId="17553" xr:uid="{00000000-0005-0000-0000-0000890E0000}"/>
    <cellStyle name="Comma 5 9 3 3 3" xfId="13974" xr:uid="{00000000-0005-0000-0000-00008A0E0000}"/>
    <cellStyle name="Comma 5 9 3 3 4" xfId="8717" xr:uid="{00000000-0005-0000-0000-00008B0E0000}"/>
    <cellStyle name="Comma 5 9 3 4" xfId="6186" xr:uid="{00000000-0005-0000-0000-00008C0E0000}"/>
    <cellStyle name="Comma 5 9 3 4 2" xfId="15270" xr:uid="{00000000-0005-0000-0000-00008D0E0000}"/>
    <cellStyle name="Comma 5 9 3 5" xfId="10171" xr:uid="{00000000-0005-0000-0000-00008E0E0000}"/>
    <cellStyle name="Comma 5 9 3 5 2" xfId="18998" xr:uid="{00000000-0005-0000-0000-00008F0E0000}"/>
    <cellStyle name="Comma 5 9 3 6" xfId="11617" xr:uid="{00000000-0005-0000-0000-0000900E0000}"/>
    <cellStyle name="Comma 5 9 3 7" xfId="5373" xr:uid="{00000000-0005-0000-0000-0000910E0000}"/>
    <cellStyle name="Comma 5 9 4" xfId="1499" xr:uid="{00000000-0005-0000-0000-0000920E0000}"/>
    <cellStyle name="Comma 5 9 4 2" xfId="3098" xr:uid="{00000000-0005-0000-0000-0000930E0000}"/>
    <cellStyle name="Comma 5 9 4 2 2" xfId="18011" xr:uid="{00000000-0005-0000-0000-0000940E0000}"/>
    <cellStyle name="Comma 5 9 4 2 3" xfId="14432" xr:uid="{00000000-0005-0000-0000-0000950E0000}"/>
    <cellStyle name="Comma 5 9 4 2 4" xfId="9175" xr:uid="{00000000-0005-0000-0000-0000960E0000}"/>
    <cellStyle name="Comma 5 9 4 3" xfId="10629" xr:uid="{00000000-0005-0000-0000-0000970E0000}"/>
    <cellStyle name="Comma 5 9 4 3 2" xfId="19456" xr:uid="{00000000-0005-0000-0000-0000980E0000}"/>
    <cellStyle name="Comma 5 9 4 4" xfId="12075" xr:uid="{00000000-0005-0000-0000-0000990E0000}"/>
    <cellStyle name="Comma 5 9 4 5" xfId="7070" xr:uid="{00000000-0005-0000-0000-00009A0E0000}"/>
    <cellStyle name="Comma 5 9 5" xfId="2055" xr:uid="{00000000-0005-0000-0000-00009B0E0000}"/>
    <cellStyle name="Comma 5 9 5 2" xfId="16968" xr:uid="{00000000-0005-0000-0000-00009C0E0000}"/>
    <cellStyle name="Comma 5 9 5 3" xfId="13389" xr:uid="{00000000-0005-0000-0000-00009D0E0000}"/>
    <cellStyle name="Comma 5 9 5 4" xfId="8132" xr:uid="{00000000-0005-0000-0000-00009E0E0000}"/>
    <cellStyle name="Comma 5 9 6" xfId="5693" xr:uid="{00000000-0005-0000-0000-00009F0E0000}"/>
    <cellStyle name="Comma 5 9 6 2" xfId="14779" xr:uid="{00000000-0005-0000-0000-0000A00E0000}"/>
    <cellStyle name="Comma 5 9 7" xfId="9586" xr:uid="{00000000-0005-0000-0000-0000A10E0000}"/>
    <cellStyle name="Comma 5 9 7 2" xfId="18413" xr:uid="{00000000-0005-0000-0000-0000A20E0000}"/>
    <cellStyle name="Comma 5 9 8" xfId="11030" xr:uid="{00000000-0005-0000-0000-0000A30E0000}"/>
    <cellStyle name="Comma 5 9 9" xfId="4664" xr:uid="{00000000-0005-0000-0000-0000A40E0000}"/>
    <cellStyle name="Comma 6" xfId="92" xr:uid="{00000000-0005-0000-0000-0000A50E0000}"/>
    <cellStyle name="Comma 6 10" xfId="1889" xr:uid="{00000000-0005-0000-0000-0000A60E0000}"/>
    <cellStyle name="Comma 6 10 2" xfId="9420" xr:uid="{00000000-0005-0000-0000-0000A70E0000}"/>
    <cellStyle name="Comma 6 10 2 2" xfId="18247" xr:uid="{00000000-0005-0000-0000-0000A80E0000}"/>
    <cellStyle name="Comma 6 10 3" xfId="10864" xr:uid="{00000000-0005-0000-0000-0000A90E0000}"/>
    <cellStyle name="Comma 6 10 4" xfId="7964" xr:uid="{00000000-0005-0000-0000-0000AA0E0000}"/>
    <cellStyle name="Comma 6 11" xfId="1856" xr:uid="{00000000-0005-0000-0000-0000AB0E0000}"/>
    <cellStyle name="Comma 6 11 2" xfId="14633" xr:uid="{00000000-0005-0000-0000-0000AC0E0000}"/>
    <cellStyle name="Comma 6 11 3" xfId="5547" xr:uid="{00000000-0005-0000-0000-0000AD0E0000}"/>
    <cellStyle name="Comma 6 12" xfId="9390" xr:uid="{00000000-0005-0000-0000-0000AE0E0000}"/>
    <cellStyle name="Comma 6 12 2" xfId="18217" xr:uid="{00000000-0005-0000-0000-0000AF0E0000}"/>
    <cellStyle name="Comma 6 13" xfId="10831" xr:uid="{00000000-0005-0000-0000-0000B00E0000}"/>
    <cellStyle name="Comma 6 14" xfId="4364" xr:uid="{00000000-0005-0000-0000-0000B10E0000}"/>
    <cellStyle name="Comma 6 2" xfId="145" xr:uid="{00000000-0005-0000-0000-0000B20E0000}"/>
    <cellStyle name="Comma 6 2 10" xfId="5570" xr:uid="{00000000-0005-0000-0000-0000B30E0000}"/>
    <cellStyle name="Comma 6 2 10 2" xfId="14656" xr:uid="{00000000-0005-0000-0000-0000B40E0000}"/>
    <cellStyle name="Comma 6 2 11" xfId="9463" xr:uid="{00000000-0005-0000-0000-0000B50E0000}"/>
    <cellStyle name="Comma 6 2 11 2" xfId="18290" xr:uid="{00000000-0005-0000-0000-0000B60E0000}"/>
    <cellStyle name="Comma 6 2 12" xfId="10907" xr:uid="{00000000-0005-0000-0000-0000B70E0000}"/>
    <cellStyle name="Comma 6 2 13" xfId="4383" xr:uid="{00000000-0005-0000-0000-0000B80E0000}"/>
    <cellStyle name="Comma 6 2 2" xfId="214" xr:uid="{00000000-0005-0000-0000-0000B90E0000}"/>
    <cellStyle name="Comma 6 2 2 10" xfId="10966" xr:uid="{00000000-0005-0000-0000-0000BA0E0000}"/>
    <cellStyle name="Comma 6 2 2 11" xfId="4487" xr:uid="{00000000-0005-0000-0000-0000BB0E0000}"/>
    <cellStyle name="Comma 6 2 2 2" xfId="428" xr:uid="{00000000-0005-0000-0000-0000BC0E0000}"/>
    <cellStyle name="Comma 6 2 2 2 2" xfId="566" xr:uid="{00000000-0005-0000-0000-0000BD0E0000}"/>
    <cellStyle name="Comma 6 2 2 2 2 2" xfId="2296" xr:uid="{00000000-0005-0000-0000-0000BE0E0000}"/>
    <cellStyle name="Comma 6 2 2 2 2 2 2" xfId="16185" xr:uid="{00000000-0005-0000-0000-0000BF0E0000}"/>
    <cellStyle name="Comma 6 2 2 2 2 2 3" xfId="12607" xr:uid="{00000000-0005-0000-0000-0000C00E0000}"/>
    <cellStyle name="Comma 6 2 2 2 2 2 4" xfId="7316" xr:uid="{00000000-0005-0000-0000-0000C10E0000}"/>
    <cellStyle name="Comma 6 2 2 2 2 3" xfId="3564" xr:uid="{00000000-0005-0000-0000-0000C20E0000}"/>
    <cellStyle name="Comma 6 2 2 2 2 3 2" xfId="17209" xr:uid="{00000000-0005-0000-0000-0000C30E0000}"/>
    <cellStyle name="Comma 6 2 2 2 2 3 3" xfId="13630" xr:uid="{00000000-0005-0000-0000-0000C40E0000}"/>
    <cellStyle name="Comma 6 2 2 2 2 3 4" xfId="8373" xr:uid="{00000000-0005-0000-0000-0000C50E0000}"/>
    <cellStyle name="Comma 6 2 2 2 2 4" xfId="6432" xr:uid="{00000000-0005-0000-0000-0000C60E0000}"/>
    <cellStyle name="Comma 6 2 2 2 2 4 2" xfId="15516" xr:uid="{00000000-0005-0000-0000-0000C70E0000}"/>
    <cellStyle name="Comma 6 2 2 2 2 5" xfId="9827" xr:uid="{00000000-0005-0000-0000-0000C80E0000}"/>
    <cellStyle name="Comma 6 2 2 2 2 5 2" xfId="18654" xr:uid="{00000000-0005-0000-0000-0000C90E0000}"/>
    <cellStyle name="Comma 6 2 2 2 2 6" xfId="11271" xr:uid="{00000000-0005-0000-0000-0000CA0E0000}"/>
    <cellStyle name="Comma 6 2 2 2 2 7" xfId="4910" xr:uid="{00000000-0005-0000-0000-0000CB0E0000}"/>
    <cellStyle name="Comma 6 2 2 2 3" xfId="924" xr:uid="{00000000-0005-0000-0000-0000CC0E0000}"/>
    <cellStyle name="Comma 6 2 2 2 3 2" xfId="2644" xr:uid="{00000000-0005-0000-0000-0000CD0E0000}"/>
    <cellStyle name="Comma 6 2 2 2 3 2 2" xfId="16787" xr:uid="{00000000-0005-0000-0000-0000CE0E0000}"/>
    <cellStyle name="Comma 6 2 2 2 3 2 3" xfId="13208" xr:uid="{00000000-0005-0000-0000-0000CF0E0000}"/>
    <cellStyle name="Comma 6 2 2 2 3 2 4" xfId="7919" xr:uid="{00000000-0005-0000-0000-0000D00E0000}"/>
    <cellStyle name="Comma 6 2 2 2 3 3" xfId="3912" xr:uid="{00000000-0005-0000-0000-0000D10E0000}"/>
    <cellStyle name="Comma 6 2 2 2 3 3 2" xfId="17557" xr:uid="{00000000-0005-0000-0000-0000D20E0000}"/>
    <cellStyle name="Comma 6 2 2 2 3 3 3" xfId="13978" xr:uid="{00000000-0005-0000-0000-0000D30E0000}"/>
    <cellStyle name="Comma 6 2 2 2 3 3 4" xfId="8721" xr:uid="{00000000-0005-0000-0000-0000D40E0000}"/>
    <cellStyle name="Comma 6 2 2 2 3 4" xfId="6326" xr:uid="{00000000-0005-0000-0000-0000D50E0000}"/>
    <cellStyle name="Comma 6 2 2 2 3 4 2" xfId="15410" xr:uid="{00000000-0005-0000-0000-0000D60E0000}"/>
    <cellStyle name="Comma 6 2 2 2 3 5" xfId="10175" xr:uid="{00000000-0005-0000-0000-0000D70E0000}"/>
    <cellStyle name="Comma 6 2 2 2 3 5 2" xfId="19002" xr:uid="{00000000-0005-0000-0000-0000D80E0000}"/>
    <cellStyle name="Comma 6 2 2 2 3 6" xfId="11621" xr:uid="{00000000-0005-0000-0000-0000D90E0000}"/>
    <cellStyle name="Comma 6 2 2 2 3 7" xfId="5513" xr:uid="{00000000-0005-0000-0000-0000DA0E0000}"/>
    <cellStyle name="Comma 6 2 2 2 4" xfId="1642" xr:uid="{00000000-0005-0000-0000-0000DB0E0000}"/>
    <cellStyle name="Comma 6 2 2 2 4 2" xfId="3238" xr:uid="{00000000-0005-0000-0000-0000DC0E0000}"/>
    <cellStyle name="Comma 6 2 2 2 4 2 2" xfId="18151" xr:uid="{00000000-0005-0000-0000-0000DD0E0000}"/>
    <cellStyle name="Comma 6 2 2 2 4 2 3" xfId="14572" xr:uid="{00000000-0005-0000-0000-0000DE0E0000}"/>
    <cellStyle name="Comma 6 2 2 2 4 2 4" xfId="9315" xr:uid="{00000000-0005-0000-0000-0000DF0E0000}"/>
    <cellStyle name="Comma 6 2 2 2 4 3" xfId="10769" xr:uid="{00000000-0005-0000-0000-0000E00E0000}"/>
    <cellStyle name="Comma 6 2 2 2 4 3 2" xfId="19596" xr:uid="{00000000-0005-0000-0000-0000E10E0000}"/>
    <cellStyle name="Comma 6 2 2 2 4 4" xfId="12215" xr:uid="{00000000-0005-0000-0000-0000E20E0000}"/>
    <cellStyle name="Comma 6 2 2 2 4 5" xfId="7210" xr:uid="{00000000-0005-0000-0000-0000E30E0000}"/>
    <cellStyle name="Comma 6 2 2 2 5" xfId="2195" xr:uid="{00000000-0005-0000-0000-0000E40E0000}"/>
    <cellStyle name="Comma 6 2 2 2 5 2" xfId="17108" xr:uid="{00000000-0005-0000-0000-0000E50E0000}"/>
    <cellStyle name="Comma 6 2 2 2 5 3" xfId="13529" xr:uid="{00000000-0005-0000-0000-0000E60E0000}"/>
    <cellStyle name="Comma 6 2 2 2 5 4" xfId="8272" xr:uid="{00000000-0005-0000-0000-0000E70E0000}"/>
    <cellStyle name="Comma 6 2 2 2 6" xfId="5833" xr:uid="{00000000-0005-0000-0000-0000E80E0000}"/>
    <cellStyle name="Comma 6 2 2 2 6 2" xfId="14919" xr:uid="{00000000-0005-0000-0000-0000E90E0000}"/>
    <cellStyle name="Comma 6 2 2 2 7" xfId="9726" xr:uid="{00000000-0005-0000-0000-0000EA0E0000}"/>
    <cellStyle name="Comma 6 2 2 2 7 2" xfId="18553" xr:uid="{00000000-0005-0000-0000-0000EB0E0000}"/>
    <cellStyle name="Comma 6 2 2 2 8" xfId="11170" xr:uid="{00000000-0005-0000-0000-0000EC0E0000}"/>
    <cellStyle name="Comma 6 2 2 2 9" xfId="4804" xr:uid="{00000000-0005-0000-0000-0000ED0E0000}"/>
    <cellStyle name="Comma 6 2 2 3" xfId="565" xr:uid="{00000000-0005-0000-0000-0000EE0E0000}"/>
    <cellStyle name="Comma 6 2 2 3 2" xfId="2295" xr:uid="{00000000-0005-0000-0000-0000EF0E0000}"/>
    <cellStyle name="Comma 6 2 2 3 2 2" xfId="16020" xr:uid="{00000000-0005-0000-0000-0000F00E0000}"/>
    <cellStyle name="Comma 6 2 2 3 2 3" xfId="12262" xr:uid="{00000000-0005-0000-0000-0000F10E0000}"/>
    <cellStyle name="Comma 6 2 2 3 2 4" xfId="7006" xr:uid="{00000000-0005-0000-0000-0000F20E0000}"/>
    <cellStyle name="Comma 6 2 2 3 3" xfId="3563" xr:uid="{00000000-0005-0000-0000-0000F30E0000}"/>
    <cellStyle name="Comma 6 2 2 3 3 2" xfId="17208" xr:uid="{00000000-0005-0000-0000-0000F40E0000}"/>
    <cellStyle name="Comma 6 2 2 3 3 3" xfId="13629" xr:uid="{00000000-0005-0000-0000-0000F50E0000}"/>
    <cellStyle name="Comma 6 2 2 3 3 4" xfId="8372" xr:uid="{00000000-0005-0000-0000-0000F60E0000}"/>
    <cellStyle name="Comma 6 2 2 3 4" xfId="6122" xr:uid="{00000000-0005-0000-0000-0000F70E0000}"/>
    <cellStyle name="Comma 6 2 2 3 4 2" xfId="15206" xr:uid="{00000000-0005-0000-0000-0000F80E0000}"/>
    <cellStyle name="Comma 6 2 2 3 5" xfId="9826" xr:uid="{00000000-0005-0000-0000-0000F90E0000}"/>
    <cellStyle name="Comma 6 2 2 3 5 2" xfId="18653" xr:uid="{00000000-0005-0000-0000-0000FA0E0000}"/>
    <cellStyle name="Comma 6 2 2 3 6" xfId="11270" xr:uid="{00000000-0005-0000-0000-0000FB0E0000}"/>
    <cellStyle name="Comma 6 2 2 3 7" xfId="4600" xr:uid="{00000000-0005-0000-0000-0000FC0E0000}"/>
    <cellStyle name="Comma 6 2 2 4" xfId="923" xr:uid="{00000000-0005-0000-0000-0000FD0E0000}"/>
    <cellStyle name="Comma 6 2 2 4 2" xfId="2643" xr:uid="{00000000-0005-0000-0000-0000FE0E0000}"/>
    <cellStyle name="Comma 6 2 2 4 2 2" xfId="16184" xr:uid="{00000000-0005-0000-0000-0000FF0E0000}"/>
    <cellStyle name="Comma 6 2 2 4 2 3" xfId="12606" xr:uid="{00000000-0005-0000-0000-0000000F0000}"/>
    <cellStyle name="Comma 6 2 2 4 2 4" xfId="7315" xr:uid="{00000000-0005-0000-0000-0000010F0000}"/>
    <cellStyle name="Comma 6 2 2 4 3" xfId="3911" xr:uid="{00000000-0005-0000-0000-0000020F0000}"/>
    <cellStyle name="Comma 6 2 2 4 3 2" xfId="17556" xr:uid="{00000000-0005-0000-0000-0000030F0000}"/>
    <cellStyle name="Comma 6 2 2 4 3 3" xfId="13977" xr:uid="{00000000-0005-0000-0000-0000040F0000}"/>
    <cellStyle name="Comma 6 2 2 4 3 4" xfId="8720" xr:uid="{00000000-0005-0000-0000-0000050F0000}"/>
    <cellStyle name="Comma 6 2 2 4 4" xfId="6431" xr:uid="{00000000-0005-0000-0000-0000060F0000}"/>
    <cellStyle name="Comma 6 2 2 4 4 2" xfId="15515" xr:uid="{00000000-0005-0000-0000-0000070F0000}"/>
    <cellStyle name="Comma 6 2 2 4 5" xfId="10174" xr:uid="{00000000-0005-0000-0000-0000080F0000}"/>
    <cellStyle name="Comma 6 2 2 4 5 2" xfId="19001" xr:uid="{00000000-0005-0000-0000-0000090F0000}"/>
    <cellStyle name="Comma 6 2 2 4 6" xfId="11620" xr:uid="{00000000-0005-0000-0000-00000A0F0000}"/>
    <cellStyle name="Comma 6 2 2 4 7" xfId="4909" xr:uid="{00000000-0005-0000-0000-00000B0F0000}"/>
    <cellStyle name="Comma 6 2 2 5" xfId="1432" xr:uid="{00000000-0005-0000-0000-00000C0F0000}"/>
    <cellStyle name="Comma 6 2 2 5 2" xfId="3034" xr:uid="{00000000-0005-0000-0000-00000D0F0000}"/>
    <cellStyle name="Comma 6 2 2 5 2 2" xfId="16583" xr:uid="{00000000-0005-0000-0000-00000E0F0000}"/>
    <cellStyle name="Comma 6 2 2 5 2 3" xfId="13004" xr:uid="{00000000-0005-0000-0000-00000F0F0000}"/>
    <cellStyle name="Comma 6 2 2 5 2 4" xfId="7715" xr:uid="{00000000-0005-0000-0000-0000100F0000}"/>
    <cellStyle name="Comma 6 2 2 5 3" xfId="4242" xr:uid="{00000000-0005-0000-0000-0000110F0000}"/>
    <cellStyle name="Comma 6 2 2 5 3 2" xfId="17947" xr:uid="{00000000-0005-0000-0000-0000120F0000}"/>
    <cellStyle name="Comma 6 2 2 5 3 3" xfId="14368" xr:uid="{00000000-0005-0000-0000-0000130F0000}"/>
    <cellStyle name="Comma 6 2 2 5 3 4" xfId="9111" xr:uid="{00000000-0005-0000-0000-0000140F0000}"/>
    <cellStyle name="Comma 6 2 2 5 4" xfId="6007" xr:uid="{00000000-0005-0000-0000-0000150F0000}"/>
    <cellStyle name="Comma 6 2 2 5 4 2" xfId="15093" xr:uid="{00000000-0005-0000-0000-0000160F0000}"/>
    <cellStyle name="Comma 6 2 2 5 5" xfId="10565" xr:uid="{00000000-0005-0000-0000-0000170F0000}"/>
    <cellStyle name="Comma 6 2 2 5 5 2" xfId="19392" xr:uid="{00000000-0005-0000-0000-0000180F0000}"/>
    <cellStyle name="Comma 6 2 2 5 6" xfId="12011" xr:uid="{00000000-0005-0000-0000-0000190F0000}"/>
    <cellStyle name="Comma 6 2 2 5 7" xfId="5309" xr:uid="{00000000-0005-0000-0000-00001A0F0000}"/>
    <cellStyle name="Comma 6 2 2 6" xfId="1991" xr:uid="{00000000-0005-0000-0000-00001B0F0000}"/>
    <cellStyle name="Comma 6 2 2 6 2" xfId="15936" xr:uid="{00000000-0005-0000-0000-00001C0F0000}"/>
    <cellStyle name="Comma 6 2 2 6 3" xfId="12303" xr:uid="{00000000-0005-0000-0000-00001D0F0000}"/>
    <cellStyle name="Comma 6 2 2 6 4" xfId="6893" xr:uid="{00000000-0005-0000-0000-00001E0F0000}"/>
    <cellStyle name="Comma 6 2 2 7" xfId="3404" xr:uid="{00000000-0005-0000-0000-00001F0F0000}"/>
    <cellStyle name="Comma 6 2 2 7 2" xfId="16904" xr:uid="{00000000-0005-0000-0000-0000200F0000}"/>
    <cellStyle name="Comma 6 2 2 7 3" xfId="13325" xr:uid="{00000000-0005-0000-0000-0000210F0000}"/>
    <cellStyle name="Comma 6 2 2 7 4" xfId="8068" xr:uid="{00000000-0005-0000-0000-0000220F0000}"/>
    <cellStyle name="Comma 6 2 2 8" xfId="5629" xr:uid="{00000000-0005-0000-0000-0000230F0000}"/>
    <cellStyle name="Comma 6 2 2 8 2" xfId="14715" xr:uid="{00000000-0005-0000-0000-0000240F0000}"/>
    <cellStyle name="Comma 6 2 2 9" xfId="9522" xr:uid="{00000000-0005-0000-0000-0000250F0000}"/>
    <cellStyle name="Comma 6 2 2 9 2" xfId="18349" xr:uid="{00000000-0005-0000-0000-0000260F0000}"/>
    <cellStyle name="Comma 6 2 3" xfId="385" xr:uid="{00000000-0005-0000-0000-0000270F0000}"/>
    <cellStyle name="Comma 6 2 3 10" xfId="4445" xr:uid="{00000000-0005-0000-0000-0000280F0000}"/>
    <cellStyle name="Comma 6 2 3 2" xfId="567" xr:uid="{00000000-0005-0000-0000-0000290F0000}"/>
    <cellStyle name="Comma 6 2 3 2 2" xfId="2297" xr:uid="{00000000-0005-0000-0000-00002A0F0000}"/>
    <cellStyle name="Comma 6 2 3 2 2 2" xfId="16082" xr:uid="{00000000-0005-0000-0000-00002B0F0000}"/>
    <cellStyle name="Comma 6 2 3 2 2 3" xfId="10803" xr:uid="{00000000-0005-0000-0000-00002C0F0000}"/>
    <cellStyle name="Comma 6 2 3 2 2 4" xfId="7168" xr:uid="{00000000-0005-0000-0000-00002D0F0000}"/>
    <cellStyle name="Comma 6 2 3 2 3" xfId="3565" xr:uid="{00000000-0005-0000-0000-00002E0F0000}"/>
    <cellStyle name="Comma 6 2 3 2 3 2" xfId="17210" xr:uid="{00000000-0005-0000-0000-00002F0F0000}"/>
    <cellStyle name="Comma 6 2 3 2 3 3" xfId="13631" xr:uid="{00000000-0005-0000-0000-0000300F0000}"/>
    <cellStyle name="Comma 6 2 3 2 3 4" xfId="8374" xr:uid="{00000000-0005-0000-0000-0000310F0000}"/>
    <cellStyle name="Comma 6 2 3 2 4" xfId="6284" xr:uid="{00000000-0005-0000-0000-0000320F0000}"/>
    <cellStyle name="Comma 6 2 3 2 4 2" xfId="15368" xr:uid="{00000000-0005-0000-0000-0000330F0000}"/>
    <cellStyle name="Comma 6 2 3 2 5" xfId="9828" xr:uid="{00000000-0005-0000-0000-0000340F0000}"/>
    <cellStyle name="Comma 6 2 3 2 5 2" xfId="18655" xr:uid="{00000000-0005-0000-0000-0000350F0000}"/>
    <cellStyle name="Comma 6 2 3 2 6" xfId="11272" xr:uid="{00000000-0005-0000-0000-0000360F0000}"/>
    <cellStyle name="Comma 6 2 3 2 7" xfId="4762" xr:uid="{00000000-0005-0000-0000-0000370F0000}"/>
    <cellStyle name="Comma 6 2 3 3" xfId="925" xr:uid="{00000000-0005-0000-0000-0000380F0000}"/>
    <cellStyle name="Comma 6 2 3 3 2" xfId="2645" xr:uid="{00000000-0005-0000-0000-0000390F0000}"/>
    <cellStyle name="Comma 6 2 3 3 2 2" xfId="16186" xr:uid="{00000000-0005-0000-0000-00003A0F0000}"/>
    <cellStyle name="Comma 6 2 3 3 2 3" xfId="12608" xr:uid="{00000000-0005-0000-0000-00003B0F0000}"/>
    <cellStyle name="Comma 6 2 3 3 2 4" xfId="7317" xr:uid="{00000000-0005-0000-0000-00003C0F0000}"/>
    <cellStyle name="Comma 6 2 3 3 3" xfId="3913" xr:uid="{00000000-0005-0000-0000-00003D0F0000}"/>
    <cellStyle name="Comma 6 2 3 3 3 2" xfId="17558" xr:uid="{00000000-0005-0000-0000-00003E0F0000}"/>
    <cellStyle name="Comma 6 2 3 3 3 3" xfId="13979" xr:uid="{00000000-0005-0000-0000-00003F0F0000}"/>
    <cellStyle name="Comma 6 2 3 3 3 4" xfId="8722" xr:uid="{00000000-0005-0000-0000-0000400F0000}"/>
    <cellStyle name="Comma 6 2 3 3 4" xfId="6433" xr:uid="{00000000-0005-0000-0000-0000410F0000}"/>
    <cellStyle name="Comma 6 2 3 3 4 2" xfId="15517" xr:uid="{00000000-0005-0000-0000-0000420F0000}"/>
    <cellStyle name="Comma 6 2 3 3 5" xfId="10176" xr:uid="{00000000-0005-0000-0000-0000430F0000}"/>
    <cellStyle name="Comma 6 2 3 3 5 2" xfId="19003" xr:uid="{00000000-0005-0000-0000-0000440F0000}"/>
    <cellStyle name="Comma 6 2 3 3 6" xfId="11622" xr:uid="{00000000-0005-0000-0000-0000450F0000}"/>
    <cellStyle name="Comma 6 2 3 3 7" xfId="4911" xr:uid="{00000000-0005-0000-0000-0000460F0000}"/>
    <cellStyle name="Comma 6 2 3 4" xfId="1599" xr:uid="{00000000-0005-0000-0000-0000470F0000}"/>
    <cellStyle name="Comma 6 2 3 4 2" xfId="3196" xr:uid="{00000000-0005-0000-0000-0000480F0000}"/>
    <cellStyle name="Comma 6 2 3 4 2 2" xfId="16745" xr:uid="{00000000-0005-0000-0000-0000490F0000}"/>
    <cellStyle name="Comma 6 2 3 4 2 3" xfId="13166" xr:uid="{00000000-0005-0000-0000-00004A0F0000}"/>
    <cellStyle name="Comma 6 2 3 4 2 4" xfId="7877" xr:uid="{00000000-0005-0000-0000-00004B0F0000}"/>
    <cellStyle name="Comma 6 2 3 4 3" xfId="4304" xr:uid="{00000000-0005-0000-0000-00004C0F0000}"/>
    <cellStyle name="Comma 6 2 3 4 3 2" xfId="18109" xr:uid="{00000000-0005-0000-0000-00004D0F0000}"/>
    <cellStyle name="Comma 6 2 3 4 3 3" xfId="14530" xr:uid="{00000000-0005-0000-0000-00004E0F0000}"/>
    <cellStyle name="Comma 6 2 3 4 3 4" xfId="9273" xr:uid="{00000000-0005-0000-0000-00004F0F0000}"/>
    <cellStyle name="Comma 6 2 3 4 4" xfId="5965" xr:uid="{00000000-0005-0000-0000-0000500F0000}"/>
    <cellStyle name="Comma 6 2 3 4 4 2" xfId="15051" xr:uid="{00000000-0005-0000-0000-0000510F0000}"/>
    <cellStyle name="Comma 6 2 3 4 5" xfId="10727" xr:uid="{00000000-0005-0000-0000-0000520F0000}"/>
    <cellStyle name="Comma 6 2 3 4 5 2" xfId="19554" xr:uid="{00000000-0005-0000-0000-0000530F0000}"/>
    <cellStyle name="Comma 6 2 3 4 6" xfId="12173" xr:uid="{00000000-0005-0000-0000-0000540F0000}"/>
    <cellStyle name="Comma 6 2 3 4 7" xfId="5471" xr:uid="{00000000-0005-0000-0000-0000550F0000}"/>
    <cellStyle name="Comma 6 2 3 5" xfId="2153" xr:uid="{00000000-0005-0000-0000-0000560F0000}"/>
    <cellStyle name="Comma 6 2 3 5 2" xfId="15894" xr:uid="{00000000-0005-0000-0000-0000570F0000}"/>
    <cellStyle name="Comma 6 2 3 5 3" xfId="12347" xr:uid="{00000000-0005-0000-0000-0000580F0000}"/>
    <cellStyle name="Comma 6 2 3 5 4" xfId="6851" xr:uid="{00000000-0005-0000-0000-0000590F0000}"/>
    <cellStyle name="Comma 6 2 3 6" xfId="3466" xr:uid="{00000000-0005-0000-0000-00005A0F0000}"/>
    <cellStyle name="Comma 6 2 3 6 2" xfId="17066" xr:uid="{00000000-0005-0000-0000-00005B0F0000}"/>
    <cellStyle name="Comma 6 2 3 6 3" xfId="13487" xr:uid="{00000000-0005-0000-0000-00005C0F0000}"/>
    <cellStyle name="Comma 6 2 3 6 4" xfId="8230" xr:uid="{00000000-0005-0000-0000-00005D0F0000}"/>
    <cellStyle name="Comma 6 2 3 7" xfId="5791" xr:uid="{00000000-0005-0000-0000-00005E0F0000}"/>
    <cellStyle name="Comma 6 2 3 7 2" xfId="14877" xr:uid="{00000000-0005-0000-0000-00005F0F0000}"/>
    <cellStyle name="Comma 6 2 3 8" xfId="9684" xr:uid="{00000000-0005-0000-0000-0000600F0000}"/>
    <cellStyle name="Comma 6 2 3 8 2" xfId="18511" xr:uid="{00000000-0005-0000-0000-0000610F0000}"/>
    <cellStyle name="Comma 6 2 3 9" xfId="11128" xr:uid="{00000000-0005-0000-0000-0000620F0000}"/>
    <cellStyle name="Comma 6 2 4" xfId="323" xr:uid="{00000000-0005-0000-0000-0000630F0000}"/>
    <cellStyle name="Comma 6 2 4 2" xfId="568" xr:uid="{00000000-0005-0000-0000-0000640F0000}"/>
    <cellStyle name="Comma 6 2 4 2 2" xfId="2298" xr:uid="{00000000-0005-0000-0000-0000650F0000}"/>
    <cellStyle name="Comma 6 2 4 2 2 2" xfId="16187" xr:uid="{00000000-0005-0000-0000-0000660F0000}"/>
    <cellStyle name="Comma 6 2 4 2 2 3" xfId="12609" xr:uid="{00000000-0005-0000-0000-0000670F0000}"/>
    <cellStyle name="Comma 6 2 4 2 2 4" xfId="7318" xr:uid="{00000000-0005-0000-0000-0000680F0000}"/>
    <cellStyle name="Comma 6 2 4 2 3" xfId="3566" xr:uid="{00000000-0005-0000-0000-0000690F0000}"/>
    <cellStyle name="Comma 6 2 4 2 3 2" xfId="17211" xr:uid="{00000000-0005-0000-0000-00006A0F0000}"/>
    <cellStyle name="Comma 6 2 4 2 3 3" xfId="13632" xr:uid="{00000000-0005-0000-0000-00006B0F0000}"/>
    <cellStyle name="Comma 6 2 4 2 3 4" xfId="8375" xr:uid="{00000000-0005-0000-0000-00006C0F0000}"/>
    <cellStyle name="Comma 6 2 4 2 4" xfId="6434" xr:uid="{00000000-0005-0000-0000-00006D0F0000}"/>
    <cellStyle name="Comma 6 2 4 2 4 2" xfId="15518" xr:uid="{00000000-0005-0000-0000-00006E0F0000}"/>
    <cellStyle name="Comma 6 2 4 2 5" xfId="9829" xr:uid="{00000000-0005-0000-0000-00006F0F0000}"/>
    <cellStyle name="Comma 6 2 4 2 5 2" xfId="18656" xr:uid="{00000000-0005-0000-0000-0000700F0000}"/>
    <cellStyle name="Comma 6 2 4 2 6" xfId="11273" xr:uid="{00000000-0005-0000-0000-0000710F0000}"/>
    <cellStyle name="Comma 6 2 4 2 7" xfId="4912" xr:uid="{00000000-0005-0000-0000-0000720F0000}"/>
    <cellStyle name="Comma 6 2 4 3" xfId="926" xr:uid="{00000000-0005-0000-0000-0000730F0000}"/>
    <cellStyle name="Comma 6 2 4 3 2" xfId="2646" xr:uid="{00000000-0005-0000-0000-0000740F0000}"/>
    <cellStyle name="Comma 6 2 4 3 2 2" xfId="16683" xr:uid="{00000000-0005-0000-0000-0000750F0000}"/>
    <cellStyle name="Comma 6 2 4 3 2 3" xfId="13104" xr:uid="{00000000-0005-0000-0000-0000760F0000}"/>
    <cellStyle name="Comma 6 2 4 3 2 4" xfId="7815" xr:uid="{00000000-0005-0000-0000-0000770F0000}"/>
    <cellStyle name="Comma 6 2 4 3 3" xfId="3914" xr:uid="{00000000-0005-0000-0000-0000780F0000}"/>
    <cellStyle name="Comma 6 2 4 3 3 2" xfId="17559" xr:uid="{00000000-0005-0000-0000-0000790F0000}"/>
    <cellStyle name="Comma 6 2 4 3 3 3" xfId="13980" xr:uid="{00000000-0005-0000-0000-00007A0F0000}"/>
    <cellStyle name="Comma 6 2 4 3 3 4" xfId="8723" xr:uid="{00000000-0005-0000-0000-00007B0F0000}"/>
    <cellStyle name="Comma 6 2 4 3 4" xfId="6222" xr:uid="{00000000-0005-0000-0000-00007C0F0000}"/>
    <cellStyle name="Comma 6 2 4 3 4 2" xfId="15306" xr:uid="{00000000-0005-0000-0000-00007D0F0000}"/>
    <cellStyle name="Comma 6 2 4 3 5" xfId="10177" xr:uid="{00000000-0005-0000-0000-00007E0F0000}"/>
    <cellStyle name="Comma 6 2 4 3 5 2" xfId="19004" xr:uid="{00000000-0005-0000-0000-00007F0F0000}"/>
    <cellStyle name="Comma 6 2 4 3 6" xfId="11623" xr:uid="{00000000-0005-0000-0000-0000800F0000}"/>
    <cellStyle name="Comma 6 2 4 3 7" xfId="5409" xr:uid="{00000000-0005-0000-0000-0000810F0000}"/>
    <cellStyle name="Comma 6 2 4 4" xfId="1535" xr:uid="{00000000-0005-0000-0000-0000820F0000}"/>
    <cellStyle name="Comma 6 2 4 4 2" xfId="3134" xr:uid="{00000000-0005-0000-0000-0000830F0000}"/>
    <cellStyle name="Comma 6 2 4 4 2 2" xfId="18047" xr:uid="{00000000-0005-0000-0000-0000840F0000}"/>
    <cellStyle name="Comma 6 2 4 4 2 3" xfId="14468" xr:uid="{00000000-0005-0000-0000-0000850F0000}"/>
    <cellStyle name="Comma 6 2 4 4 2 4" xfId="9211" xr:uid="{00000000-0005-0000-0000-0000860F0000}"/>
    <cellStyle name="Comma 6 2 4 4 3" xfId="10665" xr:uid="{00000000-0005-0000-0000-0000870F0000}"/>
    <cellStyle name="Comma 6 2 4 4 3 2" xfId="19492" xr:uid="{00000000-0005-0000-0000-0000880F0000}"/>
    <cellStyle name="Comma 6 2 4 4 4" xfId="12111" xr:uid="{00000000-0005-0000-0000-0000890F0000}"/>
    <cellStyle name="Comma 6 2 4 4 5" xfId="7106" xr:uid="{00000000-0005-0000-0000-00008A0F0000}"/>
    <cellStyle name="Comma 6 2 4 5" xfId="2091" xr:uid="{00000000-0005-0000-0000-00008B0F0000}"/>
    <cellStyle name="Comma 6 2 4 5 2" xfId="17004" xr:uid="{00000000-0005-0000-0000-00008C0F0000}"/>
    <cellStyle name="Comma 6 2 4 5 3" xfId="13425" xr:uid="{00000000-0005-0000-0000-00008D0F0000}"/>
    <cellStyle name="Comma 6 2 4 5 4" xfId="8168" xr:uid="{00000000-0005-0000-0000-00008E0F0000}"/>
    <cellStyle name="Comma 6 2 4 6" xfId="5729" xr:uid="{00000000-0005-0000-0000-00008F0F0000}"/>
    <cellStyle name="Comma 6 2 4 6 2" xfId="14815" xr:uid="{00000000-0005-0000-0000-0000900F0000}"/>
    <cellStyle name="Comma 6 2 4 7" xfId="9622" xr:uid="{00000000-0005-0000-0000-0000910F0000}"/>
    <cellStyle name="Comma 6 2 4 7 2" xfId="18449" xr:uid="{00000000-0005-0000-0000-0000920F0000}"/>
    <cellStyle name="Comma 6 2 4 8" xfId="11066" xr:uid="{00000000-0005-0000-0000-0000930F0000}"/>
    <cellStyle name="Comma 6 2 4 9" xfId="4700" xr:uid="{00000000-0005-0000-0000-0000940F0000}"/>
    <cellStyle name="Comma 6 2 5" xfId="564" xr:uid="{00000000-0005-0000-0000-0000950F0000}"/>
    <cellStyle name="Comma 6 2 5 2" xfId="2294" xr:uid="{00000000-0005-0000-0000-0000960F0000}"/>
    <cellStyle name="Comma 6 2 5 2 2" xfId="15976" xr:uid="{00000000-0005-0000-0000-0000970F0000}"/>
    <cellStyle name="Comma 6 2 5 2 3" xfId="12446" xr:uid="{00000000-0005-0000-0000-0000980F0000}"/>
    <cellStyle name="Comma 6 2 5 2 4" xfId="6947" xr:uid="{00000000-0005-0000-0000-0000990F0000}"/>
    <cellStyle name="Comma 6 2 5 3" xfId="3562" xr:uid="{00000000-0005-0000-0000-00009A0F0000}"/>
    <cellStyle name="Comma 6 2 5 3 2" xfId="17207" xr:uid="{00000000-0005-0000-0000-00009B0F0000}"/>
    <cellStyle name="Comma 6 2 5 3 3" xfId="13628" xr:uid="{00000000-0005-0000-0000-00009C0F0000}"/>
    <cellStyle name="Comma 6 2 5 3 4" xfId="8371" xr:uid="{00000000-0005-0000-0000-00009D0F0000}"/>
    <cellStyle name="Comma 6 2 5 4" xfId="6063" xr:uid="{00000000-0005-0000-0000-00009E0F0000}"/>
    <cellStyle name="Comma 6 2 5 4 2" xfId="15147" xr:uid="{00000000-0005-0000-0000-00009F0F0000}"/>
    <cellStyle name="Comma 6 2 5 5" xfId="9825" xr:uid="{00000000-0005-0000-0000-0000A00F0000}"/>
    <cellStyle name="Comma 6 2 5 5 2" xfId="18652" xr:uid="{00000000-0005-0000-0000-0000A10F0000}"/>
    <cellStyle name="Comma 6 2 5 6" xfId="11269" xr:uid="{00000000-0005-0000-0000-0000A20F0000}"/>
    <cellStyle name="Comma 6 2 5 7" xfId="4541" xr:uid="{00000000-0005-0000-0000-0000A30F0000}"/>
    <cellStyle name="Comma 6 2 6" xfId="922" xr:uid="{00000000-0005-0000-0000-0000A40F0000}"/>
    <cellStyle name="Comma 6 2 6 2" xfId="2642" xr:uid="{00000000-0005-0000-0000-0000A50F0000}"/>
    <cellStyle name="Comma 6 2 6 2 2" xfId="16183" xr:uid="{00000000-0005-0000-0000-0000A60F0000}"/>
    <cellStyle name="Comma 6 2 6 2 3" xfId="12605" xr:uid="{00000000-0005-0000-0000-0000A70F0000}"/>
    <cellStyle name="Comma 6 2 6 2 4" xfId="7314" xr:uid="{00000000-0005-0000-0000-0000A80F0000}"/>
    <cellStyle name="Comma 6 2 6 3" xfId="3910" xr:uid="{00000000-0005-0000-0000-0000A90F0000}"/>
    <cellStyle name="Comma 6 2 6 3 2" xfId="17555" xr:uid="{00000000-0005-0000-0000-0000AA0F0000}"/>
    <cellStyle name="Comma 6 2 6 3 3" xfId="13976" xr:uid="{00000000-0005-0000-0000-0000AB0F0000}"/>
    <cellStyle name="Comma 6 2 6 3 4" xfId="8719" xr:uid="{00000000-0005-0000-0000-0000AC0F0000}"/>
    <cellStyle name="Comma 6 2 6 4" xfId="6430" xr:uid="{00000000-0005-0000-0000-0000AD0F0000}"/>
    <cellStyle name="Comma 6 2 6 4 2" xfId="15514" xr:uid="{00000000-0005-0000-0000-0000AE0F0000}"/>
    <cellStyle name="Comma 6 2 6 5" xfId="10173" xr:uid="{00000000-0005-0000-0000-0000AF0F0000}"/>
    <cellStyle name="Comma 6 2 6 5 2" xfId="19000" xr:uid="{00000000-0005-0000-0000-0000B00F0000}"/>
    <cellStyle name="Comma 6 2 6 6" xfId="11619" xr:uid="{00000000-0005-0000-0000-0000B10F0000}"/>
    <cellStyle name="Comma 6 2 6 7" xfId="4908" xr:uid="{00000000-0005-0000-0000-0000B20F0000}"/>
    <cellStyle name="Comma 6 2 7" xfId="1364" xr:uid="{00000000-0005-0000-0000-0000B30F0000}"/>
    <cellStyle name="Comma 6 2 7 2" xfId="2975" xr:uid="{00000000-0005-0000-0000-0000B40F0000}"/>
    <cellStyle name="Comma 6 2 7 2 2" xfId="16524" xr:uid="{00000000-0005-0000-0000-0000B50F0000}"/>
    <cellStyle name="Comma 6 2 7 2 3" xfId="12946" xr:uid="{00000000-0005-0000-0000-0000B60F0000}"/>
    <cellStyle name="Comma 6 2 7 2 4" xfId="7656" xr:uid="{00000000-0005-0000-0000-0000B70F0000}"/>
    <cellStyle name="Comma 6 2 7 3" xfId="4199" xr:uid="{00000000-0005-0000-0000-0000B80F0000}"/>
    <cellStyle name="Comma 6 2 7 3 2" xfId="17888" xr:uid="{00000000-0005-0000-0000-0000B90F0000}"/>
    <cellStyle name="Comma 6 2 7 3 3" xfId="14309" xr:uid="{00000000-0005-0000-0000-0000BA0F0000}"/>
    <cellStyle name="Comma 6 2 7 3 4" xfId="9052" xr:uid="{00000000-0005-0000-0000-0000BB0F0000}"/>
    <cellStyle name="Comma 6 2 7 4" xfId="5902" xr:uid="{00000000-0005-0000-0000-0000BC0F0000}"/>
    <cellStyle name="Comma 6 2 7 4 2" xfId="14988" xr:uid="{00000000-0005-0000-0000-0000BD0F0000}"/>
    <cellStyle name="Comma 6 2 7 5" xfId="10506" xr:uid="{00000000-0005-0000-0000-0000BE0F0000}"/>
    <cellStyle name="Comma 6 2 7 5 2" xfId="19333" xr:uid="{00000000-0005-0000-0000-0000BF0F0000}"/>
    <cellStyle name="Comma 6 2 7 6" xfId="11952" xr:uid="{00000000-0005-0000-0000-0000C00F0000}"/>
    <cellStyle name="Comma 6 2 7 7" xfId="5250" xr:uid="{00000000-0005-0000-0000-0000C10F0000}"/>
    <cellStyle name="Comma 6 2 8" xfId="1932" xr:uid="{00000000-0005-0000-0000-0000C20F0000}"/>
    <cellStyle name="Comma 6 2 8 2" xfId="15837" xr:uid="{00000000-0005-0000-0000-0000C30F0000}"/>
    <cellStyle name="Comma 6 2 8 3" xfId="12439" xr:uid="{00000000-0005-0000-0000-0000C40F0000}"/>
    <cellStyle name="Comma 6 2 8 4" xfId="6789" xr:uid="{00000000-0005-0000-0000-0000C50F0000}"/>
    <cellStyle name="Comma 6 2 9" xfId="3361" xr:uid="{00000000-0005-0000-0000-0000C60F0000}"/>
    <cellStyle name="Comma 6 2 9 2" xfId="16843" xr:uid="{00000000-0005-0000-0000-0000C70F0000}"/>
    <cellStyle name="Comma 6 2 9 3" xfId="13264" xr:uid="{00000000-0005-0000-0000-0000C80F0000}"/>
    <cellStyle name="Comma 6 2 9 4" xfId="8007" xr:uid="{00000000-0005-0000-0000-0000C90F0000}"/>
    <cellStyle name="Comma 6 3" xfId="258" xr:uid="{00000000-0005-0000-0000-0000CA0F0000}"/>
    <cellStyle name="Comma 6 3 10" xfId="11009" xr:uid="{00000000-0005-0000-0000-0000CB0F0000}"/>
    <cellStyle name="Comma 6 3 11" xfId="4426" xr:uid="{00000000-0005-0000-0000-0000CC0F0000}"/>
    <cellStyle name="Comma 6 3 2" xfId="366" xr:uid="{00000000-0005-0000-0000-0000CD0F0000}"/>
    <cellStyle name="Comma 6 3 2 2" xfId="570" xr:uid="{00000000-0005-0000-0000-0000CE0F0000}"/>
    <cellStyle name="Comma 6 3 2 2 2" xfId="2300" xr:uid="{00000000-0005-0000-0000-0000CF0F0000}"/>
    <cellStyle name="Comma 6 3 2 2 2 2" xfId="16189" xr:uid="{00000000-0005-0000-0000-0000D00F0000}"/>
    <cellStyle name="Comma 6 3 2 2 2 3" xfId="12611" xr:uid="{00000000-0005-0000-0000-0000D10F0000}"/>
    <cellStyle name="Comma 6 3 2 2 2 4" xfId="7320" xr:uid="{00000000-0005-0000-0000-0000D20F0000}"/>
    <cellStyle name="Comma 6 3 2 2 3" xfId="3568" xr:uid="{00000000-0005-0000-0000-0000D30F0000}"/>
    <cellStyle name="Comma 6 3 2 2 3 2" xfId="17213" xr:uid="{00000000-0005-0000-0000-0000D40F0000}"/>
    <cellStyle name="Comma 6 3 2 2 3 3" xfId="13634" xr:uid="{00000000-0005-0000-0000-0000D50F0000}"/>
    <cellStyle name="Comma 6 3 2 2 3 4" xfId="8377" xr:uid="{00000000-0005-0000-0000-0000D60F0000}"/>
    <cellStyle name="Comma 6 3 2 2 4" xfId="6436" xr:uid="{00000000-0005-0000-0000-0000D70F0000}"/>
    <cellStyle name="Comma 6 3 2 2 4 2" xfId="15520" xr:uid="{00000000-0005-0000-0000-0000D80F0000}"/>
    <cellStyle name="Comma 6 3 2 2 5" xfId="9831" xr:uid="{00000000-0005-0000-0000-0000D90F0000}"/>
    <cellStyle name="Comma 6 3 2 2 5 2" xfId="18658" xr:uid="{00000000-0005-0000-0000-0000DA0F0000}"/>
    <cellStyle name="Comma 6 3 2 2 6" xfId="11275" xr:uid="{00000000-0005-0000-0000-0000DB0F0000}"/>
    <cellStyle name="Comma 6 3 2 2 7" xfId="4914" xr:uid="{00000000-0005-0000-0000-0000DC0F0000}"/>
    <cellStyle name="Comma 6 3 2 3" xfId="928" xr:uid="{00000000-0005-0000-0000-0000DD0F0000}"/>
    <cellStyle name="Comma 6 3 2 3 2" xfId="2648" xr:uid="{00000000-0005-0000-0000-0000DE0F0000}"/>
    <cellStyle name="Comma 6 3 2 3 2 2" xfId="16726" xr:uid="{00000000-0005-0000-0000-0000DF0F0000}"/>
    <cellStyle name="Comma 6 3 2 3 2 3" xfId="13147" xr:uid="{00000000-0005-0000-0000-0000E00F0000}"/>
    <cellStyle name="Comma 6 3 2 3 2 4" xfId="7858" xr:uid="{00000000-0005-0000-0000-0000E10F0000}"/>
    <cellStyle name="Comma 6 3 2 3 3" xfId="3916" xr:uid="{00000000-0005-0000-0000-0000E20F0000}"/>
    <cellStyle name="Comma 6 3 2 3 3 2" xfId="17561" xr:uid="{00000000-0005-0000-0000-0000E30F0000}"/>
    <cellStyle name="Comma 6 3 2 3 3 3" xfId="13982" xr:uid="{00000000-0005-0000-0000-0000E40F0000}"/>
    <cellStyle name="Comma 6 3 2 3 3 4" xfId="8725" xr:uid="{00000000-0005-0000-0000-0000E50F0000}"/>
    <cellStyle name="Comma 6 3 2 3 4" xfId="6265" xr:uid="{00000000-0005-0000-0000-0000E60F0000}"/>
    <cellStyle name="Comma 6 3 2 3 4 2" xfId="15349" xr:uid="{00000000-0005-0000-0000-0000E70F0000}"/>
    <cellStyle name="Comma 6 3 2 3 5" xfId="10179" xr:uid="{00000000-0005-0000-0000-0000E80F0000}"/>
    <cellStyle name="Comma 6 3 2 3 5 2" xfId="19006" xr:uid="{00000000-0005-0000-0000-0000E90F0000}"/>
    <cellStyle name="Comma 6 3 2 3 6" xfId="11625" xr:uid="{00000000-0005-0000-0000-0000EA0F0000}"/>
    <cellStyle name="Comma 6 3 2 3 7" xfId="5452" xr:uid="{00000000-0005-0000-0000-0000EB0F0000}"/>
    <cellStyle name="Comma 6 3 2 4" xfId="1579" xr:uid="{00000000-0005-0000-0000-0000EC0F0000}"/>
    <cellStyle name="Comma 6 3 2 4 2" xfId="3177" xr:uid="{00000000-0005-0000-0000-0000ED0F0000}"/>
    <cellStyle name="Comma 6 3 2 4 2 2" xfId="18090" xr:uid="{00000000-0005-0000-0000-0000EE0F0000}"/>
    <cellStyle name="Comma 6 3 2 4 2 3" xfId="14511" xr:uid="{00000000-0005-0000-0000-0000EF0F0000}"/>
    <cellStyle name="Comma 6 3 2 4 2 4" xfId="9254" xr:uid="{00000000-0005-0000-0000-0000F00F0000}"/>
    <cellStyle name="Comma 6 3 2 4 3" xfId="10708" xr:uid="{00000000-0005-0000-0000-0000F10F0000}"/>
    <cellStyle name="Comma 6 3 2 4 3 2" xfId="19535" xr:uid="{00000000-0005-0000-0000-0000F20F0000}"/>
    <cellStyle name="Comma 6 3 2 4 4" xfId="12154" xr:uid="{00000000-0005-0000-0000-0000F30F0000}"/>
    <cellStyle name="Comma 6 3 2 4 5" xfId="7149" xr:uid="{00000000-0005-0000-0000-0000F40F0000}"/>
    <cellStyle name="Comma 6 3 2 5" xfId="2134" xr:uid="{00000000-0005-0000-0000-0000F50F0000}"/>
    <cellStyle name="Comma 6 3 2 5 2" xfId="17047" xr:uid="{00000000-0005-0000-0000-0000F60F0000}"/>
    <cellStyle name="Comma 6 3 2 5 3" xfId="13468" xr:uid="{00000000-0005-0000-0000-0000F70F0000}"/>
    <cellStyle name="Comma 6 3 2 5 4" xfId="8211" xr:uid="{00000000-0005-0000-0000-0000F80F0000}"/>
    <cellStyle name="Comma 6 3 2 6" xfId="5772" xr:uid="{00000000-0005-0000-0000-0000F90F0000}"/>
    <cellStyle name="Comma 6 3 2 6 2" xfId="14858" xr:uid="{00000000-0005-0000-0000-0000FA0F0000}"/>
    <cellStyle name="Comma 6 3 2 7" xfId="9665" xr:uid="{00000000-0005-0000-0000-0000FB0F0000}"/>
    <cellStyle name="Comma 6 3 2 7 2" xfId="18492" xr:uid="{00000000-0005-0000-0000-0000FC0F0000}"/>
    <cellStyle name="Comma 6 3 2 8" xfId="11109" xr:uid="{00000000-0005-0000-0000-0000FD0F0000}"/>
    <cellStyle name="Comma 6 3 2 9" xfId="4743" xr:uid="{00000000-0005-0000-0000-0000FE0F0000}"/>
    <cellStyle name="Comma 6 3 3" xfId="569" xr:uid="{00000000-0005-0000-0000-0000FF0F0000}"/>
    <cellStyle name="Comma 6 3 3 2" xfId="2299" xr:uid="{00000000-0005-0000-0000-000000100000}"/>
    <cellStyle name="Comma 6 3 3 2 2" xfId="16063" xr:uid="{00000000-0005-0000-0000-000001100000}"/>
    <cellStyle name="Comma 6 3 3 2 3" xfId="12470" xr:uid="{00000000-0005-0000-0000-000002100000}"/>
    <cellStyle name="Comma 6 3 3 2 4" xfId="7049" xr:uid="{00000000-0005-0000-0000-000003100000}"/>
    <cellStyle name="Comma 6 3 3 3" xfId="3567" xr:uid="{00000000-0005-0000-0000-000004100000}"/>
    <cellStyle name="Comma 6 3 3 3 2" xfId="17212" xr:uid="{00000000-0005-0000-0000-000005100000}"/>
    <cellStyle name="Comma 6 3 3 3 3" xfId="13633" xr:uid="{00000000-0005-0000-0000-000006100000}"/>
    <cellStyle name="Comma 6 3 3 3 4" xfId="8376" xr:uid="{00000000-0005-0000-0000-000007100000}"/>
    <cellStyle name="Comma 6 3 3 4" xfId="6165" xr:uid="{00000000-0005-0000-0000-000008100000}"/>
    <cellStyle name="Comma 6 3 3 4 2" xfId="15249" xr:uid="{00000000-0005-0000-0000-000009100000}"/>
    <cellStyle name="Comma 6 3 3 5" xfId="9830" xr:uid="{00000000-0005-0000-0000-00000A100000}"/>
    <cellStyle name="Comma 6 3 3 5 2" xfId="18657" xr:uid="{00000000-0005-0000-0000-00000B100000}"/>
    <cellStyle name="Comma 6 3 3 6" xfId="11274" xr:uid="{00000000-0005-0000-0000-00000C100000}"/>
    <cellStyle name="Comma 6 3 3 7" xfId="4643" xr:uid="{00000000-0005-0000-0000-00000D100000}"/>
    <cellStyle name="Comma 6 3 4" xfId="927" xr:uid="{00000000-0005-0000-0000-00000E100000}"/>
    <cellStyle name="Comma 6 3 4 2" xfId="2647" xr:uid="{00000000-0005-0000-0000-00000F100000}"/>
    <cellStyle name="Comma 6 3 4 2 2" xfId="16188" xr:uid="{00000000-0005-0000-0000-000010100000}"/>
    <cellStyle name="Comma 6 3 4 2 3" xfId="12610" xr:uid="{00000000-0005-0000-0000-000011100000}"/>
    <cellStyle name="Comma 6 3 4 2 4" xfId="7319" xr:uid="{00000000-0005-0000-0000-000012100000}"/>
    <cellStyle name="Comma 6 3 4 3" xfId="3915" xr:uid="{00000000-0005-0000-0000-000013100000}"/>
    <cellStyle name="Comma 6 3 4 3 2" xfId="17560" xr:uid="{00000000-0005-0000-0000-000014100000}"/>
    <cellStyle name="Comma 6 3 4 3 3" xfId="13981" xr:uid="{00000000-0005-0000-0000-000015100000}"/>
    <cellStyle name="Comma 6 3 4 3 4" xfId="8724" xr:uid="{00000000-0005-0000-0000-000016100000}"/>
    <cellStyle name="Comma 6 3 4 4" xfId="6435" xr:uid="{00000000-0005-0000-0000-000017100000}"/>
    <cellStyle name="Comma 6 3 4 4 2" xfId="15519" xr:uid="{00000000-0005-0000-0000-000018100000}"/>
    <cellStyle name="Comma 6 3 4 5" xfId="10178" xr:uid="{00000000-0005-0000-0000-000019100000}"/>
    <cellStyle name="Comma 6 3 4 5 2" xfId="19005" xr:uid="{00000000-0005-0000-0000-00001A100000}"/>
    <cellStyle name="Comma 6 3 4 6" xfId="11624" xr:uid="{00000000-0005-0000-0000-00001B100000}"/>
    <cellStyle name="Comma 6 3 4 7" xfId="4913" xr:uid="{00000000-0005-0000-0000-00001C100000}"/>
    <cellStyle name="Comma 6 3 5" xfId="1477" xr:uid="{00000000-0005-0000-0000-00001D100000}"/>
    <cellStyle name="Comma 6 3 5 2" xfId="3077" xr:uid="{00000000-0005-0000-0000-00001E100000}"/>
    <cellStyle name="Comma 6 3 5 2 2" xfId="16626" xr:uid="{00000000-0005-0000-0000-00001F100000}"/>
    <cellStyle name="Comma 6 3 5 2 3" xfId="13047" xr:uid="{00000000-0005-0000-0000-000020100000}"/>
    <cellStyle name="Comma 6 3 5 2 4" xfId="7758" xr:uid="{00000000-0005-0000-0000-000021100000}"/>
    <cellStyle name="Comma 6 3 5 3" xfId="4285" xr:uid="{00000000-0005-0000-0000-000022100000}"/>
    <cellStyle name="Comma 6 3 5 3 2" xfId="17990" xr:uid="{00000000-0005-0000-0000-000023100000}"/>
    <cellStyle name="Comma 6 3 5 3 3" xfId="14411" xr:uid="{00000000-0005-0000-0000-000024100000}"/>
    <cellStyle name="Comma 6 3 5 3 4" xfId="9154" xr:uid="{00000000-0005-0000-0000-000025100000}"/>
    <cellStyle name="Comma 6 3 5 4" xfId="5946" xr:uid="{00000000-0005-0000-0000-000026100000}"/>
    <cellStyle name="Comma 6 3 5 4 2" xfId="15032" xr:uid="{00000000-0005-0000-0000-000027100000}"/>
    <cellStyle name="Comma 6 3 5 5" xfId="10608" xr:uid="{00000000-0005-0000-0000-000028100000}"/>
    <cellStyle name="Comma 6 3 5 5 2" xfId="19435" xr:uid="{00000000-0005-0000-0000-000029100000}"/>
    <cellStyle name="Comma 6 3 5 6" xfId="12054" xr:uid="{00000000-0005-0000-0000-00002A100000}"/>
    <cellStyle name="Comma 6 3 5 7" xfId="5352" xr:uid="{00000000-0005-0000-0000-00002B100000}"/>
    <cellStyle name="Comma 6 3 6" xfId="2034" xr:uid="{00000000-0005-0000-0000-00002C100000}"/>
    <cellStyle name="Comma 6 3 6 2" xfId="15875" xr:uid="{00000000-0005-0000-0000-00002D100000}"/>
    <cellStyle name="Comma 6 3 6 3" xfId="12307" xr:uid="{00000000-0005-0000-0000-00002E100000}"/>
    <cellStyle name="Comma 6 3 6 4" xfId="6832" xr:uid="{00000000-0005-0000-0000-00002F100000}"/>
    <cellStyle name="Comma 6 3 7" xfId="3447" xr:uid="{00000000-0005-0000-0000-000030100000}"/>
    <cellStyle name="Comma 6 3 7 2" xfId="16947" xr:uid="{00000000-0005-0000-0000-000031100000}"/>
    <cellStyle name="Comma 6 3 7 3" xfId="13368" xr:uid="{00000000-0005-0000-0000-000032100000}"/>
    <cellStyle name="Comma 6 3 7 4" xfId="8111" xr:uid="{00000000-0005-0000-0000-000033100000}"/>
    <cellStyle name="Comma 6 3 8" xfId="5672" xr:uid="{00000000-0005-0000-0000-000034100000}"/>
    <cellStyle name="Comma 6 3 8 2" xfId="14758" xr:uid="{00000000-0005-0000-0000-000035100000}"/>
    <cellStyle name="Comma 6 3 9" xfId="9565" xr:uid="{00000000-0005-0000-0000-000036100000}"/>
    <cellStyle name="Comma 6 3 9 2" xfId="18392" xr:uid="{00000000-0005-0000-0000-000037100000}"/>
    <cellStyle name="Comma 6 4" xfId="193" xr:uid="{00000000-0005-0000-0000-000038100000}"/>
    <cellStyle name="Comma 6 4 10" xfId="10947" xr:uid="{00000000-0005-0000-0000-000039100000}"/>
    <cellStyle name="Comma 6 4 11" xfId="4469" xr:uid="{00000000-0005-0000-0000-00003A100000}"/>
    <cellStyle name="Comma 6 4 2" xfId="410" xr:uid="{00000000-0005-0000-0000-00003B100000}"/>
    <cellStyle name="Comma 6 4 2 2" xfId="572" xr:uid="{00000000-0005-0000-0000-00003C100000}"/>
    <cellStyle name="Comma 6 4 2 2 2" xfId="2302" xr:uid="{00000000-0005-0000-0000-00003D100000}"/>
    <cellStyle name="Comma 6 4 2 2 2 2" xfId="16191" xr:uid="{00000000-0005-0000-0000-00003E100000}"/>
    <cellStyle name="Comma 6 4 2 2 2 3" xfId="12613" xr:uid="{00000000-0005-0000-0000-00003F100000}"/>
    <cellStyle name="Comma 6 4 2 2 2 4" xfId="7322" xr:uid="{00000000-0005-0000-0000-000040100000}"/>
    <cellStyle name="Comma 6 4 2 2 3" xfId="3570" xr:uid="{00000000-0005-0000-0000-000041100000}"/>
    <cellStyle name="Comma 6 4 2 2 3 2" xfId="17215" xr:uid="{00000000-0005-0000-0000-000042100000}"/>
    <cellStyle name="Comma 6 4 2 2 3 3" xfId="13636" xr:uid="{00000000-0005-0000-0000-000043100000}"/>
    <cellStyle name="Comma 6 4 2 2 3 4" xfId="8379" xr:uid="{00000000-0005-0000-0000-000044100000}"/>
    <cellStyle name="Comma 6 4 2 2 4" xfId="6438" xr:uid="{00000000-0005-0000-0000-000045100000}"/>
    <cellStyle name="Comma 6 4 2 2 4 2" xfId="15522" xr:uid="{00000000-0005-0000-0000-000046100000}"/>
    <cellStyle name="Comma 6 4 2 2 5" xfId="9833" xr:uid="{00000000-0005-0000-0000-000047100000}"/>
    <cellStyle name="Comma 6 4 2 2 5 2" xfId="18660" xr:uid="{00000000-0005-0000-0000-000048100000}"/>
    <cellStyle name="Comma 6 4 2 2 6" xfId="11277" xr:uid="{00000000-0005-0000-0000-000049100000}"/>
    <cellStyle name="Comma 6 4 2 2 7" xfId="4916" xr:uid="{00000000-0005-0000-0000-00004A100000}"/>
    <cellStyle name="Comma 6 4 2 3" xfId="930" xr:uid="{00000000-0005-0000-0000-00004B100000}"/>
    <cellStyle name="Comma 6 4 2 3 2" xfId="2650" xr:uid="{00000000-0005-0000-0000-00004C100000}"/>
    <cellStyle name="Comma 6 4 2 3 2 2" xfId="16769" xr:uid="{00000000-0005-0000-0000-00004D100000}"/>
    <cellStyle name="Comma 6 4 2 3 2 3" xfId="13190" xr:uid="{00000000-0005-0000-0000-00004E100000}"/>
    <cellStyle name="Comma 6 4 2 3 2 4" xfId="7901" xr:uid="{00000000-0005-0000-0000-00004F100000}"/>
    <cellStyle name="Comma 6 4 2 3 3" xfId="3918" xr:uid="{00000000-0005-0000-0000-000050100000}"/>
    <cellStyle name="Comma 6 4 2 3 3 2" xfId="17563" xr:uid="{00000000-0005-0000-0000-000051100000}"/>
    <cellStyle name="Comma 6 4 2 3 3 3" xfId="13984" xr:uid="{00000000-0005-0000-0000-000052100000}"/>
    <cellStyle name="Comma 6 4 2 3 3 4" xfId="8727" xr:uid="{00000000-0005-0000-0000-000053100000}"/>
    <cellStyle name="Comma 6 4 2 3 4" xfId="6308" xr:uid="{00000000-0005-0000-0000-000054100000}"/>
    <cellStyle name="Comma 6 4 2 3 4 2" xfId="15392" xr:uid="{00000000-0005-0000-0000-000055100000}"/>
    <cellStyle name="Comma 6 4 2 3 5" xfId="10181" xr:uid="{00000000-0005-0000-0000-000056100000}"/>
    <cellStyle name="Comma 6 4 2 3 5 2" xfId="19008" xr:uid="{00000000-0005-0000-0000-000057100000}"/>
    <cellStyle name="Comma 6 4 2 3 6" xfId="11627" xr:uid="{00000000-0005-0000-0000-000058100000}"/>
    <cellStyle name="Comma 6 4 2 3 7" xfId="5495" xr:uid="{00000000-0005-0000-0000-000059100000}"/>
    <cellStyle name="Comma 6 4 2 4" xfId="1624" xr:uid="{00000000-0005-0000-0000-00005A100000}"/>
    <cellStyle name="Comma 6 4 2 4 2" xfId="3220" xr:uid="{00000000-0005-0000-0000-00005B100000}"/>
    <cellStyle name="Comma 6 4 2 4 2 2" xfId="18133" xr:uid="{00000000-0005-0000-0000-00005C100000}"/>
    <cellStyle name="Comma 6 4 2 4 2 3" xfId="14554" xr:uid="{00000000-0005-0000-0000-00005D100000}"/>
    <cellStyle name="Comma 6 4 2 4 2 4" xfId="9297" xr:uid="{00000000-0005-0000-0000-00005E100000}"/>
    <cellStyle name="Comma 6 4 2 4 3" xfId="10751" xr:uid="{00000000-0005-0000-0000-00005F100000}"/>
    <cellStyle name="Comma 6 4 2 4 3 2" xfId="19578" xr:uid="{00000000-0005-0000-0000-000060100000}"/>
    <cellStyle name="Comma 6 4 2 4 4" xfId="12197" xr:uid="{00000000-0005-0000-0000-000061100000}"/>
    <cellStyle name="Comma 6 4 2 4 5" xfId="7192" xr:uid="{00000000-0005-0000-0000-000062100000}"/>
    <cellStyle name="Comma 6 4 2 5" xfId="2177" xr:uid="{00000000-0005-0000-0000-000063100000}"/>
    <cellStyle name="Comma 6 4 2 5 2" xfId="17090" xr:uid="{00000000-0005-0000-0000-000064100000}"/>
    <cellStyle name="Comma 6 4 2 5 3" xfId="13511" xr:uid="{00000000-0005-0000-0000-000065100000}"/>
    <cellStyle name="Comma 6 4 2 5 4" xfId="8254" xr:uid="{00000000-0005-0000-0000-000066100000}"/>
    <cellStyle name="Comma 6 4 2 6" xfId="5815" xr:uid="{00000000-0005-0000-0000-000067100000}"/>
    <cellStyle name="Comma 6 4 2 6 2" xfId="14901" xr:uid="{00000000-0005-0000-0000-000068100000}"/>
    <cellStyle name="Comma 6 4 2 7" xfId="9708" xr:uid="{00000000-0005-0000-0000-000069100000}"/>
    <cellStyle name="Comma 6 4 2 7 2" xfId="18535" xr:uid="{00000000-0005-0000-0000-00006A100000}"/>
    <cellStyle name="Comma 6 4 2 8" xfId="11152" xr:uid="{00000000-0005-0000-0000-00006B100000}"/>
    <cellStyle name="Comma 6 4 2 9" xfId="4786" xr:uid="{00000000-0005-0000-0000-00006C100000}"/>
    <cellStyle name="Comma 6 4 3" xfId="571" xr:uid="{00000000-0005-0000-0000-00006D100000}"/>
    <cellStyle name="Comma 6 4 3 2" xfId="2301" xr:uid="{00000000-0005-0000-0000-00006E100000}"/>
    <cellStyle name="Comma 6 4 3 2 2" xfId="16001" xr:uid="{00000000-0005-0000-0000-00006F100000}"/>
    <cellStyle name="Comma 6 4 3 2 3" xfId="10829" xr:uid="{00000000-0005-0000-0000-000070100000}"/>
    <cellStyle name="Comma 6 4 3 2 4" xfId="6987" xr:uid="{00000000-0005-0000-0000-000071100000}"/>
    <cellStyle name="Comma 6 4 3 3" xfId="3569" xr:uid="{00000000-0005-0000-0000-000072100000}"/>
    <cellStyle name="Comma 6 4 3 3 2" xfId="17214" xr:uid="{00000000-0005-0000-0000-000073100000}"/>
    <cellStyle name="Comma 6 4 3 3 3" xfId="13635" xr:uid="{00000000-0005-0000-0000-000074100000}"/>
    <cellStyle name="Comma 6 4 3 3 4" xfId="8378" xr:uid="{00000000-0005-0000-0000-000075100000}"/>
    <cellStyle name="Comma 6 4 3 4" xfId="6103" xr:uid="{00000000-0005-0000-0000-000076100000}"/>
    <cellStyle name="Comma 6 4 3 4 2" xfId="15187" xr:uid="{00000000-0005-0000-0000-000077100000}"/>
    <cellStyle name="Comma 6 4 3 5" xfId="9832" xr:uid="{00000000-0005-0000-0000-000078100000}"/>
    <cellStyle name="Comma 6 4 3 5 2" xfId="18659" xr:uid="{00000000-0005-0000-0000-000079100000}"/>
    <cellStyle name="Comma 6 4 3 6" xfId="11276" xr:uid="{00000000-0005-0000-0000-00007A100000}"/>
    <cellStyle name="Comma 6 4 3 7" xfId="4581" xr:uid="{00000000-0005-0000-0000-00007B100000}"/>
    <cellStyle name="Comma 6 4 4" xfId="929" xr:uid="{00000000-0005-0000-0000-00007C100000}"/>
    <cellStyle name="Comma 6 4 4 2" xfId="2649" xr:uid="{00000000-0005-0000-0000-00007D100000}"/>
    <cellStyle name="Comma 6 4 4 2 2" xfId="16190" xr:uid="{00000000-0005-0000-0000-00007E100000}"/>
    <cellStyle name="Comma 6 4 4 2 3" xfId="12612" xr:uid="{00000000-0005-0000-0000-00007F100000}"/>
    <cellStyle name="Comma 6 4 4 2 4" xfId="7321" xr:uid="{00000000-0005-0000-0000-000080100000}"/>
    <cellStyle name="Comma 6 4 4 3" xfId="3917" xr:uid="{00000000-0005-0000-0000-000081100000}"/>
    <cellStyle name="Comma 6 4 4 3 2" xfId="17562" xr:uid="{00000000-0005-0000-0000-000082100000}"/>
    <cellStyle name="Comma 6 4 4 3 3" xfId="13983" xr:uid="{00000000-0005-0000-0000-000083100000}"/>
    <cellStyle name="Comma 6 4 4 3 4" xfId="8726" xr:uid="{00000000-0005-0000-0000-000084100000}"/>
    <cellStyle name="Comma 6 4 4 4" xfId="6437" xr:uid="{00000000-0005-0000-0000-000085100000}"/>
    <cellStyle name="Comma 6 4 4 4 2" xfId="15521" xr:uid="{00000000-0005-0000-0000-000086100000}"/>
    <cellStyle name="Comma 6 4 4 5" xfId="10180" xr:uid="{00000000-0005-0000-0000-000087100000}"/>
    <cellStyle name="Comma 6 4 4 5 2" xfId="19007" xr:uid="{00000000-0005-0000-0000-000088100000}"/>
    <cellStyle name="Comma 6 4 4 6" xfId="11626" xr:uid="{00000000-0005-0000-0000-000089100000}"/>
    <cellStyle name="Comma 6 4 4 7" xfId="4915" xr:uid="{00000000-0005-0000-0000-00008A100000}"/>
    <cellStyle name="Comma 6 4 5" xfId="1410" xr:uid="{00000000-0005-0000-0000-00008B100000}"/>
    <cellStyle name="Comma 6 4 5 2" xfId="3015" xr:uid="{00000000-0005-0000-0000-00008C100000}"/>
    <cellStyle name="Comma 6 4 5 2 2" xfId="16564" xr:uid="{00000000-0005-0000-0000-00008D100000}"/>
    <cellStyle name="Comma 6 4 5 2 3" xfId="12985" xr:uid="{00000000-0005-0000-0000-00008E100000}"/>
    <cellStyle name="Comma 6 4 5 2 4" xfId="7696" xr:uid="{00000000-0005-0000-0000-00008F100000}"/>
    <cellStyle name="Comma 6 4 5 3" xfId="4223" xr:uid="{00000000-0005-0000-0000-000090100000}"/>
    <cellStyle name="Comma 6 4 5 3 2" xfId="17928" xr:uid="{00000000-0005-0000-0000-000091100000}"/>
    <cellStyle name="Comma 6 4 5 3 3" xfId="14349" xr:uid="{00000000-0005-0000-0000-000092100000}"/>
    <cellStyle name="Comma 6 4 5 3 4" xfId="9092" xr:uid="{00000000-0005-0000-0000-000093100000}"/>
    <cellStyle name="Comma 6 4 5 4" xfId="5989" xr:uid="{00000000-0005-0000-0000-000094100000}"/>
    <cellStyle name="Comma 6 4 5 4 2" xfId="15075" xr:uid="{00000000-0005-0000-0000-000095100000}"/>
    <cellStyle name="Comma 6 4 5 5" xfId="10546" xr:uid="{00000000-0005-0000-0000-000096100000}"/>
    <cellStyle name="Comma 6 4 5 5 2" xfId="19373" xr:uid="{00000000-0005-0000-0000-000097100000}"/>
    <cellStyle name="Comma 6 4 5 6" xfId="11992" xr:uid="{00000000-0005-0000-0000-000098100000}"/>
    <cellStyle name="Comma 6 4 5 7" xfId="5290" xr:uid="{00000000-0005-0000-0000-000099100000}"/>
    <cellStyle name="Comma 6 4 6" xfId="1972" xr:uid="{00000000-0005-0000-0000-00009A100000}"/>
    <cellStyle name="Comma 6 4 6 2" xfId="15918" xr:uid="{00000000-0005-0000-0000-00009B100000}"/>
    <cellStyle name="Comma 6 4 6 3" xfId="12274" xr:uid="{00000000-0005-0000-0000-00009C100000}"/>
    <cellStyle name="Comma 6 4 6 4" xfId="6875" xr:uid="{00000000-0005-0000-0000-00009D100000}"/>
    <cellStyle name="Comma 6 4 7" xfId="3386" xr:uid="{00000000-0005-0000-0000-00009E100000}"/>
    <cellStyle name="Comma 6 4 7 2" xfId="16885" xr:uid="{00000000-0005-0000-0000-00009F100000}"/>
    <cellStyle name="Comma 6 4 7 3" xfId="13306" xr:uid="{00000000-0005-0000-0000-0000A0100000}"/>
    <cellStyle name="Comma 6 4 7 4" xfId="8049" xr:uid="{00000000-0005-0000-0000-0000A1100000}"/>
    <cellStyle name="Comma 6 4 8" xfId="5610" xr:uid="{00000000-0005-0000-0000-0000A2100000}"/>
    <cellStyle name="Comma 6 4 8 2" xfId="14696" xr:uid="{00000000-0005-0000-0000-0000A3100000}"/>
    <cellStyle name="Comma 6 4 9" xfId="9503" xr:uid="{00000000-0005-0000-0000-0000A4100000}"/>
    <cellStyle name="Comma 6 4 9 2" xfId="18330" xr:uid="{00000000-0005-0000-0000-0000A5100000}"/>
    <cellStyle name="Comma 6 5" xfId="304" xr:uid="{00000000-0005-0000-0000-0000A6100000}"/>
    <cellStyle name="Comma 6 5 2" xfId="573" xr:uid="{00000000-0005-0000-0000-0000A7100000}"/>
    <cellStyle name="Comma 6 5 2 2" xfId="2303" xr:uid="{00000000-0005-0000-0000-0000A8100000}"/>
    <cellStyle name="Comma 6 5 2 2 2" xfId="16192" xr:uid="{00000000-0005-0000-0000-0000A9100000}"/>
    <cellStyle name="Comma 6 5 2 2 3" xfId="12614" xr:uid="{00000000-0005-0000-0000-0000AA100000}"/>
    <cellStyle name="Comma 6 5 2 2 4" xfId="7323" xr:uid="{00000000-0005-0000-0000-0000AB100000}"/>
    <cellStyle name="Comma 6 5 2 3" xfId="3571" xr:uid="{00000000-0005-0000-0000-0000AC100000}"/>
    <cellStyle name="Comma 6 5 2 3 2" xfId="17216" xr:uid="{00000000-0005-0000-0000-0000AD100000}"/>
    <cellStyle name="Comma 6 5 2 3 3" xfId="13637" xr:uid="{00000000-0005-0000-0000-0000AE100000}"/>
    <cellStyle name="Comma 6 5 2 3 4" xfId="8380" xr:uid="{00000000-0005-0000-0000-0000AF100000}"/>
    <cellStyle name="Comma 6 5 2 4" xfId="6439" xr:uid="{00000000-0005-0000-0000-0000B0100000}"/>
    <cellStyle name="Comma 6 5 2 4 2" xfId="15523" xr:uid="{00000000-0005-0000-0000-0000B1100000}"/>
    <cellStyle name="Comma 6 5 2 5" xfId="9834" xr:uid="{00000000-0005-0000-0000-0000B2100000}"/>
    <cellStyle name="Comma 6 5 2 5 2" xfId="18661" xr:uid="{00000000-0005-0000-0000-0000B3100000}"/>
    <cellStyle name="Comma 6 5 2 6" xfId="11278" xr:uid="{00000000-0005-0000-0000-0000B4100000}"/>
    <cellStyle name="Comma 6 5 2 7" xfId="4917" xr:uid="{00000000-0005-0000-0000-0000B5100000}"/>
    <cellStyle name="Comma 6 5 3" xfId="931" xr:uid="{00000000-0005-0000-0000-0000B6100000}"/>
    <cellStyle name="Comma 6 5 3 2" xfId="2651" xr:uid="{00000000-0005-0000-0000-0000B7100000}"/>
    <cellStyle name="Comma 6 5 3 2 2" xfId="16664" xr:uid="{00000000-0005-0000-0000-0000B8100000}"/>
    <cellStyle name="Comma 6 5 3 2 3" xfId="13085" xr:uid="{00000000-0005-0000-0000-0000B9100000}"/>
    <cellStyle name="Comma 6 5 3 2 4" xfId="7796" xr:uid="{00000000-0005-0000-0000-0000BA100000}"/>
    <cellStyle name="Comma 6 5 3 3" xfId="3919" xr:uid="{00000000-0005-0000-0000-0000BB100000}"/>
    <cellStyle name="Comma 6 5 3 3 2" xfId="17564" xr:uid="{00000000-0005-0000-0000-0000BC100000}"/>
    <cellStyle name="Comma 6 5 3 3 3" xfId="13985" xr:uid="{00000000-0005-0000-0000-0000BD100000}"/>
    <cellStyle name="Comma 6 5 3 3 4" xfId="8728" xr:uid="{00000000-0005-0000-0000-0000BE100000}"/>
    <cellStyle name="Comma 6 5 3 4" xfId="6203" xr:uid="{00000000-0005-0000-0000-0000BF100000}"/>
    <cellStyle name="Comma 6 5 3 4 2" xfId="15287" xr:uid="{00000000-0005-0000-0000-0000C0100000}"/>
    <cellStyle name="Comma 6 5 3 5" xfId="10182" xr:uid="{00000000-0005-0000-0000-0000C1100000}"/>
    <cellStyle name="Comma 6 5 3 5 2" xfId="19009" xr:uid="{00000000-0005-0000-0000-0000C2100000}"/>
    <cellStyle name="Comma 6 5 3 6" xfId="11628" xr:uid="{00000000-0005-0000-0000-0000C3100000}"/>
    <cellStyle name="Comma 6 5 3 7" xfId="5390" xr:uid="{00000000-0005-0000-0000-0000C4100000}"/>
    <cellStyle name="Comma 6 5 4" xfId="1516" xr:uid="{00000000-0005-0000-0000-0000C5100000}"/>
    <cellStyle name="Comma 6 5 4 2" xfId="3115" xr:uid="{00000000-0005-0000-0000-0000C6100000}"/>
    <cellStyle name="Comma 6 5 4 2 2" xfId="18028" xr:uid="{00000000-0005-0000-0000-0000C7100000}"/>
    <cellStyle name="Comma 6 5 4 2 3" xfId="14449" xr:uid="{00000000-0005-0000-0000-0000C8100000}"/>
    <cellStyle name="Comma 6 5 4 2 4" xfId="9192" xr:uid="{00000000-0005-0000-0000-0000C9100000}"/>
    <cellStyle name="Comma 6 5 4 3" xfId="10646" xr:uid="{00000000-0005-0000-0000-0000CA100000}"/>
    <cellStyle name="Comma 6 5 4 3 2" xfId="19473" xr:uid="{00000000-0005-0000-0000-0000CB100000}"/>
    <cellStyle name="Comma 6 5 4 4" xfId="12092" xr:uid="{00000000-0005-0000-0000-0000CC100000}"/>
    <cellStyle name="Comma 6 5 4 5" xfId="7087" xr:uid="{00000000-0005-0000-0000-0000CD100000}"/>
    <cellStyle name="Comma 6 5 5" xfId="2072" xr:uid="{00000000-0005-0000-0000-0000CE100000}"/>
    <cellStyle name="Comma 6 5 5 2" xfId="16985" xr:uid="{00000000-0005-0000-0000-0000CF100000}"/>
    <cellStyle name="Comma 6 5 5 3" xfId="13406" xr:uid="{00000000-0005-0000-0000-0000D0100000}"/>
    <cellStyle name="Comma 6 5 5 4" xfId="8149" xr:uid="{00000000-0005-0000-0000-0000D1100000}"/>
    <cellStyle name="Comma 6 5 6" xfId="5710" xr:uid="{00000000-0005-0000-0000-0000D2100000}"/>
    <cellStyle name="Comma 6 5 6 2" xfId="14796" xr:uid="{00000000-0005-0000-0000-0000D3100000}"/>
    <cellStyle name="Comma 6 5 7" xfId="9603" xr:uid="{00000000-0005-0000-0000-0000D4100000}"/>
    <cellStyle name="Comma 6 5 7 2" xfId="18430" xr:uid="{00000000-0005-0000-0000-0000D5100000}"/>
    <cellStyle name="Comma 6 5 8" xfId="11047" xr:uid="{00000000-0005-0000-0000-0000D6100000}"/>
    <cellStyle name="Comma 6 5 9" xfId="4681" xr:uid="{00000000-0005-0000-0000-0000D7100000}"/>
    <cellStyle name="Comma 6 6" xfId="463" xr:uid="{00000000-0005-0000-0000-0000D8100000}"/>
    <cellStyle name="Comma 6 6 2" xfId="574" xr:uid="{00000000-0005-0000-0000-0000D9100000}"/>
    <cellStyle name="Comma 6 6 2 2" xfId="2304" xr:uid="{00000000-0005-0000-0000-0000DA100000}"/>
    <cellStyle name="Comma 6 6 2 2 2" xfId="16193" xr:uid="{00000000-0005-0000-0000-0000DB100000}"/>
    <cellStyle name="Comma 6 6 2 2 3" xfId="12615" xr:uid="{00000000-0005-0000-0000-0000DC100000}"/>
    <cellStyle name="Comma 6 6 2 2 4" xfId="7324" xr:uid="{00000000-0005-0000-0000-0000DD100000}"/>
    <cellStyle name="Comma 6 6 2 3" xfId="3572" xr:uid="{00000000-0005-0000-0000-0000DE100000}"/>
    <cellStyle name="Comma 6 6 2 3 2" xfId="17217" xr:uid="{00000000-0005-0000-0000-0000DF100000}"/>
    <cellStyle name="Comma 6 6 2 3 3" xfId="13638" xr:uid="{00000000-0005-0000-0000-0000E0100000}"/>
    <cellStyle name="Comma 6 6 2 3 4" xfId="8381" xr:uid="{00000000-0005-0000-0000-0000E1100000}"/>
    <cellStyle name="Comma 6 6 2 4" xfId="6440" xr:uid="{00000000-0005-0000-0000-0000E2100000}"/>
    <cellStyle name="Comma 6 6 2 4 2" xfId="15524" xr:uid="{00000000-0005-0000-0000-0000E3100000}"/>
    <cellStyle name="Comma 6 6 2 5" xfId="9835" xr:uid="{00000000-0005-0000-0000-0000E4100000}"/>
    <cellStyle name="Comma 6 6 2 5 2" xfId="18662" xr:uid="{00000000-0005-0000-0000-0000E5100000}"/>
    <cellStyle name="Comma 6 6 2 6" xfId="11279" xr:uid="{00000000-0005-0000-0000-0000E6100000}"/>
    <cellStyle name="Comma 6 6 2 7" xfId="4918" xr:uid="{00000000-0005-0000-0000-0000E7100000}"/>
    <cellStyle name="Comma 6 6 3" xfId="932" xr:uid="{00000000-0005-0000-0000-0000E8100000}"/>
    <cellStyle name="Comma 6 6 3 2" xfId="2652" xr:uid="{00000000-0005-0000-0000-0000E9100000}"/>
    <cellStyle name="Comma 6 6 3 2 2" xfId="16501" xr:uid="{00000000-0005-0000-0000-0000EA100000}"/>
    <cellStyle name="Comma 6 6 3 2 3" xfId="12923" xr:uid="{00000000-0005-0000-0000-0000EB100000}"/>
    <cellStyle name="Comma 6 6 3 2 4" xfId="7633" xr:uid="{00000000-0005-0000-0000-0000EC100000}"/>
    <cellStyle name="Comma 6 6 3 3" xfId="3920" xr:uid="{00000000-0005-0000-0000-0000ED100000}"/>
    <cellStyle name="Comma 6 6 3 3 2" xfId="17565" xr:uid="{00000000-0005-0000-0000-0000EE100000}"/>
    <cellStyle name="Comma 6 6 3 3 3" xfId="13986" xr:uid="{00000000-0005-0000-0000-0000EF100000}"/>
    <cellStyle name="Comma 6 6 3 3 4" xfId="8729" xr:uid="{00000000-0005-0000-0000-0000F0100000}"/>
    <cellStyle name="Comma 6 6 3 4" xfId="6738" xr:uid="{00000000-0005-0000-0000-0000F1100000}"/>
    <cellStyle name="Comma 6 6 3 4 2" xfId="15821" xr:uid="{00000000-0005-0000-0000-0000F2100000}"/>
    <cellStyle name="Comma 6 6 3 5" xfId="10183" xr:uid="{00000000-0005-0000-0000-0000F3100000}"/>
    <cellStyle name="Comma 6 6 3 5 2" xfId="19010" xr:uid="{00000000-0005-0000-0000-0000F4100000}"/>
    <cellStyle name="Comma 6 6 3 6" xfId="11629" xr:uid="{00000000-0005-0000-0000-0000F5100000}"/>
    <cellStyle name="Comma 6 6 3 7" xfId="5227" xr:uid="{00000000-0005-0000-0000-0000F6100000}"/>
    <cellStyle name="Comma 6 6 4" xfId="1339" xr:uid="{00000000-0005-0000-0000-0000F7100000}"/>
    <cellStyle name="Comma 6 6 4 2" xfId="2952" xr:uid="{00000000-0005-0000-0000-0000F8100000}"/>
    <cellStyle name="Comma 6 6 4 2 2" xfId="17865" xr:uid="{00000000-0005-0000-0000-0000F9100000}"/>
    <cellStyle name="Comma 6 6 4 2 3" xfId="14286" xr:uid="{00000000-0005-0000-0000-0000FA100000}"/>
    <cellStyle name="Comma 6 6 4 2 4" xfId="9029" xr:uid="{00000000-0005-0000-0000-0000FB100000}"/>
    <cellStyle name="Comma 6 6 4 3" xfId="10483" xr:uid="{00000000-0005-0000-0000-0000FC100000}"/>
    <cellStyle name="Comma 6 6 4 3 2" xfId="19310" xr:uid="{00000000-0005-0000-0000-0000FD100000}"/>
    <cellStyle name="Comma 6 6 4 4" xfId="11929" xr:uid="{00000000-0005-0000-0000-0000FE100000}"/>
    <cellStyle name="Comma 6 6 4 5" xfId="6924" xr:uid="{00000000-0005-0000-0000-0000FF100000}"/>
    <cellStyle name="Comma 6 6 5" xfId="1909" xr:uid="{00000000-0005-0000-0000-000000110000}"/>
    <cellStyle name="Comma 6 6 5 2" xfId="16820" xr:uid="{00000000-0005-0000-0000-000001110000}"/>
    <cellStyle name="Comma 6 6 5 3" xfId="13241" xr:uid="{00000000-0005-0000-0000-000002110000}"/>
    <cellStyle name="Comma 6 6 5 4" xfId="7984" xr:uid="{00000000-0005-0000-0000-000003110000}"/>
    <cellStyle name="Comma 6 6 6" xfId="6040" xr:uid="{00000000-0005-0000-0000-000004110000}"/>
    <cellStyle name="Comma 6 6 6 2" xfId="15124" xr:uid="{00000000-0005-0000-0000-000005110000}"/>
    <cellStyle name="Comma 6 6 7" xfId="9440" xr:uid="{00000000-0005-0000-0000-000006110000}"/>
    <cellStyle name="Comma 6 6 7 2" xfId="18267" xr:uid="{00000000-0005-0000-0000-000007110000}"/>
    <cellStyle name="Comma 6 6 8" xfId="10884" xr:uid="{00000000-0005-0000-0000-000008110000}"/>
    <cellStyle name="Comma 6 6 9" xfId="4518" xr:uid="{00000000-0005-0000-0000-000009110000}"/>
    <cellStyle name="Comma 6 7" xfId="563" xr:uid="{00000000-0005-0000-0000-00000A110000}"/>
    <cellStyle name="Comma 6 7 2" xfId="2293" xr:uid="{00000000-0005-0000-0000-00000B110000}"/>
    <cellStyle name="Comma 6 7 2 2" xfId="16182" xr:uid="{00000000-0005-0000-0000-00000C110000}"/>
    <cellStyle name="Comma 6 7 2 3" xfId="12604" xr:uid="{00000000-0005-0000-0000-00000D110000}"/>
    <cellStyle name="Comma 6 7 2 4" xfId="7313" xr:uid="{00000000-0005-0000-0000-00000E110000}"/>
    <cellStyle name="Comma 6 7 3" xfId="3561" xr:uid="{00000000-0005-0000-0000-00000F110000}"/>
    <cellStyle name="Comma 6 7 3 2" xfId="17206" xr:uid="{00000000-0005-0000-0000-000010110000}"/>
    <cellStyle name="Comma 6 7 3 3" xfId="13627" xr:uid="{00000000-0005-0000-0000-000011110000}"/>
    <cellStyle name="Comma 6 7 3 4" xfId="8370" xr:uid="{00000000-0005-0000-0000-000012110000}"/>
    <cellStyle name="Comma 6 7 4" xfId="6429" xr:uid="{00000000-0005-0000-0000-000013110000}"/>
    <cellStyle name="Comma 6 7 4 2" xfId="15513" xr:uid="{00000000-0005-0000-0000-000014110000}"/>
    <cellStyle name="Comma 6 7 5" xfId="9824" xr:uid="{00000000-0005-0000-0000-000015110000}"/>
    <cellStyle name="Comma 6 7 5 2" xfId="18651" xr:uid="{00000000-0005-0000-0000-000016110000}"/>
    <cellStyle name="Comma 6 7 6" xfId="11268" xr:uid="{00000000-0005-0000-0000-000017110000}"/>
    <cellStyle name="Comma 6 7 7" xfId="4907" xr:uid="{00000000-0005-0000-0000-000018110000}"/>
    <cellStyle name="Comma 6 8" xfId="921" xr:uid="{00000000-0005-0000-0000-000019110000}"/>
    <cellStyle name="Comma 6 8 2" xfId="2641" xr:uid="{00000000-0005-0000-0000-00001A110000}"/>
    <cellStyle name="Comma 6 8 2 2" xfId="16481" xr:uid="{00000000-0005-0000-0000-00001B110000}"/>
    <cellStyle name="Comma 6 8 2 3" xfId="12903" xr:uid="{00000000-0005-0000-0000-00001C110000}"/>
    <cellStyle name="Comma 6 8 2 4" xfId="7613" xr:uid="{00000000-0005-0000-0000-00001D110000}"/>
    <cellStyle name="Comma 6 8 3" xfId="3909" xr:uid="{00000000-0005-0000-0000-00001E110000}"/>
    <cellStyle name="Comma 6 8 3 2" xfId="17554" xr:uid="{00000000-0005-0000-0000-00001F110000}"/>
    <cellStyle name="Comma 6 8 3 3" xfId="13975" xr:uid="{00000000-0005-0000-0000-000020110000}"/>
    <cellStyle name="Comma 6 8 3 4" xfId="8718" xr:uid="{00000000-0005-0000-0000-000021110000}"/>
    <cellStyle name="Comma 6 8 4" xfId="5883" xr:uid="{00000000-0005-0000-0000-000022110000}"/>
    <cellStyle name="Comma 6 8 4 2" xfId="14969" xr:uid="{00000000-0005-0000-0000-000023110000}"/>
    <cellStyle name="Comma 6 8 5" xfId="10172" xr:uid="{00000000-0005-0000-0000-000024110000}"/>
    <cellStyle name="Comma 6 8 5 2" xfId="18999" xr:uid="{00000000-0005-0000-0000-000025110000}"/>
    <cellStyle name="Comma 6 8 6" xfId="11618" xr:uid="{00000000-0005-0000-0000-000026110000}"/>
    <cellStyle name="Comma 6 8 7" xfId="5207" xr:uid="{00000000-0005-0000-0000-000027110000}"/>
    <cellStyle name="Comma 6 9" xfId="1293" xr:uid="{00000000-0005-0000-0000-000028110000}"/>
    <cellStyle name="Comma 6 9 2" xfId="2932" xr:uid="{00000000-0005-0000-0000-000029110000}"/>
    <cellStyle name="Comma 6 9 2 2" xfId="17845" xr:uid="{00000000-0005-0000-0000-00002A110000}"/>
    <cellStyle name="Comma 6 9 2 3" xfId="14266" xr:uid="{00000000-0005-0000-0000-00002B110000}"/>
    <cellStyle name="Comma 6 9 2 4" xfId="9009" xr:uid="{00000000-0005-0000-0000-00002C110000}"/>
    <cellStyle name="Comma 6 9 3" xfId="10463" xr:uid="{00000000-0005-0000-0000-00002D110000}"/>
    <cellStyle name="Comma 6 9 3 2" xfId="19290" xr:uid="{00000000-0005-0000-0000-00002E110000}"/>
    <cellStyle name="Comma 6 9 4" xfId="11909" xr:uid="{00000000-0005-0000-0000-00002F110000}"/>
    <cellStyle name="Comma 6 9 5" xfId="6769" xr:uid="{00000000-0005-0000-0000-000030110000}"/>
    <cellStyle name="Comma 7" xfId="97" xr:uid="{00000000-0005-0000-0000-000031110000}"/>
    <cellStyle name="Explanatory Text 2" xfId="1827" xr:uid="{00000000-0005-0000-0000-000032110000}"/>
    <cellStyle name="Good 2" xfId="1829" xr:uid="{00000000-0005-0000-0000-000033110000}"/>
    <cellStyle name="Heading 1 2" xfId="1860" xr:uid="{00000000-0005-0000-0000-000034110000}"/>
    <cellStyle name="Heading 2 2" xfId="3290" xr:uid="{00000000-0005-0000-0000-000035110000}"/>
    <cellStyle name="Heading 3 2" xfId="3270" xr:uid="{00000000-0005-0000-0000-000036110000}"/>
    <cellStyle name="Heading 4 2" xfId="3326" xr:uid="{00000000-0005-0000-0000-000037110000}"/>
    <cellStyle name="Input 2" xfId="3285" xr:uid="{00000000-0005-0000-0000-000038110000}"/>
    <cellStyle name="Input 3" xfId="3323" xr:uid="{00000000-0005-0000-0000-000039110000}"/>
    <cellStyle name="Linked Cell 2" xfId="3300" xr:uid="{00000000-0005-0000-0000-00003A110000}"/>
    <cellStyle name="Neutral 2" xfId="3316" xr:uid="{00000000-0005-0000-0000-00003B110000}"/>
    <cellStyle name="Normal" xfId="0" builtinId="0"/>
    <cellStyle name="Normal 10" xfId="85" xr:uid="{00000000-0005-0000-0000-00003D110000}"/>
    <cellStyle name="Normal 10 10" xfId="1832" xr:uid="{00000000-0005-0000-0000-00003E110000}"/>
    <cellStyle name="Normal 10 10 2" xfId="18195" xr:uid="{00000000-0005-0000-0000-00003F110000}"/>
    <cellStyle name="Normal 10 10 3" xfId="9368" xr:uid="{00000000-0005-0000-0000-000040110000}"/>
    <cellStyle name="Normal 10 11" xfId="3315" xr:uid="{00000000-0005-0000-0000-000041110000}"/>
    <cellStyle name="Normal 10 11 2" xfId="10806" xr:uid="{00000000-0005-0000-0000-000042110000}"/>
    <cellStyle name="Normal 10 2" xfId="128" xr:uid="{00000000-0005-0000-0000-000043110000}"/>
    <cellStyle name="Normal 10 2 10" xfId="1900" xr:uid="{00000000-0005-0000-0000-000044110000}"/>
    <cellStyle name="Normal 10 2 10 2" xfId="9431" xr:uid="{00000000-0005-0000-0000-000045110000}"/>
    <cellStyle name="Normal 10 2 10 2 2" xfId="18258" xr:uid="{00000000-0005-0000-0000-000046110000}"/>
    <cellStyle name="Normal 10 2 10 3" xfId="10875" xr:uid="{00000000-0005-0000-0000-000047110000}"/>
    <cellStyle name="Normal 10 2 10 4" xfId="7975" xr:uid="{00000000-0005-0000-0000-000048110000}"/>
    <cellStyle name="Normal 10 2 11" xfId="1836" xr:uid="{00000000-0005-0000-0000-000049110000}"/>
    <cellStyle name="Normal 10 2 11 2" xfId="14644" xr:uid="{00000000-0005-0000-0000-00004A110000}"/>
    <cellStyle name="Normal 10 2 11 3" xfId="5558" xr:uid="{00000000-0005-0000-0000-00004B110000}"/>
    <cellStyle name="Normal 10 2 12" xfId="9372" xr:uid="{00000000-0005-0000-0000-00004C110000}"/>
    <cellStyle name="Normal 10 2 12 2" xfId="18199" xr:uid="{00000000-0005-0000-0000-00004D110000}"/>
    <cellStyle name="Normal 10 2 13" xfId="10811" xr:uid="{00000000-0005-0000-0000-00004E110000}"/>
    <cellStyle name="Normal 10 2 14" xfId="4357" xr:uid="{00000000-0005-0000-0000-00004F110000}"/>
    <cellStyle name="Normal 10 2 2" xfId="152" xr:uid="{00000000-0005-0000-0000-000050110000}"/>
    <cellStyle name="Normal 10 2 2 10" xfId="5583" xr:uid="{00000000-0005-0000-0000-000051110000}"/>
    <cellStyle name="Normal 10 2 2 10 2" xfId="14669" xr:uid="{00000000-0005-0000-0000-000052110000}"/>
    <cellStyle name="Normal 10 2 2 11" xfId="9401" xr:uid="{00000000-0005-0000-0000-000053110000}"/>
    <cellStyle name="Normal 10 2 2 11 2" xfId="18228" xr:uid="{00000000-0005-0000-0000-000054110000}"/>
    <cellStyle name="Normal 10 2 2 12" xfId="10845" xr:uid="{00000000-0005-0000-0000-000055110000}"/>
    <cellStyle name="Normal 10 2 2 13" xfId="4394" xr:uid="{00000000-0005-0000-0000-000056110000}"/>
    <cellStyle name="Normal 10 2 2 2" xfId="269" xr:uid="{00000000-0005-0000-0000-000057110000}"/>
    <cellStyle name="Normal 10 2 2 2 10" xfId="11020" xr:uid="{00000000-0005-0000-0000-000058110000}"/>
    <cellStyle name="Normal 10 2 2 2 11" xfId="4437" xr:uid="{00000000-0005-0000-0000-000059110000}"/>
    <cellStyle name="Normal 10 2 2 2 2" xfId="377" xr:uid="{00000000-0005-0000-0000-00005A110000}"/>
    <cellStyle name="Normal 10 2 2 2 2 2" xfId="579" xr:uid="{00000000-0005-0000-0000-00005B110000}"/>
    <cellStyle name="Normal 10 2 2 2 2 2 2" xfId="2309" xr:uid="{00000000-0005-0000-0000-00005C110000}"/>
    <cellStyle name="Normal 10 2 2 2 2 2 2 2" xfId="16198" xr:uid="{00000000-0005-0000-0000-00005D110000}"/>
    <cellStyle name="Normal 10 2 2 2 2 2 2 3" xfId="12620" xr:uid="{00000000-0005-0000-0000-00005E110000}"/>
    <cellStyle name="Normal 10 2 2 2 2 2 2 4" xfId="7329" xr:uid="{00000000-0005-0000-0000-00005F110000}"/>
    <cellStyle name="Normal 10 2 2 2 2 2 3" xfId="3577" xr:uid="{00000000-0005-0000-0000-000060110000}"/>
    <cellStyle name="Normal 10 2 2 2 2 2 3 2" xfId="17222" xr:uid="{00000000-0005-0000-0000-000061110000}"/>
    <cellStyle name="Normal 10 2 2 2 2 2 3 3" xfId="13643" xr:uid="{00000000-0005-0000-0000-000062110000}"/>
    <cellStyle name="Normal 10 2 2 2 2 2 3 4" xfId="8386" xr:uid="{00000000-0005-0000-0000-000063110000}"/>
    <cellStyle name="Normal 10 2 2 2 2 2 4" xfId="6445" xr:uid="{00000000-0005-0000-0000-000064110000}"/>
    <cellStyle name="Normal 10 2 2 2 2 2 4 2" xfId="15529" xr:uid="{00000000-0005-0000-0000-000065110000}"/>
    <cellStyle name="Normal 10 2 2 2 2 2 5" xfId="9840" xr:uid="{00000000-0005-0000-0000-000066110000}"/>
    <cellStyle name="Normal 10 2 2 2 2 2 5 2" xfId="18667" xr:uid="{00000000-0005-0000-0000-000067110000}"/>
    <cellStyle name="Normal 10 2 2 2 2 2 6" xfId="11284" xr:uid="{00000000-0005-0000-0000-000068110000}"/>
    <cellStyle name="Normal 10 2 2 2 2 2 7" xfId="4923" xr:uid="{00000000-0005-0000-0000-000069110000}"/>
    <cellStyle name="Normal 10 2 2 2 2 2 9" xfId="19667" xr:uid="{00000000-0005-0000-0000-00006A110000}"/>
    <cellStyle name="Normal 10 2 2 2 2 2 9 2" xfId="19673" xr:uid="{00000000-0005-0000-0000-00006B110000}"/>
    <cellStyle name="Normal 10 2 2 2 2 3" xfId="937" xr:uid="{00000000-0005-0000-0000-00006C110000}"/>
    <cellStyle name="Normal 10 2 2 2 2 3 2" xfId="2657" xr:uid="{00000000-0005-0000-0000-00006D110000}"/>
    <cellStyle name="Normal 10 2 2 2 2 3 2 2" xfId="16737" xr:uid="{00000000-0005-0000-0000-00006E110000}"/>
    <cellStyle name="Normal 10 2 2 2 2 3 2 3" xfId="13158" xr:uid="{00000000-0005-0000-0000-00006F110000}"/>
    <cellStyle name="Normal 10 2 2 2 2 3 2 4" xfId="7869" xr:uid="{00000000-0005-0000-0000-000070110000}"/>
    <cellStyle name="Normal 10 2 2 2 2 3 3" xfId="3925" xr:uid="{00000000-0005-0000-0000-000071110000}"/>
    <cellStyle name="Normal 10 2 2 2 2 3 3 2" xfId="17570" xr:uid="{00000000-0005-0000-0000-000072110000}"/>
    <cellStyle name="Normal 10 2 2 2 2 3 3 3" xfId="13991" xr:uid="{00000000-0005-0000-0000-000073110000}"/>
    <cellStyle name="Normal 10 2 2 2 2 3 3 4" xfId="8734" xr:uid="{00000000-0005-0000-0000-000074110000}"/>
    <cellStyle name="Normal 10 2 2 2 2 3 4" xfId="6276" xr:uid="{00000000-0005-0000-0000-000075110000}"/>
    <cellStyle name="Normal 10 2 2 2 2 3 4 2" xfId="15360" xr:uid="{00000000-0005-0000-0000-000076110000}"/>
    <cellStyle name="Normal 10 2 2 2 2 3 5" xfId="10188" xr:uid="{00000000-0005-0000-0000-000077110000}"/>
    <cellStyle name="Normal 10 2 2 2 2 3 5 2" xfId="19015" xr:uid="{00000000-0005-0000-0000-000078110000}"/>
    <cellStyle name="Normal 10 2 2 2 2 3 6" xfId="11634" xr:uid="{00000000-0005-0000-0000-000079110000}"/>
    <cellStyle name="Normal 10 2 2 2 2 3 7" xfId="5463" xr:uid="{00000000-0005-0000-0000-00007A110000}"/>
    <cellStyle name="Normal 10 2 2 2 2 4" xfId="1591" xr:uid="{00000000-0005-0000-0000-00007B110000}"/>
    <cellStyle name="Normal 10 2 2 2 2 4 2" xfId="3188" xr:uid="{00000000-0005-0000-0000-00007C110000}"/>
    <cellStyle name="Normal 10 2 2 2 2 4 2 2" xfId="18101" xr:uid="{00000000-0005-0000-0000-00007D110000}"/>
    <cellStyle name="Normal 10 2 2 2 2 4 2 3" xfId="14522" xr:uid="{00000000-0005-0000-0000-00007E110000}"/>
    <cellStyle name="Normal 10 2 2 2 2 4 2 4" xfId="9265" xr:uid="{00000000-0005-0000-0000-00007F110000}"/>
    <cellStyle name="Normal 10 2 2 2 2 4 3" xfId="10719" xr:uid="{00000000-0005-0000-0000-000080110000}"/>
    <cellStyle name="Normal 10 2 2 2 2 4 3 2" xfId="19546" xr:uid="{00000000-0005-0000-0000-000081110000}"/>
    <cellStyle name="Normal 10 2 2 2 2 4 4" xfId="12165" xr:uid="{00000000-0005-0000-0000-000082110000}"/>
    <cellStyle name="Normal 10 2 2 2 2 4 5" xfId="7160" xr:uid="{00000000-0005-0000-0000-000083110000}"/>
    <cellStyle name="Normal 10 2 2 2 2 5" xfId="2145" xr:uid="{00000000-0005-0000-0000-000084110000}"/>
    <cellStyle name="Normal 10 2 2 2 2 5 2" xfId="17058" xr:uid="{00000000-0005-0000-0000-000085110000}"/>
    <cellStyle name="Normal 10 2 2 2 2 5 3" xfId="13479" xr:uid="{00000000-0005-0000-0000-000086110000}"/>
    <cellStyle name="Normal 10 2 2 2 2 5 4" xfId="8222" xr:uid="{00000000-0005-0000-0000-000087110000}"/>
    <cellStyle name="Normal 10 2 2 2 2 6" xfId="5783" xr:uid="{00000000-0005-0000-0000-000088110000}"/>
    <cellStyle name="Normal 10 2 2 2 2 6 2" xfId="14869" xr:uid="{00000000-0005-0000-0000-000089110000}"/>
    <cellStyle name="Normal 10 2 2 2 2 7" xfId="9676" xr:uid="{00000000-0005-0000-0000-00008A110000}"/>
    <cellStyle name="Normal 10 2 2 2 2 7 2" xfId="18503" xr:uid="{00000000-0005-0000-0000-00008B110000}"/>
    <cellStyle name="Normal 10 2 2 2 2 8" xfId="11120" xr:uid="{00000000-0005-0000-0000-00008C110000}"/>
    <cellStyle name="Normal 10 2 2 2 2 9" xfId="4754" xr:uid="{00000000-0005-0000-0000-00008D110000}"/>
    <cellStyle name="Normal 10 2 2 2 2_Degree data" xfId="1262" xr:uid="{00000000-0005-0000-0000-00008E110000}"/>
    <cellStyle name="Normal 10 2 2 2 3" xfId="578" xr:uid="{00000000-0005-0000-0000-00008F110000}"/>
    <cellStyle name="Normal 10 2 2 2 3 2" xfId="2308" xr:uid="{00000000-0005-0000-0000-000090110000}"/>
    <cellStyle name="Normal 10 2 2 2 3 2 2" xfId="16074" xr:uid="{00000000-0005-0000-0000-000091110000}"/>
    <cellStyle name="Normal 10 2 2 2 3 2 3" xfId="12312" xr:uid="{00000000-0005-0000-0000-000092110000}"/>
    <cellStyle name="Normal 10 2 2 2 3 2 4" xfId="7060" xr:uid="{00000000-0005-0000-0000-000093110000}"/>
    <cellStyle name="Normal 10 2 2 2 3 3" xfId="3576" xr:uid="{00000000-0005-0000-0000-000094110000}"/>
    <cellStyle name="Normal 10 2 2 2 3 3 2" xfId="17221" xr:uid="{00000000-0005-0000-0000-000095110000}"/>
    <cellStyle name="Normal 10 2 2 2 3 3 3" xfId="13642" xr:uid="{00000000-0005-0000-0000-000096110000}"/>
    <cellStyle name="Normal 10 2 2 2 3 3 4" xfId="8385" xr:uid="{00000000-0005-0000-0000-000097110000}"/>
    <cellStyle name="Normal 10 2 2 2 3 4" xfId="6176" xr:uid="{00000000-0005-0000-0000-000098110000}"/>
    <cellStyle name="Normal 10 2 2 2 3 4 2" xfId="15260" xr:uid="{00000000-0005-0000-0000-000099110000}"/>
    <cellStyle name="Normal 10 2 2 2 3 5" xfId="9839" xr:uid="{00000000-0005-0000-0000-00009A110000}"/>
    <cellStyle name="Normal 10 2 2 2 3 5 2" xfId="18666" xr:uid="{00000000-0005-0000-0000-00009B110000}"/>
    <cellStyle name="Normal 10 2 2 2 3 6" xfId="11283" xr:uid="{00000000-0005-0000-0000-00009C110000}"/>
    <cellStyle name="Normal 10 2 2 2 3 7" xfId="4654" xr:uid="{00000000-0005-0000-0000-00009D110000}"/>
    <cellStyle name="Normal 10 2 2 2 4" xfId="936" xr:uid="{00000000-0005-0000-0000-00009E110000}"/>
    <cellStyle name="Normal 10 2 2 2 4 2" xfId="2656" xr:uid="{00000000-0005-0000-0000-00009F110000}"/>
    <cellStyle name="Normal 10 2 2 2 4 2 2" xfId="16197" xr:uid="{00000000-0005-0000-0000-0000A0110000}"/>
    <cellStyle name="Normal 10 2 2 2 4 2 3" xfId="12619" xr:uid="{00000000-0005-0000-0000-0000A1110000}"/>
    <cellStyle name="Normal 10 2 2 2 4 2 4" xfId="7328" xr:uid="{00000000-0005-0000-0000-0000A2110000}"/>
    <cellStyle name="Normal 10 2 2 2 4 3" xfId="3924" xr:uid="{00000000-0005-0000-0000-0000A3110000}"/>
    <cellStyle name="Normal 10 2 2 2 4 3 2" xfId="17569" xr:uid="{00000000-0005-0000-0000-0000A4110000}"/>
    <cellStyle name="Normal 10 2 2 2 4 3 3" xfId="13990" xr:uid="{00000000-0005-0000-0000-0000A5110000}"/>
    <cellStyle name="Normal 10 2 2 2 4 3 4" xfId="8733" xr:uid="{00000000-0005-0000-0000-0000A6110000}"/>
    <cellStyle name="Normal 10 2 2 2 4 4" xfId="6444" xr:uid="{00000000-0005-0000-0000-0000A7110000}"/>
    <cellStyle name="Normal 10 2 2 2 4 4 2" xfId="15528" xr:uid="{00000000-0005-0000-0000-0000A8110000}"/>
    <cellStyle name="Normal 10 2 2 2 4 5" xfId="10187" xr:uid="{00000000-0005-0000-0000-0000A9110000}"/>
    <cellStyle name="Normal 10 2 2 2 4 5 2" xfId="19014" xr:uid="{00000000-0005-0000-0000-0000AA110000}"/>
    <cellStyle name="Normal 10 2 2 2 4 6" xfId="11633" xr:uid="{00000000-0005-0000-0000-0000AB110000}"/>
    <cellStyle name="Normal 10 2 2 2 4 7" xfId="4922" xr:uid="{00000000-0005-0000-0000-0000AC110000}"/>
    <cellStyle name="Normal 10 2 2 2 5" xfId="1489" xr:uid="{00000000-0005-0000-0000-0000AD110000}"/>
    <cellStyle name="Normal 10 2 2 2 5 2" xfId="3088" xr:uid="{00000000-0005-0000-0000-0000AE110000}"/>
    <cellStyle name="Normal 10 2 2 2 5 2 2" xfId="16637" xr:uid="{00000000-0005-0000-0000-0000AF110000}"/>
    <cellStyle name="Normal 10 2 2 2 5 2 3" xfId="13058" xr:uid="{00000000-0005-0000-0000-0000B0110000}"/>
    <cellStyle name="Normal 10 2 2 2 5 2 4" xfId="7769" xr:uid="{00000000-0005-0000-0000-0000B1110000}"/>
    <cellStyle name="Normal 10 2 2 2 5 3" xfId="4296" xr:uid="{00000000-0005-0000-0000-0000B2110000}"/>
    <cellStyle name="Normal 10 2 2 2 5 3 2" xfId="18001" xr:uid="{00000000-0005-0000-0000-0000B3110000}"/>
    <cellStyle name="Normal 10 2 2 2 5 3 3" xfId="14422" xr:uid="{00000000-0005-0000-0000-0000B4110000}"/>
    <cellStyle name="Normal 10 2 2 2 5 3 4" xfId="9165" xr:uid="{00000000-0005-0000-0000-0000B5110000}"/>
    <cellStyle name="Normal 10 2 2 2 5 4" xfId="5957" xr:uid="{00000000-0005-0000-0000-0000B6110000}"/>
    <cellStyle name="Normal 10 2 2 2 5 4 2" xfId="15043" xr:uid="{00000000-0005-0000-0000-0000B7110000}"/>
    <cellStyle name="Normal 10 2 2 2 5 5" xfId="10619" xr:uid="{00000000-0005-0000-0000-0000B8110000}"/>
    <cellStyle name="Normal 10 2 2 2 5 5 2" xfId="19446" xr:uid="{00000000-0005-0000-0000-0000B9110000}"/>
    <cellStyle name="Normal 10 2 2 2 5 6" xfId="12065" xr:uid="{00000000-0005-0000-0000-0000BA110000}"/>
    <cellStyle name="Normal 10 2 2 2 5 7" xfId="5363" xr:uid="{00000000-0005-0000-0000-0000BB110000}"/>
    <cellStyle name="Normal 10 2 2 2 6" xfId="2045" xr:uid="{00000000-0005-0000-0000-0000BC110000}"/>
    <cellStyle name="Normal 10 2 2 2 6 2" xfId="15886" xr:uid="{00000000-0005-0000-0000-0000BD110000}"/>
    <cellStyle name="Normal 10 2 2 2 6 3" xfId="12276" xr:uid="{00000000-0005-0000-0000-0000BE110000}"/>
    <cellStyle name="Normal 10 2 2 2 6 4" xfId="6843" xr:uid="{00000000-0005-0000-0000-0000BF110000}"/>
    <cellStyle name="Normal 10 2 2 2 7" xfId="3458" xr:uid="{00000000-0005-0000-0000-0000C0110000}"/>
    <cellStyle name="Normal 10 2 2 2 7 2" xfId="16958" xr:uid="{00000000-0005-0000-0000-0000C1110000}"/>
    <cellStyle name="Normal 10 2 2 2 7 3" xfId="13379" xr:uid="{00000000-0005-0000-0000-0000C2110000}"/>
    <cellStyle name="Normal 10 2 2 2 7 4" xfId="8122" xr:uid="{00000000-0005-0000-0000-0000C3110000}"/>
    <cellStyle name="Normal 10 2 2 2 8" xfId="5683" xr:uid="{00000000-0005-0000-0000-0000C4110000}"/>
    <cellStyle name="Normal 10 2 2 2 8 2" xfId="14769" xr:uid="{00000000-0005-0000-0000-0000C5110000}"/>
    <cellStyle name="Normal 10 2 2 2 9" xfId="9576" xr:uid="{00000000-0005-0000-0000-0000C6110000}"/>
    <cellStyle name="Normal 10 2 2 2 9 2" xfId="18403" xr:uid="{00000000-0005-0000-0000-0000C7110000}"/>
    <cellStyle name="Normal 10 2 2 2_Degree data" xfId="1259" xr:uid="{00000000-0005-0000-0000-0000C8110000}"/>
    <cellStyle name="Normal 10 2 2 3" xfId="226" xr:uid="{00000000-0005-0000-0000-0000C9110000}"/>
    <cellStyle name="Normal 10 2 2 3 10" xfId="10977" xr:uid="{00000000-0005-0000-0000-0000CA110000}"/>
    <cellStyle name="Normal 10 2 2 3 11" xfId="4498" xr:uid="{00000000-0005-0000-0000-0000CB110000}"/>
    <cellStyle name="Normal 10 2 2 3 2" xfId="439" xr:uid="{00000000-0005-0000-0000-0000CC110000}"/>
    <cellStyle name="Normal 10 2 2 3 2 2" xfId="581" xr:uid="{00000000-0005-0000-0000-0000CD110000}"/>
    <cellStyle name="Normal 10 2 2 3 2 2 2" xfId="2311" xr:uid="{00000000-0005-0000-0000-0000CE110000}"/>
    <cellStyle name="Normal 10 2 2 3 2 2 2 2" xfId="16200" xr:uid="{00000000-0005-0000-0000-0000CF110000}"/>
    <cellStyle name="Normal 10 2 2 3 2 2 2 3" xfId="12622" xr:uid="{00000000-0005-0000-0000-0000D0110000}"/>
    <cellStyle name="Normal 10 2 2 3 2 2 2 4" xfId="7331" xr:uid="{00000000-0005-0000-0000-0000D1110000}"/>
    <cellStyle name="Normal 10 2 2 3 2 2 3" xfId="3579" xr:uid="{00000000-0005-0000-0000-0000D2110000}"/>
    <cellStyle name="Normal 10 2 2 3 2 2 3 2" xfId="17224" xr:uid="{00000000-0005-0000-0000-0000D3110000}"/>
    <cellStyle name="Normal 10 2 2 3 2 2 3 3" xfId="13645" xr:uid="{00000000-0005-0000-0000-0000D4110000}"/>
    <cellStyle name="Normal 10 2 2 3 2 2 3 4" xfId="8388" xr:uid="{00000000-0005-0000-0000-0000D5110000}"/>
    <cellStyle name="Normal 10 2 2 3 2 2 4" xfId="6447" xr:uid="{00000000-0005-0000-0000-0000D6110000}"/>
    <cellStyle name="Normal 10 2 2 3 2 2 4 2" xfId="15531" xr:uid="{00000000-0005-0000-0000-0000D7110000}"/>
    <cellStyle name="Normal 10 2 2 3 2 2 5" xfId="9842" xr:uid="{00000000-0005-0000-0000-0000D8110000}"/>
    <cellStyle name="Normal 10 2 2 3 2 2 5 2" xfId="18669" xr:uid="{00000000-0005-0000-0000-0000D9110000}"/>
    <cellStyle name="Normal 10 2 2 3 2 2 6" xfId="11286" xr:uid="{00000000-0005-0000-0000-0000DA110000}"/>
    <cellStyle name="Normal 10 2 2 3 2 2 7" xfId="4925" xr:uid="{00000000-0005-0000-0000-0000DB110000}"/>
    <cellStyle name="Normal 10 2 2 3 2 3" xfId="939" xr:uid="{00000000-0005-0000-0000-0000DC110000}"/>
    <cellStyle name="Normal 10 2 2 3 2 3 2" xfId="2659" xr:uid="{00000000-0005-0000-0000-0000DD110000}"/>
    <cellStyle name="Normal 10 2 2 3 2 3 2 2" xfId="16798" xr:uid="{00000000-0005-0000-0000-0000DE110000}"/>
    <cellStyle name="Normal 10 2 2 3 2 3 2 3" xfId="13219" xr:uid="{00000000-0005-0000-0000-0000DF110000}"/>
    <cellStyle name="Normal 10 2 2 3 2 3 2 4" xfId="7930" xr:uid="{00000000-0005-0000-0000-0000E0110000}"/>
    <cellStyle name="Normal 10 2 2 3 2 3 3" xfId="3927" xr:uid="{00000000-0005-0000-0000-0000E1110000}"/>
    <cellStyle name="Normal 10 2 2 3 2 3 3 2" xfId="17572" xr:uid="{00000000-0005-0000-0000-0000E2110000}"/>
    <cellStyle name="Normal 10 2 2 3 2 3 3 3" xfId="13993" xr:uid="{00000000-0005-0000-0000-0000E3110000}"/>
    <cellStyle name="Normal 10 2 2 3 2 3 3 4" xfId="8736" xr:uid="{00000000-0005-0000-0000-0000E4110000}"/>
    <cellStyle name="Normal 10 2 2 3 2 3 4" xfId="6337" xr:uid="{00000000-0005-0000-0000-0000E5110000}"/>
    <cellStyle name="Normal 10 2 2 3 2 3 4 2" xfId="15421" xr:uid="{00000000-0005-0000-0000-0000E6110000}"/>
    <cellStyle name="Normal 10 2 2 3 2 3 5" xfId="10190" xr:uid="{00000000-0005-0000-0000-0000E7110000}"/>
    <cellStyle name="Normal 10 2 2 3 2 3 5 2" xfId="19017" xr:uid="{00000000-0005-0000-0000-0000E8110000}"/>
    <cellStyle name="Normal 10 2 2 3 2 3 6" xfId="11636" xr:uid="{00000000-0005-0000-0000-0000E9110000}"/>
    <cellStyle name="Normal 10 2 2 3 2 3 7" xfId="5524" xr:uid="{00000000-0005-0000-0000-0000EA110000}"/>
    <cellStyle name="Normal 10 2 2 3 2 4" xfId="1653" xr:uid="{00000000-0005-0000-0000-0000EB110000}"/>
    <cellStyle name="Normal 10 2 2 3 2 4 2" xfId="3249" xr:uid="{00000000-0005-0000-0000-0000EC110000}"/>
    <cellStyle name="Normal 10 2 2 3 2 4 2 2" xfId="18162" xr:uid="{00000000-0005-0000-0000-0000ED110000}"/>
    <cellStyle name="Normal 10 2 2 3 2 4 2 3" xfId="14583" xr:uid="{00000000-0005-0000-0000-0000EE110000}"/>
    <cellStyle name="Normal 10 2 2 3 2 4 2 4" xfId="9326" xr:uid="{00000000-0005-0000-0000-0000EF110000}"/>
    <cellStyle name="Normal 10 2 2 3 2 4 3" xfId="10780" xr:uid="{00000000-0005-0000-0000-0000F0110000}"/>
    <cellStyle name="Normal 10 2 2 3 2 4 3 2" xfId="19607" xr:uid="{00000000-0005-0000-0000-0000F1110000}"/>
    <cellStyle name="Normal 10 2 2 3 2 4 4" xfId="12226" xr:uid="{00000000-0005-0000-0000-0000F2110000}"/>
    <cellStyle name="Normal 10 2 2 3 2 4 5" xfId="7221" xr:uid="{00000000-0005-0000-0000-0000F3110000}"/>
    <cellStyle name="Normal 10 2 2 3 2 5" xfId="2206" xr:uid="{00000000-0005-0000-0000-0000F4110000}"/>
    <cellStyle name="Normal 10 2 2 3 2 5 2" xfId="17119" xr:uid="{00000000-0005-0000-0000-0000F5110000}"/>
    <cellStyle name="Normal 10 2 2 3 2 5 3" xfId="13540" xr:uid="{00000000-0005-0000-0000-0000F6110000}"/>
    <cellStyle name="Normal 10 2 2 3 2 5 4" xfId="8283" xr:uid="{00000000-0005-0000-0000-0000F7110000}"/>
    <cellStyle name="Normal 10 2 2 3 2 6" xfId="5844" xr:uid="{00000000-0005-0000-0000-0000F8110000}"/>
    <cellStyle name="Normal 10 2 2 3 2 6 2" xfId="14930" xr:uid="{00000000-0005-0000-0000-0000F9110000}"/>
    <cellStyle name="Normal 10 2 2 3 2 7" xfId="9737" xr:uid="{00000000-0005-0000-0000-0000FA110000}"/>
    <cellStyle name="Normal 10 2 2 3 2 7 2" xfId="18564" xr:uid="{00000000-0005-0000-0000-0000FB110000}"/>
    <cellStyle name="Normal 10 2 2 3 2 8" xfId="11181" xr:uid="{00000000-0005-0000-0000-0000FC110000}"/>
    <cellStyle name="Normal 10 2 2 3 2 9" xfId="4815" xr:uid="{00000000-0005-0000-0000-0000FD110000}"/>
    <cellStyle name="Normal 10 2 2 3 2_Degree data" xfId="1373" xr:uid="{00000000-0005-0000-0000-0000FE110000}"/>
    <cellStyle name="Normal 10 2 2 3 3" xfId="580" xr:uid="{00000000-0005-0000-0000-0000FF110000}"/>
    <cellStyle name="Normal 10 2 2 3 3 2" xfId="2310" xr:uid="{00000000-0005-0000-0000-000000120000}"/>
    <cellStyle name="Normal 10 2 2 3 3 2 2" xfId="16031" xr:uid="{00000000-0005-0000-0000-000001120000}"/>
    <cellStyle name="Normal 10 2 2 3 3 2 3" xfId="12323" xr:uid="{00000000-0005-0000-0000-000002120000}"/>
    <cellStyle name="Normal 10 2 2 3 3 2 4" xfId="7017" xr:uid="{00000000-0005-0000-0000-000003120000}"/>
    <cellStyle name="Normal 10 2 2 3 3 3" xfId="3578" xr:uid="{00000000-0005-0000-0000-000004120000}"/>
    <cellStyle name="Normal 10 2 2 3 3 3 2" xfId="17223" xr:uid="{00000000-0005-0000-0000-000005120000}"/>
    <cellStyle name="Normal 10 2 2 3 3 3 3" xfId="13644" xr:uid="{00000000-0005-0000-0000-000006120000}"/>
    <cellStyle name="Normal 10 2 2 3 3 3 4" xfId="8387" xr:uid="{00000000-0005-0000-0000-000007120000}"/>
    <cellStyle name="Normal 10 2 2 3 3 4" xfId="6133" xr:uid="{00000000-0005-0000-0000-000008120000}"/>
    <cellStyle name="Normal 10 2 2 3 3 4 2" xfId="15217" xr:uid="{00000000-0005-0000-0000-000009120000}"/>
    <cellStyle name="Normal 10 2 2 3 3 5" xfId="9841" xr:uid="{00000000-0005-0000-0000-00000A120000}"/>
    <cellStyle name="Normal 10 2 2 3 3 5 2" xfId="18668" xr:uid="{00000000-0005-0000-0000-00000B120000}"/>
    <cellStyle name="Normal 10 2 2 3 3 6" xfId="11285" xr:uid="{00000000-0005-0000-0000-00000C120000}"/>
    <cellStyle name="Normal 10 2 2 3 3 7" xfId="4611" xr:uid="{00000000-0005-0000-0000-00000D120000}"/>
    <cellStyle name="Normal 10 2 2 3 4" xfId="938" xr:uid="{00000000-0005-0000-0000-00000E120000}"/>
    <cellStyle name="Normal 10 2 2 3 4 2" xfId="2658" xr:uid="{00000000-0005-0000-0000-00000F120000}"/>
    <cellStyle name="Normal 10 2 2 3 4 2 2" xfId="16199" xr:uid="{00000000-0005-0000-0000-000010120000}"/>
    <cellStyle name="Normal 10 2 2 3 4 2 3" xfId="12621" xr:uid="{00000000-0005-0000-0000-000011120000}"/>
    <cellStyle name="Normal 10 2 2 3 4 2 4" xfId="7330" xr:uid="{00000000-0005-0000-0000-000012120000}"/>
    <cellStyle name="Normal 10 2 2 3 4 3" xfId="3926" xr:uid="{00000000-0005-0000-0000-000013120000}"/>
    <cellStyle name="Normal 10 2 2 3 4 3 2" xfId="17571" xr:uid="{00000000-0005-0000-0000-000014120000}"/>
    <cellStyle name="Normal 10 2 2 3 4 3 3" xfId="13992" xr:uid="{00000000-0005-0000-0000-000015120000}"/>
    <cellStyle name="Normal 10 2 2 3 4 3 4" xfId="8735" xr:uid="{00000000-0005-0000-0000-000016120000}"/>
    <cellStyle name="Normal 10 2 2 3 4 4" xfId="6446" xr:uid="{00000000-0005-0000-0000-000017120000}"/>
    <cellStyle name="Normal 10 2 2 3 4 4 2" xfId="15530" xr:uid="{00000000-0005-0000-0000-000018120000}"/>
    <cellStyle name="Normal 10 2 2 3 4 5" xfId="10189" xr:uid="{00000000-0005-0000-0000-000019120000}"/>
    <cellStyle name="Normal 10 2 2 3 4 5 2" xfId="19016" xr:uid="{00000000-0005-0000-0000-00001A120000}"/>
    <cellStyle name="Normal 10 2 2 3 4 6" xfId="11635" xr:uid="{00000000-0005-0000-0000-00001B120000}"/>
    <cellStyle name="Normal 10 2 2 3 4 7" xfId="4924" xr:uid="{00000000-0005-0000-0000-00001C120000}"/>
    <cellStyle name="Normal 10 2 2 3 5" xfId="1444" xr:uid="{00000000-0005-0000-0000-00001D120000}"/>
    <cellStyle name="Normal 10 2 2 3 5 2" xfId="3045" xr:uid="{00000000-0005-0000-0000-00001E120000}"/>
    <cellStyle name="Normal 10 2 2 3 5 2 2" xfId="16594" xr:uid="{00000000-0005-0000-0000-00001F120000}"/>
    <cellStyle name="Normal 10 2 2 3 5 2 3" xfId="13015" xr:uid="{00000000-0005-0000-0000-000020120000}"/>
    <cellStyle name="Normal 10 2 2 3 5 2 4" xfId="7726" xr:uid="{00000000-0005-0000-0000-000021120000}"/>
    <cellStyle name="Normal 10 2 2 3 5 3" xfId="4253" xr:uid="{00000000-0005-0000-0000-000022120000}"/>
    <cellStyle name="Normal 10 2 2 3 5 3 2" xfId="17958" xr:uid="{00000000-0005-0000-0000-000023120000}"/>
    <cellStyle name="Normal 10 2 2 3 5 3 3" xfId="14379" xr:uid="{00000000-0005-0000-0000-000024120000}"/>
    <cellStyle name="Normal 10 2 2 3 5 3 4" xfId="9122" xr:uid="{00000000-0005-0000-0000-000025120000}"/>
    <cellStyle name="Normal 10 2 2 3 5 4" xfId="6018" xr:uid="{00000000-0005-0000-0000-000026120000}"/>
    <cellStyle name="Normal 10 2 2 3 5 4 2" xfId="15104" xr:uid="{00000000-0005-0000-0000-000027120000}"/>
    <cellStyle name="Normal 10 2 2 3 5 5" xfId="10576" xr:uid="{00000000-0005-0000-0000-000028120000}"/>
    <cellStyle name="Normal 10 2 2 3 5 5 2" xfId="19403" xr:uid="{00000000-0005-0000-0000-000029120000}"/>
    <cellStyle name="Normal 10 2 2 3 5 6" xfId="12022" xr:uid="{00000000-0005-0000-0000-00002A120000}"/>
    <cellStyle name="Normal 10 2 2 3 5 7" xfId="5320" xr:uid="{00000000-0005-0000-0000-00002B120000}"/>
    <cellStyle name="Normal 10 2 2 3 6" xfId="2002" xr:uid="{00000000-0005-0000-0000-00002C120000}"/>
    <cellStyle name="Normal 10 2 2 3 6 2" xfId="15947" xr:uid="{00000000-0005-0000-0000-00002D120000}"/>
    <cellStyle name="Normal 10 2 2 3 6 3" xfId="12345" xr:uid="{00000000-0005-0000-0000-00002E120000}"/>
    <cellStyle name="Normal 10 2 2 3 6 4" xfId="6904" xr:uid="{00000000-0005-0000-0000-00002F120000}"/>
    <cellStyle name="Normal 10 2 2 3 7" xfId="3415" xr:uid="{00000000-0005-0000-0000-000030120000}"/>
    <cellStyle name="Normal 10 2 2 3 7 2" xfId="16915" xr:uid="{00000000-0005-0000-0000-000031120000}"/>
    <cellStyle name="Normal 10 2 2 3 7 3" xfId="13336" xr:uid="{00000000-0005-0000-0000-000032120000}"/>
    <cellStyle name="Normal 10 2 2 3 7 4" xfId="8079" xr:uid="{00000000-0005-0000-0000-000033120000}"/>
    <cellStyle name="Normal 10 2 2 3 8" xfId="5640" xr:uid="{00000000-0005-0000-0000-000034120000}"/>
    <cellStyle name="Normal 10 2 2 3 8 2" xfId="14726" xr:uid="{00000000-0005-0000-0000-000035120000}"/>
    <cellStyle name="Normal 10 2 2 3 9" xfId="9533" xr:uid="{00000000-0005-0000-0000-000036120000}"/>
    <cellStyle name="Normal 10 2 2 3 9 2" xfId="18360" xr:uid="{00000000-0005-0000-0000-000037120000}"/>
    <cellStyle name="Normal 10 2 2 3_Degree data" xfId="1247" xr:uid="{00000000-0005-0000-0000-000038120000}"/>
    <cellStyle name="Normal 10 2 2 4" xfId="334" xr:uid="{00000000-0005-0000-0000-000039120000}"/>
    <cellStyle name="Normal 10 2 2 4 2" xfId="582" xr:uid="{00000000-0005-0000-0000-00003A120000}"/>
    <cellStyle name="Normal 10 2 2 4 2 2" xfId="2312" xr:uid="{00000000-0005-0000-0000-00003B120000}"/>
    <cellStyle name="Normal 10 2 2 4 2 2 2" xfId="16201" xr:uid="{00000000-0005-0000-0000-00003C120000}"/>
    <cellStyle name="Normal 10 2 2 4 2 2 3" xfId="12623" xr:uid="{00000000-0005-0000-0000-00003D120000}"/>
    <cellStyle name="Normal 10 2 2 4 2 2 4" xfId="7332" xr:uid="{00000000-0005-0000-0000-00003E120000}"/>
    <cellStyle name="Normal 10 2 2 4 2 3" xfId="3580" xr:uid="{00000000-0005-0000-0000-00003F120000}"/>
    <cellStyle name="Normal 10 2 2 4 2 3 2" xfId="17225" xr:uid="{00000000-0005-0000-0000-000040120000}"/>
    <cellStyle name="Normal 10 2 2 4 2 3 3" xfId="13646" xr:uid="{00000000-0005-0000-0000-000041120000}"/>
    <cellStyle name="Normal 10 2 2 4 2 3 4" xfId="8389" xr:uid="{00000000-0005-0000-0000-000042120000}"/>
    <cellStyle name="Normal 10 2 2 4 2 4" xfId="6448" xr:uid="{00000000-0005-0000-0000-000043120000}"/>
    <cellStyle name="Normal 10 2 2 4 2 4 2" xfId="15532" xr:uid="{00000000-0005-0000-0000-000044120000}"/>
    <cellStyle name="Normal 10 2 2 4 2 5" xfId="9843" xr:uid="{00000000-0005-0000-0000-000045120000}"/>
    <cellStyle name="Normal 10 2 2 4 2 5 2" xfId="18670" xr:uid="{00000000-0005-0000-0000-000046120000}"/>
    <cellStyle name="Normal 10 2 2 4 2 6" xfId="11287" xr:uid="{00000000-0005-0000-0000-000047120000}"/>
    <cellStyle name="Normal 10 2 2 4 2 7" xfId="4926" xr:uid="{00000000-0005-0000-0000-000048120000}"/>
    <cellStyle name="Normal 10 2 2 4 3" xfId="940" xr:uid="{00000000-0005-0000-0000-000049120000}"/>
    <cellStyle name="Normal 10 2 2 4 3 2" xfId="2660" xr:uid="{00000000-0005-0000-0000-00004A120000}"/>
    <cellStyle name="Normal 10 2 2 4 3 2 2" xfId="16694" xr:uid="{00000000-0005-0000-0000-00004B120000}"/>
    <cellStyle name="Normal 10 2 2 4 3 2 3" xfId="13115" xr:uid="{00000000-0005-0000-0000-00004C120000}"/>
    <cellStyle name="Normal 10 2 2 4 3 2 4" xfId="7826" xr:uid="{00000000-0005-0000-0000-00004D120000}"/>
    <cellStyle name="Normal 10 2 2 4 3 3" xfId="3928" xr:uid="{00000000-0005-0000-0000-00004E120000}"/>
    <cellStyle name="Normal 10 2 2 4 3 3 2" xfId="17573" xr:uid="{00000000-0005-0000-0000-00004F120000}"/>
    <cellStyle name="Normal 10 2 2 4 3 3 3" xfId="13994" xr:uid="{00000000-0005-0000-0000-000050120000}"/>
    <cellStyle name="Normal 10 2 2 4 3 3 4" xfId="8737" xr:uid="{00000000-0005-0000-0000-000051120000}"/>
    <cellStyle name="Normal 10 2 2 4 3 4" xfId="6233" xr:uid="{00000000-0005-0000-0000-000052120000}"/>
    <cellStyle name="Normal 10 2 2 4 3 4 2" xfId="15317" xr:uid="{00000000-0005-0000-0000-000053120000}"/>
    <cellStyle name="Normal 10 2 2 4 3 5" xfId="10191" xr:uid="{00000000-0005-0000-0000-000054120000}"/>
    <cellStyle name="Normal 10 2 2 4 3 5 2" xfId="19018" xr:uid="{00000000-0005-0000-0000-000055120000}"/>
    <cellStyle name="Normal 10 2 2 4 3 6" xfId="11637" xr:uid="{00000000-0005-0000-0000-000056120000}"/>
    <cellStyle name="Normal 10 2 2 4 3 7" xfId="5420" xr:uid="{00000000-0005-0000-0000-000057120000}"/>
    <cellStyle name="Normal 10 2 2 4 4" xfId="1546" xr:uid="{00000000-0005-0000-0000-000058120000}"/>
    <cellStyle name="Normal 10 2 2 4 4 2" xfId="3145" xr:uid="{00000000-0005-0000-0000-000059120000}"/>
    <cellStyle name="Normal 10 2 2 4 4 2 2" xfId="18058" xr:uid="{00000000-0005-0000-0000-00005A120000}"/>
    <cellStyle name="Normal 10 2 2 4 4 2 3" xfId="14479" xr:uid="{00000000-0005-0000-0000-00005B120000}"/>
    <cellStyle name="Normal 10 2 2 4 4 2 4" xfId="9222" xr:uid="{00000000-0005-0000-0000-00005C120000}"/>
    <cellStyle name="Normal 10 2 2 4 4 3" xfId="10676" xr:uid="{00000000-0005-0000-0000-00005D120000}"/>
    <cellStyle name="Normal 10 2 2 4 4 3 2" xfId="19503" xr:uid="{00000000-0005-0000-0000-00005E120000}"/>
    <cellStyle name="Normal 10 2 2 4 4 4" xfId="12122" xr:uid="{00000000-0005-0000-0000-00005F120000}"/>
    <cellStyle name="Normal 10 2 2 4 4 5" xfId="7117" xr:uid="{00000000-0005-0000-0000-000060120000}"/>
    <cellStyle name="Normal 10 2 2 4 5" xfId="2102" xr:uid="{00000000-0005-0000-0000-000061120000}"/>
    <cellStyle name="Normal 10 2 2 4 5 2" xfId="17015" xr:uid="{00000000-0005-0000-0000-000062120000}"/>
    <cellStyle name="Normal 10 2 2 4 5 3" xfId="13436" xr:uid="{00000000-0005-0000-0000-000063120000}"/>
    <cellStyle name="Normal 10 2 2 4 5 4" xfId="8179" xr:uid="{00000000-0005-0000-0000-000064120000}"/>
    <cellStyle name="Normal 10 2 2 4 6" xfId="5740" xr:uid="{00000000-0005-0000-0000-000065120000}"/>
    <cellStyle name="Normal 10 2 2 4 6 2" xfId="14826" xr:uid="{00000000-0005-0000-0000-000066120000}"/>
    <cellStyle name="Normal 10 2 2 4 7" xfId="9633" xr:uid="{00000000-0005-0000-0000-000067120000}"/>
    <cellStyle name="Normal 10 2 2 4 7 2" xfId="18460" xr:uid="{00000000-0005-0000-0000-000068120000}"/>
    <cellStyle name="Normal 10 2 2 4 8" xfId="11077" xr:uid="{00000000-0005-0000-0000-000069120000}"/>
    <cellStyle name="Normal 10 2 2 4 9" xfId="4711" xr:uid="{00000000-0005-0000-0000-00006A120000}"/>
    <cellStyle name="Normal 10 2 2 4_Degree data" xfId="1388" xr:uid="{00000000-0005-0000-0000-00006B120000}"/>
    <cellStyle name="Normal 10 2 2 5" xfId="577" xr:uid="{00000000-0005-0000-0000-00006C120000}"/>
    <cellStyle name="Normal 10 2 2 5 2" xfId="2307" xr:uid="{00000000-0005-0000-0000-00006D120000}"/>
    <cellStyle name="Normal 10 2 2 5 2 2" xfId="15981" xr:uid="{00000000-0005-0000-0000-00006E120000}"/>
    <cellStyle name="Normal 10 2 2 5 2 3" xfId="12337" xr:uid="{00000000-0005-0000-0000-00006F120000}"/>
    <cellStyle name="Normal 10 2 2 5 2 4" xfId="6960" xr:uid="{00000000-0005-0000-0000-000070120000}"/>
    <cellStyle name="Normal 10 2 2 5 3" xfId="3575" xr:uid="{00000000-0005-0000-0000-000071120000}"/>
    <cellStyle name="Normal 10 2 2 5 3 2" xfId="17220" xr:uid="{00000000-0005-0000-0000-000072120000}"/>
    <cellStyle name="Normal 10 2 2 5 3 3" xfId="13641" xr:uid="{00000000-0005-0000-0000-000073120000}"/>
    <cellStyle name="Normal 10 2 2 5 3 4" xfId="8384" xr:uid="{00000000-0005-0000-0000-000074120000}"/>
    <cellStyle name="Normal 10 2 2 5 4" xfId="6076" xr:uid="{00000000-0005-0000-0000-000075120000}"/>
    <cellStyle name="Normal 10 2 2 5 4 2" xfId="15160" xr:uid="{00000000-0005-0000-0000-000076120000}"/>
    <cellStyle name="Normal 10 2 2 5 5" xfId="9838" xr:uid="{00000000-0005-0000-0000-000077120000}"/>
    <cellStyle name="Normal 10 2 2 5 5 2" xfId="18665" xr:uid="{00000000-0005-0000-0000-000078120000}"/>
    <cellStyle name="Normal 10 2 2 5 6" xfId="11282" xr:uid="{00000000-0005-0000-0000-000079120000}"/>
    <cellStyle name="Normal 10 2 2 5 7" xfId="4554" xr:uid="{00000000-0005-0000-0000-00007A120000}"/>
    <cellStyle name="Normal 10 2 2 6" xfId="935" xr:uid="{00000000-0005-0000-0000-00007B120000}"/>
    <cellStyle name="Normal 10 2 2 6 2" xfId="2655" xr:uid="{00000000-0005-0000-0000-00007C120000}"/>
    <cellStyle name="Normal 10 2 2 6 2 2" xfId="16196" xr:uid="{00000000-0005-0000-0000-00007D120000}"/>
    <cellStyle name="Normal 10 2 2 6 2 3" xfId="12618" xr:uid="{00000000-0005-0000-0000-00007E120000}"/>
    <cellStyle name="Normal 10 2 2 6 2 4" xfId="7327" xr:uid="{00000000-0005-0000-0000-00007F120000}"/>
    <cellStyle name="Normal 10 2 2 6 3" xfId="3923" xr:uid="{00000000-0005-0000-0000-000080120000}"/>
    <cellStyle name="Normal 10 2 2 6 3 2" xfId="17568" xr:uid="{00000000-0005-0000-0000-000081120000}"/>
    <cellStyle name="Normal 10 2 2 6 3 3" xfId="13989" xr:uid="{00000000-0005-0000-0000-000082120000}"/>
    <cellStyle name="Normal 10 2 2 6 3 4" xfId="8732" xr:uid="{00000000-0005-0000-0000-000083120000}"/>
    <cellStyle name="Normal 10 2 2 6 4" xfId="6443" xr:uid="{00000000-0005-0000-0000-000084120000}"/>
    <cellStyle name="Normal 10 2 2 6 4 2" xfId="15527" xr:uid="{00000000-0005-0000-0000-000085120000}"/>
    <cellStyle name="Normal 10 2 2 6 5" xfId="10186" xr:uid="{00000000-0005-0000-0000-000086120000}"/>
    <cellStyle name="Normal 10 2 2 6 5 2" xfId="19013" xr:uid="{00000000-0005-0000-0000-000087120000}"/>
    <cellStyle name="Normal 10 2 2 6 6" xfId="11632" xr:uid="{00000000-0005-0000-0000-000088120000}"/>
    <cellStyle name="Normal 10 2 2 6 7" xfId="4921" xr:uid="{00000000-0005-0000-0000-000089120000}"/>
    <cellStyle name="Normal 10 2 2 7" xfId="1379" xr:uid="{00000000-0005-0000-0000-00008A120000}"/>
    <cellStyle name="Normal 10 2 2 7 2" xfId="2988" xr:uid="{00000000-0005-0000-0000-00008B120000}"/>
    <cellStyle name="Normal 10 2 2 7 2 2" xfId="16537" xr:uid="{00000000-0005-0000-0000-00008C120000}"/>
    <cellStyle name="Normal 10 2 2 7 2 3" xfId="12958" xr:uid="{00000000-0005-0000-0000-00008D120000}"/>
    <cellStyle name="Normal 10 2 2 7 2 4" xfId="7669" xr:uid="{00000000-0005-0000-0000-00008E120000}"/>
    <cellStyle name="Normal 10 2 2 7 3" xfId="4203" xr:uid="{00000000-0005-0000-0000-00008F120000}"/>
    <cellStyle name="Normal 10 2 2 7 3 2" xfId="17901" xr:uid="{00000000-0005-0000-0000-000090120000}"/>
    <cellStyle name="Normal 10 2 2 7 3 3" xfId="14322" xr:uid="{00000000-0005-0000-0000-000091120000}"/>
    <cellStyle name="Normal 10 2 2 7 3 4" xfId="9065" xr:uid="{00000000-0005-0000-0000-000092120000}"/>
    <cellStyle name="Normal 10 2 2 7 4" xfId="5914" xr:uid="{00000000-0005-0000-0000-000093120000}"/>
    <cellStyle name="Normal 10 2 2 7 4 2" xfId="15000" xr:uid="{00000000-0005-0000-0000-000094120000}"/>
    <cellStyle name="Normal 10 2 2 7 5" xfId="10519" xr:uid="{00000000-0005-0000-0000-000095120000}"/>
    <cellStyle name="Normal 10 2 2 7 5 2" xfId="19346" xr:uid="{00000000-0005-0000-0000-000096120000}"/>
    <cellStyle name="Normal 10 2 2 7 6" xfId="11965" xr:uid="{00000000-0005-0000-0000-000097120000}"/>
    <cellStyle name="Normal 10 2 2 7 7" xfId="5263" xr:uid="{00000000-0005-0000-0000-000098120000}"/>
    <cellStyle name="Normal 10 2 2 8" xfId="1945" xr:uid="{00000000-0005-0000-0000-000099120000}"/>
    <cellStyle name="Normal 10 2 2 8 2" xfId="9476" xr:uid="{00000000-0005-0000-0000-00009A120000}"/>
    <cellStyle name="Normal 10 2 2 8 2 2" xfId="18303" xr:uid="{00000000-0005-0000-0000-00009B120000}"/>
    <cellStyle name="Normal 10 2 2 8 3" xfId="10920" xr:uid="{00000000-0005-0000-0000-00009C120000}"/>
    <cellStyle name="Normal 10 2 2 8 4" xfId="6800" xr:uid="{00000000-0005-0000-0000-00009D120000}"/>
    <cellStyle name="Normal 10 2 2 9" xfId="1870" xr:uid="{00000000-0005-0000-0000-00009E120000}"/>
    <cellStyle name="Normal 10 2 2 9 2" xfId="16856" xr:uid="{00000000-0005-0000-0000-00009F120000}"/>
    <cellStyle name="Normal 10 2 2 9 3" xfId="13277" xr:uid="{00000000-0005-0000-0000-0000A0120000}"/>
    <cellStyle name="Normal 10 2 2 9 4" xfId="8020" xr:uid="{00000000-0005-0000-0000-0000A1120000}"/>
    <cellStyle name="Normal 10 2 2_Degree data" xfId="1205" xr:uid="{00000000-0005-0000-0000-0000A2120000}"/>
    <cellStyle name="Normal 10 2 3" xfId="244" xr:uid="{00000000-0005-0000-0000-0000A3120000}"/>
    <cellStyle name="Normal 10 2 3 10" xfId="10995" xr:uid="{00000000-0005-0000-0000-0000A4120000}"/>
    <cellStyle name="Normal 10 2 3 11" xfId="4412" xr:uid="{00000000-0005-0000-0000-0000A5120000}"/>
    <cellStyle name="Normal 10 2 3 2" xfId="352" xr:uid="{00000000-0005-0000-0000-0000A6120000}"/>
    <cellStyle name="Normal 10 2 3 2 2" xfId="584" xr:uid="{00000000-0005-0000-0000-0000A7120000}"/>
    <cellStyle name="Normal 10 2 3 2 2 2" xfId="2314" xr:uid="{00000000-0005-0000-0000-0000A8120000}"/>
    <cellStyle name="Normal 10 2 3 2 2 2 2" xfId="16203" xr:uid="{00000000-0005-0000-0000-0000A9120000}"/>
    <cellStyle name="Normal 10 2 3 2 2 2 3" xfId="12625" xr:uid="{00000000-0005-0000-0000-0000AA120000}"/>
    <cellStyle name="Normal 10 2 3 2 2 2 4" xfId="7334" xr:uid="{00000000-0005-0000-0000-0000AB120000}"/>
    <cellStyle name="Normal 10 2 3 2 2 3" xfId="3582" xr:uid="{00000000-0005-0000-0000-0000AC120000}"/>
    <cellStyle name="Normal 10 2 3 2 2 3 2" xfId="17227" xr:uid="{00000000-0005-0000-0000-0000AD120000}"/>
    <cellStyle name="Normal 10 2 3 2 2 3 3" xfId="13648" xr:uid="{00000000-0005-0000-0000-0000AE120000}"/>
    <cellStyle name="Normal 10 2 3 2 2 3 4" xfId="8391" xr:uid="{00000000-0005-0000-0000-0000AF120000}"/>
    <cellStyle name="Normal 10 2 3 2 2 4" xfId="6450" xr:uid="{00000000-0005-0000-0000-0000B0120000}"/>
    <cellStyle name="Normal 10 2 3 2 2 4 2" xfId="15534" xr:uid="{00000000-0005-0000-0000-0000B1120000}"/>
    <cellStyle name="Normal 10 2 3 2 2 5" xfId="9845" xr:uid="{00000000-0005-0000-0000-0000B2120000}"/>
    <cellStyle name="Normal 10 2 3 2 2 5 2" xfId="18672" xr:uid="{00000000-0005-0000-0000-0000B3120000}"/>
    <cellStyle name="Normal 10 2 3 2 2 6" xfId="11289" xr:uid="{00000000-0005-0000-0000-0000B4120000}"/>
    <cellStyle name="Normal 10 2 3 2 2 7" xfId="4928" xr:uid="{00000000-0005-0000-0000-0000B5120000}"/>
    <cellStyle name="Normal 10 2 3 2 3" xfId="942" xr:uid="{00000000-0005-0000-0000-0000B6120000}"/>
    <cellStyle name="Normal 10 2 3 2 3 2" xfId="2662" xr:uid="{00000000-0005-0000-0000-0000B7120000}"/>
    <cellStyle name="Normal 10 2 3 2 3 2 2" xfId="16712" xr:uid="{00000000-0005-0000-0000-0000B8120000}"/>
    <cellStyle name="Normal 10 2 3 2 3 2 3" xfId="13133" xr:uid="{00000000-0005-0000-0000-0000B9120000}"/>
    <cellStyle name="Normal 10 2 3 2 3 2 4" xfId="7844" xr:uid="{00000000-0005-0000-0000-0000BA120000}"/>
    <cellStyle name="Normal 10 2 3 2 3 3" xfId="3930" xr:uid="{00000000-0005-0000-0000-0000BB120000}"/>
    <cellStyle name="Normal 10 2 3 2 3 3 2" xfId="17575" xr:uid="{00000000-0005-0000-0000-0000BC120000}"/>
    <cellStyle name="Normal 10 2 3 2 3 3 3" xfId="13996" xr:uid="{00000000-0005-0000-0000-0000BD120000}"/>
    <cellStyle name="Normal 10 2 3 2 3 3 4" xfId="8739" xr:uid="{00000000-0005-0000-0000-0000BE120000}"/>
    <cellStyle name="Normal 10 2 3 2 3 4" xfId="6251" xr:uid="{00000000-0005-0000-0000-0000BF120000}"/>
    <cellStyle name="Normal 10 2 3 2 3 4 2" xfId="15335" xr:uid="{00000000-0005-0000-0000-0000C0120000}"/>
    <cellStyle name="Normal 10 2 3 2 3 5" xfId="10193" xr:uid="{00000000-0005-0000-0000-0000C1120000}"/>
    <cellStyle name="Normal 10 2 3 2 3 5 2" xfId="19020" xr:uid="{00000000-0005-0000-0000-0000C2120000}"/>
    <cellStyle name="Normal 10 2 3 2 3 6" xfId="11639" xr:uid="{00000000-0005-0000-0000-0000C3120000}"/>
    <cellStyle name="Normal 10 2 3 2 3 7" xfId="5438" xr:uid="{00000000-0005-0000-0000-0000C4120000}"/>
    <cellStyle name="Normal 10 2 3 2 4" xfId="1565" xr:uid="{00000000-0005-0000-0000-0000C5120000}"/>
    <cellStyle name="Normal 10 2 3 2 4 2" xfId="3163" xr:uid="{00000000-0005-0000-0000-0000C6120000}"/>
    <cellStyle name="Normal 10 2 3 2 4 2 2" xfId="18076" xr:uid="{00000000-0005-0000-0000-0000C7120000}"/>
    <cellStyle name="Normal 10 2 3 2 4 2 3" xfId="14497" xr:uid="{00000000-0005-0000-0000-0000C8120000}"/>
    <cellStyle name="Normal 10 2 3 2 4 2 4" xfId="9240" xr:uid="{00000000-0005-0000-0000-0000C9120000}"/>
    <cellStyle name="Normal 10 2 3 2 4 3" xfId="10694" xr:uid="{00000000-0005-0000-0000-0000CA120000}"/>
    <cellStyle name="Normal 10 2 3 2 4 3 2" xfId="19521" xr:uid="{00000000-0005-0000-0000-0000CB120000}"/>
    <cellStyle name="Normal 10 2 3 2 4 4" xfId="12140" xr:uid="{00000000-0005-0000-0000-0000CC120000}"/>
    <cellStyle name="Normal 10 2 3 2 4 5" xfId="7135" xr:uid="{00000000-0005-0000-0000-0000CD120000}"/>
    <cellStyle name="Normal 10 2 3 2 5" xfId="2120" xr:uid="{00000000-0005-0000-0000-0000CE120000}"/>
    <cellStyle name="Normal 10 2 3 2 5 2" xfId="17033" xr:uid="{00000000-0005-0000-0000-0000CF120000}"/>
    <cellStyle name="Normal 10 2 3 2 5 3" xfId="13454" xr:uid="{00000000-0005-0000-0000-0000D0120000}"/>
    <cellStyle name="Normal 10 2 3 2 5 4" xfId="8197" xr:uid="{00000000-0005-0000-0000-0000D1120000}"/>
    <cellStyle name="Normal 10 2 3 2 6" xfId="5758" xr:uid="{00000000-0005-0000-0000-0000D2120000}"/>
    <cellStyle name="Normal 10 2 3 2 6 2" xfId="14844" xr:uid="{00000000-0005-0000-0000-0000D3120000}"/>
    <cellStyle name="Normal 10 2 3 2 7" xfId="9651" xr:uid="{00000000-0005-0000-0000-0000D4120000}"/>
    <cellStyle name="Normal 10 2 3 2 7 2" xfId="18478" xr:uid="{00000000-0005-0000-0000-0000D5120000}"/>
    <cellStyle name="Normal 10 2 3 2 8" xfId="11095" xr:uid="{00000000-0005-0000-0000-0000D6120000}"/>
    <cellStyle name="Normal 10 2 3 2 9" xfId="4729" xr:uid="{00000000-0005-0000-0000-0000D7120000}"/>
    <cellStyle name="Normal 10 2 3 2_Degree data" xfId="1244" xr:uid="{00000000-0005-0000-0000-0000D8120000}"/>
    <cellStyle name="Normal 10 2 3 3" xfId="583" xr:uid="{00000000-0005-0000-0000-0000D9120000}"/>
    <cellStyle name="Normal 10 2 3 3 2" xfId="2313" xr:uid="{00000000-0005-0000-0000-0000DA120000}"/>
    <cellStyle name="Normal 10 2 3 3 2 2" xfId="16049" xr:uid="{00000000-0005-0000-0000-0000DB120000}"/>
    <cellStyle name="Normal 10 2 3 3 2 3" xfId="12320" xr:uid="{00000000-0005-0000-0000-0000DC120000}"/>
    <cellStyle name="Normal 10 2 3 3 2 4" xfId="7035" xr:uid="{00000000-0005-0000-0000-0000DD120000}"/>
    <cellStyle name="Normal 10 2 3 3 3" xfId="3581" xr:uid="{00000000-0005-0000-0000-0000DE120000}"/>
    <cellStyle name="Normal 10 2 3 3 3 2" xfId="17226" xr:uid="{00000000-0005-0000-0000-0000DF120000}"/>
    <cellStyle name="Normal 10 2 3 3 3 3" xfId="13647" xr:uid="{00000000-0005-0000-0000-0000E0120000}"/>
    <cellStyle name="Normal 10 2 3 3 3 4" xfId="8390" xr:uid="{00000000-0005-0000-0000-0000E1120000}"/>
    <cellStyle name="Normal 10 2 3 3 4" xfId="6151" xr:uid="{00000000-0005-0000-0000-0000E2120000}"/>
    <cellStyle name="Normal 10 2 3 3 4 2" xfId="15235" xr:uid="{00000000-0005-0000-0000-0000E3120000}"/>
    <cellStyle name="Normal 10 2 3 3 5" xfId="9844" xr:uid="{00000000-0005-0000-0000-0000E4120000}"/>
    <cellStyle name="Normal 10 2 3 3 5 2" xfId="18671" xr:uid="{00000000-0005-0000-0000-0000E5120000}"/>
    <cellStyle name="Normal 10 2 3 3 6" xfId="11288" xr:uid="{00000000-0005-0000-0000-0000E6120000}"/>
    <cellStyle name="Normal 10 2 3 3 7" xfId="4629" xr:uid="{00000000-0005-0000-0000-0000E7120000}"/>
    <cellStyle name="Normal 10 2 3 4" xfId="941" xr:uid="{00000000-0005-0000-0000-0000E8120000}"/>
    <cellStyle name="Normal 10 2 3 4 2" xfId="2661" xr:uid="{00000000-0005-0000-0000-0000E9120000}"/>
    <cellStyle name="Normal 10 2 3 4 2 2" xfId="16202" xr:uid="{00000000-0005-0000-0000-0000EA120000}"/>
    <cellStyle name="Normal 10 2 3 4 2 3" xfId="12624" xr:uid="{00000000-0005-0000-0000-0000EB120000}"/>
    <cellStyle name="Normal 10 2 3 4 2 4" xfId="7333" xr:uid="{00000000-0005-0000-0000-0000EC120000}"/>
    <cellStyle name="Normal 10 2 3 4 3" xfId="3929" xr:uid="{00000000-0005-0000-0000-0000ED120000}"/>
    <cellStyle name="Normal 10 2 3 4 3 2" xfId="17574" xr:uid="{00000000-0005-0000-0000-0000EE120000}"/>
    <cellStyle name="Normal 10 2 3 4 3 3" xfId="13995" xr:uid="{00000000-0005-0000-0000-0000EF120000}"/>
    <cellStyle name="Normal 10 2 3 4 3 4" xfId="8738" xr:uid="{00000000-0005-0000-0000-0000F0120000}"/>
    <cellStyle name="Normal 10 2 3 4 4" xfId="6449" xr:uid="{00000000-0005-0000-0000-0000F1120000}"/>
    <cellStyle name="Normal 10 2 3 4 4 2" xfId="15533" xr:uid="{00000000-0005-0000-0000-0000F2120000}"/>
    <cellStyle name="Normal 10 2 3 4 5" xfId="10192" xr:uid="{00000000-0005-0000-0000-0000F3120000}"/>
    <cellStyle name="Normal 10 2 3 4 5 2" xfId="19019" xr:uid="{00000000-0005-0000-0000-0000F4120000}"/>
    <cellStyle name="Normal 10 2 3 4 6" xfId="11638" xr:uid="{00000000-0005-0000-0000-0000F5120000}"/>
    <cellStyle name="Normal 10 2 3 4 7" xfId="4927" xr:uid="{00000000-0005-0000-0000-0000F6120000}"/>
    <cellStyle name="Normal 10 2 3 5" xfId="1463" xr:uid="{00000000-0005-0000-0000-0000F7120000}"/>
    <cellStyle name="Normal 10 2 3 5 2" xfId="3063" xr:uid="{00000000-0005-0000-0000-0000F8120000}"/>
    <cellStyle name="Normal 10 2 3 5 2 2" xfId="16612" xr:uid="{00000000-0005-0000-0000-0000F9120000}"/>
    <cellStyle name="Normal 10 2 3 5 2 3" xfId="13033" xr:uid="{00000000-0005-0000-0000-0000FA120000}"/>
    <cellStyle name="Normal 10 2 3 5 2 4" xfId="7744" xr:uid="{00000000-0005-0000-0000-0000FB120000}"/>
    <cellStyle name="Normal 10 2 3 5 3" xfId="4271" xr:uid="{00000000-0005-0000-0000-0000FC120000}"/>
    <cellStyle name="Normal 10 2 3 5 3 2" xfId="17976" xr:uid="{00000000-0005-0000-0000-0000FD120000}"/>
    <cellStyle name="Normal 10 2 3 5 3 3" xfId="14397" xr:uid="{00000000-0005-0000-0000-0000FE120000}"/>
    <cellStyle name="Normal 10 2 3 5 3 4" xfId="9140" xr:uid="{00000000-0005-0000-0000-0000FF120000}"/>
    <cellStyle name="Normal 10 2 3 5 4" xfId="5932" xr:uid="{00000000-0005-0000-0000-000000130000}"/>
    <cellStyle name="Normal 10 2 3 5 4 2" xfId="15018" xr:uid="{00000000-0005-0000-0000-000001130000}"/>
    <cellStyle name="Normal 10 2 3 5 5" xfId="10594" xr:uid="{00000000-0005-0000-0000-000002130000}"/>
    <cellStyle name="Normal 10 2 3 5 5 2" xfId="19421" xr:uid="{00000000-0005-0000-0000-000003130000}"/>
    <cellStyle name="Normal 10 2 3 5 6" xfId="12040" xr:uid="{00000000-0005-0000-0000-000004130000}"/>
    <cellStyle name="Normal 10 2 3 5 7" xfId="5338" xr:uid="{00000000-0005-0000-0000-000005130000}"/>
    <cellStyle name="Normal 10 2 3 6" xfId="2020" xr:uid="{00000000-0005-0000-0000-000006130000}"/>
    <cellStyle name="Normal 10 2 3 6 2" xfId="15861" xr:uid="{00000000-0005-0000-0000-000007130000}"/>
    <cellStyle name="Normal 10 2 3 6 3" xfId="12359" xr:uid="{00000000-0005-0000-0000-000008130000}"/>
    <cellStyle name="Normal 10 2 3 6 4" xfId="6818" xr:uid="{00000000-0005-0000-0000-000009130000}"/>
    <cellStyle name="Normal 10 2 3 7" xfId="3433" xr:uid="{00000000-0005-0000-0000-00000A130000}"/>
    <cellStyle name="Normal 10 2 3 7 2" xfId="16933" xr:uid="{00000000-0005-0000-0000-00000B130000}"/>
    <cellStyle name="Normal 10 2 3 7 3" xfId="13354" xr:uid="{00000000-0005-0000-0000-00000C130000}"/>
    <cellStyle name="Normal 10 2 3 7 4" xfId="8097" xr:uid="{00000000-0005-0000-0000-00000D130000}"/>
    <cellStyle name="Normal 10 2 3 8" xfId="5658" xr:uid="{00000000-0005-0000-0000-00000E130000}"/>
    <cellStyle name="Normal 10 2 3 8 2" xfId="14744" xr:uid="{00000000-0005-0000-0000-00000F130000}"/>
    <cellStyle name="Normal 10 2 3 9" xfId="9551" xr:uid="{00000000-0005-0000-0000-000010130000}"/>
    <cellStyle name="Normal 10 2 3 9 2" xfId="18378" xr:uid="{00000000-0005-0000-0000-000011130000}"/>
    <cellStyle name="Normal 10 2 3_Degree data" xfId="1316" xr:uid="{00000000-0005-0000-0000-000012130000}"/>
    <cellStyle name="Normal 10 2 4" xfId="186" xr:uid="{00000000-0005-0000-0000-000013130000}"/>
    <cellStyle name="Normal 10 2 4 10" xfId="10940" xr:uid="{00000000-0005-0000-0000-000014130000}"/>
    <cellStyle name="Normal 10 2 4 11" xfId="4462" xr:uid="{00000000-0005-0000-0000-000015130000}"/>
    <cellStyle name="Normal 10 2 4 2" xfId="403" xr:uid="{00000000-0005-0000-0000-000016130000}"/>
    <cellStyle name="Normal 10 2 4 2 2" xfId="586" xr:uid="{00000000-0005-0000-0000-000017130000}"/>
    <cellStyle name="Normal 10 2 4 2 2 2" xfId="2316" xr:uid="{00000000-0005-0000-0000-000018130000}"/>
    <cellStyle name="Normal 10 2 4 2 2 2 2" xfId="16205" xr:uid="{00000000-0005-0000-0000-000019130000}"/>
    <cellStyle name="Normal 10 2 4 2 2 2 3" xfId="12627" xr:uid="{00000000-0005-0000-0000-00001A130000}"/>
    <cellStyle name="Normal 10 2 4 2 2 2 4" xfId="7336" xr:uid="{00000000-0005-0000-0000-00001B130000}"/>
    <cellStyle name="Normal 10 2 4 2 2 3" xfId="3584" xr:uid="{00000000-0005-0000-0000-00001C130000}"/>
    <cellStyle name="Normal 10 2 4 2 2 3 2" xfId="17229" xr:uid="{00000000-0005-0000-0000-00001D130000}"/>
    <cellStyle name="Normal 10 2 4 2 2 3 3" xfId="13650" xr:uid="{00000000-0005-0000-0000-00001E130000}"/>
    <cellStyle name="Normal 10 2 4 2 2 3 4" xfId="8393" xr:uid="{00000000-0005-0000-0000-00001F130000}"/>
    <cellStyle name="Normal 10 2 4 2 2 4" xfId="6452" xr:uid="{00000000-0005-0000-0000-000020130000}"/>
    <cellStyle name="Normal 10 2 4 2 2 4 2" xfId="15536" xr:uid="{00000000-0005-0000-0000-000021130000}"/>
    <cellStyle name="Normal 10 2 4 2 2 5" xfId="9847" xr:uid="{00000000-0005-0000-0000-000022130000}"/>
    <cellStyle name="Normal 10 2 4 2 2 5 2" xfId="18674" xr:uid="{00000000-0005-0000-0000-000023130000}"/>
    <cellStyle name="Normal 10 2 4 2 2 6" xfId="11291" xr:uid="{00000000-0005-0000-0000-000024130000}"/>
    <cellStyle name="Normal 10 2 4 2 2 7" xfId="4930" xr:uid="{00000000-0005-0000-0000-000025130000}"/>
    <cellStyle name="Normal 10 2 4 2 3" xfId="944" xr:uid="{00000000-0005-0000-0000-000026130000}"/>
    <cellStyle name="Normal 10 2 4 2 3 2" xfId="2664" xr:uid="{00000000-0005-0000-0000-000027130000}"/>
    <cellStyle name="Normal 10 2 4 2 3 2 2" xfId="16762" xr:uid="{00000000-0005-0000-0000-000028130000}"/>
    <cellStyle name="Normal 10 2 4 2 3 2 3" xfId="13183" xr:uid="{00000000-0005-0000-0000-000029130000}"/>
    <cellStyle name="Normal 10 2 4 2 3 2 4" xfId="7894" xr:uid="{00000000-0005-0000-0000-00002A130000}"/>
    <cellStyle name="Normal 10 2 4 2 3 3" xfId="3932" xr:uid="{00000000-0005-0000-0000-00002B130000}"/>
    <cellStyle name="Normal 10 2 4 2 3 3 2" xfId="17577" xr:uid="{00000000-0005-0000-0000-00002C130000}"/>
    <cellStyle name="Normal 10 2 4 2 3 3 3" xfId="13998" xr:uid="{00000000-0005-0000-0000-00002D130000}"/>
    <cellStyle name="Normal 10 2 4 2 3 3 4" xfId="8741" xr:uid="{00000000-0005-0000-0000-00002E130000}"/>
    <cellStyle name="Normal 10 2 4 2 3 4" xfId="6301" xr:uid="{00000000-0005-0000-0000-00002F130000}"/>
    <cellStyle name="Normal 10 2 4 2 3 4 2" xfId="15385" xr:uid="{00000000-0005-0000-0000-000030130000}"/>
    <cellStyle name="Normal 10 2 4 2 3 5" xfId="10195" xr:uid="{00000000-0005-0000-0000-000031130000}"/>
    <cellStyle name="Normal 10 2 4 2 3 5 2" xfId="19022" xr:uid="{00000000-0005-0000-0000-000032130000}"/>
    <cellStyle name="Normal 10 2 4 2 3 6" xfId="11641" xr:uid="{00000000-0005-0000-0000-000033130000}"/>
    <cellStyle name="Normal 10 2 4 2 3 7" xfId="5488" xr:uid="{00000000-0005-0000-0000-000034130000}"/>
    <cellStyle name="Normal 10 2 4 2 4" xfId="1617" xr:uid="{00000000-0005-0000-0000-000035130000}"/>
    <cellStyle name="Normal 10 2 4 2 4 2" xfId="3213" xr:uid="{00000000-0005-0000-0000-000036130000}"/>
    <cellStyle name="Normal 10 2 4 2 4 2 2" xfId="18126" xr:uid="{00000000-0005-0000-0000-000037130000}"/>
    <cellStyle name="Normal 10 2 4 2 4 2 3" xfId="14547" xr:uid="{00000000-0005-0000-0000-000038130000}"/>
    <cellStyle name="Normal 10 2 4 2 4 2 4" xfId="9290" xr:uid="{00000000-0005-0000-0000-000039130000}"/>
    <cellStyle name="Normal 10 2 4 2 4 3" xfId="10744" xr:uid="{00000000-0005-0000-0000-00003A130000}"/>
    <cellStyle name="Normal 10 2 4 2 4 3 2" xfId="19571" xr:uid="{00000000-0005-0000-0000-00003B130000}"/>
    <cellStyle name="Normal 10 2 4 2 4 4" xfId="12190" xr:uid="{00000000-0005-0000-0000-00003C130000}"/>
    <cellStyle name="Normal 10 2 4 2 4 5" xfId="7185" xr:uid="{00000000-0005-0000-0000-00003D130000}"/>
    <cellStyle name="Normal 10 2 4 2 5" xfId="2170" xr:uid="{00000000-0005-0000-0000-00003E130000}"/>
    <cellStyle name="Normal 10 2 4 2 5 2" xfId="17083" xr:uid="{00000000-0005-0000-0000-00003F130000}"/>
    <cellStyle name="Normal 10 2 4 2 5 3" xfId="13504" xr:uid="{00000000-0005-0000-0000-000040130000}"/>
    <cellStyle name="Normal 10 2 4 2 5 4" xfId="8247" xr:uid="{00000000-0005-0000-0000-000041130000}"/>
    <cellStyle name="Normal 10 2 4 2 6" xfId="5808" xr:uid="{00000000-0005-0000-0000-000042130000}"/>
    <cellStyle name="Normal 10 2 4 2 6 2" xfId="14894" xr:uid="{00000000-0005-0000-0000-000043130000}"/>
    <cellStyle name="Normal 10 2 4 2 7" xfId="9701" xr:uid="{00000000-0005-0000-0000-000044130000}"/>
    <cellStyle name="Normal 10 2 4 2 7 2" xfId="18528" xr:uid="{00000000-0005-0000-0000-000045130000}"/>
    <cellStyle name="Normal 10 2 4 2 8" xfId="11145" xr:uid="{00000000-0005-0000-0000-000046130000}"/>
    <cellStyle name="Normal 10 2 4 2 9" xfId="4779" xr:uid="{00000000-0005-0000-0000-000047130000}"/>
    <cellStyle name="Normal 10 2 4 2_Degree data" xfId="1249" xr:uid="{00000000-0005-0000-0000-000048130000}"/>
    <cellStyle name="Normal 10 2 4 3" xfId="585" xr:uid="{00000000-0005-0000-0000-000049130000}"/>
    <cellStyle name="Normal 10 2 4 3 2" xfId="2315" xr:uid="{00000000-0005-0000-0000-00004A130000}"/>
    <cellStyle name="Normal 10 2 4 3 2 2" xfId="15994" xr:uid="{00000000-0005-0000-0000-00004B130000}"/>
    <cellStyle name="Normal 10 2 4 3 2 3" xfId="12287" xr:uid="{00000000-0005-0000-0000-00004C130000}"/>
    <cellStyle name="Normal 10 2 4 3 2 4" xfId="6980" xr:uid="{00000000-0005-0000-0000-00004D130000}"/>
    <cellStyle name="Normal 10 2 4 3 3" xfId="3583" xr:uid="{00000000-0005-0000-0000-00004E130000}"/>
    <cellStyle name="Normal 10 2 4 3 3 2" xfId="17228" xr:uid="{00000000-0005-0000-0000-00004F130000}"/>
    <cellStyle name="Normal 10 2 4 3 3 3" xfId="13649" xr:uid="{00000000-0005-0000-0000-000050130000}"/>
    <cellStyle name="Normal 10 2 4 3 3 4" xfId="8392" xr:uid="{00000000-0005-0000-0000-000051130000}"/>
    <cellStyle name="Normal 10 2 4 3 4" xfId="6096" xr:uid="{00000000-0005-0000-0000-000052130000}"/>
    <cellStyle name="Normal 10 2 4 3 4 2" xfId="15180" xr:uid="{00000000-0005-0000-0000-000053130000}"/>
    <cellStyle name="Normal 10 2 4 3 5" xfId="9846" xr:uid="{00000000-0005-0000-0000-000054130000}"/>
    <cellStyle name="Normal 10 2 4 3 5 2" xfId="18673" xr:uid="{00000000-0005-0000-0000-000055130000}"/>
    <cellStyle name="Normal 10 2 4 3 6" xfId="11290" xr:uid="{00000000-0005-0000-0000-000056130000}"/>
    <cellStyle name="Normal 10 2 4 3 7" xfId="4574" xr:uid="{00000000-0005-0000-0000-000057130000}"/>
    <cellStyle name="Normal 10 2 4 4" xfId="943" xr:uid="{00000000-0005-0000-0000-000058130000}"/>
    <cellStyle name="Normal 10 2 4 4 2" xfId="2663" xr:uid="{00000000-0005-0000-0000-000059130000}"/>
    <cellStyle name="Normal 10 2 4 4 2 2" xfId="16204" xr:uid="{00000000-0005-0000-0000-00005A130000}"/>
    <cellStyle name="Normal 10 2 4 4 2 3" xfId="12626" xr:uid="{00000000-0005-0000-0000-00005B130000}"/>
    <cellStyle name="Normal 10 2 4 4 2 4" xfId="7335" xr:uid="{00000000-0005-0000-0000-00005C130000}"/>
    <cellStyle name="Normal 10 2 4 4 3" xfId="3931" xr:uid="{00000000-0005-0000-0000-00005D130000}"/>
    <cellStyle name="Normal 10 2 4 4 3 2" xfId="17576" xr:uid="{00000000-0005-0000-0000-00005E130000}"/>
    <cellStyle name="Normal 10 2 4 4 3 3" xfId="13997" xr:uid="{00000000-0005-0000-0000-00005F130000}"/>
    <cellStyle name="Normal 10 2 4 4 3 4" xfId="8740" xr:uid="{00000000-0005-0000-0000-000060130000}"/>
    <cellStyle name="Normal 10 2 4 4 4" xfId="6451" xr:uid="{00000000-0005-0000-0000-000061130000}"/>
    <cellStyle name="Normal 10 2 4 4 4 2" xfId="15535" xr:uid="{00000000-0005-0000-0000-000062130000}"/>
    <cellStyle name="Normal 10 2 4 4 5" xfId="10194" xr:uid="{00000000-0005-0000-0000-000063130000}"/>
    <cellStyle name="Normal 10 2 4 4 5 2" xfId="19021" xr:uid="{00000000-0005-0000-0000-000064130000}"/>
    <cellStyle name="Normal 10 2 4 4 6" xfId="11640" xr:uid="{00000000-0005-0000-0000-000065130000}"/>
    <cellStyle name="Normal 10 2 4 4 7" xfId="4929" xr:uid="{00000000-0005-0000-0000-000066130000}"/>
    <cellStyle name="Normal 10 2 4 5" xfId="1403" xr:uid="{00000000-0005-0000-0000-000067130000}"/>
    <cellStyle name="Normal 10 2 4 5 2" xfId="3008" xr:uid="{00000000-0005-0000-0000-000068130000}"/>
    <cellStyle name="Normal 10 2 4 5 2 2" xfId="16557" xr:uid="{00000000-0005-0000-0000-000069130000}"/>
    <cellStyle name="Normal 10 2 4 5 2 3" xfId="12978" xr:uid="{00000000-0005-0000-0000-00006A130000}"/>
    <cellStyle name="Normal 10 2 4 5 2 4" xfId="7689" xr:uid="{00000000-0005-0000-0000-00006B130000}"/>
    <cellStyle name="Normal 10 2 4 5 3" xfId="4216" xr:uid="{00000000-0005-0000-0000-00006C130000}"/>
    <cellStyle name="Normal 10 2 4 5 3 2" xfId="17921" xr:uid="{00000000-0005-0000-0000-00006D130000}"/>
    <cellStyle name="Normal 10 2 4 5 3 3" xfId="14342" xr:uid="{00000000-0005-0000-0000-00006E130000}"/>
    <cellStyle name="Normal 10 2 4 5 3 4" xfId="9085" xr:uid="{00000000-0005-0000-0000-00006F130000}"/>
    <cellStyle name="Normal 10 2 4 5 4" xfId="5982" xr:uid="{00000000-0005-0000-0000-000070130000}"/>
    <cellStyle name="Normal 10 2 4 5 4 2" xfId="15068" xr:uid="{00000000-0005-0000-0000-000071130000}"/>
    <cellStyle name="Normal 10 2 4 5 5" xfId="10539" xr:uid="{00000000-0005-0000-0000-000072130000}"/>
    <cellStyle name="Normal 10 2 4 5 5 2" xfId="19366" xr:uid="{00000000-0005-0000-0000-000073130000}"/>
    <cellStyle name="Normal 10 2 4 5 6" xfId="11985" xr:uid="{00000000-0005-0000-0000-000074130000}"/>
    <cellStyle name="Normal 10 2 4 5 7" xfId="5283" xr:uid="{00000000-0005-0000-0000-000075130000}"/>
    <cellStyle name="Normal 10 2 4 6" xfId="1965" xr:uid="{00000000-0005-0000-0000-000076130000}"/>
    <cellStyle name="Normal 10 2 4 6 2" xfId="15911" xr:uid="{00000000-0005-0000-0000-000077130000}"/>
    <cellStyle name="Normal 10 2 4 6 3" xfId="12473" xr:uid="{00000000-0005-0000-0000-000078130000}"/>
    <cellStyle name="Normal 10 2 4 6 4" xfId="6868" xr:uid="{00000000-0005-0000-0000-000079130000}"/>
    <cellStyle name="Normal 10 2 4 7" xfId="3379" xr:uid="{00000000-0005-0000-0000-00007A130000}"/>
    <cellStyle name="Normal 10 2 4 7 2" xfId="16878" xr:uid="{00000000-0005-0000-0000-00007B130000}"/>
    <cellStyle name="Normal 10 2 4 7 3" xfId="13299" xr:uid="{00000000-0005-0000-0000-00007C130000}"/>
    <cellStyle name="Normal 10 2 4 7 4" xfId="8042" xr:uid="{00000000-0005-0000-0000-00007D130000}"/>
    <cellStyle name="Normal 10 2 4 8" xfId="5603" xr:uid="{00000000-0005-0000-0000-00007E130000}"/>
    <cellStyle name="Normal 10 2 4 8 2" xfId="14689" xr:uid="{00000000-0005-0000-0000-00007F130000}"/>
    <cellStyle name="Normal 10 2 4 9" xfId="9496" xr:uid="{00000000-0005-0000-0000-000080130000}"/>
    <cellStyle name="Normal 10 2 4 9 2" xfId="18323" xr:uid="{00000000-0005-0000-0000-000081130000}"/>
    <cellStyle name="Normal 10 2 4_Degree data" xfId="1204" xr:uid="{00000000-0005-0000-0000-000082130000}"/>
    <cellStyle name="Normal 10 2 5" xfId="297" xr:uid="{00000000-0005-0000-0000-000083130000}"/>
    <cellStyle name="Normal 10 2 5 2" xfId="587" xr:uid="{00000000-0005-0000-0000-000084130000}"/>
    <cellStyle name="Normal 10 2 5 2 2" xfId="2317" xr:uid="{00000000-0005-0000-0000-000085130000}"/>
    <cellStyle name="Normal 10 2 5 2 2 2" xfId="16206" xr:uid="{00000000-0005-0000-0000-000086130000}"/>
    <cellStyle name="Normal 10 2 5 2 2 3" xfId="12628" xr:uid="{00000000-0005-0000-0000-000087130000}"/>
    <cellStyle name="Normal 10 2 5 2 2 4" xfId="7337" xr:uid="{00000000-0005-0000-0000-000088130000}"/>
    <cellStyle name="Normal 10 2 5 2 3" xfId="3585" xr:uid="{00000000-0005-0000-0000-000089130000}"/>
    <cellStyle name="Normal 10 2 5 2 3 2" xfId="17230" xr:uid="{00000000-0005-0000-0000-00008A130000}"/>
    <cellStyle name="Normal 10 2 5 2 3 3" xfId="13651" xr:uid="{00000000-0005-0000-0000-00008B130000}"/>
    <cellStyle name="Normal 10 2 5 2 3 4" xfId="8394" xr:uid="{00000000-0005-0000-0000-00008C130000}"/>
    <cellStyle name="Normal 10 2 5 2 4" xfId="6453" xr:uid="{00000000-0005-0000-0000-00008D130000}"/>
    <cellStyle name="Normal 10 2 5 2 4 2" xfId="15537" xr:uid="{00000000-0005-0000-0000-00008E130000}"/>
    <cellStyle name="Normal 10 2 5 2 5" xfId="9848" xr:uid="{00000000-0005-0000-0000-00008F130000}"/>
    <cellStyle name="Normal 10 2 5 2 5 2" xfId="18675" xr:uid="{00000000-0005-0000-0000-000090130000}"/>
    <cellStyle name="Normal 10 2 5 2 6" xfId="11292" xr:uid="{00000000-0005-0000-0000-000091130000}"/>
    <cellStyle name="Normal 10 2 5 2 7" xfId="4931" xr:uid="{00000000-0005-0000-0000-000092130000}"/>
    <cellStyle name="Normal 10 2 5 3" xfId="945" xr:uid="{00000000-0005-0000-0000-000093130000}"/>
    <cellStyle name="Normal 10 2 5 3 2" xfId="2665" xr:uid="{00000000-0005-0000-0000-000094130000}"/>
    <cellStyle name="Normal 10 2 5 3 2 2" xfId="16657" xr:uid="{00000000-0005-0000-0000-000095130000}"/>
    <cellStyle name="Normal 10 2 5 3 2 3" xfId="13078" xr:uid="{00000000-0005-0000-0000-000096130000}"/>
    <cellStyle name="Normal 10 2 5 3 2 4" xfId="7789" xr:uid="{00000000-0005-0000-0000-000097130000}"/>
    <cellStyle name="Normal 10 2 5 3 3" xfId="3933" xr:uid="{00000000-0005-0000-0000-000098130000}"/>
    <cellStyle name="Normal 10 2 5 3 3 2" xfId="17578" xr:uid="{00000000-0005-0000-0000-000099130000}"/>
    <cellStyle name="Normal 10 2 5 3 3 3" xfId="13999" xr:uid="{00000000-0005-0000-0000-00009A130000}"/>
    <cellStyle name="Normal 10 2 5 3 3 4" xfId="8742" xr:uid="{00000000-0005-0000-0000-00009B130000}"/>
    <cellStyle name="Normal 10 2 5 3 4" xfId="6196" xr:uid="{00000000-0005-0000-0000-00009C130000}"/>
    <cellStyle name="Normal 10 2 5 3 4 2" xfId="15280" xr:uid="{00000000-0005-0000-0000-00009D130000}"/>
    <cellStyle name="Normal 10 2 5 3 5" xfId="10196" xr:uid="{00000000-0005-0000-0000-00009E130000}"/>
    <cellStyle name="Normal 10 2 5 3 5 2" xfId="19023" xr:uid="{00000000-0005-0000-0000-00009F130000}"/>
    <cellStyle name="Normal 10 2 5 3 6" xfId="11642" xr:uid="{00000000-0005-0000-0000-0000A0130000}"/>
    <cellStyle name="Normal 10 2 5 3 7" xfId="5383" xr:uid="{00000000-0005-0000-0000-0000A1130000}"/>
    <cellStyle name="Normal 10 2 5 4" xfId="1509" xr:uid="{00000000-0005-0000-0000-0000A2130000}"/>
    <cellStyle name="Normal 10 2 5 4 2" xfId="3108" xr:uid="{00000000-0005-0000-0000-0000A3130000}"/>
    <cellStyle name="Normal 10 2 5 4 2 2" xfId="18021" xr:uid="{00000000-0005-0000-0000-0000A4130000}"/>
    <cellStyle name="Normal 10 2 5 4 2 3" xfId="14442" xr:uid="{00000000-0005-0000-0000-0000A5130000}"/>
    <cellStyle name="Normal 10 2 5 4 2 4" xfId="9185" xr:uid="{00000000-0005-0000-0000-0000A6130000}"/>
    <cellStyle name="Normal 10 2 5 4 3" xfId="10639" xr:uid="{00000000-0005-0000-0000-0000A7130000}"/>
    <cellStyle name="Normal 10 2 5 4 3 2" xfId="19466" xr:uid="{00000000-0005-0000-0000-0000A8130000}"/>
    <cellStyle name="Normal 10 2 5 4 4" xfId="12085" xr:uid="{00000000-0005-0000-0000-0000A9130000}"/>
    <cellStyle name="Normal 10 2 5 4 5" xfId="7080" xr:uid="{00000000-0005-0000-0000-0000AA130000}"/>
    <cellStyle name="Normal 10 2 5 5" xfId="2065" xr:uid="{00000000-0005-0000-0000-0000AB130000}"/>
    <cellStyle name="Normal 10 2 5 5 2" xfId="16978" xr:uid="{00000000-0005-0000-0000-0000AC130000}"/>
    <cellStyle name="Normal 10 2 5 5 3" xfId="13399" xr:uid="{00000000-0005-0000-0000-0000AD130000}"/>
    <cellStyle name="Normal 10 2 5 5 4" xfId="8142" xr:uid="{00000000-0005-0000-0000-0000AE130000}"/>
    <cellStyle name="Normal 10 2 5 6" xfId="5703" xr:uid="{00000000-0005-0000-0000-0000AF130000}"/>
    <cellStyle name="Normal 10 2 5 6 2" xfId="14789" xr:uid="{00000000-0005-0000-0000-0000B0130000}"/>
    <cellStyle name="Normal 10 2 5 7" xfId="9596" xr:uid="{00000000-0005-0000-0000-0000B1130000}"/>
    <cellStyle name="Normal 10 2 5 7 2" xfId="18423" xr:uid="{00000000-0005-0000-0000-0000B2130000}"/>
    <cellStyle name="Normal 10 2 5 8" xfId="11040" xr:uid="{00000000-0005-0000-0000-0000B3130000}"/>
    <cellStyle name="Normal 10 2 5 9" xfId="4674" xr:uid="{00000000-0005-0000-0000-0000B4130000}"/>
    <cellStyle name="Normal 10 2 5_Degree data" xfId="1253" xr:uid="{00000000-0005-0000-0000-0000B5130000}"/>
    <cellStyle name="Normal 10 2 6" xfId="474" xr:uid="{00000000-0005-0000-0000-0000B6130000}"/>
    <cellStyle name="Normal 10 2 6 2" xfId="588" xr:uid="{00000000-0005-0000-0000-0000B7130000}"/>
    <cellStyle name="Normal 10 2 6 2 2" xfId="2318" xr:uid="{00000000-0005-0000-0000-0000B8130000}"/>
    <cellStyle name="Normal 10 2 6 2 2 2" xfId="16207" xr:uid="{00000000-0005-0000-0000-0000B9130000}"/>
    <cellStyle name="Normal 10 2 6 2 2 3" xfId="12629" xr:uid="{00000000-0005-0000-0000-0000BA130000}"/>
    <cellStyle name="Normal 10 2 6 2 2 4" xfId="7338" xr:uid="{00000000-0005-0000-0000-0000BB130000}"/>
    <cellStyle name="Normal 10 2 6 2 3" xfId="3586" xr:uid="{00000000-0005-0000-0000-0000BC130000}"/>
    <cellStyle name="Normal 10 2 6 2 3 2" xfId="17231" xr:uid="{00000000-0005-0000-0000-0000BD130000}"/>
    <cellStyle name="Normal 10 2 6 2 3 3" xfId="13652" xr:uid="{00000000-0005-0000-0000-0000BE130000}"/>
    <cellStyle name="Normal 10 2 6 2 3 4" xfId="8395" xr:uid="{00000000-0005-0000-0000-0000BF130000}"/>
    <cellStyle name="Normal 10 2 6 2 4" xfId="6454" xr:uid="{00000000-0005-0000-0000-0000C0130000}"/>
    <cellStyle name="Normal 10 2 6 2 4 2" xfId="15538" xr:uid="{00000000-0005-0000-0000-0000C1130000}"/>
    <cellStyle name="Normal 10 2 6 2 5" xfId="9849" xr:uid="{00000000-0005-0000-0000-0000C2130000}"/>
    <cellStyle name="Normal 10 2 6 2 5 2" xfId="18676" xr:uid="{00000000-0005-0000-0000-0000C3130000}"/>
    <cellStyle name="Normal 10 2 6 2 6" xfId="11293" xr:uid="{00000000-0005-0000-0000-0000C4130000}"/>
    <cellStyle name="Normal 10 2 6 2 7" xfId="4932" xr:uid="{00000000-0005-0000-0000-0000C5130000}"/>
    <cellStyle name="Normal 10 2 6 3" xfId="946" xr:uid="{00000000-0005-0000-0000-0000C6130000}"/>
    <cellStyle name="Normal 10 2 6 3 2" xfId="2666" xr:uid="{00000000-0005-0000-0000-0000C7130000}"/>
    <cellStyle name="Normal 10 2 6 3 2 2" xfId="16512" xr:uid="{00000000-0005-0000-0000-0000C8130000}"/>
    <cellStyle name="Normal 10 2 6 3 2 3" xfId="12934" xr:uid="{00000000-0005-0000-0000-0000C9130000}"/>
    <cellStyle name="Normal 10 2 6 3 2 4" xfId="7644" xr:uid="{00000000-0005-0000-0000-0000CA130000}"/>
    <cellStyle name="Normal 10 2 6 3 3" xfId="3934" xr:uid="{00000000-0005-0000-0000-0000CB130000}"/>
    <cellStyle name="Normal 10 2 6 3 3 2" xfId="17579" xr:uid="{00000000-0005-0000-0000-0000CC130000}"/>
    <cellStyle name="Normal 10 2 6 3 3 3" xfId="14000" xr:uid="{00000000-0005-0000-0000-0000CD130000}"/>
    <cellStyle name="Normal 10 2 6 3 3 4" xfId="8743" xr:uid="{00000000-0005-0000-0000-0000CE130000}"/>
    <cellStyle name="Normal 10 2 6 3 4" xfId="6732" xr:uid="{00000000-0005-0000-0000-0000CF130000}"/>
    <cellStyle name="Normal 10 2 6 3 4 2" xfId="15815" xr:uid="{00000000-0005-0000-0000-0000D0130000}"/>
    <cellStyle name="Normal 10 2 6 3 5" xfId="10197" xr:uid="{00000000-0005-0000-0000-0000D1130000}"/>
    <cellStyle name="Normal 10 2 6 3 5 2" xfId="19024" xr:uid="{00000000-0005-0000-0000-0000D2130000}"/>
    <cellStyle name="Normal 10 2 6 3 6" xfId="11643" xr:uid="{00000000-0005-0000-0000-0000D3130000}"/>
    <cellStyle name="Normal 10 2 6 3 7" xfId="5238" xr:uid="{00000000-0005-0000-0000-0000D4130000}"/>
    <cellStyle name="Normal 10 2 6 4" xfId="1350" xr:uid="{00000000-0005-0000-0000-0000D5130000}"/>
    <cellStyle name="Normal 10 2 6 4 2" xfId="2963" xr:uid="{00000000-0005-0000-0000-0000D6130000}"/>
    <cellStyle name="Normal 10 2 6 4 2 2" xfId="17876" xr:uid="{00000000-0005-0000-0000-0000D7130000}"/>
    <cellStyle name="Normal 10 2 6 4 2 3" xfId="14297" xr:uid="{00000000-0005-0000-0000-0000D8130000}"/>
    <cellStyle name="Normal 10 2 6 4 2 4" xfId="9040" xr:uid="{00000000-0005-0000-0000-0000D9130000}"/>
    <cellStyle name="Normal 10 2 6 4 3" xfId="10494" xr:uid="{00000000-0005-0000-0000-0000DA130000}"/>
    <cellStyle name="Normal 10 2 6 4 3 2" xfId="19321" xr:uid="{00000000-0005-0000-0000-0000DB130000}"/>
    <cellStyle name="Normal 10 2 6 4 4" xfId="11940" xr:uid="{00000000-0005-0000-0000-0000DC130000}"/>
    <cellStyle name="Normal 10 2 6 4 5" xfId="6935" xr:uid="{00000000-0005-0000-0000-0000DD130000}"/>
    <cellStyle name="Normal 10 2 6 5" xfId="1920" xr:uid="{00000000-0005-0000-0000-0000DE130000}"/>
    <cellStyle name="Normal 10 2 6 5 2" xfId="16831" xr:uid="{00000000-0005-0000-0000-0000DF130000}"/>
    <cellStyle name="Normal 10 2 6 5 3" xfId="13252" xr:uid="{00000000-0005-0000-0000-0000E0130000}"/>
    <cellStyle name="Normal 10 2 6 5 4" xfId="7995" xr:uid="{00000000-0005-0000-0000-0000E1130000}"/>
    <cellStyle name="Normal 10 2 6 6" xfId="6051" xr:uid="{00000000-0005-0000-0000-0000E2130000}"/>
    <cellStyle name="Normal 10 2 6 6 2" xfId="15135" xr:uid="{00000000-0005-0000-0000-0000E3130000}"/>
    <cellStyle name="Normal 10 2 6 7" xfId="9451" xr:uid="{00000000-0005-0000-0000-0000E4130000}"/>
    <cellStyle name="Normal 10 2 6 7 2" xfId="18278" xr:uid="{00000000-0005-0000-0000-0000E5130000}"/>
    <cellStyle name="Normal 10 2 6 8" xfId="10895" xr:uid="{00000000-0005-0000-0000-0000E6130000}"/>
    <cellStyle name="Normal 10 2 6 9" xfId="4529" xr:uid="{00000000-0005-0000-0000-0000E7130000}"/>
    <cellStyle name="Normal 10 2 6_Degree data" xfId="1248" xr:uid="{00000000-0005-0000-0000-0000E8130000}"/>
    <cellStyle name="Normal 10 2 7" xfId="576" xr:uid="{00000000-0005-0000-0000-0000E9130000}"/>
    <cellStyle name="Normal 10 2 7 2" xfId="2306" xr:uid="{00000000-0005-0000-0000-0000EA130000}"/>
    <cellStyle name="Normal 10 2 7 2 2" xfId="16195" xr:uid="{00000000-0005-0000-0000-0000EB130000}"/>
    <cellStyle name="Normal 10 2 7 2 3" xfId="12617" xr:uid="{00000000-0005-0000-0000-0000EC130000}"/>
    <cellStyle name="Normal 10 2 7 2 4" xfId="7326" xr:uid="{00000000-0005-0000-0000-0000ED130000}"/>
    <cellStyle name="Normal 10 2 7 3" xfId="3574" xr:uid="{00000000-0005-0000-0000-0000EE130000}"/>
    <cellStyle name="Normal 10 2 7 3 2" xfId="17219" xr:uid="{00000000-0005-0000-0000-0000EF130000}"/>
    <cellStyle name="Normal 10 2 7 3 3" xfId="13640" xr:uid="{00000000-0005-0000-0000-0000F0130000}"/>
    <cellStyle name="Normal 10 2 7 3 4" xfId="8383" xr:uid="{00000000-0005-0000-0000-0000F1130000}"/>
    <cellStyle name="Normal 10 2 7 4" xfId="6442" xr:uid="{00000000-0005-0000-0000-0000F2130000}"/>
    <cellStyle name="Normal 10 2 7 4 2" xfId="15526" xr:uid="{00000000-0005-0000-0000-0000F3130000}"/>
    <cellStyle name="Normal 10 2 7 5" xfId="9837" xr:uid="{00000000-0005-0000-0000-0000F4130000}"/>
    <cellStyle name="Normal 10 2 7 5 2" xfId="18664" xr:uid="{00000000-0005-0000-0000-0000F5130000}"/>
    <cellStyle name="Normal 10 2 7 6" xfId="11281" xr:uid="{00000000-0005-0000-0000-0000F6130000}"/>
    <cellStyle name="Normal 10 2 7 7" xfId="4920" xr:uid="{00000000-0005-0000-0000-0000F7130000}"/>
    <cellStyle name="Normal 10 2 8" xfId="934" xr:uid="{00000000-0005-0000-0000-0000F8130000}"/>
    <cellStyle name="Normal 10 2 8 2" xfId="2654" xr:uid="{00000000-0005-0000-0000-0000F9130000}"/>
    <cellStyle name="Normal 10 2 8 2 2" xfId="16492" xr:uid="{00000000-0005-0000-0000-0000FA130000}"/>
    <cellStyle name="Normal 10 2 8 2 3" xfId="12914" xr:uid="{00000000-0005-0000-0000-0000FB130000}"/>
    <cellStyle name="Normal 10 2 8 2 4" xfId="7624" xr:uid="{00000000-0005-0000-0000-0000FC130000}"/>
    <cellStyle name="Normal 10 2 8 3" xfId="3922" xr:uid="{00000000-0005-0000-0000-0000FD130000}"/>
    <cellStyle name="Normal 10 2 8 3 2" xfId="17567" xr:uid="{00000000-0005-0000-0000-0000FE130000}"/>
    <cellStyle name="Normal 10 2 8 3 3" xfId="13988" xr:uid="{00000000-0005-0000-0000-0000FF130000}"/>
    <cellStyle name="Normal 10 2 8 3 4" xfId="8731" xr:uid="{00000000-0005-0000-0000-000000140000}"/>
    <cellStyle name="Normal 10 2 8 4" xfId="5876" xr:uid="{00000000-0005-0000-0000-000001140000}"/>
    <cellStyle name="Normal 10 2 8 4 2" xfId="14962" xr:uid="{00000000-0005-0000-0000-000002140000}"/>
    <cellStyle name="Normal 10 2 8 5" xfId="10185" xr:uid="{00000000-0005-0000-0000-000003140000}"/>
    <cellStyle name="Normal 10 2 8 5 2" xfId="19012" xr:uid="{00000000-0005-0000-0000-000004140000}"/>
    <cellStyle name="Normal 10 2 8 6" xfId="11631" xr:uid="{00000000-0005-0000-0000-000005140000}"/>
    <cellStyle name="Normal 10 2 8 7" xfId="5218" xr:uid="{00000000-0005-0000-0000-000006140000}"/>
    <cellStyle name="Normal 10 2 9" xfId="1330" xr:uid="{00000000-0005-0000-0000-000007140000}"/>
    <cellStyle name="Normal 10 2 9 2" xfId="2943" xr:uid="{00000000-0005-0000-0000-000008140000}"/>
    <cellStyle name="Normal 10 2 9 2 2" xfId="17856" xr:uid="{00000000-0005-0000-0000-000009140000}"/>
    <cellStyle name="Normal 10 2 9 2 3" xfId="14277" xr:uid="{00000000-0005-0000-0000-00000A140000}"/>
    <cellStyle name="Normal 10 2 9 2 4" xfId="9020" xr:uid="{00000000-0005-0000-0000-00000B140000}"/>
    <cellStyle name="Normal 10 2 9 3" xfId="10474" xr:uid="{00000000-0005-0000-0000-00000C140000}"/>
    <cellStyle name="Normal 10 2 9 3 2" xfId="19301" xr:uid="{00000000-0005-0000-0000-00000D140000}"/>
    <cellStyle name="Normal 10 2 9 4" xfId="11920" xr:uid="{00000000-0005-0000-0000-00000E140000}"/>
    <cellStyle name="Normal 10 2 9 5" xfId="6762" xr:uid="{00000000-0005-0000-0000-00000F140000}"/>
    <cellStyle name="Normal 10 2_Degree data" xfId="1301" xr:uid="{00000000-0005-0000-0000-000010140000}"/>
    <cellStyle name="Normal 10 3" xfId="111" xr:uid="{00000000-0005-0000-0000-000011140000}"/>
    <cellStyle name="Normal 10 3 2" xfId="147" xr:uid="{00000000-0005-0000-0000-000012140000}"/>
    <cellStyle name="Normal 10 3 2 10" xfId="10911" xr:uid="{00000000-0005-0000-0000-000013140000}"/>
    <cellStyle name="Normal 10 3 2 2" xfId="218" xr:uid="{00000000-0005-0000-0000-000014140000}"/>
    <cellStyle name="Normal 10 3 2 3" xfId="387" xr:uid="{00000000-0005-0000-0000-000015140000}"/>
    <cellStyle name="Normal 10 3 2 3 10" xfId="4446" xr:uid="{00000000-0005-0000-0000-000016140000}"/>
    <cellStyle name="Normal 10 3 2 3 2" xfId="590" xr:uid="{00000000-0005-0000-0000-000017140000}"/>
    <cellStyle name="Normal 10 3 2 3 2 2" xfId="2320" xr:uid="{00000000-0005-0000-0000-000018140000}"/>
    <cellStyle name="Normal 10 3 2 3 2 2 2" xfId="16083" xr:uid="{00000000-0005-0000-0000-000019140000}"/>
    <cellStyle name="Normal 10 3 2 3 2 2 3" xfId="12246" xr:uid="{00000000-0005-0000-0000-00001A140000}"/>
    <cellStyle name="Normal 10 3 2 3 2 2 4" xfId="7169" xr:uid="{00000000-0005-0000-0000-00001B140000}"/>
    <cellStyle name="Normal 10 3 2 3 2 3" xfId="3588" xr:uid="{00000000-0005-0000-0000-00001C140000}"/>
    <cellStyle name="Normal 10 3 2 3 2 3 2" xfId="17233" xr:uid="{00000000-0005-0000-0000-00001D140000}"/>
    <cellStyle name="Normal 10 3 2 3 2 3 3" xfId="13654" xr:uid="{00000000-0005-0000-0000-00001E140000}"/>
    <cellStyle name="Normal 10 3 2 3 2 3 4" xfId="8397" xr:uid="{00000000-0005-0000-0000-00001F140000}"/>
    <cellStyle name="Normal 10 3 2 3 2 4" xfId="6285" xr:uid="{00000000-0005-0000-0000-000020140000}"/>
    <cellStyle name="Normal 10 3 2 3 2 4 2" xfId="15369" xr:uid="{00000000-0005-0000-0000-000021140000}"/>
    <cellStyle name="Normal 10 3 2 3 2 5" xfId="9851" xr:uid="{00000000-0005-0000-0000-000022140000}"/>
    <cellStyle name="Normal 10 3 2 3 2 5 2" xfId="18678" xr:uid="{00000000-0005-0000-0000-000023140000}"/>
    <cellStyle name="Normal 10 3 2 3 2 6" xfId="11295" xr:uid="{00000000-0005-0000-0000-000024140000}"/>
    <cellStyle name="Normal 10 3 2 3 2 7" xfId="4763" xr:uid="{00000000-0005-0000-0000-000025140000}"/>
    <cellStyle name="Normal 10 3 2 3 3" xfId="948" xr:uid="{00000000-0005-0000-0000-000026140000}"/>
    <cellStyle name="Normal 10 3 2 3 3 2" xfId="2668" xr:uid="{00000000-0005-0000-0000-000027140000}"/>
    <cellStyle name="Normal 10 3 2 3 3 2 2" xfId="16209" xr:uid="{00000000-0005-0000-0000-000028140000}"/>
    <cellStyle name="Normal 10 3 2 3 3 2 3" xfId="12631" xr:uid="{00000000-0005-0000-0000-000029140000}"/>
    <cellStyle name="Normal 10 3 2 3 3 2 4" xfId="7340" xr:uid="{00000000-0005-0000-0000-00002A140000}"/>
    <cellStyle name="Normal 10 3 2 3 3 3" xfId="3936" xr:uid="{00000000-0005-0000-0000-00002B140000}"/>
    <cellStyle name="Normal 10 3 2 3 3 3 2" xfId="17581" xr:uid="{00000000-0005-0000-0000-00002C140000}"/>
    <cellStyle name="Normal 10 3 2 3 3 3 3" xfId="14002" xr:uid="{00000000-0005-0000-0000-00002D140000}"/>
    <cellStyle name="Normal 10 3 2 3 3 3 4" xfId="8745" xr:uid="{00000000-0005-0000-0000-00002E140000}"/>
    <cellStyle name="Normal 10 3 2 3 3 4" xfId="6456" xr:uid="{00000000-0005-0000-0000-00002F140000}"/>
    <cellStyle name="Normal 10 3 2 3 3 4 2" xfId="15540" xr:uid="{00000000-0005-0000-0000-000030140000}"/>
    <cellStyle name="Normal 10 3 2 3 3 5" xfId="10199" xr:uid="{00000000-0005-0000-0000-000031140000}"/>
    <cellStyle name="Normal 10 3 2 3 3 5 2" xfId="19026" xr:uid="{00000000-0005-0000-0000-000032140000}"/>
    <cellStyle name="Normal 10 3 2 3 3 6" xfId="11645" xr:uid="{00000000-0005-0000-0000-000033140000}"/>
    <cellStyle name="Normal 10 3 2 3 3 7" xfId="4934" xr:uid="{00000000-0005-0000-0000-000034140000}"/>
    <cellStyle name="Normal 10 3 2 3 4" xfId="1601" xr:uid="{00000000-0005-0000-0000-000035140000}"/>
    <cellStyle name="Normal 10 3 2 3 4 2" xfId="3197" xr:uid="{00000000-0005-0000-0000-000036140000}"/>
    <cellStyle name="Normal 10 3 2 3 4 2 2" xfId="16746" xr:uid="{00000000-0005-0000-0000-000037140000}"/>
    <cellStyle name="Normal 10 3 2 3 4 2 3" xfId="13167" xr:uid="{00000000-0005-0000-0000-000038140000}"/>
    <cellStyle name="Normal 10 3 2 3 4 2 4" xfId="7878" xr:uid="{00000000-0005-0000-0000-000039140000}"/>
    <cellStyle name="Normal 10 3 2 3 4 3" xfId="4305" xr:uid="{00000000-0005-0000-0000-00003A140000}"/>
    <cellStyle name="Normal 10 3 2 3 4 3 2" xfId="18110" xr:uid="{00000000-0005-0000-0000-00003B140000}"/>
    <cellStyle name="Normal 10 3 2 3 4 3 3" xfId="14531" xr:uid="{00000000-0005-0000-0000-00003C140000}"/>
    <cellStyle name="Normal 10 3 2 3 4 3 4" xfId="9274" xr:uid="{00000000-0005-0000-0000-00003D140000}"/>
    <cellStyle name="Normal 10 3 2 3 4 4" xfId="5966" xr:uid="{00000000-0005-0000-0000-00003E140000}"/>
    <cellStyle name="Normal 10 3 2 3 4 4 2" xfId="15052" xr:uid="{00000000-0005-0000-0000-00003F140000}"/>
    <cellStyle name="Normal 10 3 2 3 4 5" xfId="10728" xr:uid="{00000000-0005-0000-0000-000040140000}"/>
    <cellStyle name="Normal 10 3 2 3 4 5 2" xfId="19555" xr:uid="{00000000-0005-0000-0000-000041140000}"/>
    <cellStyle name="Normal 10 3 2 3 4 6" xfId="12174" xr:uid="{00000000-0005-0000-0000-000042140000}"/>
    <cellStyle name="Normal 10 3 2 3 4 7" xfId="5472" xr:uid="{00000000-0005-0000-0000-000043140000}"/>
    <cellStyle name="Normal 10 3 2 3 5" xfId="2154" xr:uid="{00000000-0005-0000-0000-000044140000}"/>
    <cellStyle name="Normal 10 3 2 3 5 2" xfId="15895" xr:uid="{00000000-0005-0000-0000-000045140000}"/>
    <cellStyle name="Normal 10 3 2 3 5 3" xfId="12447" xr:uid="{00000000-0005-0000-0000-000046140000}"/>
    <cellStyle name="Normal 10 3 2 3 5 4" xfId="6852" xr:uid="{00000000-0005-0000-0000-000047140000}"/>
    <cellStyle name="Normal 10 3 2 3 6" xfId="3467" xr:uid="{00000000-0005-0000-0000-000048140000}"/>
    <cellStyle name="Normal 10 3 2 3 6 2" xfId="17067" xr:uid="{00000000-0005-0000-0000-000049140000}"/>
    <cellStyle name="Normal 10 3 2 3 6 3" xfId="13488" xr:uid="{00000000-0005-0000-0000-00004A140000}"/>
    <cellStyle name="Normal 10 3 2 3 6 4" xfId="8231" xr:uid="{00000000-0005-0000-0000-00004B140000}"/>
    <cellStyle name="Normal 10 3 2 3 7" xfId="5792" xr:uid="{00000000-0005-0000-0000-00004C140000}"/>
    <cellStyle name="Normal 10 3 2 3 7 2" xfId="14878" xr:uid="{00000000-0005-0000-0000-00004D140000}"/>
    <cellStyle name="Normal 10 3 2 3 8" xfId="9685" xr:uid="{00000000-0005-0000-0000-00004E140000}"/>
    <cellStyle name="Normal 10 3 2 3 8 2" xfId="18512" xr:uid="{00000000-0005-0000-0000-00004F140000}"/>
    <cellStyle name="Normal 10 3 2 3 9" xfId="11129" xr:uid="{00000000-0005-0000-0000-000050140000}"/>
    <cellStyle name="Normal 10 3 2 3_Degree data" xfId="1252" xr:uid="{00000000-0005-0000-0000-000051140000}"/>
    <cellStyle name="Normal 10 3 2 4" xfId="589" xr:uid="{00000000-0005-0000-0000-000052140000}"/>
    <cellStyle name="Normal 10 3 2 4 2" xfId="2319" xr:uid="{00000000-0005-0000-0000-000053140000}"/>
    <cellStyle name="Normal 10 3 2 4 2 2" xfId="15977" xr:uid="{00000000-0005-0000-0000-000054140000}"/>
    <cellStyle name="Normal 10 3 2 4 2 3" xfId="12399" xr:uid="{00000000-0005-0000-0000-000055140000}"/>
    <cellStyle name="Normal 10 3 2 4 2 4" xfId="6951" xr:uid="{00000000-0005-0000-0000-000056140000}"/>
    <cellStyle name="Normal 10 3 2 4 3" xfId="3587" xr:uid="{00000000-0005-0000-0000-000057140000}"/>
    <cellStyle name="Normal 10 3 2 4 3 2" xfId="17232" xr:uid="{00000000-0005-0000-0000-000058140000}"/>
    <cellStyle name="Normal 10 3 2 4 3 3" xfId="13653" xr:uid="{00000000-0005-0000-0000-000059140000}"/>
    <cellStyle name="Normal 10 3 2 4 3 4" xfId="8396" xr:uid="{00000000-0005-0000-0000-00005A140000}"/>
    <cellStyle name="Normal 10 3 2 4 4" xfId="6067" xr:uid="{00000000-0005-0000-0000-00005B140000}"/>
    <cellStyle name="Normal 10 3 2 4 4 2" xfId="15151" xr:uid="{00000000-0005-0000-0000-00005C140000}"/>
    <cellStyle name="Normal 10 3 2 4 5" xfId="9850" xr:uid="{00000000-0005-0000-0000-00005D140000}"/>
    <cellStyle name="Normal 10 3 2 4 5 2" xfId="18677" xr:uid="{00000000-0005-0000-0000-00005E140000}"/>
    <cellStyle name="Normal 10 3 2 4 6" xfId="11294" xr:uid="{00000000-0005-0000-0000-00005F140000}"/>
    <cellStyle name="Normal 10 3 2 4 7" xfId="4545" xr:uid="{00000000-0005-0000-0000-000060140000}"/>
    <cellStyle name="Normal 10 3 2 5" xfId="947" xr:uid="{00000000-0005-0000-0000-000061140000}"/>
    <cellStyle name="Normal 10 3 2 5 2" xfId="2667" xr:uid="{00000000-0005-0000-0000-000062140000}"/>
    <cellStyle name="Normal 10 3 2 5 2 2" xfId="16208" xr:uid="{00000000-0005-0000-0000-000063140000}"/>
    <cellStyle name="Normal 10 3 2 5 2 3" xfId="12630" xr:uid="{00000000-0005-0000-0000-000064140000}"/>
    <cellStyle name="Normal 10 3 2 5 2 4" xfId="7339" xr:uid="{00000000-0005-0000-0000-000065140000}"/>
    <cellStyle name="Normal 10 3 2 5 3" xfId="3935" xr:uid="{00000000-0005-0000-0000-000066140000}"/>
    <cellStyle name="Normal 10 3 2 5 3 2" xfId="17580" xr:uid="{00000000-0005-0000-0000-000067140000}"/>
    <cellStyle name="Normal 10 3 2 5 3 3" xfId="14001" xr:uid="{00000000-0005-0000-0000-000068140000}"/>
    <cellStyle name="Normal 10 3 2 5 3 4" xfId="8744" xr:uid="{00000000-0005-0000-0000-000069140000}"/>
    <cellStyle name="Normal 10 3 2 5 4" xfId="6455" xr:uid="{00000000-0005-0000-0000-00006A140000}"/>
    <cellStyle name="Normal 10 3 2 5 4 2" xfId="15539" xr:uid="{00000000-0005-0000-0000-00006B140000}"/>
    <cellStyle name="Normal 10 3 2 5 5" xfId="10198" xr:uid="{00000000-0005-0000-0000-00006C140000}"/>
    <cellStyle name="Normal 10 3 2 5 5 2" xfId="19025" xr:uid="{00000000-0005-0000-0000-00006D140000}"/>
    <cellStyle name="Normal 10 3 2 5 6" xfId="11644" xr:uid="{00000000-0005-0000-0000-00006E140000}"/>
    <cellStyle name="Normal 10 3 2 5 7" xfId="4933" xr:uid="{00000000-0005-0000-0000-00006F140000}"/>
    <cellStyle name="Normal 10 3 2 6" xfId="1369" xr:uid="{00000000-0005-0000-0000-000070140000}"/>
    <cellStyle name="Normal 10 3 2 6 2" xfId="2979" xr:uid="{00000000-0005-0000-0000-000071140000}"/>
    <cellStyle name="Normal 10 3 2 6 2 2" xfId="17892" xr:uid="{00000000-0005-0000-0000-000072140000}"/>
    <cellStyle name="Normal 10 3 2 6 2 3" xfId="14313" xr:uid="{00000000-0005-0000-0000-000073140000}"/>
    <cellStyle name="Normal 10 3 2 6 2 4" xfId="9056" xr:uid="{00000000-0005-0000-0000-000074140000}"/>
    <cellStyle name="Normal 10 3 2 6 3" xfId="7660" xr:uid="{00000000-0005-0000-0000-000075140000}"/>
    <cellStyle name="Normal 10 3 2 6 3 2" xfId="16528" xr:uid="{00000000-0005-0000-0000-000076140000}"/>
    <cellStyle name="Normal 10 3 2 6 4" xfId="10510" xr:uid="{00000000-0005-0000-0000-000077140000}"/>
    <cellStyle name="Normal 10 3 2 6 4 2" xfId="19337" xr:uid="{00000000-0005-0000-0000-000078140000}"/>
    <cellStyle name="Normal 10 3 2 6 5" xfId="11956" xr:uid="{00000000-0005-0000-0000-000079140000}"/>
    <cellStyle name="Normal 10 3 2 6 6" xfId="5254" xr:uid="{00000000-0005-0000-0000-00007A140000}"/>
    <cellStyle name="Normal 10 3 2 7" xfId="1936" xr:uid="{00000000-0005-0000-0000-00007B140000}"/>
    <cellStyle name="Normal 10 3 2 7 2" xfId="16847" xr:uid="{00000000-0005-0000-0000-00007C140000}"/>
    <cellStyle name="Normal 10 3 2 7 3" xfId="13268" xr:uid="{00000000-0005-0000-0000-00007D140000}"/>
    <cellStyle name="Normal 10 3 2 7 4" xfId="8011" xr:uid="{00000000-0005-0000-0000-00007E140000}"/>
    <cellStyle name="Normal 10 3 2 8" xfId="5574" xr:uid="{00000000-0005-0000-0000-00007F140000}"/>
    <cellStyle name="Normal 10 3 2 8 2" xfId="14660" xr:uid="{00000000-0005-0000-0000-000080140000}"/>
    <cellStyle name="Normal 10 3 2 9" xfId="9467" xr:uid="{00000000-0005-0000-0000-000081140000}"/>
    <cellStyle name="Normal 10 3 2 9 2" xfId="18294" xr:uid="{00000000-0005-0000-0000-000082140000}"/>
    <cellStyle name="Normal 10 3 2_Degree data" xfId="1203" xr:uid="{00000000-0005-0000-0000-000083140000}"/>
    <cellStyle name="Normal 10 3 3" xfId="182" xr:uid="{00000000-0005-0000-0000-000084140000}"/>
    <cellStyle name="Normal 10 3 3 10" xfId="10936" xr:uid="{00000000-0005-0000-0000-000085140000}"/>
    <cellStyle name="Normal 10 3 3 11" xfId="4458" xr:uid="{00000000-0005-0000-0000-000086140000}"/>
    <cellStyle name="Normal 10 3 3 2" xfId="399" xr:uid="{00000000-0005-0000-0000-000087140000}"/>
    <cellStyle name="Normal 10 3 3 2 2" xfId="592" xr:uid="{00000000-0005-0000-0000-000088140000}"/>
    <cellStyle name="Normal 10 3 3 2 2 2" xfId="2322" xr:uid="{00000000-0005-0000-0000-000089140000}"/>
    <cellStyle name="Normal 10 3 3 2 2 2 2" xfId="16211" xr:uid="{00000000-0005-0000-0000-00008A140000}"/>
    <cellStyle name="Normal 10 3 3 2 2 2 3" xfId="12633" xr:uid="{00000000-0005-0000-0000-00008B140000}"/>
    <cellStyle name="Normal 10 3 3 2 2 2 4" xfId="7342" xr:uid="{00000000-0005-0000-0000-00008C140000}"/>
    <cellStyle name="Normal 10 3 3 2 2 3" xfId="3590" xr:uid="{00000000-0005-0000-0000-00008D140000}"/>
    <cellStyle name="Normal 10 3 3 2 2 3 2" xfId="17235" xr:uid="{00000000-0005-0000-0000-00008E140000}"/>
    <cellStyle name="Normal 10 3 3 2 2 3 3" xfId="13656" xr:uid="{00000000-0005-0000-0000-00008F140000}"/>
    <cellStyle name="Normal 10 3 3 2 2 3 4" xfId="8399" xr:uid="{00000000-0005-0000-0000-000090140000}"/>
    <cellStyle name="Normal 10 3 3 2 2 4" xfId="6458" xr:uid="{00000000-0005-0000-0000-000091140000}"/>
    <cellStyle name="Normal 10 3 3 2 2 4 2" xfId="15542" xr:uid="{00000000-0005-0000-0000-000092140000}"/>
    <cellStyle name="Normal 10 3 3 2 2 5" xfId="9853" xr:uid="{00000000-0005-0000-0000-000093140000}"/>
    <cellStyle name="Normal 10 3 3 2 2 5 2" xfId="18680" xr:uid="{00000000-0005-0000-0000-000094140000}"/>
    <cellStyle name="Normal 10 3 3 2 2 6" xfId="11297" xr:uid="{00000000-0005-0000-0000-000095140000}"/>
    <cellStyle name="Normal 10 3 3 2 2 7" xfId="4936" xr:uid="{00000000-0005-0000-0000-000096140000}"/>
    <cellStyle name="Normal 10 3 3 2 3" xfId="950" xr:uid="{00000000-0005-0000-0000-000097140000}"/>
    <cellStyle name="Normal 10 3 3 2 3 2" xfId="2670" xr:uid="{00000000-0005-0000-0000-000098140000}"/>
    <cellStyle name="Normal 10 3 3 2 3 2 2" xfId="16758" xr:uid="{00000000-0005-0000-0000-000099140000}"/>
    <cellStyle name="Normal 10 3 3 2 3 2 3" xfId="13179" xr:uid="{00000000-0005-0000-0000-00009A140000}"/>
    <cellStyle name="Normal 10 3 3 2 3 2 4" xfId="7890" xr:uid="{00000000-0005-0000-0000-00009B140000}"/>
    <cellStyle name="Normal 10 3 3 2 3 3" xfId="3938" xr:uid="{00000000-0005-0000-0000-00009C140000}"/>
    <cellStyle name="Normal 10 3 3 2 3 3 2" xfId="17583" xr:uid="{00000000-0005-0000-0000-00009D140000}"/>
    <cellStyle name="Normal 10 3 3 2 3 3 3" xfId="14004" xr:uid="{00000000-0005-0000-0000-00009E140000}"/>
    <cellStyle name="Normal 10 3 3 2 3 3 4" xfId="8747" xr:uid="{00000000-0005-0000-0000-00009F140000}"/>
    <cellStyle name="Normal 10 3 3 2 3 4" xfId="6297" xr:uid="{00000000-0005-0000-0000-0000A0140000}"/>
    <cellStyle name="Normal 10 3 3 2 3 4 2" xfId="15381" xr:uid="{00000000-0005-0000-0000-0000A1140000}"/>
    <cellStyle name="Normal 10 3 3 2 3 5" xfId="10201" xr:uid="{00000000-0005-0000-0000-0000A2140000}"/>
    <cellStyle name="Normal 10 3 3 2 3 5 2" xfId="19028" xr:uid="{00000000-0005-0000-0000-0000A3140000}"/>
    <cellStyle name="Normal 10 3 3 2 3 6" xfId="11647" xr:uid="{00000000-0005-0000-0000-0000A4140000}"/>
    <cellStyle name="Normal 10 3 3 2 3 7" xfId="5484" xr:uid="{00000000-0005-0000-0000-0000A5140000}"/>
    <cellStyle name="Normal 10 3 3 2 4" xfId="1613" xr:uid="{00000000-0005-0000-0000-0000A6140000}"/>
    <cellStyle name="Normal 10 3 3 2 4 2" xfId="3209" xr:uid="{00000000-0005-0000-0000-0000A7140000}"/>
    <cellStyle name="Normal 10 3 3 2 4 2 2" xfId="18122" xr:uid="{00000000-0005-0000-0000-0000A8140000}"/>
    <cellStyle name="Normal 10 3 3 2 4 2 3" xfId="14543" xr:uid="{00000000-0005-0000-0000-0000A9140000}"/>
    <cellStyle name="Normal 10 3 3 2 4 2 4" xfId="9286" xr:uid="{00000000-0005-0000-0000-0000AA140000}"/>
    <cellStyle name="Normal 10 3 3 2 4 3" xfId="10740" xr:uid="{00000000-0005-0000-0000-0000AB140000}"/>
    <cellStyle name="Normal 10 3 3 2 4 3 2" xfId="19567" xr:uid="{00000000-0005-0000-0000-0000AC140000}"/>
    <cellStyle name="Normal 10 3 3 2 4 4" xfId="12186" xr:uid="{00000000-0005-0000-0000-0000AD140000}"/>
    <cellStyle name="Normal 10 3 3 2 4 5" xfId="7181" xr:uid="{00000000-0005-0000-0000-0000AE140000}"/>
    <cellStyle name="Normal 10 3 3 2 5" xfId="2166" xr:uid="{00000000-0005-0000-0000-0000AF140000}"/>
    <cellStyle name="Normal 10 3 3 2 5 2" xfId="17079" xr:uid="{00000000-0005-0000-0000-0000B0140000}"/>
    <cellStyle name="Normal 10 3 3 2 5 3" xfId="13500" xr:uid="{00000000-0005-0000-0000-0000B1140000}"/>
    <cellStyle name="Normal 10 3 3 2 5 4" xfId="8243" xr:uid="{00000000-0005-0000-0000-0000B2140000}"/>
    <cellStyle name="Normal 10 3 3 2 6" xfId="5804" xr:uid="{00000000-0005-0000-0000-0000B3140000}"/>
    <cellStyle name="Normal 10 3 3 2 6 2" xfId="14890" xr:uid="{00000000-0005-0000-0000-0000B4140000}"/>
    <cellStyle name="Normal 10 3 3 2 7" xfId="9697" xr:uid="{00000000-0005-0000-0000-0000B5140000}"/>
    <cellStyle name="Normal 10 3 3 2 7 2" xfId="18524" xr:uid="{00000000-0005-0000-0000-0000B6140000}"/>
    <cellStyle name="Normal 10 3 3 2 8" xfId="11141" xr:uid="{00000000-0005-0000-0000-0000B7140000}"/>
    <cellStyle name="Normal 10 3 3 2 9" xfId="4775" xr:uid="{00000000-0005-0000-0000-0000B8140000}"/>
    <cellStyle name="Normal 10 3 3 2_Degree data" xfId="1289" xr:uid="{00000000-0005-0000-0000-0000B9140000}"/>
    <cellStyle name="Normal 10 3 3 3" xfId="591" xr:uid="{00000000-0005-0000-0000-0000BA140000}"/>
    <cellStyle name="Normal 10 3 3 3 2" xfId="2321" xr:uid="{00000000-0005-0000-0000-0000BB140000}"/>
    <cellStyle name="Normal 10 3 3 3 2 2" xfId="15990" xr:uid="{00000000-0005-0000-0000-0000BC140000}"/>
    <cellStyle name="Normal 10 3 3 3 2 3" xfId="12332" xr:uid="{00000000-0005-0000-0000-0000BD140000}"/>
    <cellStyle name="Normal 10 3 3 3 2 4" xfId="6976" xr:uid="{00000000-0005-0000-0000-0000BE140000}"/>
    <cellStyle name="Normal 10 3 3 3 3" xfId="3589" xr:uid="{00000000-0005-0000-0000-0000BF140000}"/>
    <cellStyle name="Normal 10 3 3 3 3 2" xfId="17234" xr:uid="{00000000-0005-0000-0000-0000C0140000}"/>
    <cellStyle name="Normal 10 3 3 3 3 3" xfId="13655" xr:uid="{00000000-0005-0000-0000-0000C1140000}"/>
    <cellStyle name="Normal 10 3 3 3 3 4" xfId="8398" xr:uid="{00000000-0005-0000-0000-0000C2140000}"/>
    <cellStyle name="Normal 10 3 3 3 4" xfId="6092" xr:uid="{00000000-0005-0000-0000-0000C3140000}"/>
    <cellStyle name="Normal 10 3 3 3 4 2" xfId="15176" xr:uid="{00000000-0005-0000-0000-0000C4140000}"/>
    <cellStyle name="Normal 10 3 3 3 5" xfId="9852" xr:uid="{00000000-0005-0000-0000-0000C5140000}"/>
    <cellStyle name="Normal 10 3 3 3 5 2" xfId="18679" xr:uid="{00000000-0005-0000-0000-0000C6140000}"/>
    <cellStyle name="Normal 10 3 3 3 6" xfId="11296" xr:uid="{00000000-0005-0000-0000-0000C7140000}"/>
    <cellStyle name="Normal 10 3 3 3 7" xfId="4570" xr:uid="{00000000-0005-0000-0000-0000C8140000}"/>
    <cellStyle name="Normal 10 3 3 4" xfId="949" xr:uid="{00000000-0005-0000-0000-0000C9140000}"/>
    <cellStyle name="Normal 10 3 3 4 2" xfId="2669" xr:uid="{00000000-0005-0000-0000-0000CA140000}"/>
    <cellStyle name="Normal 10 3 3 4 2 2" xfId="16210" xr:uid="{00000000-0005-0000-0000-0000CB140000}"/>
    <cellStyle name="Normal 10 3 3 4 2 3" xfId="12632" xr:uid="{00000000-0005-0000-0000-0000CC140000}"/>
    <cellStyle name="Normal 10 3 3 4 2 4" xfId="7341" xr:uid="{00000000-0005-0000-0000-0000CD140000}"/>
    <cellStyle name="Normal 10 3 3 4 3" xfId="3937" xr:uid="{00000000-0005-0000-0000-0000CE140000}"/>
    <cellStyle name="Normal 10 3 3 4 3 2" xfId="17582" xr:uid="{00000000-0005-0000-0000-0000CF140000}"/>
    <cellStyle name="Normal 10 3 3 4 3 3" xfId="14003" xr:uid="{00000000-0005-0000-0000-0000D0140000}"/>
    <cellStyle name="Normal 10 3 3 4 3 4" xfId="8746" xr:uid="{00000000-0005-0000-0000-0000D1140000}"/>
    <cellStyle name="Normal 10 3 3 4 4" xfId="6457" xr:uid="{00000000-0005-0000-0000-0000D2140000}"/>
    <cellStyle name="Normal 10 3 3 4 4 2" xfId="15541" xr:uid="{00000000-0005-0000-0000-0000D3140000}"/>
    <cellStyle name="Normal 10 3 3 4 5" xfId="10200" xr:uid="{00000000-0005-0000-0000-0000D4140000}"/>
    <cellStyle name="Normal 10 3 3 4 5 2" xfId="19027" xr:uid="{00000000-0005-0000-0000-0000D5140000}"/>
    <cellStyle name="Normal 10 3 3 4 6" xfId="11646" xr:uid="{00000000-0005-0000-0000-0000D6140000}"/>
    <cellStyle name="Normal 10 3 3 4 7" xfId="4935" xr:uid="{00000000-0005-0000-0000-0000D7140000}"/>
    <cellStyle name="Normal 10 3 3 5" xfId="1399" xr:uid="{00000000-0005-0000-0000-0000D8140000}"/>
    <cellStyle name="Normal 10 3 3 5 2" xfId="3004" xr:uid="{00000000-0005-0000-0000-0000D9140000}"/>
    <cellStyle name="Normal 10 3 3 5 2 2" xfId="16553" xr:uid="{00000000-0005-0000-0000-0000DA140000}"/>
    <cellStyle name="Normal 10 3 3 5 2 3" xfId="12974" xr:uid="{00000000-0005-0000-0000-0000DB140000}"/>
    <cellStyle name="Normal 10 3 3 5 2 4" xfId="7685" xr:uid="{00000000-0005-0000-0000-0000DC140000}"/>
    <cellStyle name="Normal 10 3 3 5 3" xfId="4212" xr:uid="{00000000-0005-0000-0000-0000DD140000}"/>
    <cellStyle name="Normal 10 3 3 5 3 2" xfId="17917" xr:uid="{00000000-0005-0000-0000-0000DE140000}"/>
    <cellStyle name="Normal 10 3 3 5 3 3" xfId="14338" xr:uid="{00000000-0005-0000-0000-0000DF140000}"/>
    <cellStyle name="Normal 10 3 3 5 3 4" xfId="9081" xr:uid="{00000000-0005-0000-0000-0000E0140000}"/>
    <cellStyle name="Normal 10 3 3 5 4" xfId="5978" xr:uid="{00000000-0005-0000-0000-0000E1140000}"/>
    <cellStyle name="Normal 10 3 3 5 4 2" xfId="15064" xr:uid="{00000000-0005-0000-0000-0000E2140000}"/>
    <cellStyle name="Normal 10 3 3 5 5" xfId="10535" xr:uid="{00000000-0005-0000-0000-0000E3140000}"/>
    <cellStyle name="Normal 10 3 3 5 5 2" xfId="19362" xr:uid="{00000000-0005-0000-0000-0000E4140000}"/>
    <cellStyle name="Normal 10 3 3 5 6" xfId="11981" xr:uid="{00000000-0005-0000-0000-0000E5140000}"/>
    <cellStyle name="Normal 10 3 3 5 7" xfId="5279" xr:uid="{00000000-0005-0000-0000-0000E6140000}"/>
    <cellStyle name="Normal 10 3 3 6" xfId="1961" xr:uid="{00000000-0005-0000-0000-0000E7140000}"/>
    <cellStyle name="Normal 10 3 3 6 2" xfId="15907" xr:uid="{00000000-0005-0000-0000-0000E8140000}"/>
    <cellStyle name="Normal 10 3 3 6 3" xfId="12417" xr:uid="{00000000-0005-0000-0000-0000E9140000}"/>
    <cellStyle name="Normal 10 3 3 6 4" xfId="6864" xr:uid="{00000000-0005-0000-0000-0000EA140000}"/>
    <cellStyle name="Normal 10 3 3 7" xfId="3375" xr:uid="{00000000-0005-0000-0000-0000EB140000}"/>
    <cellStyle name="Normal 10 3 3 7 2" xfId="16874" xr:uid="{00000000-0005-0000-0000-0000EC140000}"/>
    <cellStyle name="Normal 10 3 3 7 3" xfId="13295" xr:uid="{00000000-0005-0000-0000-0000ED140000}"/>
    <cellStyle name="Normal 10 3 3 7 4" xfId="8038" xr:uid="{00000000-0005-0000-0000-0000EE140000}"/>
    <cellStyle name="Normal 10 3 3 8" xfId="5599" xr:uid="{00000000-0005-0000-0000-0000EF140000}"/>
    <cellStyle name="Normal 10 3 3 8 2" xfId="14685" xr:uid="{00000000-0005-0000-0000-0000F0140000}"/>
    <cellStyle name="Normal 10 3 3 9" xfId="9492" xr:uid="{00000000-0005-0000-0000-0000F1140000}"/>
    <cellStyle name="Normal 10 3 3 9 2" xfId="18319" xr:uid="{00000000-0005-0000-0000-0000F2140000}"/>
    <cellStyle name="Normal 10 3 3_Degree data" xfId="1202" xr:uid="{00000000-0005-0000-0000-0000F3140000}"/>
    <cellStyle name="Normal 10 3 4" xfId="293" xr:uid="{00000000-0005-0000-0000-0000F4140000}"/>
    <cellStyle name="Normal 10 3 4 2" xfId="593" xr:uid="{00000000-0005-0000-0000-0000F5140000}"/>
    <cellStyle name="Normal 10 3 4 2 2" xfId="2323" xr:uid="{00000000-0005-0000-0000-0000F6140000}"/>
    <cellStyle name="Normal 10 3 4 2 2 2" xfId="16212" xr:uid="{00000000-0005-0000-0000-0000F7140000}"/>
    <cellStyle name="Normal 10 3 4 2 2 3" xfId="12634" xr:uid="{00000000-0005-0000-0000-0000F8140000}"/>
    <cellStyle name="Normal 10 3 4 2 2 4" xfId="7343" xr:uid="{00000000-0005-0000-0000-0000F9140000}"/>
    <cellStyle name="Normal 10 3 4 2 3" xfId="3591" xr:uid="{00000000-0005-0000-0000-0000FA140000}"/>
    <cellStyle name="Normal 10 3 4 2 3 2" xfId="17236" xr:uid="{00000000-0005-0000-0000-0000FB140000}"/>
    <cellStyle name="Normal 10 3 4 2 3 3" xfId="13657" xr:uid="{00000000-0005-0000-0000-0000FC140000}"/>
    <cellStyle name="Normal 10 3 4 2 3 4" xfId="8400" xr:uid="{00000000-0005-0000-0000-0000FD140000}"/>
    <cellStyle name="Normal 10 3 4 2 4" xfId="6459" xr:uid="{00000000-0005-0000-0000-0000FE140000}"/>
    <cellStyle name="Normal 10 3 4 2 4 2" xfId="15543" xr:uid="{00000000-0005-0000-0000-0000FF140000}"/>
    <cellStyle name="Normal 10 3 4 2 5" xfId="9854" xr:uid="{00000000-0005-0000-0000-000000150000}"/>
    <cellStyle name="Normal 10 3 4 2 5 2" xfId="18681" xr:uid="{00000000-0005-0000-0000-000001150000}"/>
    <cellStyle name="Normal 10 3 4 2 6" xfId="11298" xr:uid="{00000000-0005-0000-0000-000002150000}"/>
    <cellStyle name="Normal 10 3 4 2 7" xfId="4937" xr:uid="{00000000-0005-0000-0000-000003150000}"/>
    <cellStyle name="Normal 10 3 4 3" xfId="951" xr:uid="{00000000-0005-0000-0000-000004150000}"/>
    <cellStyle name="Normal 10 3 4 3 2" xfId="2671" xr:uid="{00000000-0005-0000-0000-000005150000}"/>
    <cellStyle name="Normal 10 3 4 3 2 2" xfId="16653" xr:uid="{00000000-0005-0000-0000-000006150000}"/>
    <cellStyle name="Normal 10 3 4 3 2 3" xfId="13074" xr:uid="{00000000-0005-0000-0000-000007150000}"/>
    <cellStyle name="Normal 10 3 4 3 2 4" xfId="7785" xr:uid="{00000000-0005-0000-0000-000008150000}"/>
    <cellStyle name="Normal 10 3 4 3 3" xfId="3939" xr:uid="{00000000-0005-0000-0000-000009150000}"/>
    <cellStyle name="Normal 10 3 4 3 3 2" xfId="17584" xr:uid="{00000000-0005-0000-0000-00000A150000}"/>
    <cellStyle name="Normal 10 3 4 3 3 3" xfId="14005" xr:uid="{00000000-0005-0000-0000-00000B150000}"/>
    <cellStyle name="Normal 10 3 4 3 3 4" xfId="8748" xr:uid="{00000000-0005-0000-0000-00000C150000}"/>
    <cellStyle name="Normal 10 3 4 3 4" xfId="6192" xr:uid="{00000000-0005-0000-0000-00000D150000}"/>
    <cellStyle name="Normal 10 3 4 3 4 2" xfId="15276" xr:uid="{00000000-0005-0000-0000-00000E150000}"/>
    <cellStyle name="Normal 10 3 4 3 5" xfId="10202" xr:uid="{00000000-0005-0000-0000-00000F150000}"/>
    <cellStyle name="Normal 10 3 4 3 5 2" xfId="19029" xr:uid="{00000000-0005-0000-0000-000010150000}"/>
    <cellStyle name="Normal 10 3 4 3 6" xfId="11648" xr:uid="{00000000-0005-0000-0000-000011150000}"/>
    <cellStyle name="Normal 10 3 4 3 7" xfId="5379" xr:uid="{00000000-0005-0000-0000-000012150000}"/>
    <cellStyle name="Normal 10 3 4 4" xfId="1505" xr:uid="{00000000-0005-0000-0000-000013150000}"/>
    <cellStyle name="Normal 10 3 4 4 2" xfId="3104" xr:uid="{00000000-0005-0000-0000-000014150000}"/>
    <cellStyle name="Normal 10 3 4 4 2 2" xfId="18017" xr:uid="{00000000-0005-0000-0000-000015150000}"/>
    <cellStyle name="Normal 10 3 4 4 2 3" xfId="14438" xr:uid="{00000000-0005-0000-0000-000016150000}"/>
    <cellStyle name="Normal 10 3 4 4 2 4" xfId="9181" xr:uid="{00000000-0005-0000-0000-000017150000}"/>
    <cellStyle name="Normal 10 3 4 4 3" xfId="10635" xr:uid="{00000000-0005-0000-0000-000018150000}"/>
    <cellStyle name="Normal 10 3 4 4 3 2" xfId="19462" xr:uid="{00000000-0005-0000-0000-000019150000}"/>
    <cellStyle name="Normal 10 3 4 4 4" xfId="12081" xr:uid="{00000000-0005-0000-0000-00001A150000}"/>
    <cellStyle name="Normal 10 3 4 4 5" xfId="7076" xr:uid="{00000000-0005-0000-0000-00001B150000}"/>
    <cellStyle name="Normal 10 3 4 5" xfId="2061" xr:uid="{00000000-0005-0000-0000-00001C150000}"/>
    <cellStyle name="Normal 10 3 4 5 2" xfId="16974" xr:uid="{00000000-0005-0000-0000-00001D150000}"/>
    <cellStyle name="Normal 10 3 4 5 3" xfId="13395" xr:uid="{00000000-0005-0000-0000-00001E150000}"/>
    <cellStyle name="Normal 10 3 4 5 4" xfId="8138" xr:uid="{00000000-0005-0000-0000-00001F150000}"/>
    <cellStyle name="Normal 10 3 4 6" xfId="5699" xr:uid="{00000000-0005-0000-0000-000020150000}"/>
    <cellStyle name="Normal 10 3 4 6 2" xfId="14785" xr:uid="{00000000-0005-0000-0000-000021150000}"/>
    <cellStyle name="Normal 10 3 4 7" xfId="9592" xr:uid="{00000000-0005-0000-0000-000022150000}"/>
    <cellStyle name="Normal 10 3 4 7 2" xfId="18419" xr:uid="{00000000-0005-0000-0000-000023150000}"/>
    <cellStyle name="Normal 10 3 4 8" xfId="11036" xr:uid="{00000000-0005-0000-0000-000024150000}"/>
    <cellStyle name="Normal 10 3 4 9" xfId="4670" xr:uid="{00000000-0005-0000-0000-000025150000}"/>
    <cellStyle name="Normal 10 3 4_Degree data" xfId="1311" xr:uid="{00000000-0005-0000-0000-000026150000}"/>
    <cellStyle name="Normal 10 3 5" xfId="3286" xr:uid="{00000000-0005-0000-0000-000027150000}"/>
    <cellStyle name="Normal 10 3 5 2" xfId="14958" xr:uid="{00000000-0005-0000-0000-000028150000}"/>
    <cellStyle name="Normal 10 3 5 3" xfId="12503" xr:uid="{00000000-0005-0000-0000-000029150000}"/>
    <cellStyle name="Normal 10 3 5 4" xfId="5872" xr:uid="{00000000-0005-0000-0000-00002A150000}"/>
    <cellStyle name="Normal 10 3 6" xfId="3280" xr:uid="{00000000-0005-0000-0000-00002B150000}"/>
    <cellStyle name="Normal 10 3 6 2" xfId="15833" xr:uid="{00000000-0005-0000-0000-00002C150000}"/>
    <cellStyle name="Normal 10 3 6 3" xfId="12369" xr:uid="{00000000-0005-0000-0000-00002D150000}"/>
    <cellStyle name="Normal 10 3 6 4" xfId="6758" xr:uid="{00000000-0005-0000-0000-00002E150000}"/>
    <cellStyle name="Normal 10 3 7" xfId="14615" xr:uid="{00000000-0005-0000-0000-00002F150000}"/>
    <cellStyle name="Normal 10 3 8" xfId="4353" xr:uid="{00000000-0005-0000-0000-000030150000}"/>
    <cellStyle name="Normal 10 4" xfId="138" xr:uid="{00000000-0005-0000-0000-000031150000}"/>
    <cellStyle name="Normal 10 4 10" xfId="5562" xr:uid="{00000000-0005-0000-0000-000032150000}"/>
    <cellStyle name="Normal 10 4 10 2" xfId="14648" xr:uid="{00000000-0005-0000-0000-000033150000}"/>
    <cellStyle name="Normal 10 4 11" xfId="9382" xr:uid="{00000000-0005-0000-0000-000034150000}"/>
    <cellStyle name="Normal 10 4 11 2" xfId="18209" xr:uid="{00000000-0005-0000-0000-000035150000}"/>
    <cellStyle name="Normal 10 4 12" xfId="10822" xr:uid="{00000000-0005-0000-0000-000036150000}"/>
    <cellStyle name="Normal 10 4 13" xfId="4375" xr:uid="{00000000-0005-0000-0000-000037150000}"/>
    <cellStyle name="Normal 10 4 2" xfId="250" xr:uid="{00000000-0005-0000-0000-000038150000}"/>
    <cellStyle name="Normal 10 4 2 10" xfId="11001" xr:uid="{00000000-0005-0000-0000-000039150000}"/>
    <cellStyle name="Normal 10 4 2 11" xfId="4418" xr:uid="{00000000-0005-0000-0000-00003A150000}"/>
    <cellStyle name="Normal 10 4 2 2" xfId="358" xr:uid="{00000000-0005-0000-0000-00003B150000}"/>
    <cellStyle name="Normal 10 4 2 2 2" xfId="596" xr:uid="{00000000-0005-0000-0000-00003C150000}"/>
    <cellStyle name="Normal 10 4 2 2 2 2" xfId="2326" xr:uid="{00000000-0005-0000-0000-00003D150000}"/>
    <cellStyle name="Normal 10 4 2 2 2 2 2" xfId="16215" xr:uid="{00000000-0005-0000-0000-00003E150000}"/>
    <cellStyle name="Normal 10 4 2 2 2 2 3" xfId="12637" xr:uid="{00000000-0005-0000-0000-00003F150000}"/>
    <cellStyle name="Normal 10 4 2 2 2 2 4" xfId="7346" xr:uid="{00000000-0005-0000-0000-000040150000}"/>
    <cellStyle name="Normal 10 4 2 2 2 3" xfId="3594" xr:uid="{00000000-0005-0000-0000-000041150000}"/>
    <cellStyle name="Normal 10 4 2 2 2 3 2" xfId="17239" xr:uid="{00000000-0005-0000-0000-000042150000}"/>
    <cellStyle name="Normal 10 4 2 2 2 3 3" xfId="13660" xr:uid="{00000000-0005-0000-0000-000043150000}"/>
    <cellStyle name="Normal 10 4 2 2 2 3 4" xfId="8403" xr:uid="{00000000-0005-0000-0000-000044150000}"/>
    <cellStyle name="Normal 10 4 2 2 2 4" xfId="6462" xr:uid="{00000000-0005-0000-0000-000045150000}"/>
    <cellStyle name="Normal 10 4 2 2 2 4 2" xfId="15546" xr:uid="{00000000-0005-0000-0000-000046150000}"/>
    <cellStyle name="Normal 10 4 2 2 2 5" xfId="9857" xr:uid="{00000000-0005-0000-0000-000047150000}"/>
    <cellStyle name="Normal 10 4 2 2 2 5 2" xfId="18684" xr:uid="{00000000-0005-0000-0000-000048150000}"/>
    <cellStyle name="Normal 10 4 2 2 2 6" xfId="11301" xr:uid="{00000000-0005-0000-0000-000049150000}"/>
    <cellStyle name="Normal 10 4 2 2 2 7" xfId="4940" xr:uid="{00000000-0005-0000-0000-00004A150000}"/>
    <cellStyle name="Normal 10 4 2 2 3" xfId="954" xr:uid="{00000000-0005-0000-0000-00004B150000}"/>
    <cellStyle name="Normal 10 4 2 2 3 2" xfId="2674" xr:uid="{00000000-0005-0000-0000-00004C150000}"/>
    <cellStyle name="Normal 10 4 2 2 3 2 2" xfId="16718" xr:uid="{00000000-0005-0000-0000-00004D150000}"/>
    <cellStyle name="Normal 10 4 2 2 3 2 3" xfId="13139" xr:uid="{00000000-0005-0000-0000-00004E150000}"/>
    <cellStyle name="Normal 10 4 2 2 3 2 4" xfId="7850" xr:uid="{00000000-0005-0000-0000-00004F150000}"/>
    <cellStyle name="Normal 10 4 2 2 3 3" xfId="3942" xr:uid="{00000000-0005-0000-0000-000050150000}"/>
    <cellStyle name="Normal 10 4 2 2 3 3 2" xfId="17587" xr:uid="{00000000-0005-0000-0000-000051150000}"/>
    <cellStyle name="Normal 10 4 2 2 3 3 3" xfId="14008" xr:uid="{00000000-0005-0000-0000-000052150000}"/>
    <cellStyle name="Normal 10 4 2 2 3 3 4" xfId="8751" xr:uid="{00000000-0005-0000-0000-000053150000}"/>
    <cellStyle name="Normal 10 4 2 2 3 4" xfId="6257" xr:uid="{00000000-0005-0000-0000-000054150000}"/>
    <cellStyle name="Normal 10 4 2 2 3 4 2" xfId="15341" xr:uid="{00000000-0005-0000-0000-000055150000}"/>
    <cellStyle name="Normal 10 4 2 2 3 5" xfId="10205" xr:uid="{00000000-0005-0000-0000-000056150000}"/>
    <cellStyle name="Normal 10 4 2 2 3 5 2" xfId="19032" xr:uid="{00000000-0005-0000-0000-000057150000}"/>
    <cellStyle name="Normal 10 4 2 2 3 6" xfId="11651" xr:uid="{00000000-0005-0000-0000-000058150000}"/>
    <cellStyle name="Normal 10 4 2 2 3 7" xfId="5444" xr:uid="{00000000-0005-0000-0000-000059150000}"/>
    <cellStyle name="Normal 10 4 2 2 4" xfId="1571" xr:uid="{00000000-0005-0000-0000-00005A150000}"/>
    <cellStyle name="Normal 10 4 2 2 4 2" xfId="3169" xr:uid="{00000000-0005-0000-0000-00005B150000}"/>
    <cellStyle name="Normal 10 4 2 2 4 2 2" xfId="18082" xr:uid="{00000000-0005-0000-0000-00005C150000}"/>
    <cellStyle name="Normal 10 4 2 2 4 2 3" xfId="14503" xr:uid="{00000000-0005-0000-0000-00005D150000}"/>
    <cellStyle name="Normal 10 4 2 2 4 2 4" xfId="9246" xr:uid="{00000000-0005-0000-0000-00005E150000}"/>
    <cellStyle name="Normal 10 4 2 2 4 3" xfId="10700" xr:uid="{00000000-0005-0000-0000-00005F150000}"/>
    <cellStyle name="Normal 10 4 2 2 4 3 2" xfId="19527" xr:uid="{00000000-0005-0000-0000-000060150000}"/>
    <cellStyle name="Normal 10 4 2 2 4 4" xfId="12146" xr:uid="{00000000-0005-0000-0000-000061150000}"/>
    <cellStyle name="Normal 10 4 2 2 4 5" xfId="7141" xr:uid="{00000000-0005-0000-0000-000062150000}"/>
    <cellStyle name="Normal 10 4 2 2 5" xfId="2126" xr:uid="{00000000-0005-0000-0000-000063150000}"/>
    <cellStyle name="Normal 10 4 2 2 5 2" xfId="17039" xr:uid="{00000000-0005-0000-0000-000064150000}"/>
    <cellStyle name="Normal 10 4 2 2 5 3" xfId="13460" xr:uid="{00000000-0005-0000-0000-000065150000}"/>
    <cellStyle name="Normal 10 4 2 2 5 4" xfId="8203" xr:uid="{00000000-0005-0000-0000-000066150000}"/>
    <cellStyle name="Normal 10 4 2 2 6" xfId="5764" xr:uid="{00000000-0005-0000-0000-000067150000}"/>
    <cellStyle name="Normal 10 4 2 2 6 2" xfId="14850" xr:uid="{00000000-0005-0000-0000-000068150000}"/>
    <cellStyle name="Normal 10 4 2 2 7" xfId="9657" xr:uid="{00000000-0005-0000-0000-000069150000}"/>
    <cellStyle name="Normal 10 4 2 2 7 2" xfId="18484" xr:uid="{00000000-0005-0000-0000-00006A150000}"/>
    <cellStyle name="Normal 10 4 2 2 8" xfId="11101" xr:uid="{00000000-0005-0000-0000-00006B150000}"/>
    <cellStyle name="Normal 10 4 2 2 9" xfId="4735" xr:uid="{00000000-0005-0000-0000-00006C150000}"/>
    <cellStyle name="Normal 10 4 2 2_Degree data" xfId="1286" xr:uid="{00000000-0005-0000-0000-00006D150000}"/>
    <cellStyle name="Normal 10 4 2 3" xfId="595" xr:uid="{00000000-0005-0000-0000-00006E150000}"/>
    <cellStyle name="Normal 10 4 2 3 2" xfId="2325" xr:uid="{00000000-0005-0000-0000-00006F150000}"/>
    <cellStyle name="Normal 10 4 2 3 2 2" xfId="16055" xr:uid="{00000000-0005-0000-0000-000070150000}"/>
    <cellStyle name="Normal 10 4 2 3 2 3" xfId="12456" xr:uid="{00000000-0005-0000-0000-000071150000}"/>
    <cellStyle name="Normal 10 4 2 3 2 4" xfId="7041" xr:uid="{00000000-0005-0000-0000-000072150000}"/>
    <cellStyle name="Normal 10 4 2 3 3" xfId="3593" xr:uid="{00000000-0005-0000-0000-000073150000}"/>
    <cellStyle name="Normal 10 4 2 3 3 2" xfId="17238" xr:uid="{00000000-0005-0000-0000-000074150000}"/>
    <cellStyle name="Normal 10 4 2 3 3 3" xfId="13659" xr:uid="{00000000-0005-0000-0000-000075150000}"/>
    <cellStyle name="Normal 10 4 2 3 3 4" xfId="8402" xr:uid="{00000000-0005-0000-0000-000076150000}"/>
    <cellStyle name="Normal 10 4 2 3 4" xfId="6157" xr:uid="{00000000-0005-0000-0000-000077150000}"/>
    <cellStyle name="Normal 10 4 2 3 4 2" xfId="15241" xr:uid="{00000000-0005-0000-0000-000078150000}"/>
    <cellStyle name="Normal 10 4 2 3 5" xfId="9856" xr:uid="{00000000-0005-0000-0000-000079150000}"/>
    <cellStyle name="Normal 10 4 2 3 5 2" xfId="18683" xr:uid="{00000000-0005-0000-0000-00007A150000}"/>
    <cellStyle name="Normal 10 4 2 3 6" xfId="11300" xr:uid="{00000000-0005-0000-0000-00007B150000}"/>
    <cellStyle name="Normal 10 4 2 3 7" xfId="4635" xr:uid="{00000000-0005-0000-0000-00007C150000}"/>
    <cellStyle name="Normal 10 4 2 4" xfId="953" xr:uid="{00000000-0005-0000-0000-00007D150000}"/>
    <cellStyle name="Normal 10 4 2 4 2" xfId="2673" xr:uid="{00000000-0005-0000-0000-00007E150000}"/>
    <cellStyle name="Normal 10 4 2 4 2 2" xfId="16214" xr:uid="{00000000-0005-0000-0000-00007F150000}"/>
    <cellStyle name="Normal 10 4 2 4 2 3" xfId="12636" xr:uid="{00000000-0005-0000-0000-000080150000}"/>
    <cellStyle name="Normal 10 4 2 4 2 4" xfId="7345" xr:uid="{00000000-0005-0000-0000-000081150000}"/>
    <cellStyle name="Normal 10 4 2 4 3" xfId="3941" xr:uid="{00000000-0005-0000-0000-000082150000}"/>
    <cellStyle name="Normal 10 4 2 4 3 2" xfId="17586" xr:uid="{00000000-0005-0000-0000-000083150000}"/>
    <cellStyle name="Normal 10 4 2 4 3 3" xfId="14007" xr:uid="{00000000-0005-0000-0000-000084150000}"/>
    <cellStyle name="Normal 10 4 2 4 3 4" xfId="8750" xr:uid="{00000000-0005-0000-0000-000085150000}"/>
    <cellStyle name="Normal 10 4 2 4 4" xfId="6461" xr:uid="{00000000-0005-0000-0000-000086150000}"/>
    <cellStyle name="Normal 10 4 2 4 4 2" xfId="15545" xr:uid="{00000000-0005-0000-0000-000087150000}"/>
    <cellStyle name="Normal 10 4 2 4 5" xfId="10204" xr:uid="{00000000-0005-0000-0000-000088150000}"/>
    <cellStyle name="Normal 10 4 2 4 5 2" xfId="19031" xr:uid="{00000000-0005-0000-0000-000089150000}"/>
    <cellStyle name="Normal 10 4 2 4 6" xfId="11650" xr:uid="{00000000-0005-0000-0000-00008A150000}"/>
    <cellStyle name="Normal 10 4 2 4 7" xfId="4939" xr:uid="{00000000-0005-0000-0000-00008B150000}"/>
    <cellStyle name="Normal 10 4 2 5" xfId="1469" xr:uid="{00000000-0005-0000-0000-00008C150000}"/>
    <cellStyle name="Normal 10 4 2 5 2" xfId="3069" xr:uid="{00000000-0005-0000-0000-00008D150000}"/>
    <cellStyle name="Normal 10 4 2 5 2 2" xfId="16618" xr:uid="{00000000-0005-0000-0000-00008E150000}"/>
    <cellStyle name="Normal 10 4 2 5 2 3" xfId="13039" xr:uid="{00000000-0005-0000-0000-00008F150000}"/>
    <cellStyle name="Normal 10 4 2 5 2 4" xfId="7750" xr:uid="{00000000-0005-0000-0000-000090150000}"/>
    <cellStyle name="Normal 10 4 2 5 3" xfId="4277" xr:uid="{00000000-0005-0000-0000-000091150000}"/>
    <cellStyle name="Normal 10 4 2 5 3 2" xfId="17982" xr:uid="{00000000-0005-0000-0000-000092150000}"/>
    <cellStyle name="Normal 10 4 2 5 3 3" xfId="14403" xr:uid="{00000000-0005-0000-0000-000093150000}"/>
    <cellStyle name="Normal 10 4 2 5 3 4" xfId="9146" xr:uid="{00000000-0005-0000-0000-000094150000}"/>
    <cellStyle name="Normal 10 4 2 5 4" xfId="5938" xr:uid="{00000000-0005-0000-0000-000095150000}"/>
    <cellStyle name="Normal 10 4 2 5 4 2" xfId="15024" xr:uid="{00000000-0005-0000-0000-000096150000}"/>
    <cellStyle name="Normal 10 4 2 5 5" xfId="10600" xr:uid="{00000000-0005-0000-0000-000097150000}"/>
    <cellStyle name="Normal 10 4 2 5 5 2" xfId="19427" xr:uid="{00000000-0005-0000-0000-000098150000}"/>
    <cellStyle name="Normal 10 4 2 5 6" xfId="12046" xr:uid="{00000000-0005-0000-0000-000099150000}"/>
    <cellStyle name="Normal 10 4 2 5 7" xfId="5344" xr:uid="{00000000-0005-0000-0000-00009A150000}"/>
    <cellStyle name="Normal 10 4 2 6" xfId="2026" xr:uid="{00000000-0005-0000-0000-00009B150000}"/>
    <cellStyle name="Normal 10 4 2 6 2" xfId="15867" xr:uid="{00000000-0005-0000-0000-00009C150000}"/>
    <cellStyle name="Normal 10 4 2 6 3" xfId="12436" xr:uid="{00000000-0005-0000-0000-00009D150000}"/>
    <cellStyle name="Normal 10 4 2 6 4" xfId="6824" xr:uid="{00000000-0005-0000-0000-00009E150000}"/>
    <cellStyle name="Normal 10 4 2 7" xfId="3439" xr:uid="{00000000-0005-0000-0000-00009F150000}"/>
    <cellStyle name="Normal 10 4 2 7 2" xfId="16939" xr:uid="{00000000-0005-0000-0000-0000A0150000}"/>
    <cellStyle name="Normal 10 4 2 7 3" xfId="13360" xr:uid="{00000000-0005-0000-0000-0000A1150000}"/>
    <cellStyle name="Normal 10 4 2 7 4" xfId="8103" xr:uid="{00000000-0005-0000-0000-0000A2150000}"/>
    <cellStyle name="Normal 10 4 2 8" xfId="5664" xr:uid="{00000000-0005-0000-0000-0000A3150000}"/>
    <cellStyle name="Normal 10 4 2 8 2" xfId="14750" xr:uid="{00000000-0005-0000-0000-0000A4150000}"/>
    <cellStyle name="Normal 10 4 2 9" xfId="9557" xr:uid="{00000000-0005-0000-0000-0000A5150000}"/>
    <cellStyle name="Normal 10 4 2 9 2" xfId="18384" xr:uid="{00000000-0005-0000-0000-0000A6150000}"/>
    <cellStyle name="Normal 10 4 2_Degree data" xfId="1287" xr:uid="{00000000-0005-0000-0000-0000A7150000}"/>
    <cellStyle name="Normal 10 4 3" xfId="207" xr:uid="{00000000-0005-0000-0000-0000A8150000}"/>
    <cellStyle name="Normal 10 4 3 10" xfId="10958" xr:uid="{00000000-0005-0000-0000-0000A9150000}"/>
    <cellStyle name="Normal 10 4 3 11" xfId="4480" xr:uid="{00000000-0005-0000-0000-0000AA150000}"/>
    <cellStyle name="Normal 10 4 3 2" xfId="421" xr:uid="{00000000-0005-0000-0000-0000AB150000}"/>
    <cellStyle name="Normal 10 4 3 2 2" xfId="598" xr:uid="{00000000-0005-0000-0000-0000AC150000}"/>
    <cellStyle name="Normal 10 4 3 2 2 2" xfId="2328" xr:uid="{00000000-0005-0000-0000-0000AD150000}"/>
    <cellStyle name="Normal 10 4 3 2 2 2 2" xfId="16217" xr:uid="{00000000-0005-0000-0000-0000AE150000}"/>
    <cellStyle name="Normal 10 4 3 2 2 2 3" xfId="12639" xr:uid="{00000000-0005-0000-0000-0000AF150000}"/>
    <cellStyle name="Normal 10 4 3 2 2 2 4" xfId="7348" xr:uid="{00000000-0005-0000-0000-0000B0150000}"/>
    <cellStyle name="Normal 10 4 3 2 2 3" xfId="3596" xr:uid="{00000000-0005-0000-0000-0000B1150000}"/>
    <cellStyle name="Normal 10 4 3 2 2 3 2" xfId="17241" xr:uid="{00000000-0005-0000-0000-0000B2150000}"/>
    <cellStyle name="Normal 10 4 3 2 2 3 3" xfId="13662" xr:uid="{00000000-0005-0000-0000-0000B3150000}"/>
    <cellStyle name="Normal 10 4 3 2 2 3 4" xfId="8405" xr:uid="{00000000-0005-0000-0000-0000B4150000}"/>
    <cellStyle name="Normal 10 4 3 2 2 4" xfId="6464" xr:uid="{00000000-0005-0000-0000-0000B5150000}"/>
    <cellStyle name="Normal 10 4 3 2 2 4 2" xfId="15548" xr:uid="{00000000-0005-0000-0000-0000B6150000}"/>
    <cellStyle name="Normal 10 4 3 2 2 5" xfId="9859" xr:uid="{00000000-0005-0000-0000-0000B7150000}"/>
    <cellStyle name="Normal 10 4 3 2 2 5 2" xfId="18686" xr:uid="{00000000-0005-0000-0000-0000B8150000}"/>
    <cellStyle name="Normal 10 4 3 2 2 6" xfId="11303" xr:uid="{00000000-0005-0000-0000-0000B9150000}"/>
    <cellStyle name="Normal 10 4 3 2 2 7" xfId="4942" xr:uid="{00000000-0005-0000-0000-0000BA150000}"/>
    <cellStyle name="Normal 10 4 3 2 3" xfId="956" xr:uid="{00000000-0005-0000-0000-0000BB150000}"/>
    <cellStyle name="Normal 10 4 3 2 3 2" xfId="2676" xr:uid="{00000000-0005-0000-0000-0000BC150000}"/>
    <cellStyle name="Normal 10 4 3 2 3 2 2" xfId="16780" xr:uid="{00000000-0005-0000-0000-0000BD150000}"/>
    <cellStyle name="Normal 10 4 3 2 3 2 3" xfId="13201" xr:uid="{00000000-0005-0000-0000-0000BE150000}"/>
    <cellStyle name="Normal 10 4 3 2 3 2 4" xfId="7912" xr:uid="{00000000-0005-0000-0000-0000BF150000}"/>
    <cellStyle name="Normal 10 4 3 2 3 3" xfId="3944" xr:uid="{00000000-0005-0000-0000-0000C0150000}"/>
    <cellStyle name="Normal 10 4 3 2 3 3 2" xfId="17589" xr:uid="{00000000-0005-0000-0000-0000C1150000}"/>
    <cellStyle name="Normal 10 4 3 2 3 3 3" xfId="14010" xr:uid="{00000000-0005-0000-0000-0000C2150000}"/>
    <cellStyle name="Normal 10 4 3 2 3 3 4" xfId="8753" xr:uid="{00000000-0005-0000-0000-0000C3150000}"/>
    <cellStyle name="Normal 10 4 3 2 3 4" xfId="6319" xr:uid="{00000000-0005-0000-0000-0000C4150000}"/>
    <cellStyle name="Normal 10 4 3 2 3 4 2" xfId="15403" xr:uid="{00000000-0005-0000-0000-0000C5150000}"/>
    <cellStyle name="Normal 10 4 3 2 3 5" xfId="10207" xr:uid="{00000000-0005-0000-0000-0000C6150000}"/>
    <cellStyle name="Normal 10 4 3 2 3 5 2" xfId="19034" xr:uid="{00000000-0005-0000-0000-0000C7150000}"/>
    <cellStyle name="Normal 10 4 3 2 3 6" xfId="11653" xr:uid="{00000000-0005-0000-0000-0000C8150000}"/>
    <cellStyle name="Normal 10 4 3 2 3 7" xfId="5506" xr:uid="{00000000-0005-0000-0000-0000C9150000}"/>
    <cellStyle name="Normal 10 4 3 2 4" xfId="1635" xr:uid="{00000000-0005-0000-0000-0000CA150000}"/>
    <cellStyle name="Normal 10 4 3 2 4 2" xfId="3231" xr:uid="{00000000-0005-0000-0000-0000CB150000}"/>
    <cellStyle name="Normal 10 4 3 2 4 2 2" xfId="18144" xr:uid="{00000000-0005-0000-0000-0000CC150000}"/>
    <cellStyle name="Normal 10 4 3 2 4 2 3" xfId="14565" xr:uid="{00000000-0005-0000-0000-0000CD150000}"/>
    <cellStyle name="Normal 10 4 3 2 4 2 4" xfId="9308" xr:uid="{00000000-0005-0000-0000-0000CE150000}"/>
    <cellStyle name="Normal 10 4 3 2 4 3" xfId="10762" xr:uid="{00000000-0005-0000-0000-0000CF150000}"/>
    <cellStyle name="Normal 10 4 3 2 4 3 2" xfId="19589" xr:uid="{00000000-0005-0000-0000-0000D0150000}"/>
    <cellStyle name="Normal 10 4 3 2 4 4" xfId="12208" xr:uid="{00000000-0005-0000-0000-0000D1150000}"/>
    <cellStyle name="Normal 10 4 3 2 4 5" xfId="7203" xr:uid="{00000000-0005-0000-0000-0000D2150000}"/>
    <cellStyle name="Normal 10 4 3 2 5" xfId="2188" xr:uid="{00000000-0005-0000-0000-0000D3150000}"/>
    <cellStyle name="Normal 10 4 3 2 5 2" xfId="17101" xr:uid="{00000000-0005-0000-0000-0000D4150000}"/>
    <cellStyle name="Normal 10 4 3 2 5 3" xfId="13522" xr:uid="{00000000-0005-0000-0000-0000D5150000}"/>
    <cellStyle name="Normal 10 4 3 2 5 4" xfId="8265" xr:uid="{00000000-0005-0000-0000-0000D6150000}"/>
    <cellStyle name="Normal 10 4 3 2 6" xfId="5826" xr:uid="{00000000-0005-0000-0000-0000D7150000}"/>
    <cellStyle name="Normal 10 4 3 2 6 2" xfId="14912" xr:uid="{00000000-0005-0000-0000-0000D8150000}"/>
    <cellStyle name="Normal 10 4 3 2 7" xfId="9719" xr:uid="{00000000-0005-0000-0000-0000D9150000}"/>
    <cellStyle name="Normal 10 4 3 2 7 2" xfId="18546" xr:uid="{00000000-0005-0000-0000-0000DA150000}"/>
    <cellStyle name="Normal 10 4 3 2 8" xfId="11163" xr:uid="{00000000-0005-0000-0000-0000DB150000}"/>
    <cellStyle name="Normal 10 4 3 2 9" xfId="4797" xr:uid="{00000000-0005-0000-0000-0000DC150000}"/>
    <cellStyle name="Normal 10 4 3 2_Degree data" xfId="1319" xr:uid="{00000000-0005-0000-0000-0000DD150000}"/>
    <cellStyle name="Normal 10 4 3 3" xfId="597" xr:uid="{00000000-0005-0000-0000-0000DE150000}"/>
    <cellStyle name="Normal 10 4 3 3 2" xfId="2327" xr:uid="{00000000-0005-0000-0000-0000DF150000}"/>
    <cellStyle name="Normal 10 4 3 3 2 2" xfId="16012" xr:uid="{00000000-0005-0000-0000-0000E0150000}"/>
    <cellStyle name="Normal 10 4 3 3 2 3" xfId="12281" xr:uid="{00000000-0005-0000-0000-0000E1150000}"/>
    <cellStyle name="Normal 10 4 3 3 2 4" xfId="6998" xr:uid="{00000000-0005-0000-0000-0000E2150000}"/>
    <cellStyle name="Normal 10 4 3 3 3" xfId="3595" xr:uid="{00000000-0005-0000-0000-0000E3150000}"/>
    <cellStyle name="Normal 10 4 3 3 3 2" xfId="17240" xr:uid="{00000000-0005-0000-0000-0000E4150000}"/>
    <cellStyle name="Normal 10 4 3 3 3 3" xfId="13661" xr:uid="{00000000-0005-0000-0000-0000E5150000}"/>
    <cellStyle name="Normal 10 4 3 3 3 4" xfId="8404" xr:uid="{00000000-0005-0000-0000-0000E6150000}"/>
    <cellStyle name="Normal 10 4 3 3 4" xfId="6114" xr:uid="{00000000-0005-0000-0000-0000E7150000}"/>
    <cellStyle name="Normal 10 4 3 3 4 2" xfId="15198" xr:uid="{00000000-0005-0000-0000-0000E8150000}"/>
    <cellStyle name="Normal 10 4 3 3 5" xfId="9858" xr:uid="{00000000-0005-0000-0000-0000E9150000}"/>
    <cellStyle name="Normal 10 4 3 3 5 2" xfId="18685" xr:uid="{00000000-0005-0000-0000-0000EA150000}"/>
    <cellStyle name="Normal 10 4 3 3 6" xfId="11302" xr:uid="{00000000-0005-0000-0000-0000EB150000}"/>
    <cellStyle name="Normal 10 4 3 3 7" xfId="4592" xr:uid="{00000000-0005-0000-0000-0000EC150000}"/>
    <cellStyle name="Normal 10 4 3 4" xfId="955" xr:uid="{00000000-0005-0000-0000-0000ED150000}"/>
    <cellStyle name="Normal 10 4 3 4 2" xfId="2675" xr:uid="{00000000-0005-0000-0000-0000EE150000}"/>
    <cellStyle name="Normal 10 4 3 4 2 2" xfId="16216" xr:uid="{00000000-0005-0000-0000-0000EF150000}"/>
    <cellStyle name="Normal 10 4 3 4 2 3" xfId="12638" xr:uid="{00000000-0005-0000-0000-0000F0150000}"/>
    <cellStyle name="Normal 10 4 3 4 2 4" xfId="7347" xr:uid="{00000000-0005-0000-0000-0000F1150000}"/>
    <cellStyle name="Normal 10 4 3 4 3" xfId="3943" xr:uid="{00000000-0005-0000-0000-0000F2150000}"/>
    <cellStyle name="Normal 10 4 3 4 3 2" xfId="17588" xr:uid="{00000000-0005-0000-0000-0000F3150000}"/>
    <cellStyle name="Normal 10 4 3 4 3 3" xfId="14009" xr:uid="{00000000-0005-0000-0000-0000F4150000}"/>
    <cellStyle name="Normal 10 4 3 4 3 4" xfId="8752" xr:uid="{00000000-0005-0000-0000-0000F5150000}"/>
    <cellStyle name="Normal 10 4 3 4 4" xfId="6463" xr:uid="{00000000-0005-0000-0000-0000F6150000}"/>
    <cellStyle name="Normal 10 4 3 4 4 2" xfId="15547" xr:uid="{00000000-0005-0000-0000-0000F7150000}"/>
    <cellStyle name="Normal 10 4 3 4 5" xfId="10206" xr:uid="{00000000-0005-0000-0000-0000F8150000}"/>
    <cellStyle name="Normal 10 4 3 4 5 2" xfId="19033" xr:uid="{00000000-0005-0000-0000-0000F9150000}"/>
    <cellStyle name="Normal 10 4 3 4 6" xfId="11652" xr:uid="{00000000-0005-0000-0000-0000FA150000}"/>
    <cellStyle name="Normal 10 4 3 4 7" xfId="4941" xr:uid="{00000000-0005-0000-0000-0000FB150000}"/>
    <cellStyle name="Normal 10 4 3 5" xfId="1424" xr:uid="{00000000-0005-0000-0000-0000FC150000}"/>
    <cellStyle name="Normal 10 4 3 5 2" xfId="3026" xr:uid="{00000000-0005-0000-0000-0000FD150000}"/>
    <cellStyle name="Normal 10 4 3 5 2 2" xfId="16575" xr:uid="{00000000-0005-0000-0000-0000FE150000}"/>
    <cellStyle name="Normal 10 4 3 5 2 3" xfId="12996" xr:uid="{00000000-0005-0000-0000-0000FF150000}"/>
    <cellStyle name="Normal 10 4 3 5 2 4" xfId="7707" xr:uid="{00000000-0005-0000-0000-000000160000}"/>
    <cellStyle name="Normal 10 4 3 5 3" xfId="4234" xr:uid="{00000000-0005-0000-0000-000001160000}"/>
    <cellStyle name="Normal 10 4 3 5 3 2" xfId="17939" xr:uid="{00000000-0005-0000-0000-000002160000}"/>
    <cellStyle name="Normal 10 4 3 5 3 3" xfId="14360" xr:uid="{00000000-0005-0000-0000-000003160000}"/>
    <cellStyle name="Normal 10 4 3 5 3 4" xfId="9103" xr:uid="{00000000-0005-0000-0000-000004160000}"/>
    <cellStyle name="Normal 10 4 3 5 4" xfId="6000" xr:uid="{00000000-0005-0000-0000-000005160000}"/>
    <cellStyle name="Normal 10 4 3 5 4 2" xfId="15086" xr:uid="{00000000-0005-0000-0000-000006160000}"/>
    <cellStyle name="Normal 10 4 3 5 5" xfId="10557" xr:uid="{00000000-0005-0000-0000-000007160000}"/>
    <cellStyle name="Normal 10 4 3 5 5 2" xfId="19384" xr:uid="{00000000-0005-0000-0000-000008160000}"/>
    <cellStyle name="Normal 10 4 3 5 6" xfId="12003" xr:uid="{00000000-0005-0000-0000-000009160000}"/>
    <cellStyle name="Normal 10 4 3 5 7" xfId="5301" xr:uid="{00000000-0005-0000-0000-00000A160000}"/>
    <cellStyle name="Normal 10 4 3 6" xfId="1983" xr:uid="{00000000-0005-0000-0000-00000B160000}"/>
    <cellStyle name="Normal 10 4 3 6 2" xfId="15929" xr:uid="{00000000-0005-0000-0000-00000C160000}"/>
    <cellStyle name="Normal 10 4 3 6 3" xfId="12296" xr:uid="{00000000-0005-0000-0000-00000D160000}"/>
    <cellStyle name="Normal 10 4 3 6 4" xfId="6886" xr:uid="{00000000-0005-0000-0000-00000E160000}"/>
    <cellStyle name="Normal 10 4 3 7" xfId="3397" xr:uid="{00000000-0005-0000-0000-00000F160000}"/>
    <cellStyle name="Normal 10 4 3 7 2" xfId="16896" xr:uid="{00000000-0005-0000-0000-000010160000}"/>
    <cellStyle name="Normal 10 4 3 7 3" xfId="13317" xr:uid="{00000000-0005-0000-0000-000011160000}"/>
    <cellStyle name="Normal 10 4 3 7 4" xfId="8060" xr:uid="{00000000-0005-0000-0000-000012160000}"/>
    <cellStyle name="Normal 10 4 3 8" xfId="5621" xr:uid="{00000000-0005-0000-0000-000013160000}"/>
    <cellStyle name="Normal 10 4 3 8 2" xfId="14707" xr:uid="{00000000-0005-0000-0000-000014160000}"/>
    <cellStyle name="Normal 10 4 3 9" xfId="9514" xr:uid="{00000000-0005-0000-0000-000015160000}"/>
    <cellStyle name="Normal 10 4 3 9 2" xfId="18341" xr:uid="{00000000-0005-0000-0000-000016160000}"/>
    <cellStyle name="Normal 10 4 3_Degree data" xfId="1310" xr:uid="{00000000-0005-0000-0000-000017160000}"/>
    <cellStyle name="Normal 10 4 4" xfId="315" xr:uid="{00000000-0005-0000-0000-000018160000}"/>
    <cellStyle name="Normal 10 4 4 2" xfId="599" xr:uid="{00000000-0005-0000-0000-000019160000}"/>
    <cellStyle name="Normal 10 4 4 2 2" xfId="2329" xr:uid="{00000000-0005-0000-0000-00001A160000}"/>
    <cellStyle name="Normal 10 4 4 2 2 2" xfId="16218" xr:uid="{00000000-0005-0000-0000-00001B160000}"/>
    <cellStyle name="Normal 10 4 4 2 2 3" xfId="12640" xr:uid="{00000000-0005-0000-0000-00001C160000}"/>
    <cellStyle name="Normal 10 4 4 2 2 4" xfId="7349" xr:uid="{00000000-0005-0000-0000-00001D160000}"/>
    <cellStyle name="Normal 10 4 4 2 3" xfId="3597" xr:uid="{00000000-0005-0000-0000-00001E160000}"/>
    <cellStyle name="Normal 10 4 4 2 3 2" xfId="17242" xr:uid="{00000000-0005-0000-0000-00001F160000}"/>
    <cellStyle name="Normal 10 4 4 2 3 3" xfId="13663" xr:uid="{00000000-0005-0000-0000-000020160000}"/>
    <cellStyle name="Normal 10 4 4 2 3 4" xfId="8406" xr:uid="{00000000-0005-0000-0000-000021160000}"/>
    <cellStyle name="Normal 10 4 4 2 4" xfId="6465" xr:uid="{00000000-0005-0000-0000-000022160000}"/>
    <cellStyle name="Normal 10 4 4 2 4 2" xfId="15549" xr:uid="{00000000-0005-0000-0000-000023160000}"/>
    <cellStyle name="Normal 10 4 4 2 5" xfId="9860" xr:uid="{00000000-0005-0000-0000-000024160000}"/>
    <cellStyle name="Normal 10 4 4 2 5 2" xfId="18687" xr:uid="{00000000-0005-0000-0000-000025160000}"/>
    <cellStyle name="Normal 10 4 4 2 6" xfId="11304" xr:uid="{00000000-0005-0000-0000-000026160000}"/>
    <cellStyle name="Normal 10 4 4 2 7" xfId="4943" xr:uid="{00000000-0005-0000-0000-000027160000}"/>
    <cellStyle name="Normal 10 4 4 3" xfId="957" xr:uid="{00000000-0005-0000-0000-000028160000}"/>
    <cellStyle name="Normal 10 4 4 3 2" xfId="2677" xr:uid="{00000000-0005-0000-0000-000029160000}"/>
    <cellStyle name="Normal 10 4 4 3 2 2" xfId="16675" xr:uid="{00000000-0005-0000-0000-00002A160000}"/>
    <cellStyle name="Normal 10 4 4 3 2 3" xfId="13096" xr:uid="{00000000-0005-0000-0000-00002B160000}"/>
    <cellStyle name="Normal 10 4 4 3 2 4" xfId="7807" xr:uid="{00000000-0005-0000-0000-00002C160000}"/>
    <cellStyle name="Normal 10 4 4 3 3" xfId="3945" xr:uid="{00000000-0005-0000-0000-00002D160000}"/>
    <cellStyle name="Normal 10 4 4 3 3 2" xfId="17590" xr:uid="{00000000-0005-0000-0000-00002E160000}"/>
    <cellStyle name="Normal 10 4 4 3 3 3" xfId="14011" xr:uid="{00000000-0005-0000-0000-00002F160000}"/>
    <cellStyle name="Normal 10 4 4 3 3 4" xfId="8754" xr:uid="{00000000-0005-0000-0000-000030160000}"/>
    <cellStyle name="Normal 10 4 4 3 4" xfId="6214" xr:uid="{00000000-0005-0000-0000-000031160000}"/>
    <cellStyle name="Normal 10 4 4 3 4 2" xfId="15298" xr:uid="{00000000-0005-0000-0000-000032160000}"/>
    <cellStyle name="Normal 10 4 4 3 5" xfId="10208" xr:uid="{00000000-0005-0000-0000-000033160000}"/>
    <cellStyle name="Normal 10 4 4 3 5 2" xfId="19035" xr:uid="{00000000-0005-0000-0000-000034160000}"/>
    <cellStyle name="Normal 10 4 4 3 6" xfId="11654" xr:uid="{00000000-0005-0000-0000-000035160000}"/>
    <cellStyle name="Normal 10 4 4 3 7" xfId="5401" xr:uid="{00000000-0005-0000-0000-000036160000}"/>
    <cellStyle name="Normal 10 4 4 4" xfId="1527" xr:uid="{00000000-0005-0000-0000-000037160000}"/>
    <cellStyle name="Normal 10 4 4 4 2" xfId="3126" xr:uid="{00000000-0005-0000-0000-000038160000}"/>
    <cellStyle name="Normal 10 4 4 4 2 2" xfId="18039" xr:uid="{00000000-0005-0000-0000-000039160000}"/>
    <cellStyle name="Normal 10 4 4 4 2 3" xfId="14460" xr:uid="{00000000-0005-0000-0000-00003A160000}"/>
    <cellStyle name="Normal 10 4 4 4 2 4" xfId="9203" xr:uid="{00000000-0005-0000-0000-00003B160000}"/>
    <cellStyle name="Normal 10 4 4 4 3" xfId="10657" xr:uid="{00000000-0005-0000-0000-00003C160000}"/>
    <cellStyle name="Normal 10 4 4 4 3 2" xfId="19484" xr:uid="{00000000-0005-0000-0000-00003D160000}"/>
    <cellStyle name="Normal 10 4 4 4 4" xfId="12103" xr:uid="{00000000-0005-0000-0000-00003E160000}"/>
    <cellStyle name="Normal 10 4 4 4 5" xfId="7098" xr:uid="{00000000-0005-0000-0000-00003F160000}"/>
    <cellStyle name="Normal 10 4 4 5" xfId="2083" xr:uid="{00000000-0005-0000-0000-000040160000}"/>
    <cellStyle name="Normal 10 4 4 5 2" xfId="16996" xr:uid="{00000000-0005-0000-0000-000041160000}"/>
    <cellStyle name="Normal 10 4 4 5 3" xfId="13417" xr:uid="{00000000-0005-0000-0000-000042160000}"/>
    <cellStyle name="Normal 10 4 4 5 4" xfId="8160" xr:uid="{00000000-0005-0000-0000-000043160000}"/>
    <cellStyle name="Normal 10 4 4 6" xfId="5721" xr:uid="{00000000-0005-0000-0000-000044160000}"/>
    <cellStyle name="Normal 10 4 4 6 2" xfId="14807" xr:uid="{00000000-0005-0000-0000-000045160000}"/>
    <cellStyle name="Normal 10 4 4 7" xfId="9614" xr:uid="{00000000-0005-0000-0000-000046160000}"/>
    <cellStyle name="Normal 10 4 4 7 2" xfId="18441" xr:uid="{00000000-0005-0000-0000-000047160000}"/>
    <cellStyle name="Normal 10 4 4 8" xfId="11058" xr:uid="{00000000-0005-0000-0000-000048160000}"/>
    <cellStyle name="Normal 10 4 4 9" xfId="4692" xr:uid="{00000000-0005-0000-0000-000049160000}"/>
    <cellStyle name="Normal 10 4 4_Degree data" xfId="1264" xr:uid="{00000000-0005-0000-0000-00004A160000}"/>
    <cellStyle name="Normal 10 4 5" xfId="594" xr:uid="{00000000-0005-0000-0000-00004B160000}"/>
    <cellStyle name="Normal 10 4 5 2" xfId="2324" xr:uid="{00000000-0005-0000-0000-00004C160000}"/>
    <cellStyle name="Normal 10 4 5 2 2" xfId="15969" xr:uid="{00000000-0005-0000-0000-00004D160000}"/>
    <cellStyle name="Normal 10 4 5 2 3" xfId="12400" xr:uid="{00000000-0005-0000-0000-00004E160000}"/>
    <cellStyle name="Normal 10 4 5 2 4" xfId="6939" xr:uid="{00000000-0005-0000-0000-00004F160000}"/>
    <cellStyle name="Normal 10 4 5 3" xfId="3592" xr:uid="{00000000-0005-0000-0000-000050160000}"/>
    <cellStyle name="Normal 10 4 5 3 2" xfId="17237" xr:uid="{00000000-0005-0000-0000-000051160000}"/>
    <cellStyle name="Normal 10 4 5 3 3" xfId="13658" xr:uid="{00000000-0005-0000-0000-000052160000}"/>
    <cellStyle name="Normal 10 4 5 3 4" xfId="8401" xr:uid="{00000000-0005-0000-0000-000053160000}"/>
    <cellStyle name="Normal 10 4 5 4" xfId="6055" xr:uid="{00000000-0005-0000-0000-000054160000}"/>
    <cellStyle name="Normal 10 4 5 4 2" xfId="15139" xr:uid="{00000000-0005-0000-0000-000055160000}"/>
    <cellStyle name="Normal 10 4 5 5" xfId="9855" xr:uid="{00000000-0005-0000-0000-000056160000}"/>
    <cellStyle name="Normal 10 4 5 5 2" xfId="18682" xr:uid="{00000000-0005-0000-0000-000057160000}"/>
    <cellStyle name="Normal 10 4 5 6" xfId="11299" xr:uid="{00000000-0005-0000-0000-000058160000}"/>
    <cellStyle name="Normal 10 4 5 7" xfId="4533" xr:uid="{00000000-0005-0000-0000-000059160000}"/>
    <cellStyle name="Normal 10 4 6" xfId="952" xr:uid="{00000000-0005-0000-0000-00005A160000}"/>
    <cellStyle name="Normal 10 4 6 2" xfId="2672" xr:uid="{00000000-0005-0000-0000-00005B160000}"/>
    <cellStyle name="Normal 10 4 6 2 2" xfId="16213" xr:uid="{00000000-0005-0000-0000-00005C160000}"/>
    <cellStyle name="Normal 10 4 6 2 3" xfId="12635" xr:uid="{00000000-0005-0000-0000-00005D160000}"/>
    <cellStyle name="Normal 10 4 6 2 4" xfId="7344" xr:uid="{00000000-0005-0000-0000-00005E160000}"/>
    <cellStyle name="Normal 10 4 6 3" xfId="3940" xr:uid="{00000000-0005-0000-0000-00005F160000}"/>
    <cellStyle name="Normal 10 4 6 3 2" xfId="17585" xr:uid="{00000000-0005-0000-0000-000060160000}"/>
    <cellStyle name="Normal 10 4 6 3 3" xfId="14006" xr:uid="{00000000-0005-0000-0000-000061160000}"/>
    <cellStyle name="Normal 10 4 6 3 4" xfId="8749" xr:uid="{00000000-0005-0000-0000-000062160000}"/>
    <cellStyle name="Normal 10 4 6 4" xfId="6460" xr:uid="{00000000-0005-0000-0000-000063160000}"/>
    <cellStyle name="Normal 10 4 6 4 2" xfId="15544" xr:uid="{00000000-0005-0000-0000-000064160000}"/>
    <cellStyle name="Normal 10 4 6 5" xfId="10203" xr:uid="{00000000-0005-0000-0000-000065160000}"/>
    <cellStyle name="Normal 10 4 6 5 2" xfId="19030" xr:uid="{00000000-0005-0000-0000-000066160000}"/>
    <cellStyle name="Normal 10 4 6 6" xfId="11649" xr:uid="{00000000-0005-0000-0000-000067160000}"/>
    <cellStyle name="Normal 10 4 6 7" xfId="4938" xr:uid="{00000000-0005-0000-0000-000068160000}"/>
    <cellStyle name="Normal 10 4 7" xfId="1356" xr:uid="{00000000-0005-0000-0000-000069160000}"/>
    <cellStyle name="Normal 10 4 7 2" xfId="2967" xr:uid="{00000000-0005-0000-0000-00006A160000}"/>
    <cellStyle name="Normal 10 4 7 2 2" xfId="16516" xr:uid="{00000000-0005-0000-0000-00006B160000}"/>
    <cellStyle name="Normal 10 4 7 2 3" xfId="12938" xr:uid="{00000000-0005-0000-0000-00006C160000}"/>
    <cellStyle name="Normal 10 4 7 2 4" xfId="7648" xr:uid="{00000000-0005-0000-0000-00006D160000}"/>
    <cellStyle name="Normal 10 4 7 3" xfId="4192" xr:uid="{00000000-0005-0000-0000-00006E160000}"/>
    <cellStyle name="Normal 10 4 7 3 2" xfId="17880" xr:uid="{00000000-0005-0000-0000-00006F160000}"/>
    <cellStyle name="Normal 10 4 7 3 3" xfId="14301" xr:uid="{00000000-0005-0000-0000-000070160000}"/>
    <cellStyle name="Normal 10 4 7 3 4" xfId="9044" xr:uid="{00000000-0005-0000-0000-000071160000}"/>
    <cellStyle name="Normal 10 4 7 4" xfId="5894" xr:uid="{00000000-0005-0000-0000-000072160000}"/>
    <cellStyle name="Normal 10 4 7 4 2" xfId="14980" xr:uid="{00000000-0005-0000-0000-000073160000}"/>
    <cellStyle name="Normal 10 4 7 5" xfId="10498" xr:uid="{00000000-0005-0000-0000-000074160000}"/>
    <cellStyle name="Normal 10 4 7 5 2" xfId="19325" xr:uid="{00000000-0005-0000-0000-000075160000}"/>
    <cellStyle name="Normal 10 4 7 6" xfId="11944" xr:uid="{00000000-0005-0000-0000-000076160000}"/>
    <cellStyle name="Normal 10 4 7 7" xfId="5242" xr:uid="{00000000-0005-0000-0000-000077160000}"/>
    <cellStyle name="Normal 10 4 8" xfId="1924" xr:uid="{00000000-0005-0000-0000-000078160000}"/>
    <cellStyle name="Normal 10 4 8 2" xfId="9455" xr:uid="{00000000-0005-0000-0000-000079160000}"/>
    <cellStyle name="Normal 10 4 8 2 2" xfId="18282" xr:uid="{00000000-0005-0000-0000-00007A160000}"/>
    <cellStyle name="Normal 10 4 8 3" xfId="10899" xr:uid="{00000000-0005-0000-0000-00007B160000}"/>
    <cellStyle name="Normal 10 4 8 4" xfId="6781" xr:uid="{00000000-0005-0000-0000-00007C160000}"/>
    <cellStyle name="Normal 10 4 9" xfId="1848" xr:uid="{00000000-0005-0000-0000-00007D160000}"/>
    <cellStyle name="Normal 10 4 9 2" xfId="16835" xr:uid="{00000000-0005-0000-0000-00007E160000}"/>
    <cellStyle name="Normal 10 4 9 3" xfId="13256" xr:uid="{00000000-0005-0000-0000-00007F160000}"/>
    <cellStyle name="Normal 10 4 9 4" xfId="7999" xr:uid="{00000000-0005-0000-0000-000080160000}"/>
    <cellStyle name="Normal 10 4_Degree data" xfId="1288" xr:uid="{00000000-0005-0000-0000-000081160000}"/>
    <cellStyle name="Normal 10 5" xfId="241" xr:uid="{00000000-0005-0000-0000-000082160000}"/>
    <cellStyle name="Normal 10 5 10" xfId="10992" xr:uid="{00000000-0005-0000-0000-000083160000}"/>
    <cellStyle name="Normal 10 5 11" xfId="4409" xr:uid="{00000000-0005-0000-0000-000084160000}"/>
    <cellStyle name="Normal 10 5 2" xfId="349" xr:uid="{00000000-0005-0000-0000-000085160000}"/>
    <cellStyle name="Normal 10 5 2 2" xfId="601" xr:uid="{00000000-0005-0000-0000-000086160000}"/>
    <cellStyle name="Normal 10 5 2 2 2" xfId="2331" xr:uid="{00000000-0005-0000-0000-000087160000}"/>
    <cellStyle name="Normal 10 5 2 2 2 2" xfId="16220" xr:uid="{00000000-0005-0000-0000-000088160000}"/>
    <cellStyle name="Normal 10 5 2 2 2 3" xfId="12642" xr:uid="{00000000-0005-0000-0000-000089160000}"/>
    <cellStyle name="Normal 10 5 2 2 2 4" xfId="7351" xr:uid="{00000000-0005-0000-0000-00008A160000}"/>
    <cellStyle name="Normal 10 5 2 2 3" xfId="3599" xr:uid="{00000000-0005-0000-0000-00008B160000}"/>
    <cellStyle name="Normal 10 5 2 2 3 2" xfId="17244" xr:uid="{00000000-0005-0000-0000-00008C160000}"/>
    <cellStyle name="Normal 10 5 2 2 3 3" xfId="13665" xr:uid="{00000000-0005-0000-0000-00008D160000}"/>
    <cellStyle name="Normal 10 5 2 2 3 4" xfId="8408" xr:uid="{00000000-0005-0000-0000-00008E160000}"/>
    <cellStyle name="Normal 10 5 2 2 4" xfId="6467" xr:uid="{00000000-0005-0000-0000-00008F160000}"/>
    <cellStyle name="Normal 10 5 2 2 4 2" xfId="15551" xr:uid="{00000000-0005-0000-0000-000090160000}"/>
    <cellStyle name="Normal 10 5 2 2 5" xfId="9862" xr:uid="{00000000-0005-0000-0000-000091160000}"/>
    <cellStyle name="Normal 10 5 2 2 5 2" xfId="18689" xr:uid="{00000000-0005-0000-0000-000092160000}"/>
    <cellStyle name="Normal 10 5 2 2 6" xfId="11306" xr:uid="{00000000-0005-0000-0000-000093160000}"/>
    <cellStyle name="Normal 10 5 2 2 7" xfId="4945" xr:uid="{00000000-0005-0000-0000-000094160000}"/>
    <cellStyle name="Normal 10 5 2 3" xfId="959" xr:uid="{00000000-0005-0000-0000-000095160000}"/>
    <cellStyle name="Normal 10 5 2 3 2" xfId="2679" xr:uid="{00000000-0005-0000-0000-000096160000}"/>
    <cellStyle name="Normal 10 5 2 3 2 2" xfId="16709" xr:uid="{00000000-0005-0000-0000-000097160000}"/>
    <cellStyle name="Normal 10 5 2 3 2 3" xfId="13130" xr:uid="{00000000-0005-0000-0000-000098160000}"/>
    <cellStyle name="Normal 10 5 2 3 2 4" xfId="7841" xr:uid="{00000000-0005-0000-0000-000099160000}"/>
    <cellStyle name="Normal 10 5 2 3 3" xfId="3947" xr:uid="{00000000-0005-0000-0000-00009A160000}"/>
    <cellStyle name="Normal 10 5 2 3 3 2" xfId="17592" xr:uid="{00000000-0005-0000-0000-00009B160000}"/>
    <cellStyle name="Normal 10 5 2 3 3 3" xfId="14013" xr:uid="{00000000-0005-0000-0000-00009C160000}"/>
    <cellStyle name="Normal 10 5 2 3 3 4" xfId="8756" xr:uid="{00000000-0005-0000-0000-00009D160000}"/>
    <cellStyle name="Normal 10 5 2 3 4" xfId="6248" xr:uid="{00000000-0005-0000-0000-00009E160000}"/>
    <cellStyle name="Normal 10 5 2 3 4 2" xfId="15332" xr:uid="{00000000-0005-0000-0000-00009F160000}"/>
    <cellStyle name="Normal 10 5 2 3 5" xfId="10210" xr:uid="{00000000-0005-0000-0000-0000A0160000}"/>
    <cellStyle name="Normal 10 5 2 3 5 2" xfId="19037" xr:uid="{00000000-0005-0000-0000-0000A1160000}"/>
    <cellStyle name="Normal 10 5 2 3 6" xfId="11656" xr:uid="{00000000-0005-0000-0000-0000A2160000}"/>
    <cellStyle name="Normal 10 5 2 3 7" xfId="5435" xr:uid="{00000000-0005-0000-0000-0000A3160000}"/>
    <cellStyle name="Normal 10 5 2 4" xfId="1562" xr:uid="{00000000-0005-0000-0000-0000A4160000}"/>
    <cellStyle name="Normal 10 5 2 4 2" xfId="3160" xr:uid="{00000000-0005-0000-0000-0000A5160000}"/>
    <cellStyle name="Normal 10 5 2 4 2 2" xfId="18073" xr:uid="{00000000-0005-0000-0000-0000A6160000}"/>
    <cellStyle name="Normal 10 5 2 4 2 3" xfId="14494" xr:uid="{00000000-0005-0000-0000-0000A7160000}"/>
    <cellStyle name="Normal 10 5 2 4 2 4" xfId="9237" xr:uid="{00000000-0005-0000-0000-0000A8160000}"/>
    <cellStyle name="Normal 10 5 2 4 3" xfId="10691" xr:uid="{00000000-0005-0000-0000-0000A9160000}"/>
    <cellStyle name="Normal 10 5 2 4 3 2" xfId="19518" xr:uid="{00000000-0005-0000-0000-0000AA160000}"/>
    <cellStyle name="Normal 10 5 2 4 4" xfId="12137" xr:uid="{00000000-0005-0000-0000-0000AB160000}"/>
    <cellStyle name="Normal 10 5 2 4 5" xfId="7132" xr:uid="{00000000-0005-0000-0000-0000AC160000}"/>
    <cellStyle name="Normal 10 5 2 5" xfId="2117" xr:uid="{00000000-0005-0000-0000-0000AD160000}"/>
    <cellStyle name="Normal 10 5 2 5 2" xfId="17030" xr:uid="{00000000-0005-0000-0000-0000AE160000}"/>
    <cellStyle name="Normal 10 5 2 5 3" xfId="13451" xr:uid="{00000000-0005-0000-0000-0000AF160000}"/>
    <cellStyle name="Normal 10 5 2 5 4" xfId="8194" xr:uid="{00000000-0005-0000-0000-0000B0160000}"/>
    <cellStyle name="Normal 10 5 2 6" xfId="5755" xr:uid="{00000000-0005-0000-0000-0000B1160000}"/>
    <cellStyle name="Normal 10 5 2 6 2" xfId="14841" xr:uid="{00000000-0005-0000-0000-0000B2160000}"/>
    <cellStyle name="Normal 10 5 2 7" xfId="9648" xr:uid="{00000000-0005-0000-0000-0000B3160000}"/>
    <cellStyle name="Normal 10 5 2 7 2" xfId="18475" xr:uid="{00000000-0005-0000-0000-0000B4160000}"/>
    <cellStyle name="Normal 10 5 2 8" xfId="11092" xr:uid="{00000000-0005-0000-0000-0000B5160000}"/>
    <cellStyle name="Normal 10 5 2 9" xfId="4726" xr:uid="{00000000-0005-0000-0000-0000B6160000}"/>
    <cellStyle name="Normal 10 5 2_Degree data" xfId="1284" xr:uid="{00000000-0005-0000-0000-0000B7160000}"/>
    <cellStyle name="Normal 10 5 3" xfId="600" xr:uid="{00000000-0005-0000-0000-0000B8160000}"/>
    <cellStyle name="Normal 10 5 3 2" xfId="2330" xr:uid="{00000000-0005-0000-0000-0000B9160000}"/>
    <cellStyle name="Normal 10 5 3 2 2" xfId="16046" xr:uid="{00000000-0005-0000-0000-0000BA160000}"/>
    <cellStyle name="Normal 10 5 3 2 3" xfId="12252" xr:uid="{00000000-0005-0000-0000-0000BB160000}"/>
    <cellStyle name="Normal 10 5 3 2 4" xfId="7032" xr:uid="{00000000-0005-0000-0000-0000BC160000}"/>
    <cellStyle name="Normal 10 5 3 3" xfId="3598" xr:uid="{00000000-0005-0000-0000-0000BD160000}"/>
    <cellStyle name="Normal 10 5 3 3 2" xfId="17243" xr:uid="{00000000-0005-0000-0000-0000BE160000}"/>
    <cellStyle name="Normal 10 5 3 3 3" xfId="13664" xr:uid="{00000000-0005-0000-0000-0000BF160000}"/>
    <cellStyle name="Normal 10 5 3 3 4" xfId="8407" xr:uid="{00000000-0005-0000-0000-0000C0160000}"/>
    <cellStyle name="Normal 10 5 3 4" xfId="6148" xr:uid="{00000000-0005-0000-0000-0000C1160000}"/>
    <cellStyle name="Normal 10 5 3 4 2" xfId="15232" xr:uid="{00000000-0005-0000-0000-0000C2160000}"/>
    <cellStyle name="Normal 10 5 3 5" xfId="9861" xr:uid="{00000000-0005-0000-0000-0000C3160000}"/>
    <cellStyle name="Normal 10 5 3 5 2" xfId="18688" xr:uid="{00000000-0005-0000-0000-0000C4160000}"/>
    <cellStyle name="Normal 10 5 3 6" xfId="11305" xr:uid="{00000000-0005-0000-0000-0000C5160000}"/>
    <cellStyle name="Normal 10 5 3 7" xfId="4626" xr:uid="{00000000-0005-0000-0000-0000C6160000}"/>
    <cellStyle name="Normal 10 5 4" xfId="958" xr:uid="{00000000-0005-0000-0000-0000C7160000}"/>
    <cellStyle name="Normal 10 5 4 2" xfId="2678" xr:uid="{00000000-0005-0000-0000-0000C8160000}"/>
    <cellStyle name="Normal 10 5 4 2 2" xfId="16219" xr:uid="{00000000-0005-0000-0000-0000C9160000}"/>
    <cellStyle name="Normal 10 5 4 2 3" xfId="12641" xr:uid="{00000000-0005-0000-0000-0000CA160000}"/>
    <cellStyle name="Normal 10 5 4 2 4" xfId="7350" xr:uid="{00000000-0005-0000-0000-0000CB160000}"/>
    <cellStyle name="Normal 10 5 4 3" xfId="3946" xr:uid="{00000000-0005-0000-0000-0000CC160000}"/>
    <cellStyle name="Normal 10 5 4 3 2" xfId="17591" xr:uid="{00000000-0005-0000-0000-0000CD160000}"/>
    <cellStyle name="Normal 10 5 4 3 3" xfId="14012" xr:uid="{00000000-0005-0000-0000-0000CE160000}"/>
    <cellStyle name="Normal 10 5 4 3 4" xfId="8755" xr:uid="{00000000-0005-0000-0000-0000CF160000}"/>
    <cellStyle name="Normal 10 5 4 4" xfId="6466" xr:uid="{00000000-0005-0000-0000-0000D0160000}"/>
    <cellStyle name="Normal 10 5 4 4 2" xfId="15550" xr:uid="{00000000-0005-0000-0000-0000D1160000}"/>
    <cellStyle name="Normal 10 5 4 5" xfId="10209" xr:uid="{00000000-0005-0000-0000-0000D2160000}"/>
    <cellStyle name="Normal 10 5 4 5 2" xfId="19036" xr:uid="{00000000-0005-0000-0000-0000D3160000}"/>
    <cellStyle name="Normal 10 5 4 6" xfId="11655" xr:uid="{00000000-0005-0000-0000-0000D4160000}"/>
    <cellStyle name="Normal 10 5 4 7" xfId="4944" xr:uid="{00000000-0005-0000-0000-0000D5160000}"/>
    <cellStyle name="Normal 10 5 5" xfId="1460" xr:uid="{00000000-0005-0000-0000-0000D6160000}"/>
    <cellStyle name="Normal 10 5 5 2" xfId="3060" xr:uid="{00000000-0005-0000-0000-0000D7160000}"/>
    <cellStyle name="Normal 10 5 5 2 2" xfId="16609" xr:uid="{00000000-0005-0000-0000-0000D8160000}"/>
    <cellStyle name="Normal 10 5 5 2 3" xfId="13030" xr:uid="{00000000-0005-0000-0000-0000D9160000}"/>
    <cellStyle name="Normal 10 5 5 2 4" xfId="7741" xr:uid="{00000000-0005-0000-0000-0000DA160000}"/>
    <cellStyle name="Normal 10 5 5 3" xfId="4268" xr:uid="{00000000-0005-0000-0000-0000DB160000}"/>
    <cellStyle name="Normal 10 5 5 3 2" xfId="17973" xr:uid="{00000000-0005-0000-0000-0000DC160000}"/>
    <cellStyle name="Normal 10 5 5 3 3" xfId="14394" xr:uid="{00000000-0005-0000-0000-0000DD160000}"/>
    <cellStyle name="Normal 10 5 5 3 4" xfId="9137" xr:uid="{00000000-0005-0000-0000-0000DE160000}"/>
    <cellStyle name="Normal 10 5 5 4" xfId="5929" xr:uid="{00000000-0005-0000-0000-0000DF160000}"/>
    <cellStyle name="Normal 10 5 5 4 2" xfId="15015" xr:uid="{00000000-0005-0000-0000-0000E0160000}"/>
    <cellStyle name="Normal 10 5 5 5" xfId="10591" xr:uid="{00000000-0005-0000-0000-0000E1160000}"/>
    <cellStyle name="Normal 10 5 5 5 2" xfId="19418" xr:uid="{00000000-0005-0000-0000-0000E2160000}"/>
    <cellStyle name="Normal 10 5 5 6" xfId="12037" xr:uid="{00000000-0005-0000-0000-0000E3160000}"/>
    <cellStyle name="Normal 10 5 5 7" xfId="5335" xr:uid="{00000000-0005-0000-0000-0000E4160000}"/>
    <cellStyle name="Normal 10 5 6" xfId="2017" xr:uid="{00000000-0005-0000-0000-0000E5160000}"/>
    <cellStyle name="Normal 10 5 6 2" xfId="15858" xr:uid="{00000000-0005-0000-0000-0000E6160000}"/>
    <cellStyle name="Normal 10 5 6 3" xfId="12258" xr:uid="{00000000-0005-0000-0000-0000E7160000}"/>
    <cellStyle name="Normal 10 5 6 4" xfId="6815" xr:uid="{00000000-0005-0000-0000-0000E8160000}"/>
    <cellStyle name="Normal 10 5 7" xfId="3430" xr:uid="{00000000-0005-0000-0000-0000E9160000}"/>
    <cellStyle name="Normal 10 5 7 2" xfId="16930" xr:uid="{00000000-0005-0000-0000-0000EA160000}"/>
    <cellStyle name="Normal 10 5 7 3" xfId="13351" xr:uid="{00000000-0005-0000-0000-0000EB160000}"/>
    <cellStyle name="Normal 10 5 7 4" xfId="8094" xr:uid="{00000000-0005-0000-0000-0000EC160000}"/>
    <cellStyle name="Normal 10 5 8" xfId="5655" xr:uid="{00000000-0005-0000-0000-0000ED160000}"/>
    <cellStyle name="Normal 10 5 8 2" xfId="14741" xr:uid="{00000000-0005-0000-0000-0000EE160000}"/>
    <cellStyle name="Normal 10 5 9" xfId="9548" xr:uid="{00000000-0005-0000-0000-0000EF160000}"/>
    <cellStyle name="Normal 10 5 9 2" xfId="18375" xr:uid="{00000000-0005-0000-0000-0000F0160000}"/>
    <cellStyle name="Normal 10 5_Degree data" xfId="1285" xr:uid="{00000000-0005-0000-0000-0000F1160000}"/>
    <cellStyle name="Normal 10 6" xfId="575" xr:uid="{00000000-0005-0000-0000-0000F2160000}"/>
    <cellStyle name="Normal 10 6 2" xfId="2305" xr:uid="{00000000-0005-0000-0000-0000F3160000}"/>
    <cellStyle name="Normal 10 6 2 2" xfId="16194" xr:uid="{00000000-0005-0000-0000-0000F4160000}"/>
    <cellStyle name="Normal 10 6 2 3" xfId="12616" xr:uid="{00000000-0005-0000-0000-0000F5160000}"/>
    <cellStyle name="Normal 10 6 2 4" xfId="7325" xr:uid="{00000000-0005-0000-0000-0000F6160000}"/>
    <cellStyle name="Normal 10 6 3" xfId="3573" xr:uid="{00000000-0005-0000-0000-0000F7160000}"/>
    <cellStyle name="Normal 10 6 3 2" xfId="17218" xr:uid="{00000000-0005-0000-0000-0000F8160000}"/>
    <cellStyle name="Normal 10 6 3 3" xfId="13639" xr:uid="{00000000-0005-0000-0000-0000F9160000}"/>
    <cellStyle name="Normal 10 6 3 4" xfId="8382" xr:uid="{00000000-0005-0000-0000-0000FA160000}"/>
    <cellStyle name="Normal 10 6 4" xfId="6441" xr:uid="{00000000-0005-0000-0000-0000FB160000}"/>
    <cellStyle name="Normal 10 6 4 2" xfId="15525" xr:uid="{00000000-0005-0000-0000-0000FC160000}"/>
    <cellStyle name="Normal 10 6 5" xfId="9836" xr:uid="{00000000-0005-0000-0000-0000FD160000}"/>
    <cellStyle name="Normal 10 6 5 2" xfId="18663" xr:uid="{00000000-0005-0000-0000-0000FE160000}"/>
    <cellStyle name="Normal 10 6 6" xfId="11280" xr:uid="{00000000-0005-0000-0000-0000FF160000}"/>
    <cellStyle name="Normal 10 6 7" xfId="4919" xr:uid="{00000000-0005-0000-0000-000000170000}"/>
    <cellStyle name="Normal 10 7" xfId="933" xr:uid="{00000000-0005-0000-0000-000001170000}"/>
    <cellStyle name="Normal 10 7 2" xfId="2653" xr:uid="{00000000-0005-0000-0000-000002170000}"/>
    <cellStyle name="Normal 10 7 2 2" xfId="16473" xr:uid="{00000000-0005-0000-0000-000003170000}"/>
    <cellStyle name="Normal 10 7 2 3" xfId="12895" xr:uid="{00000000-0005-0000-0000-000004170000}"/>
    <cellStyle name="Normal 10 7 2 4" xfId="7605" xr:uid="{00000000-0005-0000-0000-000005170000}"/>
    <cellStyle name="Normal 10 7 3" xfId="3921" xr:uid="{00000000-0005-0000-0000-000006170000}"/>
    <cellStyle name="Normal 10 7 3 2" xfId="17566" xr:uid="{00000000-0005-0000-0000-000007170000}"/>
    <cellStyle name="Normal 10 7 3 3" xfId="13987" xr:uid="{00000000-0005-0000-0000-000008170000}"/>
    <cellStyle name="Normal 10 7 3 4" xfId="8730" xr:uid="{00000000-0005-0000-0000-000009170000}"/>
    <cellStyle name="Normal 10 7 4" xfId="6731" xr:uid="{00000000-0005-0000-0000-00000A170000}"/>
    <cellStyle name="Normal 10 7 4 2" xfId="15814" xr:uid="{00000000-0005-0000-0000-00000B170000}"/>
    <cellStyle name="Normal 10 7 5" xfId="10184" xr:uid="{00000000-0005-0000-0000-00000C170000}"/>
    <cellStyle name="Normal 10 7 5 2" xfId="19011" xr:uid="{00000000-0005-0000-0000-00000D170000}"/>
    <cellStyle name="Normal 10 7 6" xfId="11630" xr:uid="{00000000-0005-0000-0000-00000E170000}"/>
    <cellStyle name="Normal 10 7 7" xfId="5199" xr:uid="{00000000-0005-0000-0000-00000F170000}"/>
    <cellStyle name="Normal 10 8" xfId="1257" xr:uid="{00000000-0005-0000-0000-000010170000}"/>
    <cellStyle name="Normal 10 8 2" xfId="2924" xr:uid="{00000000-0005-0000-0000-000011170000}"/>
    <cellStyle name="Normal 10 8 2 2" xfId="17837" xr:uid="{00000000-0005-0000-0000-000012170000}"/>
    <cellStyle name="Normal 10 8 2 3" xfId="14258" xr:uid="{00000000-0005-0000-0000-000013170000}"/>
    <cellStyle name="Normal 10 8 2 4" xfId="9001" xr:uid="{00000000-0005-0000-0000-000014170000}"/>
    <cellStyle name="Normal 10 8 3" xfId="10455" xr:uid="{00000000-0005-0000-0000-000015170000}"/>
    <cellStyle name="Normal 10 8 3 2" xfId="19282" xr:uid="{00000000-0005-0000-0000-000016170000}"/>
    <cellStyle name="Normal 10 8 4" xfId="11901" xr:uid="{00000000-0005-0000-0000-000017170000}"/>
    <cellStyle name="Normal 10 8 5" xfId="7951" xr:uid="{00000000-0005-0000-0000-000018170000}"/>
    <cellStyle name="Normal 10 9" xfId="1881" xr:uid="{00000000-0005-0000-0000-000019170000}"/>
    <cellStyle name="Normal 10 9 2" xfId="9412" xr:uid="{00000000-0005-0000-0000-00001A170000}"/>
    <cellStyle name="Normal 10 9 2 2" xfId="18239" xr:uid="{00000000-0005-0000-0000-00001B170000}"/>
    <cellStyle name="Normal 10 9 3" xfId="10856" xr:uid="{00000000-0005-0000-0000-00001C170000}"/>
    <cellStyle name="Normal 10 9 4" xfId="7955" xr:uid="{00000000-0005-0000-0000-00001D170000}"/>
    <cellStyle name="Normal 10_Degree data" xfId="1206" xr:uid="{00000000-0005-0000-0000-00001E170000}"/>
    <cellStyle name="Normal 100" xfId="9364" xr:uid="{00000000-0005-0000-0000-00001F170000}"/>
    <cellStyle name="Normal 100 2" xfId="19639" xr:uid="{00000000-0005-0000-0000-000020170000}"/>
    <cellStyle name="Normal 101" xfId="10800" xr:uid="{00000000-0005-0000-0000-000021170000}"/>
    <cellStyle name="Normal 101 2" xfId="14614" xr:uid="{00000000-0005-0000-0000-000022170000}"/>
    <cellStyle name="Normal 101 3" xfId="19698" xr:uid="{00000000-0005-0000-0000-000023170000}"/>
    <cellStyle name="Normal 102" xfId="10802" xr:uid="{00000000-0005-0000-0000-000024170000}"/>
    <cellStyle name="Normal 102 2" xfId="14631" xr:uid="{00000000-0005-0000-0000-000025170000}"/>
    <cellStyle name="Normal 102 3" xfId="19700" xr:uid="{00000000-0005-0000-0000-000026170000}"/>
    <cellStyle name="Normal 103" xfId="19627" xr:uid="{00000000-0005-0000-0000-000027170000}"/>
    <cellStyle name="Normal 104" xfId="10801" xr:uid="{00000000-0005-0000-0000-000028170000}"/>
    <cellStyle name="Normal 104 2" xfId="19699" xr:uid="{00000000-0005-0000-0000-000029170000}"/>
    <cellStyle name="Normal 105" xfId="10837" xr:uid="{00000000-0005-0000-0000-00002A170000}"/>
    <cellStyle name="Normal 105 2" xfId="19701" xr:uid="{00000000-0005-0000-0000-00002B170000}"/>
    <cellStyle name="Normal 106" xfId="4343" xr:uid="{00000000-0005-0000-0000-00002C170000}"/>
    <cellStyle name="Normal 107" xfId="461" xr:uid="{00000000-0005-0000-0000-00002D170000}"/>
    <cellStyle name="Normal 107 2" xfId="19697" xr:uid="{00000000-0005-0000-0000-00002E170000}"/>
    <cellStyle name="Normal 108" xfId="19628" xr:uid="{00000000-0005-0000-0000-00002F170000}"/>
    <cellStyle name="Normal 108 2" xfId="19702" xr:uid="{00000000-0005-0000-0000-000030170000}"/>
    <cellStyle name="Normal 109" xfId="19630" xr:uid="{00000000-0005-0000-0000-000031170000}"/>
    <cellStyle name="Normal 109 2" xfId="19703" xr:uid="{00000000-0005-0000-0000-000032170000}"/>
    <cellStyle name="Normal 11" xfId="112" xr:uid="{00000000-0005-0000-0000-000033170000}"/>
    <cellStyle name="Normal 110" xfId="19631" xr:uid="{00000000-0005-0000-0000-000034170000}"/>
    <cellStyle name="Normal 110 2" xfId="19704" xr:uid="{00000000-0005-0000-0000-000035170000}"/>
    <cellStyle name="Normal 12" xfId="22" xr:uid="{00000000-0005-0000-0000-000036170000}"/>
    <cellStyle name="Normal 12 2" xfId="120" xr:uid="{00000000-0005-0000-0000-000037170000}"/>
    <cellStyle name="Normal 12 3" xfId="103" xr:uid="{00000000-0005-0000-0000-000038170000}"/>
    <cellStyle name="Normal 13" xfId="47" xr:uid="{00000000-0005-0000-0000-000039170000}"/>
    <cellStyle name="Normal 13 2" xfId="23" xr:uid="{00000000-0005-0000-0000-00003A170000}"/>
    <cellStyle name="Normal 13 3" xfId="114" xr:uid="{00000000-0005-0000-0000-00003B170000}"/>
    <cellStyle name="Normal 13 3 2" xfId="134" xr:uid="{00000000-0005-0000-0000-00003C170000}"/>
    <cellStyle name="Normal 13 3 3" xfId="161" xr:uid="{00000000-0005-0000-0000-00003D170000}"/>
    <cellStyle name="Normal 14" xfId="21" xr:uid="{00000000-0005-0000-0000-00003E170000}"/>
    <cellStyle name="Normal 14 2" xfId="119" xr:uid="{00000000-0005-0000-0000-00003F170000}"/>
    <cellStyle name="Normal 14 3" xfId="101" xr:uid="{00000000-0005-0000-0000-000040170000}"/>
    <cellStyle name="Normal 143" xfId="19658" xr:uid="{00000000-0005-0000-0000-000041170000}"/>
    <cellStyle name="Normal 143 2" xfId="19672" xr:uid="{00000000-0005-0000-0000-000042170000}"/>
    <cellStyle name="Normal 144" xfId="19659" xr:uid="{00000000-0005-0000-0000-000043170000}"/>
    <cellStyle name="Normal 148" xfId="19648" xr:uid="{00000000-0005-0000-0000-000044170000}"/>
    <cellStyle name="Normal 149" xfId="19649" xr:uid="{00000000-0005-0000-0000-000045170000}"/>
    <cellStyle name="Normal 15" xfId="102" xr:uid="{00000000-0005-0000-0000-000046170000}"/>
    <cellStyle name="Normal 15 2" xfId="602" xr:uid="{00000000-0005-0000-0000-000047170000}"/>
    <cellStyle name="Normal 15 2 2" xfId="960" xr:uid="{00000000-0005-0000-0000-000048170000}"/>
    <cellStyle name="Normal 15 2 2 2" xfId="2680" xr:uid="{00000000-0005-0000-0000-000049170000}"/>
    <cellStyle name="Normal 15 2 2 2 2" xfId="16817" xr:uid="{00000000-0005-0000-0000-00004A170000}"/>
    <cellStyle name="Normal 15 2 2 2 3" xfId="13238" xr:uid="{00000000-0005-0000-0000-00004B170000}"/>
    <cellStyle name="Normal 15 2 2 2 4" xfId="7949" xr:uid="{00000000-0005-0000-0000-00004C170000}"/>
    <cellStyle name="Normal 15 2 2 3" xfId="3948" xr:uid="{00000000-0005-0000-0000-00004D170000}"/>
    <cellStyle name="Normal 15 2 2 3 2" xfId="17593" xr:uid="{00000000-0005-0000-0000-00004E170000}"/>
    <cellStyle name="Normal 15 2 2 3 3" xfId="14014" xr:uid="{00000000-0005-0000-0000-00004F170000}"/>
    <cellStyle name="Normal 15 2 2 3 4" xfId="8757" xr:uid="{00000000-0005-0000-0000-000050170000}"/>
    <cellStyle name="Normal 15 2 2 4" xfId="6728" xr:uid="{00000000-0005-0000-0000-000051170000}"/>
    <cellStyle name="Normal 15 2 2 4 2" xfId="15811" xr:uid="{00000000-0005-0000-0000-000052170000}"/>
    <cellStyle name="Normal 15 2 2 5" xfId="10211" xr:uid="{00000000-0005-0000-0000-000053170000}"/>
    <cellStyle name="Normal 15 2 2 5 2" xfId="19038" xr:uid="{00000000-0005-0000-0000-000054170000}"/>
    <cellStyle name="Normal 15 2 2 6" xfId="11657" xr:uid="{00000000-0005-0000-0000-000055170000}"/>
    <cellStyle name="Normal 15 2 2 7" xfId="5543" xr:uid="{00000000-0005-0000-0000-000056170000}"/>
    <cellStyle name="Normal 15 2 3" xfId="1675" xr:uid="{00000000-0005-0000-0000-000057170000}"/>
    <cellStyle name="Normal 15 2 3 2" xfId="3268" xr:uid="{00000000-0005-0000-0000-000058170000}"/>
    <cellStyle name="Normal 15 2 3 2 2" xfId="18181" xr:uid="{00000000-0005-0000-0000-000059170000}"/>
    <cellStyle name="Normal 15 2 3 2 3" xfId="14602" xr:uid="{00000000-0005-0000-0000-00005A170000}"/>
    <cellStyle name="Normal 15 2 3 2 4" xfId="9345" xr:uid="{00000000-0005-0000-0000-00005B170000}"/>
    <cellStyle name="Normal 15 2 3 3" xfId="10799" xr:uid="{00000000-0005-0000-0000-00005C170000}"/>
    <cellStyle name="Normal 15 2 3 3 2" xfId="19626" xr:uid="{00000000-0005-0000-0000-00005D170000}"/>
    <cellStyle name="Normal 15 2 3 4" xfId="12245" xr:uid="{00000000-0005-0000-0000-00005E170000}"/>
    <cellStyle name="Normal 15 2 3 5" xfId="7352" xr:uid="{00000000-0005-0000-0000-00005F170000}"/>
    <cellStyle name="Normal 15 2 4" xfId="2332" xr:uid="{00000000-0005-0000-0000-000060170000}"/>
    <cellStyle name="Normal 15 2 4 2" xfId="17245" xr:uid="{00000000-0005-0000-0000-000061170000}"/>
    <cellStyle name="Normal 15 2 4 3" xfId="13666" xr:uid="{00000000-0005-0000-0000-000062170000}"/>
    <cellStyle name="Normal 15 2 4 4" xfId="8409" xr:uid="{00000000-0005-0000-0000-000063170000}"/>
    <cellStyle name="Normal 15 2 5" xfId="6468" xr:uid="{00000000-0005-0000-0000-000064170000}"/>
    <cellStyle name="Normal 15 2 5 2" xfId="15552" xr:uid="{00000000-0005-0000-0000-000065170000}"/>
    <cellStyle name="Normal 15 2 6" xfId="9863" xr:uid="{00000000-0005-0000-0000-000066170000}"/>
    <cellStyle name="Normal 15 2 6 2" xfId="18690" xr:uid="{00000000-0005-0000-0000-000067170000}"/>
    <cellStyle name="Normal 15 2 7" xfId="11307" xr:uid="{00000000-0005-0000-0000-000068170000}"/>
    <cellStyle name="Normal 15 2 8" xfId="4946" xr:uid="{00000000-0005-0000-0000-000069170000}"/>
    <cellStyle name="Normal 15 2_Degree data" xfId="1583" xr:uid="{00000000-0005-0000-0000-00006A170000}"/>
    <cellStyle name="Normal 150" xfId="19650" xr:uid="{00000000-0005-0000-0000-00006B170000}"/>
    <cellStyle name="Normal 151" xfId="19651" xr:uid="{00000000-0005-0000-0000-00006C170000}"/>
    <cellStyle name="Normal 152" xfId="19652" xr:uid="{00000000-0005-0000-0000-00006D170000}"/>
    <cellStyle name="Normal 153" xfId="19653" xr:uid="{00000000-0005-0000-0000-00006E170000}"/>
    <cellStyle name="Normal 154" xfId="19654" xr:uid="{00000000-0005-0000-0000-00006F170000}"/>
    <cellStyle name="Normal 16" xfId="48" xr:uid="{00000000-0005-0000-0000-000070170000}"/>
    <cellStyle name="Normal 160" xfId="19680" xr:uid="{00000000-0005-0000-0000-000071170000}"/>
    <cellStyle name="Normal 162" xfId="19681" xr:uid="{00000000-0005-0000-0000-000072170000}"/>
    <cellStyle name="Normal 165" xfId="19682" xr:uid="{00000000-0005-0000-0000-000073170000}"/>
    <cellStyle name="Normal 166" xfId="19683" xr:uid="{00000000-0005-0000-0000-000074170000}"/>
    <cellStyle name="Normal 17" xfId="10" xr:uid="{00000000-0005-0000-0000-000075170000}"/>
    <cellStyle name="Normal 17 2" xfId="49" xr:uid="{00000000-0005-0000-0000-000076170000}"/>
    <cellStyle name="Normal 18" xfId="9" xr:uid="{00000000-0005-0000-0000-000077170000}"/>
    <cellStyle name="Normal 18 2" xfId="50" xr:uid="{00000000-0005-0000-0000-000078170000}"/>
    <cellStyle name="Normal 19" xfId="73" xr:uid="{00000000-0005-0000-0000-000079170000}"/>
    <cellStyle name="Normal 19 2" xfId="127" xr:uid="{00000000-0005-0000-0000-00007A170000}"/>
    <cellStyle name="Normal 19 3" xfId="96" xr:uid="{00000000-0005-0000-0000-00007B170000}"/>
    <cellStyle name="Normal 2" xfId="4" xr:uid="{00000000-0005-0000-0000-00007C170000}"/>
    <cellStyle name="Normal 2 2" xfId="15" xr:uid="{00000000-0005-0000-0000-00007D170000}"/>
    <cellStyle name="Normal 2 2 2" xfId="34" xr:uid="{00000000-0005-0000-0000-00007E170000}"/>
    <cellStyle name="Normal 2 3" xfId="33" xr:uid="{00000000-0005-0000-0000-00007F170000}"/>
    <cellStyle name="Normal 2 3 2" xfId="35" xr:uid="{00000000-0005-0000-0000-000080170000}"/>
    <cellStyle name="Normal 2 4" xfId="89" xr:uid="{00000000-0005-0000-0000-000081170000}"/>
    <cellStyle name="Normal 2 4 2" xfId="278" xr:uid="{00000000-0005-0000-0000-000082170000}"/>
    <cellStyle name="Normal 2 5" xfId="36" xr:uid="{00000000-0005-0000-0000-000083170000}"/>
    <cellStyle name="Normal 2 5 10" xfId="465" xr:uid="{00000000-0005-0000-0000-000084170000}"/>
    <cellStyle name="Normal 2 5 10 2" xfId="604" xr:uid="{00000000-0005-0000-0000-000085170000}"/>
    <cellStyle name="Normal 2 5 10 2 2" xfId="2334" xr:uid="{00000000-0005-0000-0000-000086170000}"/>
    <cellStyle name="Normal 2 5 10 2 2 2" xfId="16222" xr:uid="{00000000-0005-0000-0000-000087170000}"/>
    <cellStyle name="Normal 2 5 10 2 2 3" xfId="12644" xr:uid="{00000000-0005-0000-0000-000088170000}"/>
    <cellStyle name="Normal 2 5 10 2 2 4" xfId="7354" xr:uid="{00000000-0005-0000-0000-000089170000}"/>
    <cellStyle name="Normal 2 5 10 2 3" xfId="3601" xr:uid="{00000000-0005-0000-0000-00008A170000}"/>
    <cellStyle name="Normal 2 5 10 2 3 2" xfId="17247" xr:uid="{00000000-0005-0000-0000-00008B170000}"/>
    <cellStyle name="Normal 2 5 10 2 3 3" xfId="13668" xr:uid="{00000000-0005-0000-0000-00008C170000}"/>
    <cellStyle name="Normal 2 5 10 2 3 4" xfId="8411" xr:uid="{00000000-0005-0000-0000-00008D170000}"/>
    <cellStyle name="Normal 2 5 10 2 4" xfId="6470" xr:uid="{00000000-0005-0000-0000-00008E170000}"/>
    <cellStyle name="Normal 2 5 10 2 4 2" xfId="15554" xr:uid="{00000000-0005-0000-0000-00008F170000}"/>
    <cellStyle name="Normal 2 5 10 2 5" xfId="9865" xr:uid="{00000000-0005-0000-0000-000090170000}"/>
    <cellStyle name="Normal 2 5 10 2 5 2" xfId="18692" xr:uid="{00000000-0005-0000-0000-000091170000}"/>
    <cellStyle name="Normal 2 5 10 2 6" xfId="11309" xr:uid="{00000000-0005-0000-0000-000092170000}"/>
    <cellStyle name="Normal 2 5 10 2 7" xfId="4948" xr:uid="{00000000-0005-0000-0000-000093170000}"/>
    <cellStyle name="Normal 2 5 10 3" xfId="962" xr:uid="{00000000-0005-0000-0000-000094170000}"/>
    <cellStyle name="Normal 2 5 10 3 2" xfId="2682" xr:uid="{00000000-0005-0000-0000-000095170000}"/>
    <cellStyle name="Normal 2 5 10 3 2 2" xfId="16503" xr:uid="{00000000-0005-0000-0000-000096170000}"/>
    <cellStyle name="Normal 2 5 10 3 2 3" xfId="12925" xr:uid="{00000000-0005-0000-0000-000097170000}"/>
    <cellStyle name="Normal 2 5 10 3 2 4" xfId="7635" xr:uid="{00000000-0005-0000-0000-000098170000}"/>
    <cellStyle name="Normal 2 5 10 3 3" xfId="3950" xr:uid="{00000000-0005-0000-0000-000099170000}"/>
    <cellStyle name="Normal 2 5 10 3 3 2" xfId="17595" xr:uid="{00000000-0005-0000-0000-00009A170000}"/>
    <cellStyle name="Normal 2 5 10 3 3 3" xfId="14016" xr:uid="{00000000-0005-0000-0000-00009B170000}"/>
    <cellStyle name="Normal 2 5 10 3 3 4" xfId="8759" xr:uid="{00000000-0005-0000-0000-00009C170000}"/>
    <cellStyle name="Normal 2 5 10 3 4" xfId="6722" xr:uid="{00000000-0005-0000-0000-00009D170000}"/>
    <cellStyle name="Normal 2 5 10 3 4 2" xfId="15805" xr:uid="{00000000-0005-0000-0000-00009E170000}"/>
    <cellStyle name="Normal 2 5 10 3 5" xfId="10213" xr:uid="{00000000-0005-0000-0000-00009F170000}"/>
    <cellStyle name="Normal 2 5 10 3 5 2" xfId="19040" xr:uid="{00000000-0005-0000-0000-0000A0170000}"/>
    <cellStyle name="Normal 2 5 10 3 6" xfId="11659" xr:uid="{00000000-0005-0000-0000-0000A1170000}"/>
    <cellStyle name="Normal 2 5 10 3 7" xfId="5229" xr:uid="{00000000-0005-0000-0000-0000A2170000}"/>
    <cellStyle name="Normal 2 5 10 4" xfId="1341" xr:uid="{00000000-0005-0000-0000-0000A3170000}"/>
    <cellStyle name="Normal 2 5 10 4 2" xfId="2954" xr:uid="{00000000-0005-0000-0000-0000A4170000}"/>
    <cellStyle name="Normal 2 5 10 4 2 2" xfId="17867" xr:uid="{00000000-0005-0000-0000-0000A5170000}"/>
    <cellStyle name="Normal 2 5 10 4 2 3" xfId="14288" xr:uid="{00000000-0005-0000-0000-0000A6170000}"/>
    <cellStyle name="Normal 2 5 10 4 2 4" xfId="9031" xr:uid="{00000000-0005-0000-0000-0000A7170000}"/>
    <cellStyle name="Normal 2 5 10 4 3" xfId="10485" xr:uid="{00000000-0005-0000-0000-0000A8170000}"/>
    <cellStyle name="Normal 2 5 10 4 3 2" xfId="19312" xr:uid="{00000000-0005-0000-0000-0000A9170000}"/>
    <cellStyle name="Normal 2 5 10 4 4" xfId="11931" xr:uid="{00000000-0005-0000-0000-0000AA170000}"/>
    <cellStyle name="Normal 2 5 10 4 5" xfId="6926" xr:uid="{00000000-0005-0000-0000-0000AB170000}"/>
    <cellStyle name="Normal 2 5 10 5" xfId="1911" xr:uid="{00000000-0005-0000-0000-0000AC170000}"/>
    <cellStyle name="Normal 2 5 10 5 2" xfId="16822" xr:uid="{00000000-0005-0000-0000-0000AD170000}"/>
    <cellStyle name="Normal 2 5 10 5 3" xfId="13243" xr:uid="{00000000-0005-0000-0000-0000AE170000}"/>
    <cellStyle name="Normal 2 5 10 5 4" xfId="7986" xr:uid="{00000000-0005-0000-0000-0000AF170000}"/>
    <cellStyle name="Normal 2 5 10 6" xfId="6042" xr:uid="{00000000-0005-0000-0000-0000B0170000}"/>
    <cellStyle name="Normal 2 5 10 6 2" xfId="15126" xr:uid="{00000000-0005-0000-0000-0000B1170000}"/>
    <cellStyle name="Normal 2 5 10 7" xfId="9442" xr:uid="{00000000-0005-0000-0000-0000B2170000}"/>
    <cellStyle name="Normal 2 5 10 7 2" xfId="18269" xr:uid="{00000000-0005-0000-0000-0000B3170000}"/>
    <cellStyle name="Normal 2 5 10 8" xfId="10886" xr:uid="{00000000-0005-0000-0000-0000B4170000}"/>
    <cellStyle name="Normal 2 5 10 9" xfId="4520" xr:uid="{00000000-0005-0000-0000-0000B5170000}"/>
    <cellStyle name="Normal 2 5 10_Degree data" xfId="1452" xr:uid="{00000000-0005-0000-0000-0000B6170000}"/>
    <cellStyle name="Normal 2 5 11" xfId="603" xr:uid="{00000000-0005-0000-0000-0000B7170000}"/>
    <cellStyle name="Normal 2 5 11 2" xfId="2333" xr:uid="{00000000-0005-0000-0000-0000B8170000}"/>
    <cellStyle name="Normal 2 5 11 2 2" xfId="16221" xr:uid="{00000000-0005-0000-0000-0000B9170000}"/>
    <cellStyle name="Normal 2 5 11 2 3" xfId="12643" xr:uid="{00000000-0005-0000-0000-0000BA170000}"/>
    <cellStyle name="Normal 2 5 11 2 4" xfId="7353" xr:uid="{00000000-0005-0000-0000-0000BB170000}"/>
    <cellStyle name="Normal 2 5 11 3" xfId="3600" xr:uid="{00000000-0005-0000-0000-0000BC170000}"/>
    <cellStyle name="Normal 2 5 11 3 2" xfId="17246" xr:uid="{00000000-0005-0000-0000-0000BD170000}"/>
    <cellStyle name="Normal 2 5 11 3 3" xfId="13667" xr:uid="{00000000-0005-0000-0000-0000BE170000}"/>
    <cellStyle name="Normal 2 5 11 3 4" xfId="8410" xr:uid="{00000000-0005-0000-0000-0000BF170000}"/>
    <cellStyle name="Normal 2 5 11 4" xfId="6469" xr:uid="{00000000-0005-0000-0000-0000C0170000}"/>
    <cellStyle name="Normal 2 5 11 4 2" xfId="15553" xr:uid="{00000000-0005-0000-0000-0000C1170000}"/>
    <cellStyle name="Normal 2 5 11 5" xfId="9864" xr:uid="{00000000-0005-0000-0000-0000C2170000}"/>
    <cellStyle name="Normal 2 5 11 5 2" xfId="18691" xr:uid="{00000000-0005-0000-0000-0000C3170000}"/>
    <cellStyle name="Normal 2 5 11 6" xfId="11308" xr:uid="{00000000-0005-0000-0000-0000C4170000}"/>
    <cellStyle name="Normal 2 5 11 7" xfId="4947" xr:uid="{00000000-0005-0000-0000-0000C5170000}"/>
    <cellStyle name="Normal 2 5 12" xfId="961" xr:uid="{00000000-0005-0000-0000-0000C6170000}"/>
    <cellStyle name="Normal 2 5 12 2" xfId="2681" xr:uid="{00000000-0005-0000-0000-0000C7170000}"/>
    <cellStyle name="Normal 2 5 12 2 2" xfId="16471" xr:uid="{00000000-0005-0000-0000-0000C8170000}"/>
    <cellStyle name="Normal 2 5 12 2 3" xfId="12893" xr:uid="{00000000-0005-0000-0000-0000C9170000}"/>
    <cellStyle name="Normal 2 5 12 2 4" xfId="7603" xr:uid="{00000000-0005-0000-0000-0000CA170000}"/>
    <cellStyle name="Normal 2 5 12 3" xfId="3949" xr:uid="{00000000-0005-0000-0000-0000CB170000}"/>
    <cellStyle name="Normal 2 5 12 3 2" xfId="17594" xr:uid="{00000000-0005-0000-0000-0000CC170000}"/>
    <cellStyle name="Normal 2 5 12 3 3" xfId="14015" xr:uid="{00000000-0005-0000-0000-0000CD170000}"/>
    <cellStyle name="Normal 2 5 12 3 4" xfId="8758" xr:uid="{00000000-0005-0000-0000-0000CE170000}"/>
    <cellStyle name="Normal 2 5 12 4" xfId="5869" xr:uid="{00000000-0005-0000-0000-0000CF170000}"/>
    <cellStyle name="Normal 2 5 12 4 2" xfId="14955" xr:uid="{00000000-0005-0000-0000-0000D0170000}"/>
    <cellStyle name="Normal 2 5 12 5" xfId="10212" xr:uid="{00000000-0005-0000-0000-0000D1170000}"/>
    <cellStyle name="Normal 2 5 12 5 2" xfId="19039" xr:uid="{00000000-0005-0000-0000-0000D2170000}"/>
    <cellStyle name="Normal 2 5 12 6" xfId="11658" xr:uid="{00000000-0005-0000-0000-0000D3170000}"/>
    <cellStyle name="Normal 2 5 12 7" xfId="5197" xr:uid="{00000000-0005-0000-0000-0000D4170000}"/>
    <cellStyle name="Normal 2 5 13" xfId="1254" xr:uid="{00000000-0005-0000-0000-0000D5170000}"/>
    <cellStyle name="Normal 2 5 13 2" xfId="2922" xr:uid="{00000000-0005-0000-0000-0000D6170000}"/>
    <cellStyle name="Normal 2 5 13 2 2" xfId="17835" xr:uid="{00000000-0005-0000-0000-0000D7170000}"/>
    <cellStyle name="Normal 2 5 13 2 3" xfId="14256" xr:uid="{00000000-0005-0000-0000-0000D8170000}"/>
    <cellStyle name="Normal 2 5 13 2 4" xfId="8999" xr:uid="{00000000-0005-0000-0000-0000D9170000}"/>
    <cellStyle name="Normal 2 5 13 3" xfId="10453" xr:uid="{00000000-0005-0000-0000-0000DA170000}"/>
    <cellStyle name="Normal 2 5 13 3 2" xfId="19280" xr:uid="{00000000-0005-0000-0000-0000DB170000}"/>
    <cellStyle name="Normal 2 5 13 4" xfId="11899" xr:uid="{00000000-0005-0000-0000-0000DC170000}"/>
    <cellStyle name="Normal 2 5 13 5" xfId="6755" xr:uid="{00000000-0005-0000-0000-0000DD170000}"/>
    <cellStyle name="Normal 2 5 14" xfId="1879" xr:uid="{00000000-0005-0000-0000-0000DE170000}"/>
    <cellStyle name="Normal 2 5 14 2" xfId="9410" xr:uid="{00000000-0005-0000-0000-0000DF170000}"/>
    <cellStyle name="Normal 2 5 14 2 2" xfId="18237" xr:uid="{00000000-0005-0000-0000-0000E0170000}"/>
    <cellStyle name="Normal 2 5 14 3" xfId="10854" xr:uid="{00000000-0005-0000-0000-0000E1170000}"/>
    <cellStyle name="Normal 2 5 14 4" xfId="7953" xr:uid="{00000000-0005-0000-0000-0000E2170000}"/>
    <cellStyle name="Normal 2 5 15" xfId="1834" xr:uid="{00000000-0005-0000-0000-0000E3170000}"/>
    <cellStyle name="Normal 2 5 15 2" xfId="14635" xr:uid="{00000000-0005-0000-0000-0000E4170000}"/>
    <cellStyle name="Normal 2 5 15 3" xfId="5549" xr:uid="{00000000-0005-0000-0000-0000E5170000}"/>
    <cellStyle name="Normal 2 5 16" xfId="9370" xr:uid="{00000000-0005-0000-0000-0000E6170000}"/>
    <cellStyle name="Normal 2 5 16 2" xfId="18197" xr:uid="{00000000-0005-0000-0000-0000E7170000}"/>
    <cellStyle name="Normal 2 5 17" xfId="10809" xr:uid="{00000000-0005-0000-0000-0000E8170000}"/>
    <cellStyle name="Normal 2 5 18" xfId="4350" xr:uid="{00000000-0005-0000-0000-0000E9170000}"/>
    <cellStyle name="Normal 2 5 2" xfId="88" xr:uid="{00000000-0005-0000-0000-0000EA170000}"/>
    <cellStyle name="Normal 2 5 2 10" xfId="1283" xr:uid="{00000000-0005-0000-0000-0000EB170000}"/>
    <cellStyle name="Normal 2 5 2 10 2" xfId="2930" xr:uid="{00000000-0005-0000-0000-0000EC170000}"/>
    <cellStyle name="Normal 2 5 2 10 2 2" xfId="17843" xr:uid="{00000000-0005-0000-0000-0000ED170000}"/>
    <cellStyle name="Normal 2 5 2 10 2 3" xfId="14264" xr:uid="{00000000-0005-0000-0000-0000EE170000}"/>
    <cellStyle name="Normal 2 5 2 10 2 4" xfId="9007" xr:uid="{00000000-0005-0000-0000-0000EF170000}"/>
    <cellStyle name="Normal 2 5 2 10 3" xfId="10461" xr:uid="{00000000-0005-0000-0000-0000F0170000}"/>
    <cellStyle name="Normal 2 5 2 10 3 2" xfId="19288" xr:uid="{00000000-0005-0000-0000-0000F1170000}"/>
    <cellStyle name="Normal 2 5 2 10 4" xfId="11907" xr:uid="{00000000-0005-0000-0000-0000F2170000}"/>
    <cellStyle name="Normal 2 5 2 10 5" xfId="6768" xr:uid="{00000000-0005-0000-0000-0000F3170000}"/>
    <cellStyle name="Normal 2 5 2 11" xfId="1887" xr:uid="{00000000-0005-0000-0000-0000F4170000}"/>
    <cellStyle name="Normal 2 5 2 11 2" xfId="9418" xr:uid="{00000000-0005-0000-0000-0000F5170000}"/>
    <cellStyle name="Normal 2 5 2 11 2 2" xfId="18245" xr:uid="{00000000-0005-0000-0000-0000F6170000}"/>
    <cellStyle name="Normal 2 5 2 11 3" xfId="10862" xr:uid="{00000000-0005-0000-0000-0000F7170000}"/>
    <cellStyle name="Normal 2 5 2 11 4" xfId="7962" xr:uid="{00000000-0005-0000-0000-0000F8170000}"/>
    <cellStyle name="Normal 2 5 2 12" xfId="1844" xr:uid="{00000000-0005-0000-0000-0000F9170000}"/>
    <cellStyle name="Normal 2 5 2 12 2" xfId="14643" xr:uid="{00000000-0005-0000-0000-0000FA170000}"/>
    <cellStyle name="Normal 2 5 2 12 3" xfId="5557" xr:uid="{00000000-0005-0000-0000-0000FB170000}"/>
    <cellStyle name="Normal 2 5 2 13" xfId="9378" xr:uid="{00000000-0005-0000-0000-0000FC170000}"/>
    <cellStyle name="Normal 2 5 2 13 2" xfId="18205" xr:uid="{00000000-0005-0000-0000-0000FD170000}"/>
    <cellStyle name="Normal 2 5 2 14" xfId="10818" xr:uid="{00000000-0005-0000-0000-0000FE170000}"/>
    <cellStyle name="Normal 2 5 2 15" xfId="4363" xr:uid="{00000000-0005-0000-0000-0000FF170000}"/>
    <cellStyle name="Normal 2 5 2 2" xfId="125" xr:uid="{00000000-0005-0000-0000-000000180000}"/>
    <cellStyle name="Normal 2 5 2 2 10" xfId="1869" xr:uid="{00000000-0005-0000-0000-000001180000}"/>
    <cellStyle name="Normal 2 5 2 2 10 2" xfId="14668" xr:uid="{00000000-0005-0000-0000-000002180000}"/>
    <cellStyle name="Normal 2 5 2 2 10 3" xfId="5582" xr:uid="{00000000-0005-0000-0000-000003180000}"/>
    <cellStyle name="Normal 2 5 2 2 11" xfId="9400" xr:uid="{00000000-0005-0000-0000-000004180000}"/>
    <cellStyle name="Normal 2 5 2 2 11 2" xfId="18227" xr:uid="{00000000-0005-0000-0000-000005180000}"/>
    <cellStyle name="Normal 2 5 2 2 12" xfId="10844" xr:uid="{00000000-0005-0000-0000-000006180000}"/>
    <cellStyle name="Normal 2 5 2 2 13" xfId="4393" xr:uid="{00000000-0005-0000-0000-000007180000}"/>
    <cellStyle name="Normal 2 5 2 2 2" xfId="268" xr:uid="{00000000-0005-0000-0000-000008180000}"/>
    <cellStyle name="Normal 2 5 2 2 2 10" xfId="11019" xr:uid="{00000000-0005-0000-0000-000009180000}"/>
    <cellStyle name="Normal 2 5 2 2 2 11" xfId="4436" xr:uid="{00000000-0005-0000-0000-00000A180000}"/>
    <cellStyle name="Normal 2 5 2 2 2 2" xfId="376" xr:uid="{00000000-0005-0000-0000-00000B180000}"/>
    <cellStyle name="Normal 2 5 2 2 2 2 2" xfId="608" xr:uid="{00000000-0005-0000-0000-00000C180000}"/>
    <cellStyle name="Normal 2 5 2 2 2 2 2 2" xfId="2338" xr:uid="{00000000-0005-0000-0000-00000D180000}"/>
    <cellStyle name="Normal 2 5 2 2 2 2 2 2 2" xfId="16226" xr:uid="{00000000-0005-0000-0000-00000E180000}"/>
    <cellStyle name="Normal 2 5 2 2 2 2 2 2 3" xfId="12648" xr:uid="{00000000-0005-0000-0000-00000F180000}"/>
    <cellStyle name="Normal 2 5 2 2 2 2 2 2 4" xfId="7358" xr:uid="{00000000-0005-0000-0000-000010180000}"/>
    <cellStyle name="Normal 2 5 2 2 2 2 2 3" xfId="3605" xr:uid="{00000000-0005-0000-0000-000011180000}"/>
    <cellStyle name="Normal 2 5 2 2 2 2 2 3 2" xfId="17251" xr:uid="{00000000-0005-0000-0000-000012180000}"/>
    <cellStyle name="Normal 2 5 2 2 2 2 2 3 3" xfId="13672" xr:uid="{00000000-0005-0000-0000-000013180000}"/>
    <cellStyle name="Normal 2 5 2 2 2 2 2 3 4" xfId="8415" xr:uid="{00000000-0005-0000-0000-000014180000}"/>
    <cellStyle name="Normal 2 5 2 2 2 2 2 4" xfId="6474" xr:uid="{00000000-0005-0000-0000-000015180000}"/>
    <cellStyle name="Normal 2 5 2 2 2 2 2 4 2" xfId="15558" xr:uid="{00000000-0005-0000-0000-000016180000}"/>
    <cellStyle name="Normal 2 5 2 2 2 2 2 5" xfId="9869" xr:uid="{00000000-0005-0000-0000-000017180000}"/>
    <cellStyle name="Normal 2 5 2 2 2 2 2 5 2" xfId="18696" xr:uid="{00000000-0005-0000-0000-000018180000}"/>
    <cellStyle name="Normal 2 5 2 2 2 2 2 6" xfId="11313" xr:uid="{00000000-0005-0000-0000-000019180000}"/>
    <cellStyle name="Normal 2 5 2 2 2 2 2 7" xfId="4952" xr:uid="{00000000-0005-0000-0000-00001A180000}"/>
    <cellStyle name="Normal 2 5 2 2 2 2 3" xfId="966" xr:uid="{00000000-0005-0000-0000-00001B180000}"/>
    <cellStyle name="Normal 2 5 2 2 2 2 3 2" xfId="2686" xr:uid="{00000000-0005-0000-0000-00001C180000}"/>
    <cellStyle name="Normal 2 5 2 2 2 2 3 2 2" xfId="16736" xr:uid="{00000000-0005-0000-0000-00001D180000}"/>
    <cellStyle name="Normal 2 5 2 2 2 2 3 2 3" xfId="13157" xr:uid="{00000000-0005-0000-0000-00001E180000}"/>
    <cellStyle name="Normal 2 5 2 2 2 2 3 2 4" xfId="7868" xr:uid="{00000000-0005-0000-0000-00001F180000}"/>
    <cellStyle name="Normal 2 5 2 2 2 2 3 3" xfId="3954" xr:uid="{00000000-0005-0000-0000-000020180000}"/>
    <cellStyle name="Normal 2 5 2 2 2 2 3 3 2" xfId="17599" xr:uid="{00000000-0005-0000-0000-000021180000}"/>
    <cellStyle name="Normal 2 5 2 2 2 2 3 3 3" xfId="14020" xr:uid="{00000000-0005-0000-0000-000022180000}"/>
    <cellStyle name="Normal 2 5 2 2 2 2 3 3 4" xfId="8763" xr:uid="{00000000-0005-0000-0000-000023180000}"/>
    <cellStyle name="Normal 2 5 2 2 2 2 3 4" xfId="6275" xr:uid="{00000000-0005-0000-0000-000024180000}"/>
    <cellStyle name="Normal 2 5 2 2 2 2 3 4 2" xfId="15359" xr:uid="{00000000-0005-0000-0000-000025180000}"/>
    <cellStyle name="Normal 2 5 2 2 2 2 3 5" xfId="10217" xr:uid="{00000000-0005-0000-0000-000026180000}"/>
    <cellStyle name="Normal 2 5 2 2 2 2 3 5 2" xfId="19044" xr:uid="{00000000-0005-0000-0000-000027180000}"/>
    <cellStyle name="Normal 2 5 2 2 2 2 3 6" xfId="11663" xr:uid="{00000000-0005-0000-0000-000028180000}"/>
    <cellStyle name="Normal 2 5 2 2 2 2 3 7" xfId="5462" xr:uid="{00000000-0005-0000-0000-000029180000}"/>
    <cellStyle name="Normal 2 5 2 2 2 2 4" xfId="1590" xr:uid="{00000000-0005-0000-0000-00002A180000}"/>
    <cellStyle name="Normal 2 5 2 2 2 2 4 2" xfId="3187" xr:uid="{00000000-0005-0000-0000-00002B180000}"/>
    <cellStyle name="Normal 2 5 2 2 2 2 4 2 2" xfId="18100" xr:uid="{00000000-0005-0000-0000-00002C180000}"/>
    <cellStyle name="Normal 2 5 2 2 2 2 4 2 3" xfId="14521" xr:uid="{00000000-0005-0000-0000-00002D180000}"/>
    <cellStyle name="Normal 2 5 2 2 2 2 4 2 4" xfId="9264" xr:uid="{00000000-0005-0000-0000-00002E180000}"/>
    <cellStyle name="Normal 2 5 2 2 2 2 4 3" xfId="10718" xr:uid="{00000000-0005-0000-0000-00002F180000}"/>
    <cellStyle name="Normal 2 5 2 2 2 2 4 3 2" xfId="19545" xr:uid="{00000000-0005-0000-0000-000030180000}"/>
    <cellStyle name="Normal 2 5 2 2 2 2 4 4" xfId="12164" xr:uid="{00000000-0005-0000-0000-000031180000}"/>
    <cellStyle name="Normal 2 5 2 2 2 2 4 5" xfId="7159" xr:uid="{00000000-0005-0000-0000-000032180000}"/>
    <cellStyle name="Normal 2 5 2 2 2 2 5" xfId="2144" xr:uid="{00000000-0005-0000-0000-000033180000}"/>
    <cellStyle name="Normal 2 5 2 2 2 2 5 2" xfId="17057" xr:uid="{00000000-0005-0000-0000-000034180000}"/>
    <cellStyle name="Normal 2 5 2 2 2 2 5 3" xfId="13478" xr:uid="{00000000-0005-0000-0000-000035180000}"/>
    <cellStyle name="Normal 2 5 2 2 2 2 5 4" xfId="8221" xr:uid="{00000000-0005-0000-0000-000036180000}"/>
    <cellStyle name="Normal 2 5 2 2 2 2 6" xfId="5782" xr:uid="{00000000-0005-0000-0000-000037180000}"/>
    <cellStyle name="Normal 2 5 2 2 2 2 6 2" xfId="14868" xr:uid="{00000000-0005-0000-0000-000038180000}"/>
    <cellStyle name="Normal 2 5 2 2 2 2 7" xfId="9675" xr:uid="{00000000-0005-0000-0000-000039180000}"/>
    <cellStyle name="Normal 2 5 2 2 2 2 7 2" xfId="18502" xr:uid="{00000000-0005-0000-0000-00003A180000}"/>
    <cellStyle name="Normal 2 5 2 2 2 2 8" xfId="11119" xr:uid="{00000000-0005-0000-0000-00003B180000}"/>
    <cellStyle name="Normal 2 5 2 2 2 2 9" xfId="4753" xr:uid="{00000000-0005-0000-0000-00003C180000}"/>
    <cellStyle name="Normal 2 5 2 2 2 2_Degree data" xfId="1351" xr:uid="{00000000-0005-0000-0000-00003D180000}"/>
    <cellStyle name="Normal 2 5 2 2 2 3" xfId="607" xr:uid="{00000000-0005-0000-0000-00003E180000}"/>
    <cellStyle name="Normal 2 5 2 2 2 3 2" xfId="2337" xr:uid="{00000000-0005-0000-0000-00003F180000}"/>
    <cellStyle name="Normal 2 5 2 2 2 3 2 2" xfId="16073" xr:uid="{00000000-0005-0000-0000-000040180000}"/>
    <cellStyle name="Normal 2 5 2 2 2 3 2 3" xfId="12374" xr:uid="{00000000-0005-0000-0000-000041180000}"/>
    <cellStyle name="Normal 2 5 2 2 2 3 2 4" xfId="7059" xr:uid="{00000000-0005-0000-0000-000042180000}"/>
    <cellStyle name="Normal 2 5 2 2 2 3 3" xfId="3604" xr:uid="{00000000-0005-0000-0000-000043180000}"/>
    <cellStyle name="Normal 2 5 2 2 2 3 3 2" xfId="17250" xr:uid="{00000000-0005-0000-0000-000044180000}"/>
    <cellStyle name="Normal 2 5 2 2 2 3 3 3" xfId="13671" xr:uid="{00000000-0005-0000-0000-000045180000}"/>
    <cellStyle name="Normal 2 5 2 2 2 3 3 4" xfId="8414" xr:uid="{00000000-0005-0000-0000-000046180000}"/>
    <cellStyle name="Normal 2 5 2 2 2 3 4" xfId="6175" xr:uid="{00000000-0005-0000-0000-000047180000}"/>
    <cellStyle name="Normal 2 5 2 2 2 3 4 2" xfId="15259" xr:uid="{00000000-0005-0000-0000-000048180000}"/>
    <cellStyle name="Normal 2 5 2 2 2 3 5" xfId="9868" xr:uid="{00000000-0005-0000-0000-000049180000}"/>
    <cellStyle name="Normal 2 5 2 2 2 3 5 2" xfId="18695" xr:uid="{00000000-0005-0000-0000-00004A180000}"/>
    <cellStyle name="Normal 2 5 2 2 2 3 6" xfId="11312" xr:uid="{00000000-0005-0000-0000-00004B180000}"/>
    <cellStyle name="Normal 2 5 2 2 2 3 7" xfId="4653" xr:uid="{00000000-0005-0000-0000-00004C180000}"/>
    <cellStyle name="Normal 2 5 2 2 2 4" xfId="965" xr:uid="{00000000-0005-0000-0000-00004D180000}"/>
    <cellStyle name="Normal 2 5 2 2 2 4 2" xfId="2685" xr:uid="{00000000-0005-0000-0000-00004E180000}"/>
    <cellStyle name="Normal 2 5 2 2 2 4 2 2" xfId="16225" xr:uid="{00000000-0005-0000-0000-00004F180000}"/>
    <cellStyle name="Normal 2 5 2 2 2 4 2 3" xfId="12647" xr:uid="{00000000-0005-0000-0000-000050180000}"/>
    <cellStyle name="Normal 2 5 2 2 2 4 2 4" xfId="7357" xr:uid="{00000000-0005-0000-0000-000051180000}"/>
    <cellStyle name="Normal 2 5 2 2 2 4 3" xfId="3953" xr:uid="{00000000-0005-0000-0000-000052180000}"/>
    <cellStyle name="Normal 2 5 2 2 2 4 3 2" xfId="17598" xr:uid="{00000000-0005-0000-0000-000053180000}"/>
    <cellStyle name="Normal 2 5 2 2 2 4 3 3" xfId="14019" xr:uid="{00000000-0005-0000-0000-000054180000}"/>
    <cellStyle name="Normal 2 5 2 2 2 4 3 4" xfId="8762" xr:uid="{00000000-0005-0000-0000-000055180000}"/>
    <cellStyle name="Normal 2 5 2 2 2 4 4" xfId="6473" xr:uid="{00000000-0005-0000-0000-000056180000}"/>
    <cellStyle name="Normal 2 5 2 2 2 4 4 2" xfId="15557" xr:uid="{00000000-0005-0000-0000-000057180000}"/>
    <cellStyle name="Normal 2 5 2 2 2 4 5" xfId="10216" xr:uid="{00000000-0005-0000-0000-000058180000}"/>
    <cellStyle name="Normal 2 5 2 2 2 4 5 2" xfId="19043" xr:uid="{00000000-0005-0000-0000-000059180000}"/>
    <cellStyle name="Normal 2 5 2 2 2 4 6" xfId="11662" xr:uid="{00000000-0005-0000-0000-00005A180000}"/>
    <cellStyle name="Normal 2 5 2 2 2 4 7" xfId="4951" xr:uid="{00000000-0005-0000-0000-00005B180000}"/>
    <cellStyle name="Normal 2 5 2 2 2 5" xfId="1488" xr:uid="{00000000-0005-0000-0000-00005C180000}"/>
    <cellStyle name="Normal 2 5 2 2 2 5 2" xfId="3087" xr:uid="{00000000-0005-0000-0000-00005D180000}"/>
    <cellStyle name="Normal 2 5 2 2 2 5 2 2" xfId="16636" xr:uid="{00000000-0005-0000-0000-00005E180000}"/>
    <cellStyle name="Normal 2 5 2 2 2 5 2 3" xfId="13057" xr:uid="{00000000-0005-0000-0000-00005F180000}"/>
    <cellStyle name="Normal 2 5 2 2 2 5 2 4" xfId="7768" xr:uid="{00000000-0005-0000-0000-000060180000}"/>
    <cellStyle name="Normal 2 5 2 2 2 5 3" xfId="4295" xr:uid="{00000000-0005-0000-0000-000061180000}"/>
    <cellStyle name="Normal 2 5 2 2 2 5 3 2" xfId="18000" xr:uid="{00000000-0005-0000-0000-000062180000}"/>
    <cellStyle name="Normal 2 5 2 2 2 5 3 3" xfId="14421" xr:uid="{00000000-0005-0000-0000-000063180000}"/>
    <cellStyle name="Normal 2 5 2 2 2 5 3 4" xfId="9164" xr:uid="{00000000-0005-0000-0000-000064180000}"/>
    <cellStyle name="Normal 2 5 2 2 2 5 4" xfId="5956" xr:uid="{00000000-0005-0000-0000-000065180000}"/>
    <cellStyle name="Normal 2 5 2 2 2 5 4 2" xfId="15042" xr:uid="{00000000-0005-0000-0000-000066180000}"/>
    <cellStyle name="Normal 2 5 2 2 2 5 5" xfId="10618" xr:uid="{00000000-0005-0000-0000-000067180000}"/>
    <cellStyle name="Normal 2 5 2 2 2 5 5 2" xfId="19445" xr:uid="{00000000-0005-0000-0000-000068180000}"/>
    <cellStyle name="Normal 2 5 2 2 2 5 6" xfId="12064" xr:uid="{00000000-0005-0000-0000-000069180000}"/>
    <cellStyle name="Normal 2 5 2 2 2 5 7" xfId="5362" xr:uid="{00000000-0005-0000-0000-00006A180000}"/>
    <cellStyle name="Normal 2 5 2 2 2 6" xfId="2044" xr:uid="{00000000-0005-0000-0000-00006B180000}"/>
    <cellStyle name="Normal 2 5 2 2 2 6 2" xfId="15885" xr:uid="{00000000-0005-0000-0000-00006C180000}"/>
    <cellStyle name="Normal 2 5 2 2 2 6 3" xfId="12294" xr:uid="{00000000-0005-0000-0000-00006D180000}"/>
    <cellStyle name="Normal 2 5 2 2 2 6 4" xfId="6842" xr:uid="{00000000-0005-0000-0000-00006E180000}"/>
    <cellStyle name="Normal 2 5 2 2 2 7" xfId="3457" xr:uid="{00000000-0005-0000-0000-00006F180000}"/>
    <cellStyle name="Normal 2 5 2 2 2 7 2" xfId="16957" xr:uid="{00000000-0005-0000-0000-000070180000}"/>
    <cellStyle name="Normal 2 5 2 2 2 7 3" xfId="13378" xr:uid="{00000000-0005-0000-0000-000071180000}"/>
    <cellStyle name="Normal 2 5 2 2 2 7 4" xfId="8121" xr:uid="{00000000-0005-0000-0000-000072180000}"/>
    <cellStyle name="Normal 2 5 2 2 2 8" xfId="5682" xr:uid="{00000000-0005-0000-0000-000073180000}"/>
    <cellStyle name="Normal 2 5 2 2 2 8 2" xfId="14768" xr:uid="{00000000-0005-0000-0000-000074180000}"/>
    <cellStyle name="Normal 2 5 2 2 2 9" xfId="9575" xr:uid="{00000000-0005-0000-0000-000075180000}"/>
    <cellStyle name="Normal 2 5 2 2 2 9 2" xfId="18402" xr:uid="{00000000-0005-0000-0000-000076180000}"/>
    <cellStyle name="Normal 2 5 2 2 2_Degree data" xfId="1418" xr:uid="{00000000-0005-0000-0000-000077180000}"/>
    <cellStyle name="Normal 2 5 2 2 3" xfId="225" xr:uid="{00000000-0005-0000-0000-000078180000}"/>
    <cellStyle name="Normal 2 5 2 2 3 10" xfId="10976" xr:uid="{00000000-0005-0000-0000-000079180000}"/>
    <cellStyle name="Normal 2 5 2 2 3 11" xfId="4497" xr:uid="{00000000-0005-0000-0000-00007A180000}"/>
    <cellStyle name="Normal 2 5 2 2 3 2" xfId="438" xr:uid="{00000000-0005-0000-0000-00007B180000}"/>
    <cellStyle name="Normal 2 5 2 2 3 2 2" xfId="610" xr:uid="{00000000-0005-0000-0000-00007C180000}"/>
    <cellStyle name="Normal 2 5 2 2 3 2 2 2" xfId="2340" xr:uid="{00000000-0005-0000-0000-00007D180000}"/>
    <cellStyle name="Normal 2 5 2 2 3 2 2 2 2" xfId="16228" xr:uid="{00000000-0005-0000-0000-00007E180000}"/>
    <cellStyle name="Normal 2 5 2 2 3 2 2 2 3" xfId="12650" xr:uid="{00000000-0005-0000-0000-00007F180000}"/>
    <cellStyle name="Normal 2 5 2 2 3 2 2 2 4" xfId="7360" xr:uid="{00000000-0005-0000-0000-000080180000}"/>
    <cellStyle name="Normal 2 5 2 2 3 2 2 3" xfId="3607" xr:uid="{00000000-0005-0000-0000-000081180000}"/>
    <cellStyle name="Normal 2 5 2 2 3 2 2 3 2" xfId="17253" xr:uid="{00000000-0005-0000-0000-000082180000}"/>
    <cellStyle name="Normal 2 5 2 2 3 2 2 3 3" xfId="13674" xr:uid="{00000000-0005-0000-0000-000083180000}"/>
    <cellStyle name="Normal 2 5 2 2 3 2 2 3 4" xfId="8417" xr:uid="{00000000-0005-0000-0000-000084180000}"/>
    <cellStyle name="Normal 2 5 2 2 3 2 2 4" xfId="6476" xr:uid="{00000000-0005-0000-0000-000085180000}"/>
    <cellStyle name="Normal 2 5 2 2 3 2 2 4 2" xfId="15560" xr:uid="{00000000-0005-0000-0000-000086180000}"/>
    <cellStyle name="Normal 2 5 2 2 3 2 2 5" xfId="9871" xr:uid="{00000000-0005-0000-0000-000087180000}"/>
    <cellStyle name="Normal 2 5 2 2 3 2 2 5 2" xfId="18698" xr:uid="{00000000-0005-0000-0000-000088180000}"/>
    <cellStyle name="Normal 2 5 2 2 3 2 2 6" xfId="11315" xr:uid="{00000000-0005-0000-0000-000089180000}"/>
    <cellStyle name="Normal 2 5 2 2 3 2 2 7" xfId="4954" xr:uid="{00000000-0005-0000-0000-00008A180000}"/>
    <cellStyle name="Normal 2 5 2 2 3 2 3" xfId="968" xr:uid="{00000000-0005-0000-0000-00008B180000}"/>
    <cellStyle name="Normal 2 5 2 2 3 2 3 2" xfId="2688" xr:uid="{00000000-0005-0000-0000-00008C180000}"/>
    <cellStyle name="Normal 2 5 2 2 3 2 3 2 2" xfId="16797" xr:uid="{00000000-0005-0000-0000-00008D180000}"/>
    <cellStyle name="Normal 2 5 2 2 3 2 3 2 3" xfId="13218" xr:uid="{00000000-0005-0000-0000-00008E180000}"/>
    <cellStyle name="Normal 2 5 2 2 3 2 3 2 4" xfId="7929" xr:uid="{00000000-0005-0000-0000-00008F180000}"/>
    <cellStyle name="Normal 2 5 2 2 3 2 3 3" xfId="3956" xr:uid="{00000000-0005-0000-0000-000090180000}"/>
    <cellStyle name="Normal 2 5 2 2 3 2 3 3 2" xfId="17601" xr:uid="{00000000-0005-0000-0000-000091180000}"/>
    <cellStyle name="Normal 2 5 2 2 3 2 3 3 3" xfId="14022" xr:uid="{00000000-0005-0000-0000-000092180000}"/>
    <cellStyle name="Normal 2 5 2 2 3 2 3 3 4" xfId="8765" xr:uid="{00000000-0005-0000-0000-000093180000}"/>
    <cellStyle name="Normal 2 5 2 2 3 2 3 4" xfId="6336" xr:uid="{00000000-0005-0000-0000-000094180000}"/>
    <cellStyle name="Normal 2 5 2 2 3 2 3 4 2" xfId="15420" xr:uid="{00000000-0005-0000-0000-000095180000}"/>
    <cellStyle name="Normal 2 5 2 2 3 2 3 5" xfId="10219" xr:uid="{00000000-0005-0000-0000-000096180000}"/>
    <cellStyle name="Normal 2 5 2 2 3 2 3 5 2" xfId="19046" xr:uid="{00000000-0005-0000-0000-000097180000}"/>
    <cellStyle name="Normal 2 5 2 2 3 2 3 6" xfId="11665" xr:uid="{00000000-0005-0000-0000-000098180000}"/>
    <cellStyle name="Normal 2 5 2 2 3 2 3 7" xfId="5523" xr:uid="{00000000-0005-0000-0000-000099180000}"/>
    <cellStyle name="Normal 2 5 2 2 3 2 4" xfId="1652" xr:uid="{00000000-0005-0000-0000-00009A180000}"/>
    <cellStyle name="Normal 2 5 2 2 3 2 4 2" xfId="3248" xr:uid="{00000000-0005-0000-0000-00009B180000}"/>
    <cellStyle name="Normal 2 5 2 2 3 2 4 2 2" xfId="18161" xr:uid="{00000000-0005-0000-0000-00009C180000}"/>
    <cellStyle name="Normal 2 5 2 2 3 2 4 2 3" xfId="14582" xr:uid="{00000000-0005-0000-0000-00009D180000}"/>
    <cellStyle name="Normal 2 5 2 2 3 2 4 2 4" xfId="9325" xr:uid="{00000000-0005-0000-0000-00009E180000}"/>
    <cellStyle name="Normal 2 5 2 2 3 2 4 3" xfId="10779" xr:uid="{00000000-0005-0000-0000-00009F180000}"/>
    <cellStyle name="Normal 2 5 2 2 3 2 4 3 2" xfId="19606" xr:uid="{00000000-0005-0000-0000-0000A0180000}"/>
    <cellStyle name="Normal 2 5 2 2 3 2 4 4" xfId="12225" xr:uid="{00000000-0005-0000-0000-0000A1180000}"/>
    <cellStyle name="Normal 2 5 2 2 3 2 4 5" xfId="7220" xr:uid="{00000000-0005-0000-0000-0000A2180000}"/>
    <cellStyle name="Normal 2 5 2 2 3 2 5" xfId="2205" xr:uid="{00000000-0005-0000-0000-0000A3180000}"/>
    <cellStyle name="Normal 2 5 2 2 3 2 5 2" xfId="17118" xr:uid="{00000000-0005-0000-0000-0000A4180000}"/>
    <cellStyle name="Normal 2 5 2 2 3 2 5 3" xfId="13539" xr:uid="{00000000-0005-0000-0000-0000A5180000}"/>
    <cellStyle name="Normal 2 5 2 2 3 2 5 4" xfId="8282" xr:uid="{00000000-0005-0000-0000-0000A6180000}"/>
    <cellStyle name="Normal 2 5 2 2 3 2 6" xfId="5843" xr:uid="{00000000-0005-0000-0000-0000A7180000}"/>
    <cellStyle name="Normal 2 5 2 2 3 2 6 2" xfId="14929" xr:uid="{00000000-0005-0000-0000-0000A8180000}"/>
    <cellStyle name="Normal 2 5 2 2 3 2 7" xfId="9736" xr:uid="{00000000-0005-0000-0000-0000A9180000}"/>
    <cellStyle name="Normal 2 5 2 2 3 2 7 2" xfId="18563" xr:uid="{00000000-0005-0000-0000-0000AA180000}"/>
    <cellStyle name="Normal 2 5 2 2 3 2 8" xfId="11180" xr:uid="{00000000-0005-0000-0000-0000AB180000}"/>
    <cellStyle name="Normal 2 5 2 2 3 2 9" xfId="4814" xr:uid="{00000000-0005-0000-0000-0000AC180000}"/>
    <cellStyle name="Normal 2 5 2 2 3 2_Degree data" xfId="1389" xr:uid="{00000000-0005-0000-0000-0000AD180000}"/>
    <cellStyle name="Normal 2 5 2 2 3 3" xfId="609" xr:uid="{00000000-0005-0000-0000-0000AE180000}"/>
    <cellStyle name="Normal 2 5 2 2 3 3 2" xfId="2339" xr:uid="{00000000-0005-0000-0000-0000AF180000}"/>
    <cellStyle name="Normal 2 5 2 2 3 3 2 2" xfId="16030" xr:uid="{00000000-0005-0000-0000-0000B0180000}"/>
    <cellStyle name="Normal 2 5 2 2 3 3 2 3" xfId="12385" xr:uid="{00000000-0005-0000-0000-0000B1180000}"/>
    <cellStyle name="Normal 2 5 2 2 3 3 2 4" xfId="7016" xr:uid="{00000000-0005-0000-0000-0000B2180000}"/>
    <cellStyle name="Normal 2 5 2 2 3 3 3" xfId="3606" xr:uid="{00000000-0005-0000-0000-0000B3180000}"/>
    <cellStyle name="Normal 2 5 2 2 3 3 3 2" xfId="17252" xr:uid="{00000000-0005-0000-0000-0000B4180000}"/>
    <cellStyle name="Normal 2 5 2 2 3 3 3 3" xfId="13673" xr:uid="{00000000-0005-0000-0000-0000B5180000}"/>
    <cellStyle name="Normal 2 5 2 2 3 3 3 4" xfId="8416" xr:uid="{00000000-0005-0000-0000-0000B6180000}"/>
    <cellStyle name="Normal 2 5 2 2 3 3 4" xfId="6132" xr:uid="{00000000-0005-0000-0000-0000B7180000}"/>
    <cellStyle name="Normal 2 5 2 2 3 3 4 2" xfId="15216" xr:uid="{00000000-0005-0000-0000-0000B8180000}"/>
    <cellStyle name="Normal 2 5 2 2 3 3 5" xfId="9870" xr:uid="{00000000-0005-0000-0000-0000B9180000}"/>
    <cellStyle name="Normal 2 5 2 2 3 3 5 2" xfId="18697" xr:uid="{00000000-0005-0000-0000-0000BA180000}"/>
    <cellStyle name="Normal 2 5 2 2 3 3 6" xfId="11314" xr:uid="{00000000-0005-0000-0000-0000BB180000}"/>
    <cellStyle name="Normal 2 5 2 2 3 3 7" xfId="4610" xr:uid="{00000000-0005-0000-0000-0000BC180000}"/>
    <cellStyle name="Normal 2 5 2 2 3 4" xfId="967" xr:uid="{00000000-0005-0000-0000-0000BD180000}"/>
    <cellStyle name="Normal 2 5 2 2 3 4 2" xfId="2687" xr:uid="{00000000-0005-0000-0000-0000BE180000}"/>
    <cellStyle name="Normal 2 5 2 2 3 4 2 2" xfId="16227" xr:uid="{00000000-0005-0000-0000-0000BF180000}"/>
    <cellStyle name="Normal 2 5 2 2 3 4 2 3" xfId="12649" xr:uid="{00000000-0005-0000-0000-0000C0180000}"/>
    <cellStyle name="Normal 2 5 2 2 3 4 2 4" xfId="7359" xr:uid="{00000000-0005-0000-0000-0000C1180000}"/>
    <cellStyle name="Normal 2 5 2 2 3 4 3" xfId="3955" xr:uid="{00000000-0005-0000-0000-0000C2180000}"/>
    <cellStyle name="Normal 2 5 2 2 3 4 3 2" xfId="17600" xr:uid="{00000000-0005-0000-0000-0000C3180000}"/>
    <cellStyle name="Normal 2 5 2 2 3 4 3 3" xfId="14021" xr:uid="{00000000-0005-0000-0000-0000C4180000}"/>
    <cellStyle name="Normal 2 5 2 2 3 4 3 4" xfId="8764" xr:uid="{00000000-0005-0000-0000-0000C5180000}"/>
    <cellStyle name="Normal 2 5 2 2 3 4 4" xfId="6475" xr:uid="{00000000-0005-0000-0000-0000C6180000}"/>
    <cellStyle name="Normal 2 5 2 2 3 4 4 2" xfId="15559" xr:uid="{00000000-0005-0000-0000-0000C7180000}"/>
    <cellStyle name="Normal 2 5 2 2 3 4 5" xfId="10218" xr:uid="{00000000-0005-0000-0000-0000C8180000}"/>
    <cellStyle name="Normal 2 5 2 2 3 4 5 2" xfId="19045" xr:uid="{00000000-0005-0000-0000-0000C9180000}"/>
    <cellStyle name="Normal 2 5 2 2 3 4 6" xfId="11664" xr:uid="{00000000-0005-0000-0000-0000CA180000}"/>
    <cellStyle name="Normal 2 5 2 2 3 4 7" xfId="4953" xr:uid="{00000000-0005-0000-0000-0000CB180000}"/>
    <cellStyle name="Normal 2 5 2 2 3 5" xfId="1443" xr:uid="{00000000-0005-0000-0000-0000CC180000}"/>
    <cellStyle name="Normal 2 5 2 2 3 5 2" xfId="3044" xr:uid="{00000000-0005-0000-0000-0000CD180000}"/>
    <cellStyle name="Normal 2 5 2 2 3 5 2 2" xfId="16593" xr:uid="{00000000-0005-0000-0000-0000CE180000}"/>
    <cellStyle name="Normal 2 5 2 2 3 5 2 3" xfId="13014" xr:uid="{00000000-0005-0000-0000-0000CF180000}"/>
    <cellStyle name="Normal 2 5 2 2 3 5 2 4" xfId="7725" xr:uid="{00000000-0005-0000-0000-0000D0180000}"/>
    <cellStyle name="Normal 2 5 2 2 3 5 3" xfId="4252" xr:uid="{00000000-0005-0000-0000-0000D1180000}"/>
    <cellStyle name="Normal 2 5 2 2 3 5 3 2" xfId="17957" xr:uid="{00000000-0005-0000-0000-0000D2180000}"/>
    <cellStyle name="Normal 2 5 2 2 3 5 3 3" xfId="14378" xr:uid="{00000000-0005-0000-0000-0000D3180000}"/>
    <cellStyle name="Normal 2 5 2 2 3 5 3 4" xfId="9121" xr:uid="{00000000-0005-0000-0000-0000D4180000}"/>
    <cellStyle name="Normal 2 5 2 2 3 5 4" xfId="6017" xr:uid="{00000000-0005-0000-0000-0000D5180000}"/>
    <cellStyle name="Normal 2 5 2 2 3 5 4 2" xfId="15103" xr:uid="{00000000-0005-0000-0000-0000D6180000}"/>
    <cellStyle name="Normal 2 5 2 2 3 5 5" xfId="10575" xr:uid="{00000000-0005-0000-0000-0000D7180000}"/>
    <cellStyle name="Normal 2 5 2 2 3 5 5 2" xfId="19402" xr:uid="{00000000-0005-0000-0000-0000D8180000}"/>
    <cellStyle name="Normal 2 5 2 2 3 5 6" xfId="12021" xr:uid="{00000000-0005-0000-0000-0000D9180000}"/>
    <cellStyle name="Normal 2 5 2 2 3 5 7" xfId="5319" xr:uid="{00000000-0005-0000-0000-0000DA180000}"/>
    <cellStyle name="Normal 2 5 2 2 3 6" xfId="2001" xr:uid="{00000000-0005-0000-0000-0000DB180000}"/>
    <cellStyle name="Normal 2 5 2 2 3 6 2" xfId="15946" xr:uid="{00000000-0005-0000-0000-0000DC180000}"/>
    <cellStyle name="Normal 2 5 2 2 3 6 3" xfId="12406" xr:uid="{00000000-0005-0000-0000-0000DD180000}"/>
    <cellStyle name="Normal 2 5 2 2 3 6 4" xfId="6903" xr:uid="{00000000-0005-0000-0000-0000DE180000}"/>
    <cellStyle name="Normal 2 5 2 2 3 7" xfId="3414" xr:uid="{00000000-0005-0000-0000-0000DF180000}"/>
    <cellStyle name="Normal 2 5 2 2 3 7 2" xfId="16914" xr:uid="{00000000-0005-0000-0000-0000E0180000}"/>
    <cellStyle name="Normal 2 5 2 2 3 7 3" xfId="13335" xr:uid="{00000000-0005-0000-0000-0000E1180000}"/>
    <cellStyle name="Normal 2 5 2 2 3 7 4" xfId="8078" xr:uid="{00000000-0005-0000-0000-0000E2180000}"/>
    <cellStyle name="Normal 2 5 2 2 3 8" xfId="5639" xr:uid="{00000000-0005-0000-0000-0000E3180000}"/>
    <cellStyle name="Normal 2 5 2 2 3 8 2" xfId="14725" xr:uid="{00000000-0005-0000-0000-0000E4180000}"/>
    <cellStyle name="Normal 2 5 2 2 3 9" xfId="9532" xr:uid="{00000000-0005-0000-0000-0000E5180000}"/>
    <cellStyle name="Normal 2 5 2 2 3 9 2" xfId="18359" xr:uid="{00000000-0005-0000-0000-0000E6180000}"/>
    <cellStyle name="Normal 2 5 2 2 3_Degree data" xfId="1387" xr:uid="{00000000-0005-0000-0000-0000E7180000}"/>
    <cellStyle name="Normal 2 5 2 2 4" xfId="333" xr:uid="{00000000-0005-0000-0000-0000E8180000}"/>
    <cellStyle name="Normal 2 5 2 2 4 2" xfId="611" xr:uid="{00000000-0005-0000-0000-0000E9180000}"/>
    <cellStyle name="Normal 2 5 2 2 4 2 2" xfId="2341" xr:uid="{00000000-0005-0000-0000-0000EA180000}"/>
    <cellStyle name="Normal 2 5 2 2 4 2 2 2" xfId="16229" xr:uid="{00000000-0005-0000-0000-0000EB180000}"/>
    <cellStyle name="Normal 2 5 2 2 4 2 2 3" xfId="12651" xr:uid="{00000000-0005-0000-0000-0000EC180000}"/>
    <cellStyle name="Normal 2 5 2 2 4 2 2 4" xfId="7361" xr:uid="{00000000-0005-0000-0000-0000ED180000}"/>
    <cellStyle name="Normal 2 5 2 2 4 2 3" xfId="3608" xr:uid="{00000000-0005-0000-0000-0000EE180000}"/>
    <cellStyle name="Normal 2 5 2 2 4 2 3 2" xfId="17254" xr:uid="{00000000-0005-0000-0000-0000EF180000}"/>
    <cellStyle name="Normal 2 5 2 2 4 2 3 3" xfId="13675" xr:uid="{00000000-0005-0000-0000-0000F0180000}"/>
    <cellStyle name="Normal 2 5 2 2 4 2 3 4" xfId="8418" xr:uid="{00000000-0005-0000-0000-0000F1180000}"/>
    <cellStyle name="Normal 2 5 2 2 4 2 4" xfId="6477" xr:uid="{00000000-0005-0000-0000-0000F2180000}"/>
    <cellStyle name="Normal 2 5 2 2 4 2 4 2" xfId="15561" xr:uid="{00000000-0005-0000-0000-0000F3180000}"/>
    <cellStyle name="Normal 2 5 2 2 4 2 5" xfId="9872" xr:uid="{00000000-0005-0000-0000-0000F4180000}"/>
    <cellStyle name="Normal 2 5 2 2 4 2 5 2" xfId="18699" xr:uid="{00000000-0005-0000-0000-0000F5180000}"/>
    <cellStyle name="Normal 2 5 2 2 4 2 6" xfId="11316" xr:uid="{00000000-0005-0000-0000-0000F6180000}"/>
    <cellStyle name="Normal 2 5 2 2 4 2 7" xfId="4955" xr:uid="{00000000-0005-0000-0000-0000F7180000}"/>
    <cellStyle name="Normal 2 5 2 2 4 3" xfId="969" xr:uid="{00000000-0005-0000-0000-0000F8180000}"/>
    <cellStyle name="Normal 2 5 2 2 4 3 2" xfId="2689" xr:uid="{00000000-0005-0000-0000-0000F9180000}"/>
    <cellStyle name="Normal 2 5 2 2 4 3 2 2" xfId="16693" xr:uid="{00000000-0005-0000-0000-0000FA180000}"/>
    <cellStyle name="Normal 2 5 2 2 4 3 2 3" xfId="13114" xr:uid="{00000000-0005-0000-0000-0000FB180000}"/>
    <cellStyle name="Normal 2 5 2 2 4 3 2 4" xfId="7825" xr:uid="{00000000-0005-0000-0000-0000FC180000}"/>
    <cellStyle name="Normal 2 5 2 2 4 3 3" xfId="3957" xr:uid="{00000000-0005-0000-0000-0000FD180000}"/>
    <cellStyle name="Normal 2 5 2 2 4 3 3 2" xfId="17602" xr:uid="{00000000-0005-0000-0000-0000FE180000}"/>
    <cellStyle name="Normal 2 5 2 2 4 3 3 3" xfId="14023" xr:uid="{00000000-0005-0000-0000-0000FF180000}"/>
    <cellStyle name="Normal 2 5 2 2 4 3 3 4" xfId="8766" xr:uid="{00000000-0005-0000-0000-000000190000}"/>
    <cellStyle name="Normal 2 5 2 2 4 3 4" xfId="6232" xr:uid="{00000000-0005-0000-0000-000001190000}"/>
    <cellStyle name="Normal 2 5 2 2 4 3 4 2" xfId="15316" xr:uid="{00000000-0005-0000-0000-000002190000}"/>
    <cellStyle name="Normal 2 5 2 2 4 3 5" xfId="10220" xr:uid="{00000000-0005-0000-0000-000003190000}"/>
    <cellStyle name="Normal 2 5 2 2 4 3 5 2" xfId="19047" xr:uid="{00000000-0005-0000-0000-000004190000}"/>
    <cellStyle name="Normal 2 5 2 2 4 3 6" xfId="11666" xr:uid="{00000000-0005-0000-0000-000005190000}"/>
    <cellStyle name="Normal 2 5 2 2 4 3 7" xfId="5419" xr:uid="{00000000-0005-0000-0000-000006190000}"/>
    <cellStyle name="Normal 2 5 2 2 4 4" xfId="1545" xr:uid="{00000000-0005-0000-0000-000007190000}"/>
    <cellStyle name="Normal 2 5 2 2 4 4 2" xfId="3144" xr:uid="{00000000-0005-0000-0000-000008190000}"/>
    <cellStyle name="Normal 2 5 2 2 4 4 2 2" xfId="18057" xr:uid="{00000000-0005-0000-0000-000009190000}"/>
    <cellStyle name="Normal 2 5 2 2 4 4 2 3" xfId="14478" xr:uid="{00000000-0005-0000-0000-00000A190000}"/>
    <cellStyle name="Normal 2 5 2 2 4 4 2 4" xfId="9221" xr:uid="{00000000-0005-0000-0000-00000B190000}"/>
    <cellStyle name="Normal 2 5 2 2 4 4 3" xfId="10675" xr:uid="{00000000-0005-0000-0000-00000C190000}"/>
    <cellStyle name="Normal 2 5 2 2 4 4 3 2" xfId="19502" xr:uid="{00000000-0005-0000-0000-00000D190000}"/>
    <cellStyle name="Normal 2 5 2 2 4 4 4" xfId="12121" xr:uid="{00000000-0005-0000-0000-00000E190000}"/>
    <cellStyle name="Normal 2 5 2 2 4 4 5" xfId="7116" xr:uid="{00000000-0005-0000-0000-00000F190000}"/>
    <cellStyle name="Normal 2 5 2 2 4 5" xfId="2101" xr:uid="{00000000-0005-0000-0000-000010190000}"/>
    <cellStyle name="Normal 2 5 2 2 4 5 2" xfId="17014" xr:uid="{00000000-0005-0000-0000-000011190000}"/>
    <cellStyle name="Normal 2 5 2 2 4 5 3" xfId="13435" xr:uid="{00000000-0005-0000-0000-000012190000}"/>
    <cellStyle name="Normal 2 5 2 2 4 5 4" xfId="8178" xr:uid="{00000000-0005-0000-0000-000013190000}"/>
    <cellStyle name="Normal 2 5 2 2 4 6" xfId="5739" xr:uid="{00000000-0005-0000-0000-000014190000}"/>
    <cellStyle name="Normal 2 5 2 2 4 6 2" xfId="14825" xr:uid="{00000000-0005-0000-0000-000015190000}"/>
    <cellStyle name="Normal 2 5 2 2 4 7" xfId="9632" xr:uid="{00000000-0005-0000-0000-000016190000}"/>
    <cellStyle name="Normal 2 5 2 2 4 7 2" xfId="18459" xr:uid="{00000000-0005-0000-0000-000017190000}"/>
    <cellStyle name="Normal 2 5 2 2 4 8" xfId="11076" xr:uid="{00000000-0005-0000-0000-000018190000}"/>
    <cellStyle name="Normal 2 5 2 2 4 9" xfId="4710" xr:uid="{00000000-0005-0000-0000-000019190000}"/>
    <cellStyle name="Normal 2 5 2 2 4_Degree data" xfId="1268" xr:uid="{00000000-0005-0000-0000-00001A190000}"/>
    <cellStyle name="Normal 2 5 2 2 5" xfId="483" xr:uid="{00000000-0005-0000-0000-00001B190000}"/>
    <cellStyle name="Normal 2 5 2 2 5 2" xfId="612" xr:uid="{00000000-0005-0000-0000-00001C190000}"/>
    <cellStyle name="Normal 2 5 2 2 5 2 2" xfId="2342" xr:uid="{00000000-0005-0000-0000-00001D190000}"/>
    <cellStyle name="Normal 2 5 2 2 5 2 2 2" xfId="16230" xr:uid="{00000000-0005-0000-0000-00001E190000}"/>
    <cellStyle name="Normal 2 5 2 2 5 2 2 3" xfId="12652" xr:uid="{00000000-0005-0000-0000-00001F190000}"/>
    <cellStyle name="Normal 2 5 2 2 5 2 2 4" xfId="7362" xr:uid="{00000000-0005-0000-0000-000020190000}"/>
    <cellStyle name="Normal 2 5 2 2 5 2 3" xfId="3609" xr:uid="{00000000-0005-0000-0000-000021190000}"/>
    <cellStyle name="Normal 2 5 2 2 5 2 3 2" xfId="17255" xr:uid="{00000000-0005-0000-0000-000022190000}"/>
    <cellStyle name="Normal 2 5 2 2 5 2 3 3" xfId="13676" xr:uid="{00000000-0005-0000-0000-000023190000}"/>
    <cellStyle name="Normal 2 5 2 2 5 2 3 4" xfId="8419" xr:uid="{00000000-0005-0000-0000-000024190000}"/>
    <cellStyle name="Normal 2 5 2 2 5 2 4" xfId="6478" xr:uid="{00000000-0005-0000-0000-000025190000}"/>
    <cellStyle name="Normal 2 5 2 2 5 2 4 2" xfId="15562" xr:uid="{00000000-0005-0000-0000-000026190000}"/>
    <cellStyle name="Normal 2 5 2 2 5 2 5" xfId="9873" xr:uid="{00000000-0005-0000-0000-000027190000}"/>
    <cellStyle name="Normal 2 5 2 2 5 2 5 2" xfId="18700" xr:uid="{00000000-0005-0000-0000-000028190000}"/>
    <cellStyle name="Normal 2 5 2 2 5 2 6" xfId="11317" xr:uid="{00000000-0005-0000-0000-000029190000}"/>
    <cellStyle name="Normal 2 5 2 2 5 2 7" xfId="4956" xr:uid="{00000000-0005-0000-0000-00002A190000}"/>
    <cellStyle name="Normal 2 5 2 2 5 3" xfId="970" xr:uid="{00000000-0005-0000-0000-00002B190000}"/>
    <cellStyle name="Normal 2 5 2 2 5 3 2" xfId="2690" xr:uid="{00000000-0005-0000-0000-00002C190000}"/>
    <cellStyle name="Normal 2 5 2 2 5 3 2 2" xfId="16536" xr:uid="{00000000-0005-0000-0000-00002D190000}"/>
    <cellStyle name="Normal 2 5 2 2 5 3 2 3" xfId="12957" xr:uid="{00000000-0005-0000-0000-00002E190000}"/>
    <cellStyle name="Normal 2 5 2 2 5 3 2 4" xfId="7668" xr:uid="{00000000-0005-0000-0000-00002F190000}"/>
    <cellStyle name="Normal 2 5 2 2 5 3 3" xfId="3958" xr:uid="{00000000-0005-0000-0000-000030190000}"/>
    <cellStyle name="Normal 2 5 2 2 5 3 3 2" xfId="17603" xr:uid="{00000000-0005-0000-0000-000031190000}"/>
    <cellStyle name="Normal 2 5 2 2 5 3 3 3" xfId="14024" xr:uid="{00000000-0005-0000-0000-000032190000}"/>
    <cellStyle name="Normal 2 5 2 2 5 3 3 4" xfId="8767" xr:uid="{00000000-0005-0000-0000-000033190000}"/>
    <cellStyle name="Normal 2 5 2 2 5 3 4" xfId="6733" xr:uid="{00000000-0005-0000-0000-000034190000}"/>
    <cellStyle name="Normal 2 5 2 2 5 3 4 2" xfId="15816" xr:uid="{00000000-0005-0000-0000-000035190000}"/>
    <cellStyle name="Normal 2 5 2 2 5 3 5" xfId="10221" xr:uid="{00000000-0005-0000-0000-000036190000}"/>
    <cellStyle name="Normal 2 5 2 2 5 3 5 2" xfId="19048" xr:uid="{00000000-0005-0000-0000-000037190000}"/>
    <cellStyle name="Normal 2 5 2 2 5 3 6" xfId="11667" xr:uid="{00000000-0005-0000-0000-000038190000}"/>
    <cellStyle name="Normal 2 5 2 2 5 3 7" xfId="5262" xr:uid="{00000000-0005-0000-0000-000039190000}"/>
    <cellStyle name="Normal 2 5 2 2 5 4" xfId="1378" xr:uid="{00000000-0005-0000-0000-00003A190000}"/>
    <cellStyle name="Normal 2 5 2 2 5 4 2" xfId="2987" xr:uid="{00000000-0005-0000-0000-00003B190000}"/>
    <cellStyle name="Normal 2 5 2 2 5 4 2 2" xfId="17900" xr:uid="{00000000-0005-0000-0000-00003C190000}"/>
    <cellStyle name="Normal 2 5 2 2 5 4 2 3" xfId="14321" xr:uid="{00000000-0005-0000-0000-00003D190000}"/>
    <cellStyle name="Normal 2 5 2 2 5 4 2 4" xfId="9064" xr:uid="{00000000-0005-0000-0000-00003E190000}"/>
    <cellStyle name="Normal 2 5 2 2 5 4 3" xfId="10518" xr:uid="{00000000-0005-0000-0000-00003F190000}"/>
    <cellStyle name="Normal 2 5 2 2 5 4 3 2" xfId="19345" xr:uid="{00000000-0005-0000-0000-000040190000}"/>
    <cellStyle name="Normal 2 5 2 2 5 4 4" xfId="11964" xr:uid="{00000000-0005-0000-0000-000041190000}"/>
    <cellStyle name="Normal 2 5 2 2 5 4 5" xfId="6959" xr:uid="{00000000-0005-0000-0000-000042190000}"/>
    <cellStyle name="Normal 2 5 2 2 5 5" xfId="1944" xr:uid="{00000000-0005-0000-0000-000043190000}"/>
    <cellStyle name="Normal 2 5 2 2 5 5 2" xfId="16855" xr:uid="{00000000-0005-0000-0000-000044190000}"/>
    <cellStyle name="Normal 2 5 2 2 5 5 3" xfId="13276" xr:uid="{00000000-0005-0000-0000-000045190000}"/>
    <cellStyle name="Normal 2 5 2 2 5 5 4" xfId="8019" xr:uid="{00000000-0005-0000-0000-000046190000}"/>
    <cellStyle name="Normal 2 5 2 2 5 6" xfId="6075" xr:uid="{00000000-0005-0000-0000-000047190000}"/>
    <cellStyle name="Normal 2 5 2 2 5 6 2" xfId="15159" xr:uid="{00000000-0005-0000-0000-000048190000}"/>
    <cellStyle name="Normal 2 5 2 2 5 7" xfId="9475" xr:uid="{00000000-0005-0000-0000-000049190000}"/>
    <cellStyle name="Normal 2 5 2 2 5 7 2" xfId="18302" xr:uid="{00000000-0005-0000-0000-00004A190000}"/>
    <cellStyle name="Normal 2 5 2 2 5 8" xfId="10919" xr:uid="{00000000-0005-0000-0000-00004B190000}"/>
    <cellStyle name="Normal 2 5 2 2 5 9" xfId="4553" xr:uid="{00000000-0005-0000-0000-00004C190000}"/>
    <cellStyle name="Normal 2 5 2 2 5_Degree data" xfId="1279" xr:uid="{00000000-0005-0000-0000-00004D190000}"/>
    <cellStyle name="Normal 2 5 2 2 6" xfId="606" xr:uid="{00000000-0005-0000-0000-00004E190000}"/>
    <cellStyle name="Normal 2 5 2 2 6 2" xfId="2336" xr:uid="{00000000-0005-0000-0000-00004F190000}"/>
    <cellStyle name="Normal 2 5 2 2 6 2 2" xfId="16224" xr:uid="{00000000-0005-0000-0000-000050190000}"/>
    <cellStyle name="Normal 2 5 2 2 6 2 3" xfId="12646" xr:uid="{00000000-0005-0000-0000-000051190000}"/>
    <cellStyle name="Normal 2 5 2 2 6 2 4" xfId="7356" xr:uid="{00000000-0005-0000-0000-000052190000}"/>
    <cellStyle name="Normal 2 5 2 2 6 3" xfId="3603" xr:uid="{00000000-0005-0000-0000-000053190000}"/>
    <cellStyle name="Normal 2 5 2 2 6 3 2" xfId="17249" xr:uid="{00000000-0005-0000-0000-000054190000}"/>
    <cellStyle name="Normal 2 5 2 2 6 3 3" xfId="13670" xr:uid="{00000000-0005-0000-0000-000055190000}"/>
    <cellStyle name="Normal 2 5 2 2 6 3 4" xfId="8413" xr:uid="{00000000-0005-0000-0000-000056190000}"/>
    <cellStyle name="Normal 2 5 2 2 6 4" xfId="6472" xr:uid="{00000000-0005-0000-0000-000057190000}"/>
    <cellStyle name="Normal 2 5 2 2 6 4 2" xfId="15556" xr:uid="{00000000-0005-0000-0000-000058190000}"/>
    <cellStyle name="Normal 2 5 2 2 6 5" xfId="9867" xr:uid="{00000000-0005-0000-0000-000059190000}"/>
    <cellStyle name="Normal 2 5 2 2 6 5 2" xfId="18694" xr:uid="{00000000-0005-0000-0000-00005A190000}"/>
    <cellStyle name="Normal 2 5 2 2 6 6" xfId="11311" xr:uid="{00000000-0005-0000-0000-00005B190000}"/>
    <cellStyle name="Normal 2 5 2 2 6 7" xfId="4950" xr:uid="{00000000-0005-0000-0000-00005C190000}"/>
    <cellStyle name="Normal 2 5 2 2 7" xfId="964" xr:uid="{00000000-0005-0000-0000-00005D190000}"/>
    <cellStyle name="Normal 2 5 2 2 7 2" xfId="2684" xr:uid="{00000000-0005-0000-0000-00005E190000}"/>
    <cellStyle name="Normal 2 5 2 2 7 2 2" xfId="16491" xr:uid="{00000000-0005-0000-0000-00005F190000}"/>
    <cellStyle name="Normal 2 5 2 2 7 2 3" xfId="12913" xr:uid="{00000000-0005-0000-0000-000060190000}"/>
    <cellStyle name="Normal 2 5 2 2 7 2 4" xfId="7623" xr:uid="{00000000-0005-0000-0000-000061190000}"/>
    <cellStyle name="Normal 2 5 2 2 7 3" xfId="3952" xr:uid="{00000000-0005-0000-0000-000062190000}"/>
    <cellStyle name="Normal 2 5 2 2 7 3 2" xfId="17597" xr:uid="{00000000-0005-0000-0000-000063190000}"/>
    <cellStyle name="Normal 2 5 2 2 7 3 3" xfId="14018" xr:uid="{00000000-0005-0000-0000-000064190000}"/>
    <cellStyle name="Normal 2 5 2 2 7 3 4" xfId="8761" xr:uid="{00000000-0005-0000-0000-000065190000}"/>
    <cellStyle name="Normal 2 5 2 2 7 4" xfId="5913" xr:uid="{00000000-0005-0000-0000-000066190000}"/>
    <cellStyle name="Normal 2 5 2 2 7 4 2" xfId="14999" xr:uid="{00000000-0005-0000-0000-000067190000}"/>
    <cellStyle name="Normal 2 5 2 2 7 5" xfId="10215" xr:uid="{00000000-0005-0000-0000-000068190000}"/>
    <cellStyle name="Normal 2 5 2 2 7 5 2" xfId="19042" xr:uid="{00000000-0005-0000-0000-000069190000}"/>
    <cellStyle name="Normal 2 5 2 2 7 6" xfId="11661" xr:uid="{00000000-0005-0000-0000-00006A190000}"/>
    <cellStyle name="Normal 2 5 2 2 7 7" xfId="5217" xr:uid="{00000000-0005-0000-0000-00006B190000}"/>
    <cellStyle name="Normal 2 5 2 2 8" xfId="1327" xr:uid="{00000000-0005-0000-0000-00006C190000}"/>
    <cellStyle name="Normal 2 5 2 2 8 2" xfId="2942" xr:uid="{00000000-0005-0000-0000-00006D190000}"/>
    <cellStyle name="Normal 2 5 2 2 8 2 2" xfId="17855" xr:uid="{00000000-0005-0000-0000-00006E190000}"/>
    <cellStyle name="Normal 2 5 2 2 8 2 3" xfId="14276" xr:uid="{00000000-0005-0000-0000-00006F190000}"/>
    <cellStyle name="Normal 2 5 2 2 8 2 4" xfId="9019" xr:uid="{00000000-0005-0000-0000-000070190000}"/>
    <cellStyle name="Normal 2 5 2 2 8 3" xfId="10473" xr:uid="{00000000-0005-0000-0000-000071190000}"/>
    <cellStyle name="Normal 2 5 2 2 8 3 2" xfId="19300" xr:uid="{00000000-0005-0000-0000-000072190000}"/>
    <cellStyle name="Normal 2 5 2 2 8 4" xfId="11919" xr:uid="{00000000-0005-0000-0000-000073190000}"/>
    <cellStyle name="Normal 2 5 2 2 8 5" xfId="6799" xr:uid="{00000000-0005-0000-0000-000074190000}"/>
    <cellStyle name="Normal 2 5 2 2 9" xfId="1899" xr:uid="{00000000-0005-0000-0000-000075190000}"/>
    <cellStyle name="Normal 2 5 2 2 9 2" xfId="9430" xr:uid="{00000000-0005-0000-0000-000076190000}"/>
    <cellStyle name="Normal 2 5 2 2 9 2 2" xfId="18257" xr:uid="{00000000-0005-0000-0000-000077190000}"/>
    <cellStyle name="Normal 2 5 2 2 9 3" xfId="10874" xr:uid="{00000000-0005-0000-0000-000078190000}"/>
    <cellStyle name="Normal 2 5 2 2 9 4" xfId="7974" xr:uid="{00000000-0005-0000-0000-000079190000}"/>
    <cellStyle name="Normal 2 5 2 2_Degree data" xfId="1420" xr:uid="{00000000-0005-0000-0000-00007A190000}"/>
    <cellStyle name="Normal 2 5 2 3" xfId="144" xr:uid="{00000000-0005-0000-0000-00007B190000}"/>
    <cellStyle name="Normal 2 5 2 3 10" xfId="5568" xr:uid="{00000000-0005-0000-0000-00007C190000}"/>
    <cellStyle name="Normal 2 5 2 3 10 2" xfId="14654" xr:uid="{00000000-0005-0000-0000-00007D190000}"/>
    <cellStyle name="Normal 2 5 2 3 11" xfId="9388" xr:uid="{00000000-0005-0000-0000-00007E190000}"/>
    <cellStyle name="Normal 2 5 2 3 11 2" xfId="18215" xr:uid="{00000000-0005-0000-0000-00007F190000}"/>
    <cellStyle name="Normal 2 5 2 3 12" xfId="10828" xr:uid="{00000000-0005-0000-0000-000080190000}"/>
    <cellStyle name="Normal 2 5 2 3 13" xfId="4381" xr:uid="{00000000-0005-0000-0000-000081190000}"/>
    <cellStyle name="Normal 2 5 2 3 2" xfId="256" xr:uid="{00000000-0005-0000-0000-000082190000}"/>
    <cellStyle name="Normal 2 5 2 3 2 10" xfId="11007" xr:uid="{00000000-0005-0000-0000-000083190000}"/>
    <cellStyle name="Normal 2 5 2 3 2 11" xfId="4424" xr:uid="{00000000-0005-0000-0000-000084190000}"/>
    <cellStyle name="Normal 2 5 2 3 2 2" xfId="364" xr:uid="{00000000-0005-0000-0000-000085190000}"/>
    <cellStyle name="Normal 2 5 2 3 2 2 2" xfId="615" xr:uid="{00000000-0005-0000-0000-000086190000}"/>
    <cellStyle name="Normal 2 5 2 3 2 2 2 2" xfId="2345" xr:uid="{00000000-0005-0000-0000-000087190000}"/>
    <cellStyle name="Normal 2 5 2 3 2 2 2 2 2" xfId="16233" xr:uid="{00000000-0005-0000-0000-000088190000}"/>
    <cellStyle name="Normal 2 5 2 3 2 2 2 2 3" xfId="12655" xr:uid="{00000000-0005-0000-0000-000089190000}"/>
    <cellStyle name="Normal 2 5 2 3 2 2 2 2 4" xfId="7365" xr:uid="{00000000-0005-0000-0000-00008A190000}"/>
    <cellStyle name="Normal 2 5 2 3 2 2 2 3" xfId="3612" xr:uid="{00000000-0005-0000-0000-00008B190000}"/>
    <cellStyle name="Normal 2 5 2 3 2 2 2 3 2" xfId="17258" xr:uid="{00000000-0005-0000-0000-00008C190000}"/>
    <cellStyle name="Normal 2 5 2 3 2 2 2 3 3" xfId="13679" xr:uid="{00000000-0005-0000-0000-00008D190000}"/>
    <cellStyle name="Normal 2 5 2 3 2 2 2 3 4" xfId="8422" xr:uid="{00000000-0005-0000-0000-00008E190000}"/>
    <cellStyle name="Normal 2 5 2 3 2 2 2 4" xfId="6481" xr:uid="{00000000-0005-0000-0000-00008F190000}"/>
    <cellStyle name="Normal 2 5 2 3 2 2 2 4 2" xfId="15565" xr:uid="{00000000-0005-0000-0000-000090190000}"/>
    <cellStyle name="Normal 2 5 2 3 2 2 2 5" xfId="9876" xr:uid="{00000000-0005-0000-0000-000091190000}"/>
    <cellStyle name="Normal 2 5 2 3 2 2 2 5 2" xfId="18703" xr:uid="{00000000-0005-0000-0000-000092190000}"/>
    <cellStyle name="Normal 2 5 2 3 2 2 2 6" xfId="11320" xr:uid="{00000000-0005-0000-0000-000093190000}"/>
    <cellStyle name="Normal 2 5 2 3 2 2 2 7" xfId="4959" xr:uid="{00000000-0005-0000-0000-000094190000}"/>
    <cellStyle name="Normal 2 5 2 3 2 2 3" xfId="973" xr:uid="{00000000-0005-0000-0000-000095190000}"/>
    <cellStyle name="Normal 2 5 2 3 2 2 3 2" xfId="2693" xr:uid="{00000000-0005-0000-0000-000096190000}"/>
    <cellStyle name="Normal 2 5 2 3 2 2 3 2 2" xfId="16724" xr:uid="{00000000-0005-0000-0000-000097190000}"/>
    <cellStyle name="Normal 2 5 2 3 2 2 3 2 3" xfId="13145" xr:uid="{00000000-0005-0000-0000-000098190000}"/>
    <cellStyle name="Normal 2 5 2 3 2 2 3 2 4" xfId="7856" xr:uid="{00000000-0005-0000-0000-000099190000}"/>
    <cellStyle name="Normal 2 5 2 3 2 2 3 3" xfId="3961" xr:uid="{00000000-0005-0000-0000-00009A190000}"/>
    <cellStyle name="Normal 2 5 2 3 2 2 3 3 2" xfId="17606" xr:uid="{00000000-0005-0000-0000-00009B190000}"/>
    <cellStyle name="Normal 2 5 2 3 2 2 3 3 3" xfId="14027" xr:uid="{00000000-0005-0000-0000-00009C190000}"/>
    <cellStyle name="Normal 2 5 2 3 2 2 3 3 4" xfId="8770" xr:uid="{00000000-0005-0000-0000-00009D190000}"/>
    <cellStyle name="Normal 2 5 2 3 2 2 3 4" xfId="6263" xr:uid="{00000000-0005-0000-0000-00009E190000}"/>
    <cellStyle name="Normal 2 5 2 3 2 2 3 4 2" xfId="15347" xr:uid="{00000000-0005-0000-0000-00009F190000}"/>
    <cellStyle name="Normal 2 5 2 3 2 2 3 5" xfId="10224" xr:uid="{00000000-0005-0000-0000-0000A0190000}"/>
    <cellStyle name="Normal 2 5 2 3 2 2 3 5 2" xfId="19051" xr:uid="{00000000-0005-0000-0000-0000A1190000}"/>
    <cellStyle name="Normal 2 5 2 3 2 2 3 6" xfId="11670" xr:uid="{00000000-0005-0000-0000-0000A2190000}"/>
    <cellStyle name="Normal 2 5 2 3 2 2 3 7" xfId="5450" xr:uid="{00000000-0005-0000-0000-0000A3190000}"/>
    <cellStyle name="Normal 2 5 2 3 2 2 4" xfId="1577" xr:uid="{00000000-0005-0000-0000-0000A4190000}"/>
    <cellStyle name="Normal 2 5 2 3 2 2 4 2" xfId="3175" xr:uid="{00000000-0005-0000-0000-0000A5190000}"/>
    <cellStyle name="Normal 2 5 2 3 2 2 4 2 2" xfId="18088" xr:uid="{00000000-0005-0000-0000-0000A6190000}"/>
    <cellStyle name="Normal 2 5 2 3 2 2 4 2 3" xfId="14509" xr:uid="{00000000-0005-0000-0000-0000A7190000}"/>
    <cellStyle name="Normal 2 5 2 3 2 2 4 2 4" xfId="9252" xr:uid="{00000000-0005-0000-0000-0000A8190000}"/>
    <cellStyle name="Normal 2 5 2 3 2 2 4 3" xfId="10706" xr:uid="{00000000-0005-0000-0000-0000A9190000}"/>
    <cellStyle name="Normal 2 5 2 3 2 2 4 3 2" xfId="19533" xr:uid="{00000000-0005-0000-0000-0000AA190000}"/>
    <cellStyle name="Normal 2 5 2 3 2 2 4 4" xfId="12152" xr:uid="{00000000-0005-0000-0000-0000AB190000}"/>
    <cellStyle name="Normal 2 5 2 3 2 2 4 5" xfId="7147" xr:uid="{00000000-0005-0000-0000-0000AC190000}"/>
    <cellStyle name="Normal 2 5 2 3 2 2 5" xfId="2132" xr:uid="{00000000-0005-0000-0000-0000AD190000}"/>
    <cellStyle name="Normal 2 5 2 3 2 2 5 2" xfId="17045" xr:uid="{00000000-0005-0000-0000-0000AE190000}"/>
    <cellStyle name="Normal 2 5 2 3 2 2 5 3" xfId="13466" xr:uid="{00000000-0005-0000-0000-0000AF190000}"/>
    <cellStyle name="Normal 2 5 2 3 2 2 5 4" xfId="8209" xr:uid="{00000000-0005-0000-0000-0000B0190000}"/>
    <cellStyle name="Normal 2 5 2 3 2 2 6" xfId="5770" xr:uid="{00000000-0005-0000-0000-0000B1190000}"/>
    <cellStyle name="Normal 2 5 2 3 2 2 6 2" xfId="14856" xr:uid="{00000000-0005-0000-0000-0000B2190000}"/>
    <cellStyle name="Normal 2 5 2 3 2 2 7" xfId="9663" xr:uid="{00000000-0005-0000-0000-0000B3190000}"/>
    <cellStyle name="Normal 2 5 2 3 2 2 7 2" xfId="18490" xr:uid="{00000000-0005-0000-0000-0000B4190000}"/>
    <cellStyle name="Normal 2 5 2 3 2 2 8" xfId="11107" xr:uid="{00000000-0005-0000-0000-0000B5190000}"/>
    <cellStyle name="Normal 2 5 2 3 2 2 9" xfId="4741" xr:uid="{00000000-0005-0000-0000-0000B6190000}"/>
    <cellStyle name="Normal 2 5 2 3 2 2_Degree data" xfId="1271" xr:uid="{00000000-0005-0000-0000-0000B7190000}"/>
    <cellStyle name="Normal 2 5 2 3 2 3" xfId="614" xr:uid="{00000000-0005-0000-0000-0000B8190000}"/>
    <cellStyle name="Normal 2 5 2 3 2 3 2" xfId="2344" xr:uid="{00000000-0005-0000-0000-0000B9190000}"/>
    <cellStyle name="Normal 2 5 2 3 2 3 2 2" xfId="16061" xr:uid="{00000000-0005-0000-0000-0000BA190000}"/>
    <cellStyle name="Normal 2 5 2 3 2 3 2 3" xfId="12298" xr:uid="{00000000-0005-0000-0000-0000BB190000}"/>
    <cellStyle name="Normal 2 5 2 3 2 3 2 4" xfId="7047" xr:uid="{00000000-0005-0000-0000-0000BC190000}"/>
    <cellStyle name="Normal 2 5 2 3 2 3 3" xfId="3611" xr:uid="{00000000-0005-0000-0000-0000BD190000}"/>
    <cellStyle name="Normal 2 5 2 3 2 3 3 2" xfId="17257" xr:uid="{00000000-0005-0000-0000-0000BE190000}"/>
    <cellStyle name="Normal 2 5 2 3 2 3 3 3" xfId="13678" xr:uid="{00000000-0005-0000-0000-0000BF190000}"/>
    <cellStyle name="Normal 2 5 2 3 2 3 3 4" xfId="8421" xr:uid="{00000000-0005-0000-0000-0000C0190000}"/>
    <cellStyle name="Normal 2 5 2 3 2 3 4" xfId="6163" xr:uid="{00000000-0005-0000-0000-0000C1190000}"/>
    <cellStyle name="Normal 2 5 2 3 2 3 4 2" xfId="15247" xr:uid="{00000000-0005-0000-0000-0000C2190000}"/>
    <cellStyle name="Normal 2 5 2 3 2 3 5" xfId="9875" xr:uid="{00000000-0005-0000-0000-0000C3190000}"/>
    <cellStyle name="Normal 2 5 2 3 2 3 5 2" xfId="18702" xr:uid="{00000000-0005-0000-0000-0000C4190000}"/>
    <cellStyle name="Normal 2 5 2 3 2 3 6" xfId="11319" xr:uid="{00000000-0005-0000-0000-0000C5190000}"/>
    <cellStyle name="Normal 2 5 2 3 2 3 7" xfId="4641" xr:uid="{00000000-0005-0000-0000-0000C6190000}"/>
    <cellStyle name="Normal 2 5 2 3 2 4" xfId="972" xr:uid="{00000000-0005-0000-0000-0000C7190000}"/>
    <cellStyle name="Normal 2 5 2 3 2 4 2" xfId="2692" xr:uid="{00000000-0005-0000-0000-0000C8190000}"/>
    <cellStyle name="Normal 2 5 2 3 2 4 2 2" xfId="16232" xr:uid="{00000000-0005-0000-0000-0000C9190000}"/>
    <cellStyle name="Normal 2 5 2 3 2 4 2 3" xfId="12654" xr:uid="{00000000-0005-0000-0000-0000CA190000}"/>
    <cellStyle name="Normal 2 5 2 3 2 4 2 4" xfId="7364" xr:uid="{00000000-0005-0000-0000-0000CB190000}"/>
    <cellStyle name="Normal 2 5 2 3 2 4 3" xfId="3960" xr:uid="{00000000-0005-0000-0000-0000CC190000}"/>
    <cellStyle name="Normal 2 5 2 3 2 4 3 2" xfId="17605" xr:uid="{00000000-0005-0000-0000-0000CD190000}"/>
    <cellStyle name="Normal 2 5 2 3 2 4 3 3" xfId="14026" xr:uid="{00000000-0005-0000-0000-0000CE190000}"/>
    <cellStyle name="Normal 2 5 2 3 2 4 3 4" xfId="8769" xr:uid="{00000000-0005-0000-0000-0000CF190000}"/>
    <cellStyle name="Normal 2 5 2 3 2 4 4" xfId="6480" xr:uid="{00000000-0005-0000-0000-0000D0190000}"/>
    <cellStyle name="Normal 2 5 2 3 2 4 4 2" xfId="15564" xr:uid="{00000000-0005-0000-0000-0000D1190000}"/>
    <cellStyle name="Normal 2 5 2 3 2 4 5" xfId="10223" xr:uid="{00000000-0005-0000-0000-0000D2190000}"/>
    <cellStyle name="Normal 2 5 2 3 2 4 5 2" xfId="19050" xr:uid="{00000000-0005-0000-0000-0000D3190000}"/>
    <cellStyle name="Normal 2 5 2 3 2 4 6" xfId="11669" xr:uid="{00000000-0005-0000-0000-0000D4190000}"/>
    <cellStyle name="Normal 2 5 2 3 2 4 7" xfId="4958" xr:uid="{00000000-0005-0000-0000-0000D5190000}"/>
    <cellStyle name="Normal 2 5 2 3 2 5" xfId="1475" xr:uid="{00000000-0005-0000-0000-0000D6190000}"/>
    <cellStyle name="Normal 2 5 2 3 2 5 2" xfId="3075" xr:uid="{00000000-0005-0000-0000-0000D7190000}"/>
    <cellStyle name="Normal 2 5 2 3 2 5 2 2" xfId="16624" xr:uid="{00000000-0005-0000-0000-0000D8190000}"/>
    <cellStyle name="Normal 2 5 2 3 2 5 2 3" xfId="13045" xr:uid="{00000000-0005-0000-0000-0000D9190000}"/>
    <cellStyle name="Normal 2 5 2 3 2 5 2 4" xfId="7756" xr:uid="{00000000-0005-0000-0000-0000DA190000}"/>
    <cellStyle name="Normal 2 5 2 3 2 5 3" xfId="4283" xr:uid="{00000000-0005-0000-0000-0000DB190000}"/>
    <cellStyle name="Normal 2 5 2 3 2 5 3 2" xfId="17988" xr:uid="{00000000-0005-0000-0000-0000DC190000}"/>
    <cellStyle name="Normal 2 5 2 3 2 5 3 3" xfId="14409" xr:uid="{00000000-0005-0000-0000-0000DD190000}"/>
    <cellStyle name="Normal 2 5 2 3 2 5 3 4" xfId="9152" xr:uid="{00000000-0005-0000-0000-0000DE190000}"/>
    <cellStyle name="Normal 2 5 2 3 2 5 4" xfId="5944" xr:uid="{00000000-0005-0000-0000-0000DF190000}"/>
    <cellStyle name="Normal 2 5 2 3 2 5 4 2" xfId="15030" xr:uid="{00000000-0005-0000-0000-0000E0190000}"/>
    <cellStyle name="Normal 2 5 2 3 2 5 5" xfId="10606" xr:uid="{00000000-0005-0000-0000-0000E1190000}"/>
    <cellStyle name="Normal 2 5 2 3 2 5 5 2" xfId="19433" xr:uid="{00000000-0005-0000-0000-0000E2190000}"/>
    <cellStyle name="Normal 2 5 2 3 2 5 6" xfId="12052" xr:uid="{00000000-0005-0000-0000-0000E3190000}"/>
    <cellStyle name="Normal 2 5 2 3 2 5 7" xfId="5350" xr:uid="{00000000-0005-0000-0000-0000E4190000}"/>
    <cellStyle name="Normal 2 5 2 3 2 6" xfId="2032" xr:uid="{00000000-0005-0000-0000-0000E5190000}"/>
    <cellStyle name="Normal 2 5 2 3 2 6 2" xfId="15873" xr:uid="{00000000-0005-0000-0000-0000E6190000}"/>
    <cellStyle name="Normal 2 5 2 3 2 6 3" xfId="12424" xr:uid="{00000000-0005-0000-0000-0000E7190000}"/>
    <cellStyle name="Normal 2 5 2 3 2 6 4" xfId="6830" xr:uid="{00000000-0005-0000-0000-0000E8190000}"/>
    <cellStyle name="Normal 2 5 2 3 2 7" xfId="3445" xr:uid="{00000000-0005-0000-0000-0000E9190000}"/>
    <cellStyle name="Normal 2 5 2 3 2 7 2" xfId="16945" xr:uid="{00000000-0005-0000-0000-0000EA190000}"/>
    <cellStyle name="Normal 2 5 2 3 2 7 3" xfId="13366" xr:uid="{00000000-0005-0000-0000-0000EB190000}"/>
    <cellStyle name="Normal 2 5 2 3 2 7 4" xfId="8109" xr:uid="{00000000-0005-0000-0000-0000EC190000}"/>
    <cellStyle name="Normal 2 5 2 3 2 8" xfId="5670" xr:uid="{00000000-0005-0000-0000-0000ED190000}"/>
    <cellStyle name="Normal 2 5 2 3 2 8 2" xfId="14756" xr:uid="{00000000-0005-0000-0000-0000EE190000}"/>
    <cellStyle name="Normal 2 5 2 3 2 9" xfId="9563" xr:uid="{00000000-0005-0000-0000-0000EF190000}"/>
    <cellStyle name="Normal 2 5 2 3 2 9 2" xfId="18390" xr:uid="{00000000-0005-0000-0000-0000F0190000}"/>
    <cellStyle name="Normal 2 5 2 3 2_Degree data" xfId="1280" xr:uid="{00000000-0005-0000-0000-0000F1190000}"/>
    <cellStyle name="Normal 2 5 2 3 3" xfId="213" xr:uid="{00000000-0005-0000-0000-0000F2190000}"/>
    <cellStyle name="Normal 2 5 2 3 3 10" xfId="10964" xr:uid="{00000000-0005-0000-0000-0000F3190000}"/>
    <cellStyle name="Normal 2 5 2 3 3 11" xfId="4486" xr:uid="{00000000-0005-0000-0000-0000F4190000}"/>
    <cellStyle name="Normal 2 5 2 3 3 2" xfId="427" xr:uid="{00000000-0005-0000-0000-0000F5190000}"/>
    <cellStyle name="Normal 2 5 2 3 3 2 2" xfId="617" xr:uid="{00000000-0005-0000-0000-0000F6190000}"/>
    <cellStyle name="Normal 2 5 2 3 3 2 2 2" xfId="2347" xr:uid="{00000000-0005-0000-0000-0000F7190000}"/>
    <cellStyle name="Normal 2 5 2 3 3 2 2 2 2" xfId="16235" xr:uid="{00000000-0005-0000-0000-0000F8190000}"/>
    <cellStyle name="Normal 2 5 2 3 3 2 2 2 3" xfId="12657" xr:uid="{00000000-0005-0000-0000-0000F9190000}"/>
    <cellStyle name="Normal 2 5 2 3 3 2 2 2 4" xfId="7367" xr:uid="{00000000-0005-0000-0000-0000FA190000}"/>
    <cellStyle name="Normal 2 5 2 3 3 2 2 3" xfId="3614" xr:uid="{00000000-0005-0000-0000-0000FB190000}"/>
    <cellStyle name="Normal 2 5 2 3 3 2 2 3 2" xfId="17260" xr:uid="{00000000-0005-0000-0000-0000FC190000}"/>
    <cellStyle name="Normal 2 5 2 3 3 2 2 3 3" xfId="13681" xr:uid="{00000000-0005-0000-0000-0000FD190000}"/>
    <cellStyle name="Normal 2 5 2 3 3 2 2 3 4" xfId="8424" xr:uid="{00000000-0005-0000-0000-0000FE190000}"/>
    <cellStyle name="Normal 2 5 2 3 3 2 2 4" xfId="6483" xr:uid="{00000000-0005-0000-0000-0000FF190000}"/>
    <cellStyle name="Normal 2 5 2 3 3 2 2 4 2" xfId="15567" xr:uid="{00000000-0005-0000-0000-0000001A0000}"/>
    <cellStyle name="Normal 2 5 2 3 3 2 2 5" xfId="9878" xr:uid="{00000000-0005-0000-0000-0000011A0000}"/>
    <cellStyle name="Normal 2 5 2 3 3 2 2 5 2" xfId="18705" xr:uid="{00000000-0005-0000-0000-0000021A0000}"/>
    <cellStyle name="Normal 2 5 2 3 3 2 2 6" xfId="11322" xr:uid="{00000000-0005-0000-0000-0000031A0000}"/>
    <cellStyle name="Normal 2 5 2 3 3 2 2 7" xfId="4961" xr:uid="{00000000-0005-0000-0000-0000041A0000}"/>
    <cellStyle name="Normal 2 5 2 3 3 2 3" xfId="975" xr:uid="{00000000-0005-0000-0000-0000051A0000}"/>
    <cellStyle name="Normal 2 5 2 3 3 2 3 2" xfId="2695" xr:uid="{00000000-0005-0000-0000-0000061A0000}"/>
    <cellStyle name="Normal 2 5 2 3 3 2 3 2 2" xfId="16786" xr:uid="{00000000-0005-0000-0000-0000071A0000}"/>
    <cellStyle name="Normal 2 5 2 3 3 2 3 2 3" xfId="13207" xr:uid="{00000000-0005-0000-0000-0000081A0000}"/>
    <cellStyle name="Normal 2 5 2 3 3 2 3 2 4" xfId="7918" xr:uid="{00000000-0005-0000-0000-0000091A0000}"/>
    <cellStyle name="Normal 2 5 2 3 3 2 3 3" xfId="3963" xr:uid="{00000000-0005-0000-0000-00000A1A0000}"/>
    <cellStyle name="Normal 2 5 2 3 3 2 3 3 2" xfId="17608" xr:uid="{00000000-0005-0000-0000-00000B1A0000}"/>
    <cellStyle name="Normal 2 5 2 3 3 2 3 3 3" xfId="14029" xr:uid="{00000000-0005-0000-0000-00000C1A0000}"/>
    <cellStyle name="Normal 2 5 2 3 3 2 3 3 4" xfId="8772" xr:uid="{00000000-0005-0000-0000-00000D1A0000}"/>
    <cellStyle name="Normal 2 5 2 3 3 2 3 4" xfId="6325" xr:uid="{00000000-0005-0000-0000-00000E1A0000}"/>
    <cellStyle name="Normal 2 5 2 3 3 2 3 4 2" xfId="15409" xr:uid="{00000000-0005-0000-0000-00000F1A0000}"/>
    <cellStyle name="Normal 2 5 2 3 3 2 3 5" xfId="10226" xr:uid="{00000000-0005-0000-0000-0000101A0000}"/>
    <cellStyle name="Normal 2 5 2 3 3 2 3 5 2" xfId="19053" xr:uid="{00000000-0005-0000-0000-0000111A0000}"/>
    <cellStyle name="Normal 2 5 2 3 3 2 3 6" xfId="11672" xr:uid="{00000000-0005-0000-0000-0000121A0000}"/>
    <cellStyle name="Normal 2 5 2 3 3 2 3 7" xfId="5512" xr:uid="{00000000-0005-0000-0000-0000131A0000}"/>
    <cellStyle name="Normal 2 5 2 3 3 2 4" xfId="1641" xr:uid="{00000000-0005-0000-0000-0000141A0000}"/>
    <cellStyle name="Normal 2 5 2 3 3 2 4 2" xfId="3237" xr:uid="{00000000-0005-0000-0000-0000151A0000}"/>
    <cellStyle name="Normal 2 5 2 3 3 2 4 2 2" xfId="18150" xr:uid="{00000000-0005-0000-0000-0000161A0000}"/>
    <cellStyle name="Normal 2 5 2 3 3 2 4 2 3" xfId="14571" xr:uid="{00000000-0005-0000-0000-0000171A0000}"/>
    <cellStyle name="Normal 2 5 2 3 3 2 4 2 4" xfId="9314" xr:uid="{00000000-0005-0000-0000-0000181A0000}"/>
    <cellStyle name="Normal 2 5 2 3 3 2 4 3" xfId="10768" xr:uid="{00000000-0005-0000-0000-0000191A0000}"/>
    <cellStyle name="Normal 2 5 2 3 3 2 4 3 2" xfId="19595" xr:uid="{00000000-0005-0000-0000-00001A1A0000}"/>
    <cellStyle name="Normal 2 5 2 3 3 2 4 4" xfId="12214" xr:uid="{00000000-0005-0000-0000-00001B1A0000}"/>
    <cellStyle name="Normal 2 5 2 3 3 2 4 5" xfId="7209" xr:uid="{00000000-0005-0000-0000-00001C1A0000}"/>
    <cellStyle name="Normal 2 5 2 3 3 2 5" xfId="2194" xr:uid="{00000000-0005-0000-0000-00001D1A0000}"/>
    <cellStyle name="Normal 2 5 2 3 3 2 5 2" xfId="17107" xr:uid="{00000000-0005-0000-0000-00001E1A0000}"/>
    <cellStyle name="Normal 2 5 2 3 3 2 5 3" xfId="13528" xr:uid="{00000000-0005-0000-0000-00001F1A0000}"/>
    <cellStyle name="Normal 2 5 2 3 3 2 5 4" xfId="8271" xr:uid="{00000000-0005-0000-0000-0000201A0000}"/>
    <cellStyle name="Normal 2 5 2 3 3 2 6" xfId="5832" xr:uid="{00000000-0005-0000-0000-0000211A0000}"/>
    <cellStyle name="Normal 2 5 2 3 3 2 6 2" xfId="14918" xr:uid="{00000000-0005-0000-0000-0000221A0000}"/>
    <cellStyle name="Normal 2 5 2 3 3 2 7" xfId="9725" xr:uid="{00000000-0005-0000-0000-0000231A0000}"/>
    <cellStyle name="Normal 2 5 2 3 3 2 7 2" xfId="18552" xr:uid="{00000000-0005-0000-0000-0000241A0000}"/>
    <cellStyle name="Normal 2 5 2 3 3 2 8" xfId="11169" xr:uid="{00000000-0005-0000-0000-0000251A0000}"/>
    <cellStyle name="Normal 2 5 2 3 3 2 9" xfId="4803" xr:uid="{00000000-0005-0000-0000-0000261A0000}"/>
    <cellStyle name="Normal 2 5 2 3 3 2_Degree data" xfId="1278" xr:uid="{00000000-0005-0000-0000-0000271A0000}"/>
    <cellStyle name="Normal 2 5 2 3 3 3" xfId="616" xr:uid="{00000000-0005-0000-0000-0000281A0000}"/>
    <cellStyle name="Normal 2 5 2 3 3 3 2" xfId="2346" xr:uid="{00000000-0005-0000-0000-0000291A0000}"/>
    <cellStyle name="Normal 2 5 2 3 3 3 2 2" xfId="16018" xr:uid="{00000000-0005-0000-0000-00002A1A0000}"/>
    <cellStyle name="Normal 2 5 2 3 3 3 2 3" xfId="12329" xr:uid="{00000000-0005-0000-0000-00002B1A0000}"/>
    <cellStyle name="Normal 2 5 2 3 3 3 2 4" xfId="7004" xr:uid="{00000000-0005-0000-0000-00002C1A0000}"/>
    <cellStyle name="Normal 2 5 2 3 3 3 3" xfId="3613" xr:uid="{00000000-0005-0000-0000-00002D1A0000}"/>
    <cellStyle name="Normal 2 5 2 3 3 3 3 2" xfId="17259" xr:uid="{00000000-0005-0000-0000-00002E1A0000}"/>
    <cellStyle name="Normal 2 5 2 3 3 3 3 3" xfId="13680" xr:uid="{00000000-0005-0000-0000-00002F1A0000}"/>
    <cellStyle name="Normal 2 5 2 3 3 3 3 4" xfId="8423" xr:uid="{00000000-0005-0000-0000-0000301A0000}"/>
    <cellStyle name="Normal 2 5 2 3 3 3 4" xfId="6120" xr:uid="{00000000-0005-0000-0000-0000311A0000}"/>
    <cellStyle name="Normal 2 5 2 3 3 3 4 2" xfId="15204" xr:uid="{00000000-0005-0000-0000-0000321A0000}"/>
    <cellStyle name="Normal 2 5 2 3 3 3 5" xfId="9877" xr:uid="{00000000-0005-0000-0000-0000331A0000}"/>
    <cellStyle name="Normal 2 5 2 3 3 3 5 2" xfId="18704" xr:uid="{00000000-0005-0000-0000-0000341A0000}"/>
    <cellStyle name="Normal 2 5 2 3 3 3 6" xfId="11321" xr:uid="{00000000-0005-0000-0000-0000351A0000}"/>
    <cellStyle name="Normal 2 5 2 3 3 3 7" xfId="4598" xr:uid="{00000000-0005-0000-0000-0000361A0000}"/>
    <cellStyle name="Normal 2 5 2 3 3 4" xfId="974" xr:uid="{00000000-0005-0000-0000-0000371A0000}"/>
    <cellStyle name="Normal 2 5 2 3 3 4 2" xfId="2694" xr:uid="{00000000-0005-0000-0000-0000381A0000}"/>
    <cellStyle name="Normal 2 5 2 3 3 4 2 2" xfId="16234" xr:uid="{00000000-0005-0000-0000-0000391A0000}"/>
    <cellStyle name="Normal 2 5 2 3 3 4 2 3" xfId="12656" xr:uid="{00000000-0005-0000-0000-00003A1A0000}"/>
    <cellStyle name="Normal 2 5 2 3 3 4 2 4" xfId="7366" xr:uid="{00000000-0005-0000-0000-00003B1A0000}"/>
    <cellStyle name="Normal 2 5 2 3 3 4 3" xfId="3962" xr:uid="{00000000-0005-0000-0000-00003C1A0000}"/>
    <cellStyle name="Normal 2 5 2 3 3 4 3 2" xfId="17607" xr:uid="{00000000-0005-0000-0000-00003D1A0000}"/>
    <cellStyle name="Normal 2 5 2 3 3 4 3 3" xfId="14028" xr:uid="{00000000-0005-0000-0000-00003E1A0000}"/>
    <cellStyle name="Normal 2 5 2 3 3 4 3 4" xfId="8771" xr:uid="{00000000-0005-0000-0000-00003F1A0000}"/>
    <cellStyle name="Normal 2 5 2 3 3 4 4" xfId="6482" xr:uid="{00000000-0005-0000-0000-0000401A0000}"/>
    <cellStyle name="Normal 2 5 2 3 3 4 4 2" xfId="15566" xr:uid="{00000000-0005-0000-0000-0000411A0000}"/>
    <cellStyle name="Normal 2 5 2 3 3 4 5" xfId="10225" xr:uid="{00000000-0005-0000-0000-0000421A0000}"/>
    <cellStyle name="Normal 2 5 2 3 3 4 5 2" xfId="19052" xr:uid="{00000000-0005-0000-0000-0000431A0000}"/>
    <cellStyle name="Normal 2 5 2 3 3 4 6" xfId="11671" xr:uid="{00000000-0005-0000-0000-0000441A0000}"/>
    <cellStyle name="Normal 2 5 2 3 3 4 7" xfId="4960" xr:uid="{00000000-0005-0000-0000-0000451A0000}"/>
    <cellStyle name="Normal 2 5 2 3 3 5" xfId="1430" xr:uid="{00000000-0005-0000-0000-0000461A0000}"/>
    <cellStyle name="Normal 2 5 2 3 3 5 2" xfId="3032" xr:uid="{00000000-0005-0000-0000-0000471A0000}"/>
    <cellStyle name="Normal 2 5 2 3 3 5 2 2" xfId="16581" xr:uid="{00000000-0005-0000-0000-0000481A0000}"/>
    <cellStyle name="Normal 2 5 2 3 3 5 2 3" xfId="13002" xr:uid="{00000000-0005-0000-0000-0000491A0000}"/>
    <cellStyle name="Normal 2 5 2 3 3 5 2 4" xfId="7713" xr:uid="{00000000-0005-0000-0000-00004A1A0000}"/>
    <cellStyle name="Normal 2 5 2 3 3 5 3" xfId="4240" xr:uid="{00000000-0005-0000-0000-00004B1A0000}"/>
    <cellStyle name="Normal 2 5 2 3 3 5 3 2" xfId="17945" xr:uid="{00000000-0005-0000-0000-00004C1A0000}"/>
    <cellStyle name="Normal 2 5 2 3 3 5 3 3" xfId="14366" xr:uid="{00000000-0005-0000-0000-00004D1A0000}"/>
    <cellStyle name="Normal 2 5 2 3 3 5 3 4" xfId="9109" xr:uid="{00000000-0005-0000-0000-00004E1A0000}"/>
    <cellStyle name="Normal 2 5 2 3 3 5 4" xfId="6006" xr:uid="{00000000-0005-0000-0000-00004F1A0000}"/>
    <cellStyle name="Normal 2 5 2 3 3 5 4 2" xfId="15092" xr:uid="{00000000-0005-0000-0000-0000501A0000}"/>
    <cellStyle name="Normal 2 5 2 3 3 5 5" xfId="10563" xr:uid="{00000000-0005-0000-0000-0000511A0000}"/>
    <cellStyle name="Normal 2 5 2 3 3 5 5 2" xfId="19390" xr:uid="{00000000-0005-0000-0000-0000521A0000}"/>
    <cellStyle name="Normal 2 5 2 3 3 5 6" xfId="12009" xr:uid="{00000000-0005-0000-0000-0000531A0000}"/>
    <cellStyle name="Normal 2 5 2 3 3 5 7" xfId="5307" xr:uid="{00000000-0005-0000-0000-0000541A0000}"/>
    <cellStyle name="Normal 2 5 2 3 3 6" xfId="1989" xr:uid="{00000000-0005-0000-0000-0000551A0000}"/>
    <cellStyle name="Normal 2 5 2 3 3 6 2" xfId="15935" xr:uid="{00000000-0005-0000-0000-0000561A0000}"/>
    <cellStyle name="Normal 2 5 2 3 3 6 3" xfId="12350" xr:uid="{00000000-0005-0000-0000-0000571A0000}"/>
    <cellStyle name="Normal 2 5 2 3 3 6 4" xfId="6892" xr:uid="{00000000-0005-0000-0000-0000581A0000}"/>
    <cellStyle name="Normal 2 5 2 3 3 7" xfId="3403" xr:uid="{00000000-0005-0000-0000-0000591A0000}"/>
    <cellStyle name="Normal 2 5 2 3 3 7 2" xfId="16902" xr:uid="{00000000-0005-0000-0000-00005A1A0000}"/>
    <cellStyle name="Normal 2 5 2 3 3 7 3" xfId="13323" xr:uid="{00000000-0005-0000-0000-00005B1A0000}"/>
    <cellStyle name="Normal 2 5 2 3 3 7 4" xfId="8066" xr:uid="{00000000-0005-0000-0000-00005C1A0000}"/>
    <cellStyle name="Normal 2 5 2 3 3 8" xfId="5627" xr:uid="{00000000-0005-0000-0000-00005D1A0000}"/>
    <cellStyle name="Normal 2 5 2 3 3 8 2" xfId="14713" xr:uid="{00000000-0005-0000-0000-00005E1A0000}"/>
    <cellStyle name="Normal 2 5 2 3 3 9" xfId="9520" xr:uid="{00000000-0005-0000-0000-00005F1A0000}"/>
    <cellStyle name="Normal 2 5 2 3 3 9 2" xfId="18347" xr:uid="{00000000-0005-0000-0000-0000601A0000}"/>
    <cellStyle name="Normal 2 5 2 3 3_Degree data" xfId="1270" xr:uid="{00000000-0005-0000-0000-0000611A0000}"/>
    <cellStyle name="Normal 2 5 2 3 4" xfId="321" xr:uid="{00000000-0005-0000-0000-0000621A0000}"/>
    <cellStyle name="Normal 2 5 2 3 4 2" xfId="618" xr:uid="{00000000-0005-0000-0000-0000631A0000}"/>
    <cellStyle name="Normal 2 5 2 3 4 2 2" xfId="2348" xr:uid="{00000000-0005-0000-0000-0000641A0000}"/>
    <cellStyle name="Normal 2 5 2 3 4 2 2 2" xfId="16236" xr:uid="{00000000-0005-0000-0000-0000651A0000}"/>
    <cellStyle name="Normal 2 5 2 3 4 2 2 3" xfId="12658" xr:uid="{00000000-0005-0000-0000-0000661A0000}"/>
    <cellStyle name="Normal 2 5 2 3 4 2 2 4" xfId="7368" xr:uid="{00000000-0005-0000-0000-0000671A0000}"/>
    <cellStyle name="Normal 2 5 2 3 4 2 3" xfId="3615" xr:uid="{00000000-0005-0000-0000-0000681A0000}"/>
    <cellStyle name="Normal 2 5 2 3 4 2 3 2" xfId="17261" xr:uid="{00000000-0005-0000-0000-0000691A0000}"/>
    <cellStyle name="Normal 2 5 2 3 4 2 3 3" xfId="13682" xr:uid="{00000000-0005-0000-0000-00006A1A0000}"/>
    <cellStyle name="Normal 2 5 2 3 4 2 3 4" xfId="8425" xr:uid="{00000000-0005-0000-0000-00006B1A0000}"/>
    <cellStyle name="Normal 2 5 2 3 4 2 4" xfId="6484" xr:uid="{00000000-0005-0000-0000-00006C1A0000}"/>
    <cellStyle name="Normal 2 5 2 3 4 2 4 2" xfId="15568" xr:uid="{00000000-0005-0000-0000-00006D1A0000}"/>
    <cellStyle name="Normal 2 5 2 3 4 2 5" xfId="9879" xr:uid="{00000000-0005-0000-0000-00006E1A0000}"/>
    <cellStyle name="Normal 2 5 2 3 4 2 5 2" xfId="18706" xr:uid="{00000000-0005-0000-0000-00006F1A0000}"/>
    <cellStyle name="Normal 2 5 2 3 4 2 6" xfId="11323" xr:uid="{00000000-0005-0000-0000-0000701A0000}"/>
    <cellStyle name="Normal 2 5 2 3 4 2 7" xfId="4962" xr:uid="{00000000-0005-0000-0000-0000711A0000}"/>
    <cellStyle name="Normal 2 5 2 3 4 3" xfId="976" xr:uid="{00000000-0005-0000-0000-0000721A0000}"/>
    <cellStyle name="Normal 2 5 2 3 4 3 2" xfId="2696" xr:uid="{00000000-0005-0000-0000-0000731A0000}"/>
    <cellStyle name="Normal 2 5 2 3 4 3 2 2" xfId="16681" xr:uid="{00000000-0005-0000-0000-0000741A0000}"/>
    <cellStyle name="Normal 2 5 2 3 4 3 2 3" xfId="13102" xr:uid="{00000000-0005-0000-0000-0000751A0000}"/>
    <cellStyle name="Normal 2 5 2 3 4 3 2 4" xfId="7813" xr:uid="{00000000-0005-0000-0000-0000761A0000}"/>
    <cellStyle name="Normal 2 5 2 3 4 3 3" xfId="3964" xr:uid="{00000000-0005-0000-0000-0000771A0000}"/>
    <cellStyle name="Normal 2 5 2 3 4 3 3 2" xfId="17609" xr:uid="{00000000-0005-0000-0000-0000781A0000}"/>
    <cellStyle name="Normal 2 5 2 3 4 3 3 3" xfId="14030" xr:uid="{00000000-0005-0000-0000-0000791A0000}"/>
    <cellStyle name="Normal 2 5 2 3 4 3 3 4" xfId="8773" xr:uid="{00000000-0005-0000-0000-00007A1A0000}"/>
    <cellStyle name="Normal 2 5 2 3 4 3 4" xfId="6220" xr:uid="{00000000-0005-0000-0000-00007B1A0000}"/>
    <cellStyle name="Normal 2 5 2 3 4 3 4 2" xfId="15304" xr:uid="{00000000-0005-0000-0000-00007C1A0000}"/>
    <cellStyle name="Normal 2 5 2 3 4 3 5" xfId="10227" xr:uid="{00000000-0005-0000-0000-00007D1A0000}"/>
    <cellStyle name="Normal 2 5 2 3 4 3 5 2" xfId="19054" xr:uid="{00000000-0005-0000-0000-00007E1A0000}"/>
    <cellStyle name="Normal 2 5 2 3 4 3 6" xfId="11673" xr:uid="{00000000-0005-0000-0000-00007F1A0000}"/>
    <cellStyle name="Normal 2 5 2 3 4 3 7" xfId="5407" xr:uid="{00000000-0005-0000-0000-0000801A0000}"/>
    <cellStyle name="Normal 2 5 2 3 4 4" xfId="1533" xr:uid="{00000000-0005-0000-0000-0000811A0000}"/>
    <cellStyle name="Normal 2 5 2 3 4 4 2" xfId="3132" xr:uid="{00000000-0005-0000-0000-0000821A0000}"/>
    <cellStyle name="Normal 2 5 2 3 4 4 2 2" xfId="18045" xr:uid="{00000000-0005-0000-0000-0000831A0000}"/>
    <cellStyle name="Normal 2 5 2 3 4 4 2 3" xfId="14466" xr:uid="{00000000-0005-0000-0000-0000841A0000}"/>
    <cellStyle name="Normal 2 5 2 3 4 4 2 4" xfId="9209" xr:uid="{00000000-0005-0000-0000-0000851A0000}"/>
    <cellStyle name="Normal 2 5 2 3 4 4 3" xfId="10663" xr:uid="{00000000-0005-0000-0000-0000861A0000}"/>
    <cellStyle name="Normal 2 5 2 3 4 4 3 2" xfId="19490" xr:uid="{00000000-0005-0000-0000-0000871A0000}"/>
    <cellStyle name="Normal 2 5 2 3 4 4 4" xfId="12109" xr:uid="{00000000-0005-0000-0000-0000881A0000}"/>
    <cellStyle name="Normal 2 5 2 3 4 4 5" xfId="7104" xr:uid="{00000000-0005-0000-0000-0000891A0000}"/>
    <cellStyle name="Normal 2 5 2 3 4 5" xfId="2089" xr:uid="{00000000-0005-0000-0000-00008A1A0000}"/>
    <cellStyle name="Normal 2 5 2 3 4 5 2" xfId="17002" xr:uid="{00000000-0005-0000-0000-00008B1A0000}"/>
    <cellStyle name="Normal 2 5 2 3 4 5 3" xfId="13423" xr:uid="{00000000-0005-0000-0000-00008C1A0000}"/>
    <cellStyle name="Normal 2 5 2 3 4 5 4" xfId="8166" xr:uid="{00000000-0005-0000-0000-00008D1A0000}"/>
    <cellStyle name="Normal 2 5 2 3 4 6" xfId="5727" xr:uid="{00000000-0005-0000-0000-00008E1A0000}"/>
    <cellStyle name="Normal 2 5 2 3 4 6 2" xfId="14813" xr:uid="{00000000-0005-0000-0000-00008F1A0000}"/>
    <cellStyle name="Normal 2 5 2 3 4 7" xfId="9620" xr:uid="{00000000-0005-0000-0000-0000901A0000}"/>
    <cellStyle name="Normal 2 5 2 3 4 7 2" xfId="18447" xr:uid="{00000000-0005-0000-0000-0000911A0000}"/>
    <cellStyle name="Normal 2 5 2 3 4 8" xfId="11064" xr:uid="{00000000-0005-0000-0000-0000921A0000}"/>
    <cellStyle name="Normal 2 5 2 3 4 9" xfId="4698" xr:uid="{00000000-0005-0000-0000-0000931A0000}"/>
    <cellStyle name="Normal 2 5 2 3 4_Degree data" xfId="1307" xr:uid="{00000000-0005-0000-0000-0000941A0000}"/>
    <cellStyle name="Normal 2 5 2 3 5" xfId="613" xr:uid="{00000000-0005-0000-0000-0000951A0000}"/>
    <cellStyle name="Normal 2 5 2 3 5 2" xfId="2343" xr:uid="{00000000-0005-0000-0000-0000961A0000}"/>
    <cellStyle name="Normal 2 5 2 3 5 2 2" xfId="15975" xr:uid="{00000000-0005-0000-0000-0000971A0000}"/>
    <cellStyle name="Normal 2 5 2 3 5 2 3" xfId="12273" xr:uid="{00000000-0005-0000-0000-0000981A0000}"/>
    <cellStyle name="Normal 2 5 2 3 5 2 4" xfId="6945" xr:uid="{00000000-0005-0000-0000-0000991A0000}"/>
    <cellStyle name="Normal 2 5 2 3 5 3" xfId="3610" xr:uid="{00000000-0005-0000-0000-00009A1A0000}"/>
    <cellStyle name="Normal 2 5 2 3 5 3 2" xfId="17256" xr:uid="{00000000-0005-0000-0000-00009B1A0000}"/>
    <cellStyle name="Normal 2 5 2 3 5 3 3" xfId="13677" xr:uid="{00000000-0005-0000-0000-00009C1A0000}"/>
    <cellStyle name="Normal 2 5 2 3 5 3 4" xfId="8420" xr:uid="{00000000-0005-0000-0000-00009D1A0000}"/>
    <cellStyle name="Normal 2 5 2 3 5 4" xfId="6061" xr:uid="{00000000-0005-0000-0000-00009E1A0000}"/>
    <cellStyle name="Normal 2 5 2 3 5 4 2" xfId="15145" xr:uid="{00000000-0005-0000-0000-00009F1A0000}"/>
    <cellStyle name="Normal 2 5 2 3 5 5" xfId="9874" xr:uid="{00000000-0005-0000-0000-0000A01A0000}"/>
    <cellStyle name="Normal 2 5 2 3 5 5 2" xfId="18701" xr:uid="{00000000-0005-0000-0000-0000A11A0000}"/>
    <cellStyle name="Normal 2 5 2 3 5 6" xfId="11318" xr:uid="{00000000-0005-0000-0000-0000A21A0000}"/>
    <cellStyle name="Normal 2 5 2 3 5 7" xfId="4539" xr:uid="{00000000-0005-0000-0000-0000A31A0000}"/>
    <cellStyle name="Normal 2 5 2 3 6" xfId="971" xr:uid="{00000000-0005-0000-0000-0000A41A0000}"/>
    <cellStyle name="Normal 2 5 2 3 6 2" xfId="2691" xr:uid="{00000000-0005-0000-0000-0000A51A0000}"/>
    <cellStyle name="Normal 2 5 2 3 6 2 2" xfId="16231" xr:uid="{00000000-0005-0000-0000-0000A61A0000}"/>
    <cellStyle name="Normal 2 5 2 3 6 2 3" xfId="12653" xr:uid="{00000000-0005-0000-0000-0000A71A0000}"/>
    <cellStyle name="Normal 2 5 2 3 6 2 4" xfId="7363" xr:uid="{00000000-0005-0000-0000-0000A81A0000}"/>
    <cellStyle name="Normal 2 5 2 3 6 3" xfId="3959" xr:uid="{00000000-0005-0000-0000-0000A91A0000}"/>
    <cellStyle name="Normal 2 5 2 3 6 3 2" xfId="17604" xr:uid="{00000000-0005-0000-0000-0000AA1A0000}"/>
    <cellStyle name="Normal 2 5 2 3 6 3 3" xfId="14025" xr:uid="{00000000-0005-0000-0000-0000AB1A0000}"/>
    <cellStyle name="Normal 2 5 2 3 6 3 4" xfId="8768" xr:uid="{00000000-0005-0000-0000-0000AC1A0000}"/>
    <cellStyle name="Normal 2 5 2 3 6 4" xfId="6479" xr:uid="{00000000-0005-0000-0000-0000AD1A0000}"/>
    <cellStyle name="Normal 2 5 2 3 6 4 2" xfId="15563" xr:uid="{00000000-0005-0000-0000-0000AE1A0000}"/>
    <cellStyle name="Normal 2 5 2 3 6 5" xfId="10222" xr:uid="{00000000-0005-0000-0000-0000AF1A0000}"/>
    <cellStyle name="Normal 2 5 2 3 6 5 2" xfId="19049" xr:uid="{00000000-0005-0000-0000-0000B01A0000}"/>
    <cellStyle name="Normal 2 5 2 3 6 6" xfId="11668" xr:uid="{00000000-0005-0000-0000-0000B11A0000}"/>
    <cellStyle name="Normal 2 5 2 3 6 7" xfId="4957" xr:uid="{00000000-0005-0000-0000-0000B21A0000}"/>
    <cellStyle name="Normal 2 5 2 3 7" xfId="1362" xr:uid="{00000000-0005-0000-0000-0000B31A0000}"/>
    <cellStyle name="Normal 2 5 2 3 7 2" xfId="2973" xr:uid="{00000000-0005-0000-0000-0000B41A0000}"/>
    <cellStyle name="Normal 2 5 2 3 7 2 2" xfId="16522" xr:uid="{00000000-0005-0000-0000-0000B51A0000}"/>
    <cellStyle name="Normal 2 5 2 3 7 2 3" xfId="12944" xr:uid="{00000000-0005-0000-0000-0000B61A0000}"/>
    <cellStyle name="Normal 2 5 2 3 7 2 4" xfId="7654" xr:uid="{00000000-0005-0000-0000-0000B71A0000}"/>
    <cellStyle name="Normal 2 5 2 3 7 3" xfId="4198" xr:uid="{00000000-0005-0000-0000-0000B81A0000}"/>
    <cellStyle name="Normal 2 5 2 3 7 3 2" xfId="17886" xr:uid="{00000000-0005-0000-0000-0000B91A0000}"/>
    <cellStyle name="Normal 2 5 2 3 7 3 3" xfId="14307" xr:uid="{00000000-0005-0000-0000-0000BA1A0000}"/>
    <cellStyle name="Normal 2 5 2 3 7 3 4" xfId="9050" xr:uid="{00000000-0005-0000-0000-0000BB1A0000}"/>
    <cellStyle name="Normal 2 5 2 3 7 4" xfId="5900" xr:uid="{00000000-0005-0000-0000-0000BC1A0000}"/>
    <cellStyle name="Normal 2 5 2 3 7 4 2" xfId="14986" xr:uid="{00000000-0005-0000-0000-0000BD1A0000}"/>
    <cellStyle name="Normal 2 5 2 3 7 5" xfId="10504" xr:uid="{00000000-0005-0000-0000-0000BE1A0000}"/>
    <cellStyle name="Normal 2 5 2 3 7 5 2" xfId="19331" xr:uid="{00000000-0005-0000-0000-0000BF1A0000}"/>
    <cellStyle name="Normal 2 5 2 3 7 6" xfId="11950" xr:uid="{00000000-0005-0000-0000-0000C01A0000}"/>
    <cellStyle name="Normal 2 5 2 3 7 7" xfId="5248" xr:uid="{00000000-0005-0000-0000-0000C11A0000}"/>
    <cellStyle name="Normal 2 5 2 3 8" xfId="1930" xr:uid="{00000000-0005-0000-0000-0000C21A0000}"/>
    <cellStyle name="Normal 2 5 2 3 8 2" xfId="9461" xr:uid="{00000000-0005-0000-0000-0000C31A0000}"/>
    <cellStyle name="Normal 2 5 2 3 8 2 2" xfId="18288" xr:uid="{00000000-0005-0000-0000-0000C41A0000}"/>
    <cellStyle name="Normal 2 5 2 3 8 3" xfId="10905" xr:uid="{00000000-0005-0000-0000-0000C51A0000}"/>
    <cellStyle name="Normal 2 5 2 3 8 4" xfId="6787" xr:uid="{00000000-0005-0000-0000-0000C61A0000}"/>
    <cellStyle name="Normal 2 5 2 3 9" xfId="1854" xr:uid="{00000000-0005-0000-0000-0000C71A0000}"/>
    <cellStyle name="Normal 2 5 2 3 9 2" xfId="16841" xr:uid="{00000000-0005-0000-0000-0000C81A0000}"/>
    <cellStyle name="Normal 2 5 2 3 9 3" xfId="13262" xr:uid="{00000000-0005-0000-0000-0000C91A0000}"/>
    <cellStyle name="Normal 2 5 2 3 9 4" xfId="8005" xr:uid="{00000000-0005-0000-0000-0000CA1A0000}"/>
    <cellStyle name="Normal 2 5 2 3_Degree data" xfId="1261" xr:uid="{00000000-0005-0000-0000-0000CB1A0000}"/>
    <cellStyle name="Normal 2 5 2 4" xfId="246" xr:uid="{00000000-0005-0000-0000-0000CC1A0000}"/>
    <cellStyle name="Normal 2 5 2 4 10" xfId="10997" xr:uid="{00000000-0005-0000-0000-0000CD1A0000}"/>
    <cellStyle name="Normal 2 5 2 4 11" xfId="4414" xr:uid="{00000000-0005-0000-0000-0000CE1A0000}"/>
    <cellStyle name="Normal 2 5 2 4 2" xfId="354" xr:uid="{00000000-0005-0000-0000-0000CF1A0000}"/>
    <cellStyle name="Normal 2 5 2 4 2 2" xfId="620" xr:uid="{00000000-0005-0000-0000-0000D01A0000}"/>
    <cellStyle name="Normal 2 5 2 4 2 2 2" xfId="2350" xr:uid="{00000000-0005-0000-0000-0000D11A0000}"/>
    <cellStyle name="Normal 2 5 2 4 2 2 2 2" xfId="16238" xr:uid="{00000000-0005-0000-0000-0000D21A0000}"/>
    <cellStyle name="Normal 2 5 2 4 2 2 2 3" xfId="12660" xr:uid="{00000000-0005-0000-0000-0000D31A0000}"/>
    <cellStyle name="Normal 2 5 2 4 2 2 2 4" xfId="7370" xr:uid="{00000000-0005-0000-0000-0000D41A0000}"/>
    <cellStyle name="Normal 2 5 2 4 2 2 3" xfId="3617" xr:uid="{00000000-0005-0000-0000-0000D51A0000}"/>
    <cellStyle name="Normal 2 5 2 4 2 2 3 2" xfId="17263" xr:uid="{00000000-0005-0000-0000-0000D61A0000}"/>
    <cellStyle name="Normal 2 5 2 4 2 2 3 3" xfId="13684" xr:uid="{00000000-0005-0000-0000-0000D71A0000}"/>
    <cellStyle name="Normal 2 5 2 4 2 2 3 4" xfId="8427" xr:uid="{00000000-0005-0000-0000-0000D81A0000}"/>
    <cellStyle name="Normal 2 5 2 4 2 2 4" xfId="6486" xr:uid="{00000000-0005-0000-0000-0000D91A0000}"/>
    <cellStyle name="Normal 2 5 2 4 2 2 4 2" xfId="15570" xr:uid="{00000000-0005-0000-0000-0000DA1A0000}"/>
    <cellStyle name="Normal 2 5 2 4 2 2 5" xfId="9881" xr:uid="{00000000-0005-0000-0000-0000DB1A0000}"/>
    <cellStyle name="Normal 2 5 2 4 2 2 5 2" xfId="18708" xr:uid="{00000000-0005-0000-0000-0000DC1A0000}"/>
    <cellStyle name="Normal 2 5 2 4 2 2 6" xfId="11325" xr:uid="{00000000-0005-0000-0000-0000DD1A0000}"/>
    <cellStyle name="Normal 2 5 2 4 2 2 7" xfId="4964" xr:uid="{00000000-0005-0000-0000-0000DE1A0000}"/>
    <cellStyle name="Normal 2 5 2 4 2 3" xfId="978" xr:uid="{00000000-0005-0000-0000-0000DF1A0000}"/>
    <cellStyle name="Normal 2 5 2 4 2 3 2" xfId="2698" xr:uid="{00000000-0005-0000-0000-0000E01A0000}"/>
    <cellStyle name="Normal 2 5 2 4 2 3 2 2" xfId="16714" xr:uid="{00000000-0005-0000-0000-0000E11A0000}"/>
    <cellStyle name="Normal 2 5 2 4 2 3 2 3" xfId="13135" xr:uid="{00000000-0005-0000-0000-0000E21A0000}"/>
    <cellStyle name="Normal 2 5 2 4 2 3 2 4" xfId="7846" xr:uid="{00000000-0005-0000-0000-0000E31A0000}"/>
    <cellStyle name="Normal 2 5 2 4 2 3 3" xfId="3966" xr:uid="{00000000-0005-0000-0000-0000E41A0000}"/>
    <cellStyle name="Normal 2 5 2 4 2 3 3 2" xfId="17611" xr:uid="{00000000-0005-0000-0000-0000E51A0000}"/>
    <cellStyle name="Normal 2 5 2 4 2 3 3 3" xfId="14032" xr:uid="{00000000-0005-0000-0000-0000E61A0000}"/>
    <cellStyle name="Normal 2 5 2 4 2 3 3 4" xfId="8775" xr:uid="{00000000-0005-0000-0000-0000E71A0000}"/>
    <cellStyle name="Normal 2 5 2 4 2 3 4" xfId="6253" xr:uid="{00000000-0005-0000-0000-0000E81A0000}"/>
    <cellStyle name="Normal 2 5 2 4 2 3 4 2" xfId="15337" xr:uid="{00000000-0005-0000-0000-0000E91A0000}"/>
    <cellStyle name="Normal 2 5 2 4 2 3 5" xfId="10229" xr:uid="{00000000-0005-0000-0000-0000EA1A0000}"/>
    <cellStyle name="Normal 2 5 2 4 2 3 5 2" xfId="19056" xr:uid="{00000000-0005-0000-0000-0000EB1A0000}"/>
    <cellStyle name="Normal 2 5 2 4 2 3 6" xfId="11675" xr:uid="{00000000-0005-0000-0000-0000EC1A0000}"/>
    <cellStyle name="Normal 2 5 2 4 2 3 7" xfId="5440" xr:uid="{00000000-0005-0000-0000-0000ED1A0000}"/>
    <cellStyle name="Normal 2 5 2 4 2 4" xfId="1567" xr:uid="{00000000-0005-0000-0000-0000EE1A0000}"/>
    <cellStyle name="Normal 2 5 2 4 2 4 2" xfId="3165" xr:uid="{00000000-0005-0000-0000-0000EF1A0000}"/>
    <cellStyle name="Normal 2 5 2 4 2 4 2 2" xfId="18078" xr:uid="{00000000-0005-0000-0000-0000F01A0000}"/>
    <cellStyle name="Normal 2 5 2 4 2 4 2 3" xfId="14499" xr:uid="{00000000-0005-0000-0000-0000F11A0000}"/>
    <cellStyle name="Normal 2 5 2 4 2 4 2 4" xfId="9242" xr:uid="{00000000-0005-0000-0000-0000F21A0000}"/>
    <cellStyle name="Normal 2 5 2 4 2 4 3" xfId="10696" xr:uid="{00000000-0005-0000-0000-0000F31A0000}"/>
    <cellStyle name="Normal 2 5 2 4 2 4 3 2" xfId="19523" xr:uid="{00000000-0005-0000-0000-0000F41A0000}"/>
    <cellStyle name="Normal 2 5 2 4 2 4 4" xfId="12142" xr:uid="{00000000-0005-0000-0000-0000F51A0000}"/>
    <cellStyle name="Normal 2 5 2 4 2 4 5" xfId="7137" xr:uid="{00000000-0005-0000-0000-0000F61A0000}"/>
    <cellStyle name="Normal 2 5 2 4 2 5" xfId="2122" xr:uid="{00000000-0005-0000-0000-0000F71A0000}"/>
    <cellStyle name="Normal 2 5 2 4 2 5 2" xfId="17035" xr:uid="{00000000-0005-0000-0000-0000F81A0000}"/>
    <cellStyle name="Normal 2 5 2 4 2 5 3" xfId="13456" xr:uid="{00000000-0005-0000-0000-0000F91A0000}"/>
    <cellStyle name="Normal 2 5 2 4 2 5 4" xfId="8199" xr:uid="{00000000-0005-0000-0000-0000FA1A0000}"/>
    <cellStyle name="Normal 2 5 2 4 2 6" xfId="5760" xr:uid="{00000000-0005-0000-0000-0000FB1A0000}"/>
    <cellStyle name="Normal 2 5 2 4 2 6 2" xfId="14846" xr:uid="{00000000-0005-0000-0000-0000FC1A0000}"/>
    <cellStyle name="Normal 2 5 2 4 2 7" xfId="9653" xr:uid="{00000000-0005-0000-0000-0000FD1A0000}"/>
    <cellStyle name="Normal 2 5 2 4 2 7 2" xfId="18480" xr:uid="{00000000-0005-0000-0000-0000FE1A0000}"/>
    <cellStyle name="Normal 2 5 2 4 2 8" xfId="11097" xr:uid="{00000000-0005-0000-0000-0000FF1A0000}"/>
    <cellStyle name="Normal 2 5 2 4 2 9" xfId="4731" xr:uid="{00000000-0005-0000-0000-0000001B0000}"/>
    <cellStyle name="Normal 2 5 2 4 2_Degree data" xfId="1305" xr:uid="{00000000-0005-0000-0000-0000011B0000}"/>
    <cellStyle name="Normal 2 5 2 4 3" xfId="619" xr:uid="{00000000-0005-0000-0000-0000021B0000}"/>
    <cellStyle name="Normal 2 5 2 4 3 2" xfId="2349" xr:uid="{00000000-0005-0000-0000-0000031B0000}"/>
    <cellStyle name="Normal 2 5 2 4 3 2 2" xfId="16051" xr:uid="{00000000-0005-0000-0000-0000041B0000}"/>
    <cellStyle name="Normal 2 5 2 4 3 2 3" xfId="12508" xr:uid="{00000000-0005-0000-0000-0000051B0000}"/>
    <cellStyle name="Normal 2 5 2 4 3 2 4" xfId="7037" xr:uid="{00000000-0005-0000-0000-0000061B0000}"/>
    <cellStyle name="Normal 2 5 2 4 3 3" xfId="3616" xr:uid="{00000000-0005-0000-0000-0000071B0000}"/>
    <cellStyle name="Normal 2 5 2 4 3 3 2" xfId="17262" xr:uid="{00000000-0005-0000-0000-0000081B0000}"/>
    <cellStyle name="Normal 2 5 2 4 3 3 3" xfId="13683" xr:uid="{00000000-0005-0000-0000-0000091B0000}"/>
    <cellStyle name="Normal 2 5 2 4 3 3 4" xfId="8426" xr:uid="{00000000-0005-0000-0000-00000A1B0000}"/>
    <cellStyle name="Normal 2 5 2 4 3 4" xfId="6153" xr:uid="{00000000-0005-0000-0000-00000B1B0000}"/>
    <cellStyle name="Normal 2 5 2 4 3 4 2" xfId="15237" xr:uid="{00000000-0005-0000-0000-00000C1B0000}"/>
    <cellStyle name="Normal 2 5 2 4 3 5" xfId="9880" xr:uid="{00000000-0005-0000-0000-00000D1B0000}"/>
    <cellStyle name="Normal 2 5 2 4 3 5 2" xfId="18707" xr:uid="{00000000-0005-0000-0000-00000E1B0000}"/>
    <cellStyle name="Normal 2 5 2 4 3 6" xfId="11324" xr:uid="{00000000-0005-0000-0000-00000F1B0000}"/>
    <cellStyle name="Normal 2 5 2 4 3 7" xfId="4631" xr:uid="{00000000-0005-0000-0000-0000101B0000}"/>
    <cellStyle name="Normal 2 5 2 4 4" xfId="977" xr:uid="{00000000-0005-0000-0000-0000111B0000}"/>
    <cellStyle name="Normal 2 5 2 4 4 2" xfId="2697" xr:uid="{00000000-0005-0000-0000-0000121B0000}"/>
    <cellStyle name="Normal 2 5 2 4 4 2 2" xfId="16237" xr:uid="{00000000-0005-0000-0000-0000131B0000}"/>
    <cellStyle name="Normal 2 5 2 4 4 2 3" xfId="12659" xr:uid="{00000000-0005-0000-0000-0000141B0000}"/>
    <cellStyle name="Normal 2 5 2 4 4 2 4" xfId="7369" xr:uid="{00000000-0005-0000-0000-0000151B0000}"/>
    <cellStyle name="Normal 2 5 2 4 4 3" xfId="3965" xr:uid="{00000000-0005-0000-0000-0000161B0000}"/>
    <cellStyle name="Normal 2 5 2 4 4 3 2" xfId="17610" xr:uid="{00000000-0005-0000-0000-0000171B0000}"/>
    <cellStyle name="Normal 2 5 2 4 4 3 3" xfId="14031" xr:uid="{00000000-0005-0000-0000-0000181B0000}"/>
    <cellStyle name="Normal 2 5 2 4 4 3 4" xfId="8774" xr:uid="{00000000-0005-0000-0000-0000191B0000}"/>
    <cellStyle name="Normal 2 5 2 4 4 4" xfId="6485" xr:uid="{00000000-0005-0000-0000-00001A1B0000}"/>
    <cellStyle name="Normal 2 5 2 4 4 4 2" xfId="15569" xr:uid="{00000000-0005-0000-0000-00001B1B0000}"/>
    <cellStyle name="Normal 2 5 2 4 4 5" xfId="10228" xr:uid="{00000000-0005-0000-0000-00001C1B0000}"/>
    <cellStyle name="Normal 2 5 2 4 4 5 2" xfId="19055" xr:uid="{00000000-0005-0000-0000-00001D1B0000}"/>
    <cellStyle name="Normal 2 5 2 4 4 6" xfId="11674" xr:uid="{00000000-0005-0000-0000-00001E1B0000}"/>
    <cellStyle name="Normal 2 5 2 4 4 7" xfId="4963" xr:uid="{00000000-0005-0000-0000-00001F1B0000}"/>
    <cellStyle name="Normal 2 5 2 4 5" xfId="1465" xr:uid="{00000000-0005-0000-0000-0000201B0000}"/>
    <cellStyle name="Normal 2 5 2 4 5 2" xfId="3065" xr:uid="{00000000-0005-0000-0000-0000211B0000}"/>
    <cellStyle name="Normal 2 5 2 4 5 2 2" xfId="16614" xr:uid="{00000000-0005-0000-0000-0000221B0000}"/>
    <cellStyle name="Normal 2 5 2 4 5 2 3" xfId="13035" xr:uid="{00000000-0005-0000-0000-0000231B0000}"/>
    <cellStyle name="Normal 2 5 2 4 5 2 4" xfId="7746" xr:uid="{00000000-0005-0000-0000-0000241B0000}"/>
    <cellStyle name="Normal 2 5 2 4 5 3" xfId="4273" xr:uid="{00000000-0005-0000-0000-0000251B0000}"/>
    <cellStyle name="Normal 2 5 2 4 5 3 2" xfId="17978" xr:uid="{00000000-0005-0000-0000-0000261B0000}"/>
    <cellStyle name="Normal 2 5 2 4 5 3 3" xfId="14399" xr:uid="{00000000-0005-0000-0000-0000271B0000}"/>
    <cellStyle name="Normal 2 5 2 4 5 3 4" xfId="9142" xr:uid="{00000000-0005-0000-0000-0000281B0000}"/>
    <cellStyle name="Normal 2 5 2 4 5 4" xfId="5934" xr:uid="{00000000-0005-0000-0000-0000291B0000}"/>
    <cellStyle name="Normal 2 5 2 4 5 4 2" xfId="15020" xr:uid="{00000000-0005-0000-0000-00002A1B0000}"/>
    <cellStyle name="Normal 2 5 2 4 5 5" xfId="10596" xr:uid="{00000000-0005-0000-0000-00002B1B0000}"/>
    <cellStyle name="Normal 2 5 2 4 5 5 2" xfId="19423" xr:uid="{00000000-0005-0000-0000-00002C1B0000}"/>
    <cellStyle name="Normal 2 5 2 4 5 6" xfId="12042" xr:uid="{00000000-0005-0000-0000-00002D1B0000}"/>
    <cellStyle name="Normal 2 5 2 4 5 7" xfId="5340" xr:uid="{00000000-0005-0000-0000-00002E1B0000}"/>
    <cellStyle name="Normal 2 5 2 4 6" xfId="2022" xr:uid="{00000000-0005-0000-0000-00002F1B0000}"/>
    <cellStyle name="Normal 2 5 2 4 6 2" xfId="15863" xr:uid="{00000000-0005-0000-0000-0000301B0000}"/>
    <cellStyle name="Normal 2 5 2 4 6 3" xfId="12485" xr:uid="{00000000-0005-0000-0000-0000311B0000}"/>
    <cellStyle name="Normal 2 5 2 4 6 4" xfId="6820" xr:uid="{00000000-0005-0000-0000-0000321B0000}"/>
    <cellStyle name="Normal 2 5 2 4 7" xfId="3435" xr:uid="{00000000-0005-0000-0000-0000331B0000}"/>
    <cellStyle name="Normal 2 5 2 4 7 2" xfId="16935" xr:uid="{00000000-0005-0000-0000-0000341B0000}"/>
    <cellStyle name="Normal 2 5 2 4 7 3" xfId="13356" xr:uid="{00000000-0005-0000-0000-0000351B0000}"/>
    <cellStyle name="Normal 2 5 2 4 7 4" xfId="8099" xr:uid="{00000000-0005-0000-0000-0000361B0000}"/>
    <cellStyle name="Normal 2 5 2 4 8" xfId="5660" xr:uid="{00000000-0005-0000-0000-0000371B0000}"/>
    <cellStyle name="Normal 2 5 2 4 8 2" xfId="14746" xr:uid="{00000000-0005-0000-0000-0000381B0000}"/>
    <cellStyle name="Normal 2 5 2 4 9" xfId="9553" xr:uid="{00000000-0005-0000-0000-0000391B0000}"/>
    <cellStyle name="Normal 2 5 2 4 9 2" xfId="18380" xr:uid="{00000000-0005-0000-0000-00003A1B0000}"/>
    <cellStyle name="Normal 2 5 2 4_Degree data" xfId="1306" xr:uid="{00000000-0005-0000-0000-00003B1B0000}"/>
    <cellStyle name="Normal 2 5 2 5" xfId="192" xr:uid="{00000000-0005-0000-0000-00003C1B0000}"/>
    <cellStyle name="Normal 2 5 2 5 10" xfId="10946" xr:uid="{00000000-0005-0000-0000-00003D1B0000}"/>
    <cellStyle name="Normal 2 5 2 5 11" xfId="4468" xr:uid="{00000000-0005-0000-0000-00003E1B0000}"/>
    <cellStyle name="Normal 2 5 2 5 2" xfId="409" xr:uid="{00000000-0005-0000-0000-00003F1B0000}"/>
    <cellStyle name="Normal 2 5 2 5 2 2" xfId="622" xr:uid="{00000000-0005-0000-0000-0000401B0000}"/>
    <cellStyle name="Normal 2 5 2 5 2 2 2" xfId="2352" xr:uid="{00000000-0005-0000-0000-0000411B0000}"/>
    <cellStyle name="Normal 2 5 2 5 2 2 2 2" xfId="16240" xr:uid="{00000000-0005-0000-0000-0000421B0000}"/>
    <cellStyle name="Normal 2 5 2 5 2 2 2 3" xfId="12662" xr:uid="{00000000-0005-0000-0000-0000431B0000}"/>
    <cellStyle name="Normal 2 5 2 5 2 2 2 4" xfId="7372" xr:uid="{00000000-0005-0000-0000-0000441B0000}"/>
    <cellStyle name="Normal 2 5 2 5 2 2 3" xfId="3619" xr:uid="{00000000-0005-0000-0000-0000451B0000}"/>
    <cellStyle name="Normal 2 5 2 5 2 2 3 2" xfId="17265" xr:uid="{00000000-0005-0000-0000-0000461B0000}"/>
    <cellStyle name="Normal 2 5 2 5 2 2 3 3" xfId="13686" xr:uid="{00000000-0005-0000-0000-0000471B0000}"/>
    <cellStyle name="Normal 2 5 2 5 2 2 3 4" xfId="8429" xr:uid="{00000000-0005-0000-0000-0000481B0000}"/>
    <cellStyle name="Normal 2 5 2 5 2 2 4" xfId="6488" xr:uid="{00000000-0005-0000-0000-0000491B0000}"/>
    <cellStyle name="Normal 2 5 2 5 2 2 4 2" xfId="15572" xr:uid="{00000000-0005-0000-0000-00004A1B0000}"/>
    <cellStyle name="Normal 2 5 2 5 2 2 5" xfId="9883" xr:uid="{00000000-0005-0000-0000-00004B1B0000}"/>
    <cellStyle name="Normal 2 5 2 5 2 2 5 2" xfId="18710" xr:uid="{00000000-0005-0000-0000-00004C1B0000}"/>
    <cellStyle name="Normal 2 5 2 5 2 2 6" xfId="11327" xr:uid="{00000000-0005-0000-0000-00004D1B0000}"/>
    <cellStyle name="Normal 2 5 2 5 2 2 7" xfId="4966" xr:uid="{00000000-0005-0000-0000-00004E1B0000}"/>
    <cellStyle name="Normal 2 5 2 5 2 3" xfId="980" xr:uid="{00000000-0005-0000-0000-00004F1B0000}"/>
    <cellStyle name="Normal 2 5 2 5 2 3 2" xfId="2700" xr:uid="{00000000-0005-0000-0000-0000501B0000}"/>
    <cellStyle name="Normal 2 5 2 5 2 3 2 2" xfId="16768" xr:uid="{00000000-0005-0000-0000-0000511B0000}"/>
    <cellStyle name="Normal 2 5 2 5 2 3 2 3" xfId="13189" xr:uid="{00000000-0005-0000-0000-0000521B0000}"/>
    <cellStyle name="Normal 2 5 2 5 2 3 2 4" xfId="7900" xr:uid="{00000000-0005-0000-0000-0000531B0000}"/>
    <cellStyle name="Normal 2 5 2 5 2 3 3" xfId="3968" xr:uid="{00000000-0005-0000-0000-0000541B0000}"/>
    <cellStyle name="Normal 2 5 2 5 2 3 3 2" xfId="17613" xr:uid="{00000000-0005-0000-0000-0000551B0000}"/>
    <cellStyle name="Normal 2 5 2 5 2 3 3 3" xfId="14034" xr:uid="{00000000-0005-0000-0000-0000561B0000}"/>
    <cellStyle name="Normal 2 5 2 5 2 3 3 4" xfId="8777" xr:uid="{00000000-0005-0000-0000-0000571B0000}"/>
    <cellStyle name="Normal 2 5 2 5 2 3 4" xfId="6307" xr:uid="{00000000-0005-0000-0000-0000581B0000}"/>
    <cellStyle name="Normal 2 5 2 5 2 3 4 2" xfId="15391" xr:uid="{00000000-0005-0000-0000-0000591B0000}"/>
    <cellStyle name="Normal 2 5 2 5 2 3 5" xfId="10231" xr:uid="{00000000-0005-0000-0000-00005A1B0000}"/>
    <cellStyle name="Normal 2 5 2 5 2 3 5 2" xfId="19058" xr:uid="{00000000-0005-0000-0000-00005B1B0000}"/>
    <cellStyle name="Normal 2 5 2 5 2 3 6" xfId="11677" xr:uid="{00000000-0005-0000-0000-00005C1B0000}"/>
    <cellStyle name="Normal 2 5 2 5 2 3 7" xfId="5494" xr:uid="{00000000-0005-0000-0000-00005D1B0000}"/>
    <cellStyle name="Normal 2 5 2 5 2 4" xfId="1623" xr:uid="{00000000-0005-0000-0000-00005E1B0000}"/>
    <cellStyle name="Normal 2 5 2 5 2 4 2" xfId="3219" xr:uid="{00000000-0005-0000-0000-00005F1B0000}"/>
    <cellStyle name="Normal 2 5 2 5 2 4 2 2" xfId="18132" xr:uid="{00000000-0005-0000-0000-0000601B0000}"/>
    <cellStyle name="Normal 2 5 2 5 2 4 2 3" xfId="14553" xr:uid="{00000000-0005-0000-0000-0000611B0000}"/>
    <cellStyle name="Normal 2 5 2 5 2 4 2 4" xfId="9296" xr:uid="{00000000-0005-0000-0000-0000621B0000}"/>
    <cellStyle name="Normal 2 5 2 5 2 4 3" xfId="10750" xr:uid="{00000000-0005-0000-0000-0000631B0000}"/>
    <cellStyle name="Normal 2 5 2 5 2 4 3 2" xfId="19577" xr:uid="{00000000-0005-0000-0000-0000641B0000}"/>
    <cellStyle name="Normal 2 5 2 5 2 4 4" xfId="12196" xr:uid="{00000000-0005-0000-0000-0000651B0000}"/>
    <cellStyle name="Normal 2 5 2 5 2 4 5" xfId="7191" xr:uid="{00000000-0005-0000-0000-0000661B0000}"/>
    <cellStyle name="Normal 2 5 2 5 2 5" xfId="2176" xr:uid="{00000000-0005-0000-0000-0000671B0000}"/>
    <cellStyle name="Normal 2 5 2 5 2 5 2" xfId="17089" xr:uid="{00000000-0005-0000-0000-0000681B0000}"/>
    <cellStyle name="Normal 2 5 2 5 2 5 3" xfId="13510" xr:uid="{00000000-0005-0000-0000-0000691B0000}"/>
    <cellStyle name="Normal 2 5 2 5 2 5 4" xfId="8253" xr:uid="{00000000-0005-0000-0000-00006A1B0000}"/>
    <cellStyle name="Normal 2 5 2 5 2 6" xfId="5814" xr:uid="{00000000-0005-0000-0000-00006B1B0000}"/>
    <cellStyle name="Normal 2 5 2 5 2 6 2" xfId="14900" xr:uid="{00000000-0005-0000-0000-00006C1B0000}"/>
    <cellStyle name="Normal 2 5 2 5 2 7" xfId="9707" xr:uid="{00000000-0005-0000-0000-00006D1B0000}"/>
    <cellStyle name="Normal 2 5 2 5 2 7 2" xfId="18534" xr:uid="{00000000-0005-0000-0000-00006E1B0000}"/>
    <cellStyle name="Normal 2 5 2 5 2 8" xfId="11151" xr:uid="{00000000-0005-0000-0000-00006F1B0000}"/>
    <cellStyle name="Normal 2 5 2 5 2 9" xfId="4785" xr:uid="{00000000-0005-0000-0000-0000701B0000}"/>
    <cellStyle name="Normal 2 5 2 5 2_Degree data" xfId="1242" xr:uid="{00000000-0005-0000-0000-0000711B0000}"/>
    <cellStyle name="Normal 2 5 2 5 3" xfId="621" xr:uid="{00000000-0005-0000-0000-0000721B0000}"/>
    <cellStyle name="Normal 2 5 2 5 3 2" xfId="2351" xr:uid="{00000000-0005-0000-0000-0000731B0000}"/>
    <cellStyle name="Normal 2 5 2 5 3 2 2" xfId="16000" xr:uid="{00000000-0005-0000-0000-0000741B0000}"/>
    <cellStyle name="Normal 2 5 2 5 3 2 3" xfId="12250" xr:uid="{00000000-0005-0000-0000-0000751B0000}"/>
    <cellStyle name="Normal 2 5 2 5 3 2 4" xfId="6986" xr:uid="{00000000-0005-0000-0000-0000761B0000}"/>
    <cellStyle name="Normal 2 5 2 5 3 3" xfId="3618" xr:uid="{00000000-0005-0000-0000-0000771B0000}"/>
    <cellStyle name="Normal 2 5 2 5 3 3 2" xfId="17264" xr:uid="{00000000-0005-0000-0000-0000781B0000}"/>
    <cellStyle name="Normal 2 5 2 5 3 3 3" xfId="13685" xr:uid="{00000000-0005-0000-0000-0000791B0000}"/>
    <cellStyle name="Normal 2 5 2 5 3 3 4" xfId="8428" xr:uid="{00000000-0005-0000-0000-00007A1B0000}"/>
    <cellStyle name="Normal 2 5 2 5 3 4" xfId="6102" xr:uid="{00000000-0005-0000-0000-00007B1B0000}"/>
    <cellStyle name="Normal 2 5 2 5 3 4 2" xfId="15186" xr:uid="{00000000-0005-0000-0000-00007C1B0000}"/>
    <cellStyle name="Normal 2 5 2 5 3 5" xfId="9882" xr:uid="{00000000-0005-0000-0000-00007D1B0000}"/>
    <cellStyle name="Normal 2 5 2 5 3 5 2" xfId="18709" xr:uid="{00000000-0005-0000-0000-00007E1B0000}"/>
    <cellStyle name="Normal 2 5 2 5 3 6" xfId="11326" xr:uid="{00000000-0005-0000-0000-00007F1B0000}"/>
    <cellStyle name="Normal 2 5 2 5 3 7" xfId="4580" xr:uid="{00000000-0005-0000-0000-0000801B0000}"/>
    <cellStyle name="Normal 2 5 2 5 4" xfId="979" xr:uid="{00000000-0005-0000-0000-0000811B0000}"/>
    <cellStyle name="Normal 2 5 2 5 4 2" xfId="2699" xr:uid="{00000000-0005-0000-0000-0000821B0000}"/>
    <cellStyle name="Normal 2 5 2 5 4 2 2" xfId="16239" xr:uid="{00000000-0005-0000-0000-0000831B0000}"/>
    <cellStyle name="Normal 2 5 2 5 4 2 3" xfId="12661" xr:uid="{00000000-0005-0000-0000-0000841B0000}"/>
    <cellStyle name="Normal 2 5 2 5 4 2 4" xfId="7371" xr:uid="{00000000-0005-0000-0000-0000851B0000}"/>
    <cellStyle name="Normal 2 5 2 5 4 3" xfId="3967" xr:uid="{00000000-0005-0000-0000-0000861B0000}"/>
    <cellStyle name="Normal 2 5 2 5 4 3 2" xfId="17612" xr:uid="{00000000-0005-0000-0000-0000871B0000}"/>
    <cellStyle name="Normal 2 5 2 5 4 3 3" xfId="14033" xr:uid="{00000000-0005-0000-0000-0000881B0000}"/>
    <cellStyle name="Normal 2 5 2 5 4 3 4" xfId="8776" xr:uid="{00000000-0005-0000-0000-0000891B0000}"/>
    <cellStyle name="Normal 2 5 2 5 4 4" xfId="6487" xr:uid="{00000000-0005-0000-0000-00008A1B0000}"/>
    <cellStyle name="Normal 2 5 2 5 4 4 2" xfId="15571" xr:uid="{00000000-0005-0000-0000-00008B1B0000}"/>
    <cellStyle name="Normal 2 5 2 5 4 5" xfId="10230" xr:uid="{00000000-0005-0000-0000-00008C1B0000}"/>
    <cellStyle name="Normal 2 5 2 5 4 5 2" xfId="19057" xr:uid="{00000000-0005-0000-0000-00008D1B0000}"/>
    <cellStyle name="Normal 2 5 2 5 4 6" xfId="11676" xr:uid="{00000000-0005-0000-0000-00008E1B0000}"/>
    <cellStyle name="Normal 2 5 2 5 4 7" xfId="4965" xr:uid="{00000000-0005-0000-0000-00008F1B0000}"/>
    <cellStyle name="Normal 2 5 2 5 5" xfId="1409" xr:uid="{00000000-0005-0000-0000-0000901B0000}"/>
    <cellStyle name="Normal 2 5 2 5 5 2" xfId="3014" xr:uid="{00000000-0005-0000-0000-0000911B0000}"/>
    <cellStyle name="Normal 2 5 2 5 5 2 2" xfId="16563" xr:uid="{00000000-0005-0000-0000-0000921B0000}"/>
    <cellStyle name="Normal 2 5 2 5 5 2 3" xfId="12984" xr:uid="{00000000-0005-0000-0000-0000931B0000}"/>
    <cellStyle name="Normal 2 5 2 5 5 2 4" xfId="7695" xr:uid="{00000000-0005-0000-0000-0000941B0000}"/>
    <cellStyle name="Normal 2 5 2 5 5 3" xfId="4222" xr:uid="{00000000-0005-0000-0000-0000951B0000}"/>
    <cellStyle name="Normal 2 5 2 5 5 3 2" xfId="17927" xr:uid="{00000000-0005-0000-0000-0000961B0000}"/>
    <cellStyle name="Normal 2 5 2 5 5 3 3" xfId="14348" xr:uid="{00000000-0005-0000-0000-0000971B0000}"/>
    <cellStyle name="Normal 2 5 2 5 5 3 4" xfId="9091" xr:uid="{00000000-0005-0000-0000-0000981B0000}"/>
    <cellStyle name="Normal 2 5 2 5 5 4" xfId="5988" xr:uid="{00000000-0005-0000-0000-0000991B0000}"/>
    <cellStyle name="Normal 2 5 2 5 5 4 2" xfId="15074" xr:uid="{00000000-0005-0000-0000-00009A1B0000}"/>
    <cellStyle name="Normal 2 5 2 5 5 5" xfId="10545" xr:uid="{00000000-0005-0000-0000-00009B1B0000}"/>
    <cellStyle name="Normal 2 5 2 5 5 5 2" xfId="19372" xr:uid="{00000000-0005-0000-0000-00009C1B0000}"/>
    <cellStyle name="Normal 2 5 2 5 5 6" xfId="11991" xr:uid="{00000000-0005-0000-0000-00009D1B0000}"/>
    <cellStyle name="Normal 2 5 2 5 5 7" xfId="5289" xr:uid="{00000000-0005-0000-0000-00009E1B0000}"/>
    <cellStyle name="Normal 2 5 2 5 6" xfId="1971" xr:uid="{00000000-0005-0000-0000-00009F1B0000}"/>
    <cellStyle name="Normal 2 5 2 5 6 2" xfId="15917" xr:uid="{00000000-0005-0000-0000-0000A01B0000}"/>
    <cellStyle name="Normal 2 5 2 5 6 3" xfId="12292" xr:uid="{00000000-0005-0000-0000-0000A11B0000}"/>
    <cellStyle name="Normal 2 5 2 5 6 4" xfId="6874" xr:uid="{00000000-0005-0000-0000-0000A21B0000}"/>
    <cellStyle name="Normal 2 5 2 5 7" xfId="3385" xr:uid="{00000000-0005-0000-0000-0000A31B0000}"/>
    <cellStyle name="Normal 2 5 2 5 7 2" xfId="16884" xr:uid="{00000000-0005-0000-0000-0000A41B0000}"/>
    <cellStyle name="Normal 2 5 2 5 7 3" xfId="13305" xr:uid="{00000000-0005-0000-0000-0000A51B0000}"/>
    <cellStyle name="Normal 2 5 2 5 7 4" xfId="8048" xr:uid="{00000000-0005-0000-0000-0000A61B0000}"/>
    <cellStyle name="Normal 2 5 2 5 8" xfId="5609" xr:uid="{00000000-0005-0000-0000-0000A71B0000}"/>
    <cellStyle name="Normal 2 5 2 5 8 2" xfId="14695" xr:uid="{00000000-0005-0000-0000-0000A81B0000}"/>
    <cellStyle name="Normal 2 5 2 5 9" xfId="9502" xr:uid="{00000000-0005-0000-0000-0000A91B0000}"/>
    <cellStyle name="Normal 2 5 2 5 9 2" xfId="18329" xr:uid="{00000000-0005-0000-0000-0000AA1B0000}"/>
    <cellStyle name="Normal 2 5 2 5_Degree data" xfId="1232" xr:uid="{00000000-0005-0000-0000-0000AB1B0000}"/>
    <cellStyle name="Normal 2 5 2 6" xfId="303" xr:uid="{00000000-0005-0000-0000-0000AC1B0000}"/>
    <cellStyle name="Normal 2 5 2 6 2" xfId="623" xr:uid="{00000000-0005-0000-0000-0000AD1B0000}"/>
    <cellStyle name="Normal 2 5 2 6 2 2" xfId="2353" xr:uid="{00000000-0005-0000-0000-0000AE1B0000}"/>
    <cellStyle name="Normal 2 5 2 6 2 2 2" xfId="16241" xr:uid="{00000000-0005-0000-0000-0000AF1B0000}"/>
    <cellStyle name="Normal 2 5 2 6 2 2 3" xfId="12663" xr:uid="{00000000-0005-0000-0000-0000B01B0000}"/>
    <cellStyle name="Normal 2 5 2 6 2 2 4" xfId="7373" xr:uid="{00000000-0005-0000-0000-0000B11B0000}"/>
    <cellStyle name="Normal 2 5 2 6 2 3" xfId="3620" xr:uid="{00000000-0005-0000-0000-0000B21B0000}"/>
    <cellStyle name="Normal 2 5 2 6 2 3 2" xfId="17266" xr:uid="{00000000-0005-0000-0000-0000B31B0000}"/>
    <cellStyle name="Normal 2 5 2 6 2 3 3" xfId="13687" xr:uid="{00000000-0005-0000-0000-0000B41B0000}"/>
    <cellStyle name="Normal 2 5 2 6 2 3 4" xfId="8430" xr:uid="{00000000-0005-0000-0000-0000B51B0000}"/>
    <cellStyle name="Normal 2 5 2 6 2 4" xfId="6489" xr:uid="{00000000-0005-0000-0000-0000B61B0000}"/>
    <cellStyle name="Normal 2 5 2 6 2 4 2" xfId="15573" xr:uid="{00000000-0005-0000-0000-0000B71B0000}"/>
    <cellStyle name="Normal 2 5 2 6 2 5" xfId="9884" xr:uid="{00000000-0005-0000-0000-0000B81B0000}"/>
    <cellStyle name="Normal 2 5 2 6 2 5 2" xfId="18711" xr:uid="{00000000-0005-0000-0000-0000B91B0000}"/>
    <cellStyle name="Normal 2 5 2 6 2 6" xfId="11328" xr:uid="{00000000-0005-0000-0000-0000BA1B0000}"/>
    <cellStyle name="Normal 2 5 2 6 2 7" xfId="4967" xr:uid="{00000000-0005-0000-0000-0000BB1B0000}"/>
    <cellStyle name="Normal 2 5 2 6 3" xfId="981" xr:uid="{00000000-0005-0000-0000-0000BC1B0000}"/>
    <cellStyle name="Normal 2 5 2 6 3 2" xfId="2701" xr:uid="{00000000-0005-0000-0000-0000BD1B0000}"/>
    <cellStyle name="Normal 2 5 2 6 3 2 2" xfId="16663" xr:uid="{00000000-0005-0000-0000-0000BE1B0000}"/>
    <cellStyle name="Normal 2 5 2 6 3 2 3" xfId="13084" xr:uid="{00000000-0005-0000-0000-0000BF1B0000}"/>
    <cellStyle name="Normal 2 5 2 6 3 2 4" xfId="7795" xr:uid="{00000000-0005-0000-0000-0000C01B0000}"/>
    <cellStyle name="Normal 2 5 2 6 3 3" xfId="3969" xr:uid="{00000000-0005-0000-0000-0000C11B0000}"/>
    <cellStyle name="Normal 2 5 2 6 3 3 2" xfId="17614" xr:uid="{00000000-0005-0000-0000-0000C21B0000}"/>
    <cellStyle name="Normal 2 5 2 6 3 3 3" xfId="14035" xr:uid="{00000000-0005-0000-0000-0000C31B0000}"/>
    <cellStyle name="Normal 2 5 2 6 3 3 4" xfId="8778" xr:uid="{00000000-0005-0000-0000-0000C41B0000}"/>
    <cellStyle name="Normal 2 5 2 6 3 4" xfId="6202" xr:uid="{00000000-0005-0000-0000-0000C51B0000}"/>
    <cellStyle name="Normal 2 5 2 6 3 4 2" xfId="15286" xr:uid="{00000000-0005-0000-0000-0000C61B0000}"/>
    <cellStyle name="Normal 2 5 2 6 3 5" xfId="10232" xr:uid="{00000000-0005-0000-0000-0000C71B0000}"/>
    <cellStyle name="Normal 2 5 2 6 3 5 2" xfId="19059" xr:uid="{00000000-0005-0000-0000-0000C81B0000}"/>
    <cellStyle name="Normal 2 5 2 6 3 6" xfId="11678" xr:uid="{00000000-0005-0000-0000-0000C91B0000}"/>
    <cellStyle name="Normal 2 5 2 6 3 7" xfId="5389" xr:uid="{00000000-0005-0000-0000-0000CA1B0000}"/>
    <cellStyle name="Normal 2 5 2 6 4" xfId="1515" xr:uid="{00000000-0005-0000-0000-0000CB1B0000}"/>
    <cellStyle name="Normal 2 5 2 6 4 2" xfId="3114" xr:uid="{00000000-0005-0000-0000-0000CC1B0000}"/>
    <cellStyle name="Normal 2 5 2 6 4 2 2" xfId="18027" xr:uid="{00000000-0005-0000-0000-0000CD1B0000}"/>
    <cellStyle name="Normal 2 5 2 6 4 2 3" xfId="14448" xr:uid="{00000000-0005-0000-0000-0000CE1B0000}"/>
    <cellStyle name="Normal 2 5 2 6 4 2 4" xfId="9191" xr:uid="{00000000-0005-0000-0000-0000CF1B0000}"/>
    <cellStyle name="Normal 2 5 2 6 4 3" xfId="10645" xr:uid="{00000000-0005-0000-0000-0000D01B0000}"/>
    <cellStyle name="Normal 2 5 2 6 4 3 2" xfId="19472" xr:uid="{00000000-0005-0000-0000-0000D11B0000}"/>
    <cellStyle name="Normal 2 5 2 6 4 4" xfId="12091" xr:uid="{00000000-0005-0000-0000-0000D21B0000}"/>
    <cellStyle name="Normal 2 5 2 6 4 5" xfId="7086" xr:uid="{00000000-0005-0000-0000-0000D31B0000}"/>
    <cellStyle name="Normal 2 5 2 6 5" xfId="2071" xr:uid="{00000000-0005-0000-0000-0000D41B0000}"/>
    <cellStyle name="Normal 2 5 2 6 5 2" xfId="16984" xr:uid="{00000000-0005-0000-0000-0000D51B0000}"/>
    <cellStyle name="Normal 2 5 2 6 5 3" xfId="13405" xr:uid="{00000000-0005-0000-0000-0000D61B0000}"/>
    <cellStyle name="Normal 2 5 2 6 5 4" xfId="8148" xr:uid="{00000000-0005-0000-0000-0000D71B0000}"/>
    <cellStyle name="Normal 2 5 2 6 6" xfId="5709" xr:uid="{00000000-0005-0000-0000-0000D81B0000}"/>
    <cellStyle name="Normal 2 5 2 6 6 2" xfId="14795" xr:uid="{00000000-0005-0000-0000-0000D91B0000}"/>
    <cellStyle name="Normal 2 5 2 6 7" xfId="9602" xr:uid="{00000000-0005-0000-0000-0000DA1B0000}"/>
    <cellStyle name="Normal 2 5 2 6 7 2" xfId="18429" xr:uid="{00000000-0005-0000-0000-0000DB1B0000}"/>
    <cellStyle name="Normal 2 5 2 6 8" xfId="11046" xr:uid="{00000000-0005-0000-0000-0000DC1B0000}"/>
    <cellStyle name="Normal 2 5 2 6 9" xfId="4680" xr:uid="{00000000-0005-0000-0000-0000DD1B0000}"/>
    <cellStyle name="Normal 2 5 2 6_Degree data" xfId="1241" xr:uid="{00000000-0005-0000-0000-0000DE1B0000}"/>
    <cellStyle name="Normal 2 5 2 7" xfId="473" xr:uid="{00000000-0005-0000-0000-0000DF1B0000}"/>
    <cellStyle name="Normal 2 5 2 7 2" xfId="624" xr:uid="{00000000-0005-0000-0000-0000E01B0000}"/>
    <cellStyle name="Normal 2 5 2 7 2 2" xfId="2354" xr:uid="{00000000-0005-0000-0000-0000E11B0000}"/>
    <cellStyle name="Normal 2 5 2 7 2 2 2" xfId="16242" xr:uid="{00000000-0005-0000-0000-0000E21B0000}"/>
    <cellStyle name="Normal 2 5 2 7 2 2 3" xfId="12664" xr:uid="{00000000-0005-0000-0000-0000E31B0000}"/>
    <cellStyle name="Normal 2 5 2 7 2 2 4" xfId="7374" xr:uid="{00000000-0005-0000-0000-0000E41B0000}"/>
    <cellStyle name="Normal 2 5 2 7 2 3" xfId="3621" xr:uid="{00000000-0005-0000-0000-0000E51B0000}"/>
    <cellStyle name="Normal 2 5 2 7 2 3 2" xfId="17267" xr:uid="{00000000-0005-0000-0000-0000E61B0000}"/>
    <cellStyle name="Normal 2 5 2 7 2 3 3" xfId="13688" xr:uid="{00000000-0005-0000-0000-0000E71B0000}"/>
    <cellStyle name="Normal 2 5 2 7 2 3 4" xfId="8431" xr:uid="{00000000-0005-0000-0000-0000E81B0000}"/>
    <cellStyle name="Normal 2 5 2 7 2 4" xfId="6490" xr:uid="{00000000-0005-0000-0000-0000E91B0000}"/>
    <cellStyle name="Normal 2 5 2 7 2 4 2" xfId="15574" xr:uid="{00000000-0005-0000-0000-0000EA1B0000}"/>
    <cellStyle name="Normal 2 5 2 7 2 5" xfId="9885" xr:uid="{00000000-0005-0000-0000-0000EB1B0000}"/>
    <cellStyle name="Normal 2 5 2 7 2 5 2" xfId="18712" xr:uid="{00000000-0005-0000-0000-0000EC1B0000}"/>
    <cellStyle name="Normal 2 5 2 7 2 6" xfId="11329" xr:uid="{00000000-0005-0000-0000-0000ED1B0000}"/>
    <cellStyle name="Normal 2 5 2 7 2 7" xfId="4968" xr:uid="{00000000-0005-0000-0000-0000EE1B0000}"/>
    <cellStyle name="Normal 2 5 2 7 3" xfId="982" xr:uid="{00000000-0005-0000-0000-0000EF1B0000}"/>
    <cellStyle name="Normal 2 5 2 7 3 2" xfId="2702" xr:uid="{00000000-0005-0000-0000-0000F01B0000}"/>
    <cellStyle name="Normal 2 5 2 7 3 2 2" xfId="16511" xr:uid="{00000000-0005-0000-0000-0000F11B0000}"/>
    <cellStyle name="Normal 2 5 2 7 3 2 3" xfId="12933" xr:uid="{00000000-0005-0000-0000-0000F21B0000}"/>
    <cellStyle name="Normal 2 5 2 7 3 2 4" xfId="7643" xr:uid="{00000000-0005-0000-0000-0000F31B0000}"/>
    <cellStyle name="Normal 2 5 2 7 3 3" xfId="3970" xr:uid="{00000000-0005-0000-0000-0000F41B0000}"/>
    <cellStyle name="Normal 2 5 2 7 3 3 2" xfId="17615" xr:uid="{00000000-0005-0000-0000-0000F51B0000}"/>
    <cellStyle name="Normal 2 5 2 7 3 3 3" xfId="14036" xr:uid="{00000000-0005-0000-0000-0000F61B0000}"/>
    <cellStyle name="Normal 2 5 2 7 3 3 4" xfId="8779" xr:uid="{00000000-0005-0000-0000-0000F71B0000}"/>
    <cellStyle name="Normal 2 5 2 7 3 4" xfId="5906" xr:uid="{00000000-0005-0000-0000-0000F81B0000}"/>
    <cellStyle name="Normal 2 5 2 7 3 4 2" xfId="14992" xr:uid="{00000000-0005-0000-0000-0000F91B0000}"/>
    <cellStyle name="Normal 2 5 2 7 3 5" xfId="10233" xr:uid="{00000000-0005-0000-0000-0000FA1B0000}"/>
    <cellStyle name="Normal 2 5 2 7 3 5 2" xfId="19060" xr:uid="{00000000-0005-0000-0000-0000FB1B0000}"/>
    <cellStyle name="Normal 2 5 2 7 3 6" xfId="11679" xr:uid="{00000000-0005-0000-0000-0000FC1B0000}"/>
    <cellStyle name="Normal 2 5 2 7 3 7" xfId="5237" xr:uid="{00000000-0005-0000-0000-0000FD1B0000}"/>
    <cellStyle name="Normal 2 5 2 7 4" xfId="1349" xr:uid="{00000000-0005-0000-0000-0000FE1B0000}"/>
    <cellStyle name="Normal 2 5 2 7 4 2" xfId="2962" xr:uid="{00000000-0005-0000-0000-0000FF1B0000}"/>
    <cellStyle name="Normal 2 5 2 7 4 2 2" xfId="17875" xr:uid="{00000000-0005-0000-0000-0000001C0000}"/>
    <cellStyle name="Normal 2 5 2 7 4 2 3" xfId="14296" xr:uid="{00000000-0005-0000-0000-0000011C0000}"/>
    <cellStyle name="Normal 2 5 2 7 4 2 4" xfId="9039" xr:uid="{00000000-0005-0000-0000-0000021C0000}"/>
    <cellStyle name="Normal 2 5 2 7 4 3" xfId="10493" xr:uid="{00000000-0005-0000-0000-0000031C0000}"/>
    <cellStyle name="Normal 2 5 2 7 4 3 2" xfId="19320" xr:uid="{00000000-0005-0000-0000-0000041C0000}"/>
    <cellStyle name="Normal 2 5 2 7 4 4" xfId="11939" xr:uid="{00000000-0005-0000-0000-0000051C0000}"/>
    <cellStyle name="Normal 2 5 2 7 4 5" xfId="6934" xr:uid="{00000000-0005-0000-0000-0000061C0000}"/>
    <cellStyle name="Normal 2 5 2 7 5" xfId="1919" xr:uid="{00000000-0005-0000-0000-0000071C0000}"/>
    <cellStyle name="Normal 2 5 2 7 5 2" xfId="16830" xr:uid="{00000000-0005-0000-0000-0000081C0000}"/>
    <cellStyle name="Normal 2 5 2 7 5 3" xfId="13251" xr:uid="{00000000-0005-0000-0000-0000091C0000}"/>
    <cellStyle name="Normal 2 5 2 7 5 4" xfId="7994" xr:uid="{00000000-0005-0000-0000-00000A1C0000}"/>
    <cellStyle name="Normal 2 5 2 7 6" xfId="6050" xr:uid="{00000000-0005-0000-0000-00000B1C0000}"/>
    <cellStyle name="Normal 2 5 2 7 6 2" xfId="15134" xr:uid="{00000000-0005-0000-0000-00000C1C0000}"/>
    <cellStyle name="Normal 2 5 2 7 7" xfId="9450" xr:uid="{00000000-0005-0000-0000-00000D1C0000}"/>
    <cellStyle name="Normal 2 5 2 7 7 2" xfId="18277" xr:uid="{00000000-0005-0000-0000-00000E1C0000}"/>
    <cellStyle name="Normal 2 5 2 7 8" xfId="10894" xr:uid="{00000000-0005-0000-0000-00000F1C0000}"/>
    <cellStyle name="Normal 2 5 2 7 9" xfId="4528" xr:uid="{00000000-0005-0000-0000-0000101C0000}"/>
    <cellStyle name="Normal 2 5 2 7_Degree data" xfId="1481" xr:uid="{00000000-0005-0000-0000-0000111C0000}"/>
    <cellStyle name="Normal 2 5 2 8" xfId="605" xr:uid="{00000000-0005-0000-0000-0000121C0000}"/>
    <cellStyle name="Normal 2 5 2 8 2" xfId="2335" xr:uid="{00000000-0005-0000-0000-0000131C0000}"/>
    <cellStyle name="Normal 2 5 2 8 2 2" xfId="16223" xr:uid="{00000000-0005-0000-0000-0000141C0000}"/>
    <cellStyle name="Normal 2 5 2 8 2 3" xfId="12645" xr:uid="{00000000-0005-0000-0000-0000151C0000}"/>
    <cellStyle name="Normal 2 5 2 8 2 4" xfId="7355" xr:uid="{00000000-0005-0000-0000-0000161C0000}"/>
    <cellStyle name="Normal 2 5 2 8 3" xfId="3602" xr:uid="{00000000-0005-0000-0000-0000171C0000}"/>
    <cellStyle name="Normal 2 5 2 8 3 2" xfId="17248" xr:uid="{00000000-0005-0000-0000-0000181C0000}"/>
    <cellStyle name="Normal 2 5 2 8 3 3" xfId="13669" xr:uid="{00000000-0005-0000-0000-0000191C0000}"/>
    <cellStyle name="Normal 2 5 2 8 3 4" xfId="8412" xr:uid="{00000000-0005-0000-0000-00001A1C0000}"/>
    <cellStyle name="Normal 2 5 2 8 4" xfId="6471" xr:uid="{00000000-0005-0000-0000-00001B1C0000}"/>
    <cellStyle name="Normal 2 5 2 8 4 2" xfId="15555" xr:uid="{00000000-0005-0000-0000-00001C1C0000}"/>
    <cellStyle name="Normal 2 5 2 8 5" xfId="9866" xr:uid="{00000000-0005-0000-0000-00001D1C0000}"/>
    <cellStyle name="Normal 2 5 2 8 5 2" xfId="18693" xr:uid="{00000000-0005-0000-0000-00001E1C0000}"/>
    <cellStyle name="Normal 2 5 2 8 6" xfId="11310" xr:uid="{00000000-0005-0000-0000-00001F1C0000}"/>
    <cellStyle name="Normal 2 5 2 8 7" xfId="4949" xr:uid="{00000000-0005-0000-0000-0000201C0000}"/>
    <cellStyle name="Normal 2 5 2 9" xfId="963" xr:uid="{00000000-0005-0000-0000-0000211C0000}"/>
    <cellStyle name="Normal 2 5 2 9 2" xfId="2683" xr:uid="{00000000-0005-0000-0000-0000221C0000}"/>
    <cellStyle name="Normal 2 5 2 9 2 2" xfId="16479" xr:uid="{00000000-0005-0000-0000-0000231C0000}"/>
    <cellStyle name="Normal 2 5 2 9 2 3" xfId="12901" xr:uid="{00000000-0005-0000-0000-0000241C0000}"/>
    <cellStyle name="Normal 2 5 2 9 2 4" xfId="7611" xr:uid="{00000000-0005-0000-0000-0000251C0000}"/>
    <cellStyle name="Normal 2 5 2 9 3" xfId="3951" xr:uid="{00000000-0005-0000-0000-0000261C0000}"/>
    <cellStyle name="Normal 2 5 2 9 3 2" xfId="17596" xr:uid="{00000000-0005-0000-0000-0000271C0000}"/>
    <cellStyle name="Normal 2 5 2 9 3 3" xfId="14017" xr:uid="{00000000-0005-0000-0000-0000281C0000}"/>
    <cellStyle name="Normal 2 5 2 9 3 4" xfId="8760" xr:uid="{00000000-0005-0000-0000-0000291C0000}"/>
    <cellStyle name="Normal 2 5 2 9 4" xfId="5882" xr:uid="{00000000-0005-0000-0000-00002A1C0000}"/>
    <cellStyle name="Normal 2 5 2 9 4 2" xfId="14968" xr:uid="{00000000-0005-0000-0000-00002B1C0000}"/>
    <cellStyle name="Normal 2 5 2 9 5" xfId="10214" xr:uid="{00000000-0005-0000-0000-00002C1C0000}"/>
    <cellStyle name="Normal 2 5 2 9 5 2" xfId="19041" xr:uid="{00000000-0005-0000-0000-00002D1C0000}"/>
    <cellStyle name="Normal 2 5 2 9 6" xfId="11660" xr:uid="{00000000-0005-0000-0000-00002E1C0000}"/>
    <cellStyle name="Normal 2 5 2 9 7" xfId="5205" xr:uid="{00000000-0005-0000-0000-00002F1C0000}"/>
    <cellStyle name="Normal 2 5 2_Degree data" xfId="1419" xr:uid="{00000000-0005-0000-0000-0000301C0000}"/>
    <cellStyle name="Normal 2 5 3" xfId="94" xr:uid="{00000000-0005-0000-0000-0000311C0000}"/>
    <cellStyle name="Normal 2 5 3 10" xfId="1891" xr:uid="{00000000-0005-0000-0000-0000321C0000}"/>
    <cellStyle name="Normal 2 5 3 10 2" xfId="9422" xr:uid="{00000000-0005-0000-0000-0000331C0000}"/>
    <cellStyle name="Normal 2 5 3 10 2 2" xfId="18249" xr:uid="{00000000-0005-0000-0000-0000341C0000}"/>
    <cellStyle name="Normal 2 5 3 10 3" xfId="10866" xr:uid="{00000000-0005-0000-0000-0000351C0000}"/>
    <cellStyle name="Normal 2 5 3 10 4" xfId="7966" xr:uid="{00000000-0005-0000-0000-0000361C0000}"/>
    <cellStyle name="Normal 2 5 3 11" xfId="1858" xr:uid="{00000000-0005-0000-0000-0000371C0000}"/>
    <cellStyle name="Normal 2 5 3 11 2" xfId="14658" xr:uid="{00000000-0005-0000-0000-0000381C0000}"/>
    <cellStyle name="Normal 2 5 3 11 3" xfId="5572" xr:uid="{00000000-0005-0000-0000-0000391C0000}"/>
    <cellStyle name="Normal 2 5 3 12" xfId="9392" xr:uid="{00000000-0005-0000-0000-00003A1C0000}"/>
    <cellStyle name="Normal 2 5 3 12 2" xfId="18219" xr:uid="{00000000-0005-0000-0000-00003B1C0000}"/>
    <cellStyle name="Normal 2 5 3 13" xfId="10833" xr:uid="{00000000-0005-0000-0000-00003C1C0000}"/>
    <cellStyle name="Normal 2 5 3 14" xfId="4355" xr:uid="{00000000-0005-0000-0000-00003D1C0000}"/>
    <cellStyle name="Normal 2 5 3 2" xfId="216" xr:uid="{00000000-0005-0000-0000-00003E1C0000}"/>
    <cellStyle name="Normal 2 5 3 2 10" xfId="9524" xr:uid="{00000000-0005-0000-0000-00003F1C0000}"/>
    <cellStyle name="Normal 2 5 3 2 10 2" xfId="18351" xr:uid="{00000000-0005-0000-0000-0000401C0000}"/>
    <cellStyle name="Normal 2 5 3 2 11" xfId="10968" xr:uid="{00000000-0005-0000-0000-0000411C0000}"/>
    <cellStyle name="Normal 2 5 3 2 12" xfId="4385" xr:uid="{00000000-0005-0000-0000-0000421C0000}"/>
    <cellStyle name="Normal 2 5 3 2 2" xfId="430" xr:uid="{00000000-0005-0000-0000-0000431C0000}"/>
    <cellStyle name="Normal 2 5 3 2 2 10" xfId="4489" xr:uid="{00000000-0005-0000-0000-0000441C0000}"/>
    <cellStyle name="Normal 2 5 3 2 2 2" xfId="627" xr:uid="{00000000-0005-0000-0000-0000451C0000}"/>
    <cellStyle name="Normal 2 5 3 2 2 2 2" xfId="2357" xr:uid="{00000000-0005-0000-0000-0000461C0000}"/>
    <cellStyle name="Normal 2 5 3 2 2 2 2 2" xfId="16089" xr:uid="{00000000-0005-0000-0000-0000471C0000}"/>
    <cellStyle name="Normal 2 5 3 2 2 2 2 3" xfId="12511" xr:uid="{00000000-0005-0000-0000-0000481C0000}"/>
    <cellStyle name="Normal 2 5 3 2 2 2 2 4" xfId="7212" xr:uid="{00000000-0005-0000-0000-0000491C0000}"/>
    <cellStyle name="Normal 2 5 3 2 2 2 3" xfId="3624" xr:uid="{00000000-0005-0000-0000-00004A1C0000}"/>
    <cellStyle name="Normal 2 5 3 2 2 2 3 2" xfId="17270" xr:uid="{00000000-0005-0000-0000-00004B1C0000}"/>
    <cellStyle name="Normal 2 5 3 2 2 2 3 3" xfId="13691" xr:uid="{00000000-0005-0000-0000-00004C1C0000}"/>
    <cellStyle name="Normal 2 5 3 2 2 2 3 4" xfId="8434" xr:uid="{00000000-0005-0000-0000-00004D1C0000}"/>
    <cellStyle name="Normal 2 5 3 2 2 2 4" xfId="6328" xr:uid="{00000000-0005-0000-0000-00004E1C0000}"/>
    <cellStyle name="Normal 2 5 3 2 2 2 4 2" xfId="15412" xr:uid="{00000000-0005-0000-0000-00004F1C0000}"/>
    <cellStyle name="Normal 2 5 3 2 2 2 5" xfId="9888" xr:uid="{00000000-0005-0000-0000-0000501C0000}"/>
    <cellStyle name="Normal 2 5 3 2 2 2 5 2" xfId="18715" xr:uid="{00000000-0005-0000-0000-0000511C0000}"/>
    <cellStyle name="Normal 2 5 3 2 2 2 6" xfId="11332" xr:uid="{00000000-0005-0000-0000-0000521C0000}"/>
    <cellStyle name="Normal 2 5 3 2 2 2 7" xfId="4806" xr:uid="{00000000-0005-0000-0000-0000531C0000}"/>
    <cellStyle name="Normal 2 5 3 2 2 3" xfId="985" xr:uid="{00000000-0005-0000-0000-0000541C0000}"/>
    <cellStyle name="Normal 2 5 3 2 2 3 2" xfId="2705" xr:uid="{00000000-0005-0000-0000-0000551C0000}"/>
    <cellStyle name="Normal 2 5 3 2 2 3 2 2" xfId="16245" xr:uid="{00000000-0005-0000-0000-0000561C0000}"/>
    <cellStyle name="Normal 2 5 3 2 2 3 2 3" xfId="12667" xr:uid="{00000000-0005-0000-0000-0000571C0000}"/>
    <cellStyle name="Normal 2 5 3 2 2 3 2 4" xfId="7377" xr:uid="{00000000-0005-0000-0000-0000581C0000}"/>
    <cellStyle name="Normal 2 5 3 2 2 3 3" xfId="3973" xr:uid="{00000000-0005-0000-0000-0000591C0000}"/>
    <cellStyle name="Normal 2 5 3 2 2 3 3 2" xfId="17618" xr:uid="{00000000-0005-0000-0000-00005A1C0000}"/>
    <cellStyle name="Normal 2 5 3 2 2 3 3 3" xfId="14039" xr:uid="{00000000-0005-0000-0000-00005B1C0000}"/>
    <cellStyle name="Normal 2 5 3 2 2 3 3 4" xfId="8782" xr:uid="{00000000-0005-0000-0000-00005C1C0000}"/>
    <cellStyle name="Normal 2 5 3 2 2 3 4" xfId="6493" xr:uid="{00000000-0005-0000-0000-00005D1C0000}"/>
    <cellStyle name="Normal 2 5 3 2 2 3 4 2" xfId="15577" xr:uid="{00000000-0005-0000-0000-00005E1C0000}"/>
    <cellStyle name="Normal 2 5 3 2 2 3 5" xfId="10236" xr:uid="{00000000-0005-0000-0000-00005F1C0000}"/>
    <cellStyle name="Normal 2 5 3 2 2 3 5 2" xfId="19063" xr:uid="{00000000-0005-0000-0000-0000601C0000}"/>
    <cellStyle name="Normal 2 5 3 2 2 3 6" xfId="11682" xr:uid="{00000000-0005-0000-0000-0000611C0000}"/>
    <cellStyle name="Normal 2 5 3 2 2 3 7" xfId="4971" xr:uid="{00000000-0005-0000-0000-0000621C0000}"/>
    <cellStyle name="Normal 2 5 3 2 2 4" xfId="1644" xr:uid="{00000000-0005-0000-0000-0000631C0000}"/>
    <cellStyle name="Normal 2 5 3 2 2 4 2" xfId="3240" xr:uid="{00000000-0005-0000-0000-0000641C0000}"/>
    <cellStyle name="Normal 2 5 3 2 2 4 2 2" xfId="16789" xr:uid="{00000000-0005-0000-0000-0000651C0000}"/>
    <cellStyle name="Normal 2 5 3 2 2 4 2 3" xfId="13210" xr:uid="{00000000-0005-0000-0000-0000661C0000}"/>
    <cellStyle name="Normal 2 5 3 2 2 4 2 4" xfId="7921" xr:uid="{00000000-0005-0000-0000-0000671C0000}"/>
    <cellStyle name="Normal 2 5 3 2 2 4 3" xfId="4311" xr:uid="{00000000-0005-0000-0000-0000681C0000}"/>
    <cellStyle name="Normal 2 5 3 2 2 4 3 2" xfId="18153" xr:uid="{00000000-0005-0000-0000-0000691C0000}"/>
    <cellStyle name="Normal 2 5 3 2 2 4 3 3" xfId="14574" xr:uid="{00000000-0005-0000-0000-00006A1C0000}"/>
    <cellStyle name="Normal 2 5 3 2 2 4 3 4" xfId="9317" xr:uid="{00000000-0005-0000-0000-00006B1C0000}"/>
    <cellStyle name="Normal 2 5 3 2 2 4 4" xfId="6009" xr:uid="{00000000-0005-0000-0000-00006C1C0000}"/>
    <cellStyle name="Normal 2 5 3 2 2 4 4 2" xfId="15095" xr:uid="{00000000-0005-0000-0000-00006D1C0000}"/>
    <cellStyle name="Normal 2 5 3 2 2 4 5" xfId="10771" xr:uid="{00000000-0005-0000-0000-00006E1C0000}"/>
    <cellStyle name="Normal 2 5 3 2 2 4 5 2" xfId="19598" xr:uid="{00000000-0005-0000-0000-00006F1C0000}"/>
    <cellStyle name="Normal 2 5 3 2 2 4 6" xfId="12217" xr:uid="{00000000-0005-0000-0000-0000701C0000}"/>
    <cellStyle name="Normal 2 5 3 2 2 4 7" xfId="5515" xr:uid="{00000000-0005-0000-0000-0000711C0000}"/>
    <cellStyle name="Normal 2 5 3 2 2 5" xfId="2197" xr:uid="{00000000-0005-0000-0000-0000721C0000}"/>
    <cellStyle name="Normal 2 5 3 2 2 5 2" xfId="15938" xr:uid="{00000000-0005-0000-0000-0000731C0000}"/>
    <cellStyle name="Normal 2 5 3 2 2 5 3" xfId="12255" xr:uid="{00000000-0005-0000-0000-0000741C0000}"/>
    <cellStyle name="Normal 2 5 3 2 2 5 4" xfId="6895" xr:uid="{00000000-0005-0000-0000-0000751C0000}"/>
    <cellStyle name="Normal 2 5 3 2 2 6" xfId="3473" xr:uid="{00000000-0005-0000-0000-0000761C0000}"/>
    <cellStyle name="Normal 2 5 3 2 2 6 2" xfId="17110" xr:uid="{00000000-0005-0000-0000-0000771C0000}"/>
    <cellStyle name="Normal 2 5 3 2 2 6 3" xfId="13531" xr:uid="{00000000-0005-0000-0000-0000781C0000}"/>
    <cellStyle name="Normal 2 5 3 2 2 6 4" xfId="8274" xr:uid="{00000000-0005-0000-0000-0000791C0000}"/>
    <cellStyle name="Normal 2 5 3 2 2 7" xfId="5835" xr:uid="{00000000-0005-0000-0000-00007A1C0000}"/>
    <cellStyle name="Normal 2 5 3 2 2 7 2" xfId="14921" xr:uid="{00000000-0005-0000-0000-00007B1C0000}"/>
    <cellStyle name="Normal 2 5 3 2 2 8" xfId="9728" xr:uid="{00000000-0005-0000-0000-00007C1C0000}"/>
    <cellStyle name="Normal 2 5 3 2 2 8 2" xfId="18555" xr:uid="{00000000-0005-0000-0000-00007D1C0000}"/>
    <cellStyle name="Normal 2 5 3 2 2 9" xfId="11172" xr:uid="{00000000-0005-0000-0000-00007E1C0000}"/>
    <cellStyle name="Normal 2 5 3 2 2_Degree data" xfId="1300" xr:uid="{00000000-0005-0000-0000-00007F1C0000}"/>
    <cellStyle name="Normal 2 5 3 2 3" xfId="325" xr:uid="{00000000-0005-0000-0000-0000801C0000}"/>
    <cellStyle name="Normal 2 5 3 2 3 2" xfId="628" xr:uid="{00000000-0005-0000-0000-0000811C0000}"/>
    <cellStyle name="Normal 2 5 3 2 3 2 2" xfId="2358" xr:uid="{00000000-0005-0000-0000-0000821C0000}"/>
    <cellStyle name="Normal 2 5 3 2 3 2 2 2" xfId="16246" xr:uid="{00000000-0005-0000-0000-0000831C0000}"/>
    <cellStyle name="Normal 2 5 3 2 3 2 2 3" xfId="12668" xr:uid="{00000000-0005-0000-0000-0000841C0000}"/>
    <cellStyle name="Normal 2 5 3 2 3 2 2 4" xfId="7378" xr:uid="{00000000-0005-0000-0000-0000851C0000}"/>
    <cellStyle name="Normal 2 5 3 2 3 2 3" xfId="3625" xr:uid="{00000000-0005-0000-0000-0000861C0000}"/>
    <cellStyle name="Normal 2 5 3 2 3 2 3 2" xfId="17271" xr:uid="{00000000-0005-0000-0000-0000871C0000}"/>
    <cellStyle name="Normal 2 5 3 2 3 2 3 3" xfId="13692" xr:uid="{00000000-0005-0000-0000-0000881C0000}"/>
    <cellStyle name="Normal 2 5 3 2 3 2 3 4" xfId="8435" xr:uid="{00000000-0005-0000-0000-0000891C0000}"/>
    <cellStyle name="Normal 2 5 3 2 3 2 4" xfId="6494" xr:uid="{00000000-0005-0000-0000-00008A1C0000}"/>
    <cellStyle name="Normal 2 5 3 2 3 2 4 2" xfId="15578" xr:uid="{00000000-0005-0000-0000-00008B1C0000}"/>
    <cellStyle name="Normal 2 5 3 2 3 2 5" xfId="9889" xr:uid="{00000000-0005-0000-0000-00008C1C0000}"/>
    <cellStyle name="Normal 2 5 3 2 3 2 5 2" xfId="18716" xr:uid="{00000000-0005-0000-0000-00008D1C0000}"/>
    <cellStyle name="Normal 2 5 3 2 3 2 6" xfId="11333" xr:uid="{00000000-0005-0000-0000-00008E1C0000}"/>
    <cellStyle name="Normal 2 5 3 2 3 2 7" xfId="4972" xr:uid="{00000000-0005-0000-0000-00008F1C0000}"/>
    <cellStyle name="Normal 2 5 3 2 3 3" xfId="986" xr:uid="{00000000-0005-0000-0000-0000901C0000}"/>
    <cellStyle name="Normal 2 5 3 2 3 3 2" xfId="2706" xr:uid="{00000000-0005-0000-0000-0000911C0000}"/>
    <cellStyle name="Normal 2 5 3 2 3 3 2 2" xfId="16685" xr:uid="{00000000-0005-0000-0000-0000921C0000}"/>
    <cellStyle name="Normal 2 5 3 2 3 3 2 3" xfId="13106" xr:uid="{00000000-0005-0000-0000-0000931C0000}"/>
    <cellStyle name="Normal 2 5 3 2 3 3 2 4" xfId="7817" xr:uid="{00000000-0005-0000-0000-0000941C0000}"/>
    <cellStyle name="Normal 2 5 3 2 3 3 3" xfId="3974" xr:uid="{00000000-0005-0000-0000-0000951C0000}"/>
    <cellStyle name="Normal 2 5 3 2 3 3 3 2" xfId="17619" xr:uid="{00000000-0005-0000-0000-0000961C0000}"/>
    <cellStyle name="Normal 2 5 3 2 3 3 3 3" xfId="14040" xr:uid="{00000000-0005-0000-0000-0000971C0000}"/>
    <cellStyle name="Normal 2 5 3 2 3 3 3 4" xfId="8783" xr:uid="{00000000-0005-0000-0000-0000981C0000}"/>
    <cellStyle name="Normal 2 5 3 2 3 3 4" xfId="6224" xr:uid="{00000000-0005-0000-0000-0000991C0000}"/>
    <cellStyle name="Normal 2 5 3 2 3 3 4 2" xfId="15308" xr:uid="{00000000-0005-0000-0000-00009A1C0000}"/>
    <cellStyle name="Normal 2 5 3 2 3 3 5" xfId="10237" xr:uid="{00000000-0005-0000-0000-00009B1C0000}"/>
    <cellStyle name="Normal 2 5 3 2 3 3 5 2" xfId="19064" xr:uid="{00000000-0005-0000-0000-00009C1C0000}"/>
    <cellStyle name="Normal 2 5 3 2 3 3 6" xfId="11683" xr:uid="{00000000-0005-0000-0000-00009D1C0000}"/>
    <cellStyle name="Normal 2 5 3 2 3 3 7" xfId="5411" xr:uid="{00000000-0005-0000-0000-00009E1C0000}"/>
    <cellStyle name="Normal 2 5 3 2 3 4" xfId="1537" xr:uid="{00000000-0005-0000-0000-00009F1C0000}"/>
    <cellStyle name="Normal 2 5 3 2 3 4 2" xfId="3136" xr:uid="{00000000-0005-0000-0000-0000A01C0000}"/>
    <cellStyle name="Normal 2 5 3 2 3 4 2 2" xfId="18049" xr:uid="{00000000-0005-0000-0000-0000A11C0000}"/>
    <cellStyle name="Normal 2 5 3 2 3 4 2 3" xfId="14470" xr:uid="{00000000-0005-0000-0000-0000A21C0000}"/>
    <cellStyle name="Normal 2 5 3 2 3 4 2 4" xfId="9213" xr:uid="{00000000-0005-0000-0000-0000A31C0000}"/>
    <cellStyle name="Normal 2 5 3 2 3 4 3" xfId="10667" xr:uid="{00000000-0005-0000-0000-0000A41C0000}"/>
    <cellStyle name="Normal 2 5 3 2 3 4 3 2" xfId="19494" xr:uid="{00000000-0005-0000-0000-0000A51C0000}"/>
    <cellStyle name="Normal 2 5 3 2 3 4 4" xfId="12113" xr:uid="{00000000-0005-0000-0000-0000A61C0000}"/>
    <cellStyle name="Normal 2 5 3 2 3 4 5" xfId="7108" xr:uid="{00000000-0005-0000-0000-0000A71C0000}"/>
    <cellStyle name="Normal 2 5 3 2 3 5" xfId="2093" xr:uid="{00000000-0005-0000-0000-0000A81C0000}"/>
    <cellStyle name="Normal 2 5 3 2 3 5 2" xfId="17006" xr:uid="{00000000-0005-0000-0000-0000A91C0000}"/>
    <cellStyle name="Normal 2 5 3 2 3 5 3" xfId="13427" xr:uid="{00000000-0005-0000-0000-0000AA1C0000}"/>
    <cellStyle name="Normal 2 5 3 2 3 5 4" xfId="8170" xr:uid="{00000000-0005-0000-0000-0000AB1C0000}"/>
    <cellStyle name="Normal 2 5 3 2 3 6" xfId="5731" xr:uid="{00000000-0005-0000-0000-0000AC1C0000}"/>
    <cellStyle name="Normal 2 5 3 2 3 6 2" xfId="14817" xr:uid="{00000000-0005-0000-0000-0000AD1C0000}"/>
    <cellStyle name="Normal 2 5 3 2 3 7" xfId="9624" xr:uid="{00000000-0005-0000-0000-0000AE1C0000}"/>
    <cellStyle name="Normal 2 5 3 2 3 7 2" xfId="18451" xr:uid="{00000000-0005-0000-0000-0000AF1C0000}"/>
    <cellStyle name="Normal 2 5 3 2 3 8" xfId="11068" xr:uid="{00000000-0005-0000-0000-0000B01C0000}"/>
    <cellStyle name="Normal 2 5 3 2 3 9" xfId="4702" xr:uid="{00000000-0005-0000-0000-0000B11C0000}"/>
    <cellStyle name="Normal 2 5 3 2 3_Degree data" xfId="1240" xr:uid="{00000000-0005-0000-0000-0000B21C0000}"/>
    <cellStyle name="Normal 2 5 3 2 4" xfId="626" xr:uid="{00000000-0005-0000-0000-0000B31C0000}"/>
    <cellStyle name="Normal 2 5 3 2 4 2" xfId="2356" xr:uid="{00000000-0005-0000-0000-0000B41C0000}"/>
    <cellStyle name="Normal 2 5 3 2 4 2 2" xfId="16022" xr:uid="{00000000-0005-0000-0000-0000B51C0000}"/>
    <cellStyle name="Normal 2 5 3 2 4 2 3" xfId="12388" xr:uid="{00000000-0005-0000-0000-0000B61C0000}"/>
    <cellStyle name="Normal 2 5 3 2 4 2 4" xfId="7008" xr:uid="{00000000-0005-0000-0000-0000B71C0000}"/>
    <cellStyle name="Normal 2 5 3 2 4 3" xfId="3623" xr:uid="{00000000-0005-0000-0000-0000B81C0000}"/>
    <cellStyle name="Normal 2 5 3 2 4 3 2" xfId="17269" xr:uid="{00000000-0005-0000-0000-0000B91C0000}"/>
    <cellStyle name="Normal 2 5 3 2 4 3 3" xfId="13690" xr:uid="{00000000-0005-0000-0000-0000BA1C0000}"/>
    <cellStyle name="Normal 2 5 3 2 4 3 4" xfId="8433" xr:uid="{00000000-0005-0000-0000-0000BB1C0000}"/>
    <cellStyle name="Normal 2 5 3 2 4 4" xfId="6124" xr:uid="{00000000-0005-0000-0000-0000BC1C0000}"/>
    <cellStyle name="Normal 2 5 3 2 4 4 2" xfId="15208" xr:uid="{00000000-0005-0000-0000-0000BD1C0000}"/>
    <cellStyle name="Normal 2 5 3 2 4 5" xfId="9887" xr:uid="{00000000-0005-0000-0000-0000BE1C0000}"/>
    <cellStyle name="Normal 2 5 3 2 4 5 2" xfId="18714" xr:uid="{00000000-0005-0000-0000-0000BF1C0000}"/>
    <cellStyle name="Normal 2 5 3 2 4 6" xfId="11331" xr:uid="{00000000-0005-0000-0000-0000C01C0000}"/>
    <cellStyle name="Normal 2 5 3 2 4 7" xfId="4602" xr:uid="{00000000-0005-0000-0000-0000C11C0000}"/>
    <cellStyle name="Normal 2 5 3 2 5" xfId="984" xr:uid="{00000000-0005-0000-0000-0000C21C0000}"/>
    <cellStyle name="Normal 2 5 3 2 5 2" xfId="2704" xr:uid="{00000000-0005-0000-0000-0000C31C0000}"/>
    <cellStyle name="Normal 2 5 3 2 5 2 2" xfId="16244" xr:uid="{00000000-0005-0000-0000-0000C41C0000}"/>
    <cellStyle name="Normal 2 5 3 2 5 2 3" xfId="12666" xr:uid="{00000000-0005-0000-0000-0000C51C0000}"/>
    <cellStyle name="Normal 2 5 3 2 5 2 4" xfId="7376" xr:uid="{00000000-0005-0000-0000-0000C61C0000}"/>
    <cellStyle name="Normal 2 5 3 2 5 3" xfId="3972" xr:uid="{00000000-0005-0000-0000-0000C71C0000}"/>
    <cellStyle name="Normal 2 5 3 2 5 3 2" xfId="17617" xr:uid="{00000000-0005-0000-0000-0000C81C0000}"/>
    <cellStyle name="Normal 2 5 3 2 5 3 3" xfId="14038" xr:uid="{00000000-0005-0000-0000-0000C91C0000}"/>
    <cellStyle name="Normal 2 5 3 2 5 3 4" xfId="8781" xr:uid="{00000000-0005-0000-0000-0000CA1C0000}"/>
    <cellStyle name="Normal 2 5 3 2 5 4" xfId="6492" xr:uid="{00000000-0005-0000-0000-0000CB1C0000}"/>
    <cellStyle name="Normal 2 5 3 2 5 4 2" xfId="15576" xr:uid="{00000000-0005-0000-0000-0000CC1C0000}"/>
    <cellStyle name="Normal 2 5 3 2 5 5" xfId="10235" xr:uid="{00000000-0005-0000-0000-0000CD1C0000}"/>
    <cellStyle name="Normal 2 5 3 2 5 5 2" xfId="19062" xr:uid="{00000000-0005-0000-0000-0000CE1C0000}"/>
    <cellStyle name="Normal 2 5 3 2 5 6" xfId="11681" xr:uid="{00000000-0005-0000-0000-0000CF1C0000}"/>
    <cellStyle name="Normal 2 5 3 2 5 7" xfId="4970" xr:uid="{00000000-0005-0000-0000-0000D01C0000}"/>
    <cellStyle name="Normal 2 5 3 2 6" xfId="1434" xr:uid="{00000000-0005-0000-0000-0000D11C0000}"/>
    <cellStyle name="Normal 2 5 3 2 6 2" xfId="3036" xr:uid="{00000000-0005-0000-0000-0000D21C0000}"/>
    <cellStyle name="Normal 2 5 3 2 6 2 2" xfId="16585" xr:uid="{00000000-0005-0000-0000-0000D31C0000}"/>
    <cellStyle name="Normal 2 5 3 2 6 2 3" xfId="13006" xr:uid="{00000000-0005-0000-0000-0000D41C0000}"/>
    <cellStyle name="Normal 2 5 3 2 6 2 4" xfId="7717" xr:uid="{00000000-0005-0000-0000-0000D51C0000}"/>
    <cellStyle name="Normal 2 5 3 2 6 3" xfId="4244" xr:uid="{00000000-0005-0000-0000-0000D61C0000}"/>
    <cellStyle name="Normal 2 5 3 2 6 3 2" xfId="17949" xr:uid="{00000000-0005-0000-0000-0000D71C0000}"/>
    <cellStyle name="Normal 2 5 3 2 6 3 3" xfId="14370" xr:uid="{00000000-0005-0000-0000-0000D81C0000}"/>
    <cellStyle name="Normal 2 5 3 2 6 3 4" xfId="9113" xr:uid="{00000000-0005-0000-0000-0000D91C0000}"/>
    <cellStyle name="Normal 2 5 3 2 6 4" xfId="5904" xr:uid="{00000000-0005-0000-0000-0000DA1C0000}"/>
    <cellStyle name="Normal 2 5 3 2 6 4 2" xfId="14990" xr:uid="{00000000-0005-0000-0000-0000DB1C0000}"/>
    <cellStyle name="Normal 2 5 3 2 6 5" xfId="10567" xr:uid="{00000000-0005-0000-0000-0000DC1C0000}"/>
    <cellStyle name="Normal 2 5 3 2 6 5 2" xfId="19394" xr:uid="{00000000-0005-0000-0000-0000DD1C0000}"/>
    <cellStyle name="Normal 2 5 3 2 6 6" xfId="12013" xr:uid="{00000000-0005-0000-0000-0000DE1C0000}"/>
    <cellStyle name="Normal 2 5 3 2 6 7" xfId="5311" xr:uid="{00000000-0005-0000-0000-0000DF1C0000}"/>
    <cellStyle name="Normal 2 5 3 2 7" xfId="1993" xr:uid="{00000000-0005-0000-0000-0000E01C0000}"/>
    <cellStyle name="Normal 2 5 3 2 7 2" xfId="15839" xr:uid="{00000000-0005-0000-0000-0000E11C0000}"/>
    <cellStyle name="Normal 2 5 3 2 7 3" xfId="12429" xr:uid="{00000000-0005-0000-0000-0000E21C0000}"/>
    <cellStyle name="Normal 2 5 3 2 7 4" xfId="6791" xr:uid="{00000000-0005-0000-0000-0000E31C0000}"/>
    <cellStyle name="Normal 2 5 3 2 8" xfId="3406" xr:uid="{00000000-0005-0000-0000-0000E41C0000}"/>
    <cellStyle name="Normal 2 5 3 2 8 2" xfId="16906" xr:uid="{00000000-0005-0000-0000-0000E51C0000}"/>
    <cellStyle name="Normal 2 5 3 2 8 3" xfId="13327" xr:uid="{00000000-0005-0000-0000-0000E61C0000}"/>
    <cellStyle name="Normal 2 5 3 2 8 4" xfId="8070" xr:uid="{00000000-0005-0000-0000-0000E71C0000}"/>
    <cellStyle name="Normal 2 5 3 2 9" xfId="5631" xr:uid="{00000000-0005-0000-0000-0000E81C0000}"/>
    <cellStyle name="Normal 2 5 3 2 9 2" xfId="14717" xr:uid="{00000000-0005-0000-0000-0000E91C0000}"/>
    <cellStyle name="Normal 2 5 3 2_Degree data" xfId="1368" xr:uid="{00000000-0005-0000-0000-0000EA1C0000}"/>
    <cellStyle name="Normal 2 5 3 3" xfId="260" xr:uid="{00000000-0005-0000-0000-0000EB1C0000}"/>
    <cellStyle name="Normal 2 5 3 3 10" xfId="11011" xr:uid="{00000000-0005-0000-0000-0000EC1C0000}"/>
    <cellStyle name="Normal 2 5 3 3 11" xfId="4428" xr:uid="{00000000-0005-0000-0000-0000ED1C0000}"/>
    <cellStyle name="Normal 2 5 3 3 2" xfId="368" xr:uid="{00000000-0005-0000-0000-0000EE1C0000}"/>
    <cellStyle name="Normal 2 5 3 3 2 2" xfId="630" xr:uid="{00000000-0005-0000-0000-0000EF1C0000}"/>
    <cellStyle name="Normal 2 5 3 3 2 2 2" xfId="2360" xr:uid="{00000000-0005-0000-0000-0000F01C0000}"/>
    <cellStyle name="Normal 2 5 3 3 2 2 2 2" xfId="16248" xr:uid="{00000000-0005-0000-0000-0000F11C0000}"/>
    <cellStyle name="Normal 2 5 3 3 2 2 2 3" xfId="12670" xr:uid="{00000000-0005-0000-0000-0000F21C0000}"/>
    <cellStyle name="Normal 2 5 3 3 2 2 2 4" xfId="7380" xr:uid="{00000000-0005-0000-0000-0000F31C0000}"/>
    <cellStyle name="Normal 2 5 3 3 2 2 3" xfId="3627" xr:uid="{00000000-0005-0000-0000-0000F41C0000}"/>
    <cellStyle name="Normal 2 5 3 3 2 2 3 2" xfId="17273" xr:uid="{00000000-0005-0000-0000-0000F51C0000}"/>
    <cellStyle name="Normal 2 5 3 3 2 2 3 3" xfId="13694" xr:uid="{00000000-0005-0000-0000-0000F61C0000}"/>
    <cellStyle name="Normal 2 5 3 3 2 2 3 4" xfId="8437" xr:uid="{00000000-0005-0000-0000-0000F71C0000}"/>
    <cellStyle name="Normal 2 5 3 3 2 2 4" xfId="6496" xr:uid="{00000000-0005-0000-0000-0000F81C0000}"/>
    <cellStyle name="Normal 2 5 3 3 2 2 4 2" xfId="15580" xr:uid="{00000000-0005-0000-0000-0000F91C0000}"/>
    <cellStyle name="Normal 2 5 3 3 2 2 5" xfId="9891" xr:uid="{00000000-0005-0000-0000-0000FA1C0000}"/>
    <cellStyle name="Normal 2 5 3 3 2 2 5 2" xfId="18718" xr:uid="{00000000-0005-0000-0000-0000FB1C0000}"/>
    <cellStyle name="Normal 2 5 3 3 2 2 6" xfId="11335" xr:uid="{00000000-0005-0000-0000-0000FC1C0000}"/>
    <cellStyle name="Normal 2 5 3 3 2 2 7" xfId="4974" xr:uid="{00000000-0005-0000-0000-0000FD1C0000}"/>
    <cellStyle name="Normal 2 5 3 3 2 3" xfId="988" xr:uid="{00000000-0005-0000-0000-0000FE1C0000}"/>
    <cellStyle name="Normal 2 5 3 3 2 3 2" xfId="2708" xr:uid="{00000000-0005-0000-0000-0000FF1C0000}"/>
    <cellStyle name="Normal 2 5 3 3 2 3 2 2" xfId="16728" xr:uid="{00000000-0005-0000-0000-0000001D0000}"/>
    <cellStyle name="Normal 2 5 3 3 2 3 2 3" xfId="13149" xr:uid="{00000000-0005-0000-0000-0000011D0000}"/>
    <cellStyle name="Normal 2 5 3 3 2 3 2 4" xfId="7860" xr:uid="{00000000-0005-0000-0000-0000021D0000}"/>
    <cellStyle name="Normal 2 5 3 3 2 3 3" xfId="3976" xr:uid="{00000000-0005-0000-0000-0000031D0000}"/>
    <cellStyle name="Normal 2 5 3 3 2 3 3 2" xfId="17621" xr:uid="{00000000-0005-0000-0000-0000041D0000}"/>
    <cellStyle name="Normal 2 5 3 3 2 3 3 3" xfId="14042" xr:uid="{00000000-0005-0000-0000-0000051D0000}"/>
    <cellStyle name="Normal 2 5 3 3 2 3 3 4" xfId="8785" xr:uid="{00000000-0005-0000-0000-0000061D0000}"/>
    <cellStyle name="Normal 2 5 3 3 2 3 4" xfId="6267" xr:uid="{00000000-0005-0000-0000-0000071D0000}"/>
    <cellStyle name="Normal 2 5 3 3 2 3 4 2" xfId="15351" xr:uid="{00000000-0005-0000-0000-0000081D0000}"/>
    <cellStyle name="Normal 2 5 3 3 2 3 5" xfId="10239" xr:uid="{00000000-0005-0000-0000-0000091D0000}"/>
    <cellStyle name="Normal 2 5 3 3 2 3 5 2" xfId="19066" xr:uid="{00000000-0005-0000-0000-00000A1D0000}"/>
    <cellStyle name="Normal 2 5 3 3 2 3 6" xfId="11685" xr:uid="{00000000-0005-0000-0000-00000B1D0000}"/>
    <cellStyle name="Normal 2 5 3 3 2 3 7" xfId="5454" xr:uid="{00000000-0005-0000-0000-00000C1D0000}"/>
    <cellStyle name="Normal 2 5 3 3 2 4" xfId="1581" xr:uid="{00000000-0005-0000-0000-00000D1D0000}"/>
    <cellStyle name="Normal 2 5 3 3 2 4 2" xfId="3179" xr:uid="{00000000-0005-0000-0000-00000E1D0000}"/>
    <cellStyle name="Normal 2 5 3 3 2 4 2 2" xfId="18092" xr:uid="{00000000-0005-0000-0000-00000F1D0000}"/>
    <cellStyle name="Normal 2 5 3 3 2 4 2 3" xfId="14513" xr:uid="{00000000-0005-0000-0000-0000101D0000}"/>
    <cellStyle name="Normal 2 5 3 3 2 4 2 4" xfId="9256" xr:uid="{00000000-0005-0000-0000-0000111D0000}"/>
    <cellStyle name="Normal 2 5 3 3 2 4 3" xfId="10710" xr:uid="{00000000-0005-0000-0000-0000121D0000}"/>
    <cellStyle name="Normal 2 5 3 3 2 4 3 2" xfId="19537" xr:uid="{00000000-0005-0000-0000-0000131D0000}"/>
    <cellStyle name="Normal 2 5 3 3 2 4 4" xfId="12156" xr:uid="{00000000-0005-0000-0000-0000141D0000}"/>
    <cellStyle name="Normal 2 5 3 3 2 4 5" xfId="7151" xr:uid="{00000000-0005-0000-0000-0000151D0000}"/>
    <cellStyle name="Normal 2 5 3 3 2 5" xfId="2136" xr:uid="{00000000-0005-0000-0000-0000161D0000}"/>
    <cellStyle name="Normal 2 5 3 3 2 5 2" xfId="17049" xr:uid="{00000000-0005-0000-0000-0000171D0000}"/>
    <cellStyle name="Normal 2 5 3 3 2 5 3" xfId="13470" xr:uid="{00000000-0005-0000-0000-0000181D0000}"/>
    <cellStyle name="Normal 2 5 3 3 2 5 4" xfId="8213" xr:uid="{00000000-0005-0000-0000-0000191D0000}"/>
    <cellStyle name="Normal 2 5 3 3 2 6" xfId="5774" xr:uid="{00000000-0005-0000-0000-00001A1D0000}"/>
    <cellStyle name="Normal 2 5 3 3 2 6 2" xfId="14860" xr:uid="{00000000-0005-0000-0000-00001B1D0000}"/>
    <cellStyle name="Normal 2 5 3 3 2 7" xfId="9667" xr:uid="{00000000-0005-0000-0000-00001C1D0000}"/>
    <cellStyle name="Normal 2 5 3 3 2 7 2" xfId="18494" xr:uid="{00000000-0005-0000-0000-00001D1D0000}"/>
    <cellStyle name="Normal 2 5 3 3 2 8" xfId="11111" xr:uid="{00000000-0005-0000-0000-00001E1D0000}"/>
    <cellStyle name="Normal 2 5 3 3 2 9" xfId="4745" xr:uid="{00000000-0005-0000-0000-00001F1D0000}"/>
    <cellStyle name="Normal 2 5 3 3 2_Degree data" xfId="1230" xr:uid="{00000000-0005-0000-0000-0000201D0000}"/>
    <cellStyle name="Normal 2 5 3 3 3" xfId="629" xr:uid="{00000000-0005-0000-0000-0000211D0000}"/>
    <cellStyle name="Normal 2 5 3 3 3 2" xfId="2359" xr:uid="{00000000-0005-0000-0000-0000221D0000}"/>
    <cellStyle name="Normal 2 5 3 3 3 2 2" xfId="16065" xr:uid="{00000000-0005-0000-0000-0000231D0000}"/>
    <cellStyle name="Normal 2 5 3 3 3 2 3" xfId="12315" xr:uid="{00000000-0005-0000-0000-0000241D0000}"/>
    <cellStyle name="Normal 2 5 3 3 3 2 4" xfId="7051" xr:uid="{00000000-0005-0000-0000-0000251D0000}"/>
    <cellStyle name="Normal 2 5 3 3 3 3" xfId="3626" xr:uid="{00000000-0005-0000-0000-0000261D0000}"/>
    <cellStyle name="Normal 2 5 3 3 3 3 2" xfId="17272" xr:uid="{00000000-0005-0000-0000-0000271D0000}"/>
    <cellStyle name="Normal 2 5 3 3 3 3 3" xfId="13693" xr:uid="{00000000-0005-0000-0000-0000281D0000}"/>
    <cellStyle name="Normal 2 5 3 3 3 3 4" xfId="8436" xr:uid="{00000000-0005-0000-0000-0000291D0000}"/>
    <cellStyle name="Normal 2 5 3 3 3 4" xfId="6167" xr:uid="{00000000-0005-0000-0000-00002A1D0000}"/>
    <cellStyle name="Normal 2 5 3 3 3 4 2" xfId="15251" xr:uid="{00000000-0005-0000-0000-00002B1D0000}"/>
    <cellStyle name="Normal 2 5 3 3 3 5" xfId="9890" xr:uid="{00000000-0005-0000-0000-00002C1D0000}"/>
    <cellStyle name="Normal 2 5 3 3 3 5 2" xfId="18717" xr:uid="{00000000-0005-0000-0000-00002D1D0000}"/>
    <cellStyle name="Normal 2 5 3 3 3 6" xfId="11334" xr:uid="{00000000-0005-0000-0000-00002E1D0000}"/>
    <cellStyle name="Normal 2 5 3 3 3 7" xfId="4645" xr:uid="{00000000-0005-0000-0000-00002F1D0000}"/>
    <cellStyle name="Normal 2 5 3 3 4" xfId="987" xr:uid="{00000000-0005-0000-0000-0000301D0000}"/>
    <cellStyle name="Normal 2 5 3 3 4 2" xfId="2707" xr:uid="{00000000-0005-0000-0000-0000311D0000}"/>
    <cellStyle name="Normal 2 5 3 3 4 2 2" xfId="16247" xr:uid="{00000000-0005-0000-0000-0000321D0000}"/>
    <cellStyle name="Normal 2 5 3 3 4 2 3" xfId="12669" xr:uid="{00000000-0005-0000-0000-0000331D0000}"/>
    <cellStyle name="Normal 2 5 3 3 4 2 4" xfId="7379" xr:uid="{00000000-0005-0000-0000-0000341D0000}"/>
    <cellStyle name="Normal 2 5 3 3 4 3" xfId="3975" xr:uid="{00000000-0005-0000-0000-0000351D0000}"/>
    <cellStyle name="Normal 2 5 3 3 4 3 2" xfId="17620" xr:uid="{00000000-0005-0000-0000-0000361D0000}"/>
    <cellStyle name="Normal 2 5 3 3 4 3 3" xfId="14041" xr:uid="{00000000-0005-0000-0000-0000371D0000}"/>
    <cellStyle name="Normal 2 5 3 3 4 3 4" xfId="8784" xr:uid="{00000000-0005-0000-0000-0000381D0000}"/>
    <cellStyle name="Normal 2 5 3 3 4 4" xfId="6495" xr:uid="{00000000-0005-0000-0000-0000391D0000}"/>
    <cellStyle name="Normal 2 5 3 3 4 4 2" xfId="15579" xr:uid="{00000000-0005-0000-0000-00003A1D0000}"/>
    <cellStyle name="Normal 2 5 3 3 4 5" xfId="10238" xr:uid="{00000000-0005-0000-0000-00003B1D0000}"/>
    <cellStyle name="Normal 2 5 3 3 4 5 2" xfId="19065" xr:uid="{00000000-0005-0000-0000-00003C1D0000}"/>
    <cellStyle name="Normal 2 5 3 3 4 6" xfId="11684" xr:uid="{00000000-0005-0000-0000-00003D1D0000}"/>
    <cellStyle name="Normal 2 5 3 3 4 7" xfId="4973" xr:uid="{00000000-0005-0000-0000-00003E1D0000}"/>
    <cellStyle name="Normal 2 5 3 3 5" xfId="1479" xr:uid="{00000000-0005-0000-0000-00003F1D0000}"/>
    <cellStyle name="Normal 2 5 3 3 5 2" xfId="3079" xr:uid="{00000000-0005-0000-0000-0000401D0000}"/>
    <cellStyle name="Normal 2 5 3 3 5 2 2" xfId="16628" xr:uid="{00000000-0005-0000-0000-0000411D0000}"/>
    <cellStyle name="Normal 2 5 3 3 5 2 3" xfId="13049" xr:uid="{00000000-0005-0000-0000-0000421D0000}"/>
    <cellStyle name="Normal 2 5 3 3 5 2 4" xfId="7760" xr:uid="{00000000-0005-0000-0000-0000431D0000}"/>
    <cellStyle name="Normal 2 5 3 3 5 3" xfId="4287" xr:uid="{00000000-0005-0000-0000-0000441D0000}"/>
    <cellStyle name="Normal 2 5 3 3 5 3 2" xfId="17992" xr:uid="{00000000-0005-0000-0000-0000451D0000}"/>
    <cellStyle name="Normal 2 5 3 3 5 3 3" xfId="14413" xr:uid="{00000000-0005-0000-0000-0000461D0000}"/>
    <cellStyle name="Normal 2 5 3 3 5 3 4" xfId="9156" xr:uid="{00000000-0005-0000-0000-0000471D0000}"/>
    <cellStyle name="Normal 2 5 3 3 5 4" xfId="5948" xr:uid="{00000000-0005-0000-0000-0000481D0000}"/>
    <cellStyle name="Normal 2 5 3 3 5 4 2" xfId="15034" xr:uid="{00000000-0005-0000-0000-0000491D0000}"/>
    <cellStyle name="Normal 2 5 3 3 5 5" xfId="10610" xr:uid="{00000000-0005-0000-0000-00004A1D0000}"/>
    <cellStyle name="Normal 2 5 3 3 5 5 2" xfId="19437" xr:uid="{00000000-0005-0000-0000-00004B1D0000}"/>
    <cellStyle name="Normal 2 5 3 3 5 6" xfId="12056" xr:uid="{00000000-0005-0000-0000-00004C1D0000}"/>
    <cellStyle name="Normal 2 5 3 3 5 7" xfId="5354" xr:uid="{00000000-0005-0000-0000-00004D1D0000}"/>
    <cellStyle name="Normal 2 5 3 3 6" xfId="2036" xr:uid="{00000000-0005-0000-0000-00004E1D0000}"/>
    <cellStyle name="Normal 2 5 3 3 6 2" xfId="15877" xr:uid="{00000000-0005-0000-0000-00004F1D0000}"/>
    <cellStyle name="Normal 2 5 3 3 6 3" xfId="12440" xr:uid="{00000000-0005-0000-0000-0000501D0000}"/>
    <cellStyle name="Normal 2 5 3 3 6 4" xfId="6834" xr:uid="{00000000-0005-0000-0000-0000511D0000}"/>
    <cellStyle name="Normal 2 5 3 3 7" xfId="3449" xr:uid="{00000000-0005-0000-0000-0000521D0000}"/>
    <cellStyle name="Normal 2 5 3 3 7 2" xfId="16949" xr:uid="{00000000-0005-0000-0000-0000531D0000}"/>
    <cellStyle name="Normal 2 5 3 3 7 3" xfId="13370" xr:uid="{00000000-0005-0000-0000-0000541D0000}"/>
    <cellStyle name="Normal 2 5 3 3 7 4" xfId="8113" xr:uid="{00000000-0005-0000-0000-0000551D0000}"/>
    <cellStyle name="Normal 2 5 3 3 8" xfId="5674" xr:uid="{00000000-0005-0000-0000-0000561D0000}"/>
    <cellStyle name="Normal 2 5 3 3 8 2" xfId="14760" xr:uid="{00000000-0005-0000-0000-0000571D0000}"/>
    <cellStyle name="Normal 2 5 3 3 9" xfId="9567" xr:uid="{00000000-0005-0000-0000-0000581D0000}"/>
    <cellStyle name="Normal 2 5 3 3 9 2" xfId="18394" xr:uid="{00000000-0005-0000-0000-0000591D0000}"/>
    <cellStyle name="Normal 2 5 3 3_Degree data" xfId="1231" xr:uid="{00000000-0005-0000-0000-00005A1D0000}"/>
    <cellStyle name="Normal 2 5 3 4" xfId="184" xr:uid="{00000000-0005-0000-0000-00005B1D0000}"/>
    <cellStyle name="Normal 2 5 3 4 10" xfId="10938" xr:uid="{00000000-0005-0000-0000-00005C1D0000}"/>
    <cellStyle name="Normal 2 5 3 4 11" xfId="4460" xr:uid="{00000000-0005-0000-0000-00005D1D0000}"/>
    <cellStyle name="Normal 2 5 3 4 2" xfId="401" xr:uid="{00000000-0005-0000-0000-00005E1D0000}"/>
    <cellStyle name="Normal 2 5 3 4 2 2" xfId="632" xr:uid="{00000000-0005-0000-0000-00005F1D0000}"/>
    <cellStyle name="Normal 2 5 3 4 2 2 2" xfId="2362" xr:uid="{00000000-0005-0000-0000-0000601D0000}"/>
    <cellStyle name="Normal 2 5 3 4 2 2 2 2" xfId="16250" xr:uid="{00000000-0005-0000-0000-0000611D0000}"/>
    <cellStyle name="Normal 2 5 3 4 2 2 2 3" xfId="12672" xr:uid="{00000000-0005-0000-0000-0000621D0000}"/>
    <cellStyle name="Normal 2 5 3 4 2 2 2 4" xfId="7382" xr:uid="{00000000-0005-0000-0000-0000631D0000}"/>
    <cellStyle name="Normal 2 5 3 4 2 2 3" xfId="3629" xr:uid="{00000000-0005-0000-0000-0000641D0000}"/>
    <cellStyle name="Normal 2 5 3 4 2 2 3 2" xfId="17275" xr:uid="{00000000-0005-0000-0000-0000651D0000}"/>
    <cellStyle name="Normal 2 5 3 4 2 2 3 3" xfId="13696" xr:uid="{00000000-0005-0000-0000-0000661D0000}"/>
    <cellStyle name="Normal 2 5 3 4 2 2 3 4" xfId="8439" xr:uid="{00000000-0005-0000-0000-0000671D0000}"/>
    <cellStyle name="Normal 2 5 3 4 2 2 4" xfId="6498" xr:uid="{00000000-0005-0000-0000-0000681D0000}"/>
    <cellStyle name="Normal 2 5 3 4 2 2 4 2" xfId="15582" xr:uid="{00000000-0005-0000-0000-0000691D0000}"/>
    <cellStyle name="Normal 2 5 3 4 2 2 5" xfId="9893" xr:uid="{00000000-0005-0000-0000-00006A1D0000}"/>
    <cellStyle name="Normal 2 5 3 4 2 2 5 2" xfId="18720" xr:uid="{00000000-0005-0000-0000-00006B1D0000}"/>
    <cellStyle name="Normal 2 5 3 4 2 2 6" xfId="11337" xr:uid="{00000000-0005-0000-0000-00006C1D0000}"/>
    <cellStyle name="Normal 2 5 3 4 2 2 7" xfId="4976" xr:uid="{00000000-0005-0000-0000-00006D1D0000}"/>
    <cellStyle name="Normal 2 5 3 4 2 3" xfId="990" xr:uid="{00000000-0005-0000-0000-00006E1D0000}"/>
    <cellStyle name="Normal 2 5 3 4 2 3 2" xfId="2710" xr:uid="{00000000-0005-0000-0000-00006F1D0000}"/>
    <cellStyle name="Normal 2 5 3 4 2 3 2 2" xfId="16760" xr:uid="{00000000-0005-0000-0000-0000701D0000}"/>
    <cellStyle name="Normal 2 5 3 4 2 3 2 3" xfId="13181" xr:uid="{00000000-0005-0000-0000-0000711D0000}"/>
    <cellStyle name="Normal 2 5 3 4 2 3 2 4" xfId="7892" xr:uid="{00000000-0005-0000-0000-0000721D0000}"/>
    <cellStyle name="Normal 2 5 3 4 2 3 3" xfId="3978" xr:uid="{00000000-0005-0000-0000-0000731D0000}"/>
    <cellStyle name="Normal 2 5 3 4 2 3 3 2" xfId="17623" xr:uid="{00000000-0005-0000-0000-0000741D0000}"/>
    <cellStyle name="Normal 2 5 3 4 2 3 3 3" xfId="14044" xr:uid="{00000000-0005-0000-0000-0000751D0000}"/>
    <cellStyle name="Normal 2 5 3 4 2 3 3 4" xfId="8787" xr:uid="{00000000-0005-0000-0000-0000761D0000}"/>
    <cellStyle name="Normal 2 5 3 4 2 3 4" xfId="6299" xr:uid="{00000000-0005-0000-0000-0000771D0000}"/>
    <cellStyle name="Normal 2 5 3 4 2 3 4 2" xfId="15383" xr:uid="{00000000-0005-0000-0000-0000781D0000}"/>
    <cellStyle name="Normal 2 5 3 4 2 3 5" xfId="10241" xr:uid="{00000000-0005-0000-0000-0000791D0000}"/>
    <cellStyle name="Normal 2 5 3 4 2 3 5 2" xfId="19068" xr:uid="{00000000-0005-0000-0000-00007A1D0000}"/>
    <cellStyle name="Normal 2 5 3 4 2 3 6" xfId="11687" xr:uid="{00000000-0005-0000-0000-00007B1D0000}"/>
    <cellStyle name="Normal 2 5 3 4 2 3 7" xfId="5486" xr:uid="{00000000-0005-0000-0000-00007C1D0000}"/>
    <cellStyle name="Normal 2 5 3 4 2 4" xfId="1615" xr:uid="{00000000-0005-0000-0000-00007D1D0000}"/>
    <cellStyle name="Normal 2 5 3 4 2 4 2" xfId="3211" xr:uid="{00000000-0005-0000-0000-00007E1D0000}"/>
    <cellStyle name="Normal 2 5 3 4 2 4 2 2" xfId="18124" xr:uid="{00000000-0005-0000-0000-00007F1D0000}"/>
    <cellStyle name="Normal 2 5 3 4 2 4 2 3" xfId="14545" xr:uid="{00000000-0005-0000-0000-0000801D0000}"/>
    <cellStyle name="Normal 2 5 3 4 2 4 2 4" xfId="9288" xr:uid="{00000000-0005-0000-0000-0000811D0000}"/>
    <cellStyle name="Normal 2 5 3 4 2 4 3" xfId="10742" xr:uid="{00000000-0005-0000-0000-0000821D0000}"/>
    <cellStyle name="Normal 2 5 3 4 2 4 3 2" xfId="19569" xr:uid="{00000000-0005-0000-0000-0000831D0000}"/>
    <cellStyle name="Normal 2 5 3 4 2 4 4" xfId="12188" xr:uid="{00000000-0005-0000-0000-0000841D0000}"/>
    <cellStyle name="Normal 2 5 3 4 2 4 5" xfId="7183" xr:uid="{00000000-0005-0000-0000-0000851D0000}"/>
    <cellStyle name="Normal 2 5 3 4 2 5" xfId="2168" xr:uid="{00000000-0005-0000-0000-0000861D0000}"/>
    <cellStyle name="Normal 2 5 3 4 2 5 2" xfId="17081" xr:uid="{00000000-0005-0000-0000-0000871D0000}"/>
    <cellStyle name="Normal 2 5 3 4 2 5 3" xfId="13502" xr:uid="{00000000-0005-0000-0000-0000881D0000}"/>
    <cellStyle name="Normal 2 5 3 4 2 5 4" xfId="8245" xr:uid="{00000000-0005-0000-0000-0000891D0000}"/>
    <cellStyle name="Normal 2 5 3 4 2 6" xfId="5806" xr:uid="{00000000-0005-0000-0000-00008A1D0000}"/>
    <cellStyle name="Normal 2 5 3 4 2 6 2" xfId="14892" xr:uid="{00000000-0005-0000-0000-00008B1D0000}"/>
    <cellStyle name="Normal 2 5 3 4 2 7" xfId="9699" xr:uid="{00000000-0005-0000-0000-00008C1D0000}"/>
    <cellStyle name="Normal 2 5 3 4 2 7 2" xfId="18526" xr:uid="{00000000-0005-0000-0000-00008D1D0000}"/>
    <cellStyle name="Normal 2 5 3 4 2 8" xfId="11143" xr:uid="{00000000-0005-0000-0000-00008E1D0000}"/>
    <cellStyle name="Normal 2 5 3 4 2 9" xfId="4777" xr:uid="{00000000-0005-0000-0000-00008F1D0000}"/>
    <cellStyle name="Normal 2 5 3 4 2_Degree data" xfId="1228" xr:uid="{00000000-0005-0000-0000-0000901D0000}"/>
    <cellStyle name="Normal 2 5 3 4 3" xfId="631" xr:uid="{00000000-0005-0000-0000-0000911D0000}"/>
    <cellStyle name="Normal 2 5 3 4 3 2" xfId="2361" xr:uid="{00000000-0005-0000-0000-0000921D0000}"/>
    <cellStyle name="Normal 2 5 3 4 3 2 2" xfId="15992" xr:uid="{00000000-0005-0000-0000-0000931D0000}"/>
    <cellStyle name="Normal 2 5 3 4 3 2 3" xfId="12396" xr:uid="{00000000-0005-0000-0000-0000941D0000}"/>
    <cellStyle name="Normal 2 5 3 4 3 2 4" xfId="6978" xr:uid="{00000000-0005-0000-0000-0000951D0000}"/>
    <cellStyle name="Normal 2 5 3 4 3 3" xfId="3628" xr:uid="{00000000-0005-0000-0000-0000961D0000}"/>
    <cellStyle name="Normal 2 5 3 4 3 3 2" xfId="17274" xr:uid="{00000000-0005-0000-0000-0000971D0000}"/>
    <cellStyle name="Normal 2 5 3 4 3 3 3" xfId="13695" xr:uid="{00000000-0005-0000-0000-0000981D0000}"/>
    <cellStyle name="Normal 2 5 3 4 3 3 4" xfId="8438" xr:uid="{00000000-0005-0000-0000-0000991D0000}"/>
    <cellStyle name="Normal 2 5 3 4 3 4" xfId="6094" xr:uid="{00000000-0005-0000-0000-00009A1D0000}"/>
    <cellStyle name="Normal 2 5 3 4 3 4 2" xfId="15178" xr:uid="{00000000-0005-0000-0000-00009B1D0000}"/>
    <cellStyle name="Normal 2 5 3 4 3 5" xfId="9892" xr:uid="{00000000-0005-0000-0000-00009C1D0000}"/>
    <cellStyle name="Normal 2 5 3 4 3 5 2" xfId="18719" xr:uid="{00000000-0005-0000-0000-00009D1D0000}"/>
    <cellStyle name="Normal 2 5 3 4 3 6" xfId="11336" xr:uid="{00000000-0005-0000-0000-00009E1D0000}"/>
    <cellStyle name="Normal 2 5 3 4 3 7" xfId="4572" xr:uid="{00000000-0005-0000-0000-00009F1D0000}"/>
    <cellStyle name="Normal 2 5 3 4 4" xfId="989" xr:uid="{00000000-0005-0000-0000-0000A01D0000}"/>
    <cellStyle name="Normal 2 5 3 4 4 2" xfId="2709" xr:uid="{00000000-0005-0000-0000-0000A11D0000}"/>
    <cellStyle name="Normal 2 5 3 4 4 2 2" xfId="16249" xr:uid="{00000000-0005-0000-0000-0000A21D0000}"/>
    <cellStyle name="Normal 2 5 3 4 4 2 3" xfId="12671" xr:uid="{00000000-0005-0000-0000-0000A31D0000}"/>
    <cellStyle name="Normal 2 5 3 4 4 2 4" xfId="7381" xr:uid="{00000000-0005-0000-0000-0000A41D0000}"/>
    <cellStyle name="Normal 2 5 3 4 4 3" xfId="3977" xr:uid="{00000000-0005-0000-0000-0000A51D0000}"/>
    <cellStyle name="Normal 2 5 3 4 4 3 2" xfId="17622" xr:uid="{00000000-0005-0000-0000-0000A61D0000}"/>
    <cellStyle name="Normal 2 5 3 4 4 3 3" xfId="14043" xr:uid="{00000000-0005-0000-0000-0000A71D0000}"/>
    <cellStyle name="Normal 2 5 3 4 4 3 4" xfId="8786" xr:uid="{00000000-0005-0000-0000-0000A81D0000}"/>
    <cellStyle name="Normal 2 5 3 4 4 4" xfId="6497" xr:uid="{00000000-0005-0000-0000-0000A91D0000}"/>
    <cellStyle name="Normal 2 5 3 4 4 4 2" xfId="15581" xr:uid="{00000000-0005-0000-0000-0000AA1D0000}"/>
    <cellStyle name="Normal 2 5 3 4 4 5" xfId="10240" xr:uid="{00000000-0005-0000-0000-0000AB1D0000}"/>
    <cellStyle name="Normal 2 5 3 4 4 5 2" xfId="19067" xr:uid="{00000000-0005-0000-0000-0000AC1D0000}"/>
    <cellStyle name="Normal 2 5 3 4 4 6" xfId="11686" xr:uid="{00000000-0005-0000-0000-0000AD1D0000}"/>
    <cellStyle name="Normal 2 5 3 4 4 7" xfId="4975" xr:uid="{00000000-0005-0000-0000-0000AE1D0000}"/>
    <cellStyle name="Normal 2 5 3 4 5" xfId="1401" xr:uid="{00000000-0005-0000-0000-0000AF1D0000}"/>
    <cellStyle name="Normal 2 5 3 4 5 2" xfId="3006" xr:uid="{00000000-0005-0000-0000-0000B01D0000}"/>
    <cellStyle name="Normal 2 5 3 4 5 2 2" xfId="16555" xr:uid="{00000000-0005-0000-0000-0000B11D0000}"/>
    <cellStyle name="Normal 2 5 3 4 5 2 3" xfId="12976" xr:uid="{00000000-0005-0000-0000-0000B21D0000}"/>
    <cellStyle name="Normal 2 5 3 4 5 2 4" xfId="7687" xr:uid="{00000000-0005-0000-0000-0000B31D0000}"/>
    <cellStyle name="Normal 2 5 3 4 5 3" xfId="4214" xr:uid="{00000000-0005-0000-0000-0000B41D0000}"/>
    <cellStyle name="Normal 2 5 3 4 5 3 2" xfId="17919" xr:uid="{00000000-0005-0000-0000-0000B51D0000}"/>
    <cellStyle name="Normal 2 5 3 4 5 3 3" xfId="14340" xr:uid="{00000000-0005-0000-0000-0000B61D0000}"/>
    <cellStyle name="Normal 2 5 3 4 5 3 4" xfId="9083" xr:uid="{00000000-0005-0000-0000-0000B71D0000}"/>
    <cellStyle name="Normal 2 5 3 4 5 4" xfId="5980" xr:uid="{00000000-0005-0000-0000-0000B81D0000}"/>
    <cellStyle name="Normal 2 5 3 4 5 4 2" xfId="15066" xr:uid="{00000000-0005-0000-0000-0000B91D0000}"/>
    <cellStyle name="Normal 2 5 3 4 5 5" xfId="10537" xr:uid="{00000000-0005-0000-0000-0000BA1D0000}"/>
    <cellStyle name="Normal 2 5 3 4 5 5 2" xfId="19364" xr:uid="{00000000-0005-0000-0000-0000BB1D0000}"/>
    <cellStyle name="Normal 2 5 3 4 5 6" xfId="11983" xr:uid="{00000000-0005-0000-0000-0000BC1D0000}"/>
    <cellStyle name="Normal 2 5 3 4 5 7" xfId="5281" xr:uid="{00000000-0005-0000-0000-0000BD1D0000}"/>
    <cellStyle name="Normal 2 5 3 4 6" xfId="1963" xr:uid="{00000000-0005-0000-0000-0000BE1D0000}"/>
    <cellStyle name="Normal 2 5 3 4 6 2" xfId="15909" xr:uid="{00000000-0005-0000-0000-0000BF1D0000}"/>
    <cellStyle name="Normal 2 5 3 4 6 3" xfId="12301" xr:uid="{00000000-0005-0000-0000-0000C01D0000}"/>
    <cellStyle name="Normal 2 5 3 4 6 4" xfId="6866" xr:uid="{00000000-0005-0000-0000-0000C11D0000}"/>
    <cellStyle name="Normal 2 5 3 4 7" xfId="3377" xr:uid="{00000000-0005-0000-0000-0000C21D0000}"/>
    <cellStyle name="Normal 2 5 3 4 7 2" xfId="16876" xr:uid="{00000000-0005-0000-0000-0000C31D0000}"/>
    <cellStyle name="Normal 2 5 3 4 7 3" xfId="13297" xr:uid="{00000000-0005-0000-0000-0000C41D0000}"/>
    <cellStyle name="Normal 2 5 3 4 7 4" xfId="8040" xr:uid="{00000000-0005-0000-0000-0000C51D0000}"/>
    <cellStyle name="Normal 2 5 3 4 8" xfId="5601" xr:uid="{00000000-0005-0000-0000-0000C61D0000}"/>
    <cellStyle name="Normal 2 5 3 4 8 2" xfId="14687" xr:uid="{00000000-0005-0000-0000-0000C71D0000}"/>
    <cellStyle name="Normal 2 5 3 4 9" xfId="9494" xr:uid="{00000000-0005-0000-0000-0000C81D0000}"/>
    <cellStyle name="Normal 2 5 3 4 9 2" xfId="18321" xr:uid="{00000000-0005-0000-0000-0000C91D0000}"/>
    <cellStyle name="Normal 2 5 3 4_Degree data" xfId="1229" xr:uid="{00000000-0005-0000-0000-0000CA1D0000}"/>
    <cellStyle name="Normal 2 5 3 5" xfId="295" xr:uid="{00000000-0005-0000-0000-0000CB1D0000}"/>
    <cellStyle name="Normal 2 5 3 5 2" xfId="633" xr:uid="{00000000-0005-0000-0000-0000CC1D0000}"/>
    <cellStyle name="Normal 2 5 3 5 2 2" xfId="2363" xr:uid="{00000000-0005-0000-0000-0000CD1D0000}"/>
    <cellStyle name="Normal 2 5 3 5 2 2 2" xfId="16251" xr:uid="{00000000-0005-0000-0000-0000CE1D0000}"/>
    <cellStyle name="Normal 2 5 3 5 2 2 3" xfId="12673" xr:uid="{00000000-0005-0000-0000-0000CF1D0000}"/>
    <cellStyle name="Normal 2 5 3 5 2 2 4" xfId="7383" xr:uid="{00000000-0005-0000-0000-0000D01D0000}"/>
    <cellStyle name="Normal 2 5 3 5 2 3" xfId="3630" xr:uid="{00000000-0005-0000-0000-0000D11D0000}"/>
    <cellStyle name="Normal 2 5 3 5 2 3 2" xfId="17276" xr:uid="{00000000-0005-0000-0000-0000D21D0000}"/>
    <cellStyle name="Normal 2 5 3 5 2 3 3" xfId="13697" xr:uid="{00000000-0005-0000-0000-0000D31D0000}"/>
    <cellStyle name="Normal 2 5 3 5 2 3 4" xfId="8440" xr:uid="{00000000-0005-0000-0000-0000D41D0000}"/>
    <cellStyle name="Normal 2 5 3 5 2 4" xfId="6499" xr:uid="{00000000-0005-0000-0000-0000D51D0000}"/>
    <cellStyle name="Normal 2 5 3 5 2 4 2" xfId="15583" xr:uid="{00000000-0005-0000-0000-0000D61D0000}"/>
    <cellStyle name="Normal 2 5 3 5 2 5" xfId="9894" xr:uid="{00000000-0005-0000-0000-0000D71D0000}"/>
    <cellStyle name="Normal 2 5 3 5 2 5 2" xfId="18721" xr:uid="{00000000-0005-0000-0000-0000D81D0000}"/>
    <cellStyle name="Normal 2 5 3 5 2 6" xfId="11338" xr:uid="{00000000-0005-0000-0000-0000D91D0000}"/>
    <cellStyle name="Normal 2 5 3 5 2 7" xfId="4977" xr:uid="{00000000-0005-0000-0000-0000DA1D0000}"/>
    <cellStyle name="Normal 2 5 3 5 3" xfId="991" xr:uid="{00000000-0005-0000-0000-0000DB1D0000}"/>
    <cellStyle name="Normal 2 5 3 5 3 2" xfId="2711" xr:uid="{00000000-0005-0000-0000-0000DC1D0000}"/>
    <cellStyle name="Normal 2 5 3 5 3 2 2" xfId="16655" xr:uid="{00000000-0005-0000-0000-0000DD1D0000}"/>
    <cellStyle name="Normal 2 5 3 5 3 2 3" xfId="13076" xr:uid="{00000000-0005-0000-0000-0000DE1D0000}"/>
    <cellStyle name="Normal 2 5 3 5 3 2 4" xfId="7787" xr:uid="{00000000-0005-0000-0000-0000DF1D0000}"/>
    <cellStyle name="Normal 2 5 3 5 3 3" xfId="3979" xr:uid="{00000000-0005-0000-0000-0000E01D0000}"/>
    <cellStyle name="Normal 2 5 3 5 3 3 2" xfId="17624" xr:uid="{00000000-0005-0000-0000-0000E11D0000}"/>
    <cellStyle name="Normal 2 5 3 5 3 3 3" xfId="14045" xr:uid="{00000000-0005-0000-0000-0000E21D0000}"/>
    <cellStyle name="Normal 2 5 3 5 3 3 4" xfId="8788" xr:uid="{00000000-0005-0000-0000-0000E31D0000}"/>
    <cellStyle name="Normal 2 5 3 5 3 4" xfId="6194" xr:uid="{00000000-0005-0000-0000-0000E41D0000}"/>
    <cellStyle name="Normal 2 5 3 5 3 4 2" xfId="15278" xr:uid="{00000000-0005-0000-0000-0000E51D0000}"/>
    <cellStyle name="Normal 2 5 3 5 3 5" xfId="10242" xr:uid="{00000000-0005-0000-0000-0000E61D0000}"/>
    <cellStyle name="Normal 2 5 3 5 3 5 2" xfId="19069" xr:uid="{00000000-0005-0000-0000-0000E71D0000}"/>
    <cellStyle name="Normal 2 5 3 5 3 6" xfId="11688" xr:uid="{00000000-0005-0000-0000-0000E81D0000}"/>
    <cellStyle name="Normal 2 5 3 5 3 7" xfId="5381" xr:uid="{00000000-0005-0000-0000-0000E91D0000}"/>
    <cellStyle name="Normal 2 5 3 5 4" xfId="1507" xr:uid="{00000000-0005-0000-0000-0000EA1D0000}"/>
    <cellStyle name="Normal 2 5 3 5 4 2" xfId="3106" xr:uid="{00000000-0005-0000-0000-0000EB1D0000}"/>
    <cellStyle name="Normal 2 5 3 5 4 2 2" xfId="18019" xr:uid="{00000000-0005-0000-0000-0000EC1D0000}"/>
    <cellStyle name="Normal 2 5 3 5 4 2 3" xfId="14440" xr:uid="{00000000-0005-0000-0000-0000ED1D0000}"/>
    <cellStyle name="Normal 2 5 3 5 4 2 4" xfId="9183" xr:uid="{00000000-0005-0000-0000-0000EE1D0000}"/>
    <cellStyle name="Normal 2 5 3 5 4 3" xfId="10637" xr:uid="{00000000-0005-0000-0000-0000EF1D0000}"/>
    <cellStyle name="Normal 2 5 3 5 4 3 2" xfId="19464" xr:uid="{00000000-0005-0000-0000-0000F01D0000}"/>
    <cellStyle name="Normal 2 5 3 5 4 4" xfId="12083" xr:uid="{00000000-0005-0000-0000-0000F11D0000}"/>
    <cellStyle name="Normal 2 5 3 5 4 5" xfId="7078" xr:uid="{00000000-0005-0000-0000-0000F21D0000}"/>
    <cellStyle name="Normal 2 5 3 5 5" xfId="2063" xr:uid="{00000000-0005-0000-0000-0000F31D0000}"/>
    <cellStyle name="Normal 2 5 3 5 5 2" xfId="16976" xr:uid="{00000000-0005-0000-0000-0000F41D0000}"/>
    <cellStyle name="Normal 2 5 3 5 5 3" xfId="13397" xr:uid="{00000000-0005-0000-0000-0000F51D0000}"/>
    <cellStyle name="Normal 2 5 3 5 5 4" xfId="8140" xr:uid="{00000000-0005-0000-0000-0000F61D0000}"/>
    <cellStyle name="Normal 2 5 3 5 6" xfId="5701" xr:uid="{00000000-0005-0000-0000-0000F71D0000}"/>
    <cellStyle name="Normal 2 5 3 5 6 2" xfId="14787" xr:uid="{00000000-0005-0000-0000-0000F81D0000}"/>
    <cellStyle name="Normal 2 5 3 5 7" xfId="9594" xr:uid="{00000000-0005-0000-0000-0000F91D0000}"/>
    <cellStyle name="Normal 2 5 3 5 7 2" xfId="18421" xr:uid="{00000000-0005-0000-0000-0000FA1D0000}"/>
    <cellStyle name="Normal 2 5 3 5 8" xfId="11038" xr:uid="{00000000-0005-0000-0000-0000FB1D0000}"/>
    <cellStyle name="Normal 2 5 3 5 9" xfId="4672" xr:uid="{00000000-0005-0000-0000-0000FC1D0000}"/>
    <cellStyle name="Normal 2 5 3 5_Degree data" xfId="1227" xr:uid="{00000000-0005-0000-0000-0000FD1D0000}"/>
    <cellStyle name="Normal 2 5 3 6" xfId="477" xr:uid="{00000000-0005-0000-0000-0000FE1D0000}"/>
    <cellStyle name="Normal 2 5 3 6 2" xfId="634" xr:uid="{00000000-0005-0000-0000-0000FF1D0000}"/>
    <cellStyle name="Normal 2 5 3 6 2 2" xfId="2364" xr:uid="{00000000-0005-0000-0000-0000001E0000}"/>
    <cellStyle name="Normal 2 5 3 6 2 2 2" xfId="16252" xr:uid="{00000000-0005-0000-0000-0000011E0000}"/>
    <cellStyle name="Normal 2 5 3 6 2 2 3" xfId="12674" xr:uid="{00000000-0005-0000-0000-0000021E0000}"/>
    <cellStyle name="Normal 2 5 3 6 2 2 4" xfId="7384" xr:uid="{00000000-0005-0000-0000-0000031E0000}"/>
    <cellStyle name="Normal 2 5 3 6 2 3" xfId="3631" xr:uid="{00000000-0005-0000-0000-0000041E0000}"/>
    <cellStyle name="Normal 2 5 3 6 2 3 2" xfId="17277" xr:uid="{00000000-0005-0000-0000-0000051E0000}"/>
    <cellStyle name="Normal 2 5 3 6 2 3 3" xfId="13698" xr:uid="{00000000-0005-0000-0000-0000061E0000}"/>
    <cellStyle name="Normal 2 5 3 6 2 3 4" xfId="8441" xr:uid="{00000000-0005-0000-0000-0000071E0000}"/>
    <cellStyle name="Normal 2 5 3 6 2 4" xfId="6500" xr:uid="{00000000-0005-0000-0000-0000081E0000}"/>
    <cellStyle name="Normal 2 5 3 6 2 4 2" xfId="15584" xr:uid="{00000000-0005-0000-0000-0000091E0000}"/>
    <cellStyle name="Normal 2 5 3 6 2 5" xfId="9895" xr:uid="{00000000-0005-0000-0000-00000A1E0000}"/>
    <cellStyle name="Normal 2 5 3 6 2 5 2" xfId="18722" xr:uid="{00000000-0005-0000-0000-00000B1E0000}"/>
    <cellStyle name="Normal 2 5 3 6 2 6" xfId="11339" xr:uid="{00000000-0005-0000-0000-00000C1E0000}"/>
    <cellStyle name="Normal 2 5 3 6 2 7" xfId="4978" xr:uid="{00000000-0005-0000-0000-00000D1E0000}"/>
    <cellStyle name="Normal 2 5 3 6 3" xfId="992" xr:uid="{00000000-0005-0000-0000-00000E1E0000}"/>
    <cellStyle name="Normal 2 5 3 6 3 2" xfId="2712" xr:uid="{00000000-0005-0000-0000-00000F1E0000}"/>
    <cellStyle name="Normal 2 5 3 6 3 2 2" xfId="16526" xr:uid="{00000000-0005-0000-0000-0000101E0000}"/>
    <cellStyle name="Normal 2 5 3 6 3 2 3" xfId="12948" xr:uid="{00000000-0005-0000-0000-0000111E0000}"/>
    <cellStyle name="Normal 2 5 3 6 3 2 4" xfId="7658" xr:uid="{00000000-0005-0000-0000-0000121E0000}"/>
    <cellStyle name="Normal 2 5 3 6 3 3" xfId="3980" xr:uid="{00000000-0005-0000-0000-0000131E0000}"/>
    <cellStyle name="Normal 2 5 3 6 3 3 2" xfId="17625" xr:uid="{00000000-0005-0000-0000-0000141E0000}"/>
    <cellStyle name="Normal 2 5 3 6 3 3 3" xfId="14046" xr:uid="{00000000-0005-0000-0000-0000151E0000}"/>
    <cellStyle name="Normal 2 5 3 6 3 3 4" xfId="8789" xr:uid="{00000000-0005-0000-0000-0000161E0000}"/>
    <cellStyle name="Normal 2 5 3 6 3 4" xfId="6735" xr:uid="{00000000-0005-0000-0000-0000171E0000}"/>
    <cellStyle name="Normal 2 5 3 6 3 4 2" xfId="15818" xr:uid="{00000000-0005-0000-0000-0000181E0000}"/>
    <cellStyle name="Normal 2 5 3 6 3 5" xfId="10243" xr:uid="{00000000-0005-0000-0000-0000191E0000}"/>
    <cellStyle name="Normal 2 5 3 6 3 5 2" xfId="19070" xr:uid="{00000000-0005-0000-0000-00001A1E0000}"/>
    <cellStyle name="Normal 2 5 3 6 3 6" xfId="11689" xr:uid="{00000000-0005-0000-0000-00001B1E0000}"/>
    <cellStyle name="Normal 2 5 3 6 3 7" xfId="5252" xr:uid="{00000000-0005-0000-0000-00001C1E0000}"/>
    <cellStyle name="Normal 2 5 3 6 4" xfId="1366" xr:uid="{00000000-0005-0000-0000-00001D1E0000}"/>
    <cellStyle name="Normal 2 5 3 6 4 2" xfId="2977" xr:uid="{00000000-0005-0000-0000-00001E1E0000}"/>
    <cellStyle name="Normal 2 5 3 6 4 2 2" xfId="17890" xr:uid="{00000000-0005-0000-0000-00001F1E0000}"/>
    <cellStyle name="Normal 2 5 3 6 4 2 3" xfId="14311" xr:uid="{00000000-0005-0000-0000-0000201E0000}"/>
    <cellStyle name="Normal 2 5 3 6 4 2 4" xfId="9054" xr:uid="{00000000-0005-0000-0000-0000211E0000}"/>
    <cellStyle name="Normal 2 5 3 6 4 3" xfId="10508" xr:uid="{00000000-0005-0000-0000-0000221E0000}"/>
    <cellStyle name="Normal 2 5 3 6 4 3 2" xfId="19335" xr:uid="{00000000-0005-0000-0000-0000231E0000}"/>
    <cellStyle name="Normal 2 5 3 6 4 4" xfId="11954" xr:uid="{00000000-0005-0000-0000-0000241E0000}"/>
    <cellStyle name="Normal 2 5 3 6 4 5" xfId="6949" xr:uid="{00000000-0005-0000-0000-0000251E0000}"/>
    <cellStyle name="Normal 2 5 3 6 5" xfId="1934" xr:uid="{00000000-0005-0000-0000-0000261E0000}"/>
    <cellStyle name="Normal 2 5 3 6 5 2" xfId="16845" xr:uid="{00000000-0005-0000-0000-0000271E0000}"/>
    <cellStyle name="Normal 2 5 3 6 5 3" xfId="13266" xr:uid="{00000000-0005-0000-0000-0000281E0000}"/>
    <cellStyle name="Normal 2 5 3 6 5 4" xfId="8009" xr:uid="{00000000-0005-0000-0000-0000291E0000}"/>
    <cellStyle name="Normal 2 5 3 6 6" xfId="6065" xr:uid="{00000000-0005-0000-0000-00002A1E0000}"/>
    <cellStyle name="Normal 2 5 3 6 6 2" xfId="15149" xr:uid="{00000000-0005-0000-0000-00002B1E0000}"/>
    <cellStyle name="Normal 2 5 3 6 7" xfId="9465" xr:uid="{00000000-0005-0000-0000-00002C1E0000}"/>
    <cellStyle name="Normal 2 5 3 6 7 2" xfId="18292" xr:uid="{00000000-0005-0000-0000-00002D1E0000}"/>
    <cellStyle name="Normal 2 5 3 6 8" xfId="10909" xr:uid="{00000000-0005-0000-0000-00002E1E0000}"/>
    <cellStyle name="Normal 2 5 3 6 9" xfId="4543" xr:uid="{00000000-0005-0000-0000-00002F1E0000}"/>
    <cellStyle name="Normal 2 5 3 6_Degree data" xfId="1226" xr:uid="{00000000-0005-0000-0000-0000301E0000}"/>
    <cellStyle name="Normal 2 5 3 7" xfId="625" xr:uid="{00000000-0005-0000-0000-0000311E0000}"/>
    <cellStyle name="Normal 2 5 3 7 2" xfId="2355" xr:uid="{00000000-0005-0000-0000-0000321E0000}"/>
    <cellStyle name="Normal 2 5 3 7 2 2" xfId="16243" xr:uid="{00000000-0005-0000-0000-0000331E0000}"/>
    <cellStyle name="Normal 2 5 3 7 2 3" xfId="12665" xr:uid="{00000000-0005-0000-0000-0000341E0000}"/>
    <cellStyle name="Normal 2 5 3 7 2 4" xfId="7375" xr:uid="{00000000-0005-0000-0000-0000351E0000}"/>
    <cellStyle name="Normal 2 5 3 7 3" xfId="3622" xr:uid="{00000000-0005-0000-0000-0000361E0000}"/>
    <cellStyle name="Normal 2 5 3 7 3 2" xfId="17268" xr:uid="{00000000-0005-0000-0000-0000371E0000}"/>
    <cellStyle name="Normal 2 5 3 7 3 3" xfId="13689" xr:uid="{00000000-0005-0000-0000-0000381E0000}"/>
    <cellStyle name="Normal 2 5 3 7 3 4" xfId="8432" xr:uid="{00000000-0005-0000-0000-0000391E0000}"/>
    <cellStyle name="Normal 2 5 3 7 4" xfId="6491" xr:uid="{00000000-0005-0000-0000-00003A1E0000}"/>
    <cellStyle name="Normal 2 5 3 7 4 2" xfId="15575" xr:uid="{00000000-0005-0000-0000-00003B1E0000}"/>
    <cellStyle name="Normal 2 5 3 7 5" xfId="9886" xr:uid="{00000000-0005-0000-0000-00003C1E0000}"/>
    <cellStyle name="Normal 2 5 3 7 5 2" xfId="18713" xr:uid="{00000000-0005-0000-0000-00003D1E0000}"/>
    <cellStyle name="Normal 2 5 3 7 6" xfId="11330" xr:uid="{00000000-0005-0000-0000-00003E1E0000}"/>
    <cellStyle name="Normal 2 5 3 7 7" xfId="4969" xr:uid="{00000000-0005-0000-0000-00003F1E0000}"/>
    <cellStyle name="Normal 2 5 3 8" xfId="983" xr:uid="{00000000-0005-0000-0000-0000401E0000}"/>
    <cellStyle name="Normal 2 5 3 8 2" xfId="2703" xr:uid="{00000000-0005-0000-0000-0000411E0000}"/>
    <cellStyle name="Normal 2 5 3 8 2 2" xfId="16483" xr:uid="{00000000-0005-0000-0000-0000421E0000}"/>
    <cellStyle name="Normal 2 5 3 8 2 3" xfId="12905" xr:uid="{00000000-0005-0000-0000-0000431E0000}"/>
    <cellStyle name="Normal 2 5 3 8 2 4" xfId="7615" xr:uid="{00000000-0005-0000-0000-0000441E0000}"/>
    <cellStyle name="Normal 2 5 3 8 3" xfId="3971" xr:uid="{00000000-0005-0000-0000-0000451E0000}"/>
    <cellStyle name="Normal 2 5 3 8 3 2" xfId="17616" xr:uid="{00000000-0005-0000-0000-0000461E0000}"/>
    <cellStyle name="Normal 2 5 3 8 3 3" xfId="14037" xr:uid="{00000000-0005-0000-0000-0000471E0000}"/>
    <cellStyle name="Normal 2 5 3 8 3 4" xfId="8780" xr:uid="{00000000-0005-0000-0000-0000481E0000}"/>
    <cellStyle name="Normal 2 5 3 8 4" xfId="5874" xr:uid="{00000000-0005-0000-0000-0000491E0000}"/>
    <cellStyle name="Normal 2 5 3 8 4 2" xfId="14960" xr:uid="{00000000-0005-0000-0000-00004A1E0000}"/>
    <cellStyle name="Normal 2 5 3 8 5" xfId="10234" xr:uid="{00000000-0005-0000-0000-00004B1E0000}"/>
    <cellStyle name="Normal 2 5 3 8 5 2" xfId="19061" xr:uid="{00000000-0005-0000-0000-00004C1E0000}"/>
    <cellStyle name="Normal 2 5 3 8 6" xfId="11680" xr:uid="{00000000-0005-0000-0000-00004D1E0000}"/>
    <cellStyle name="Normal 2 5 3 8 7" xfId="5209" xr:uid="{00000000-0005-0000-0000-00004E1E0000}"/>
    <cellStyle name="Normal 2 5 3 9" xfId="1295" xr:uid="{00000000-0005-0000-0000-00004F1E0000}"/>
    <cellStyle name="Normal 2 5 3 9 2" xfId="2934" xr:uid="{00000000-0005-0000-0000-0000501E0000}"/>
    <cellStyle name="Normal 2 5 3 9 2 2" xfId="17847" xr:uid="{00000000-0005-0000-0000-0000511E0000}"/>
    <cellStyle name="Normal 2 5 3 9 2 3" xfId="14268" xr:uid="{00000000-0005-0000-0000-0000521E0000}"/>
    <cellStyle name="Normal 2 5 3 9 2 4" xfId="9011" xr:uid="{00000000-0005-0000-0000-0000531E0000}"/>
    <cellStyle name="Normal 2 5 3 9 3" xfId="10465" xr:uid="{00000000-0005-0000-0000-0000541E0000}"/>
    <cellStyle name="Normal 2 5 3 9 3 2" xfId="19292" xr:uid="{00000000-0005-0000-0000-0000551E0000}"/>
    <cellStyle name="Normal 2 5 3 9 4" xfId="11911" xr:uid="{00000000-0005-0000-0000-0000561E0000}"/>
    <cellStyle name="Normal 2 5 3 9 5" xfId="6760" xr:uid="{00000000-0005-0000-0000-0000571E0000}"/>
    <cellStyle name="Normal 2 5 3_Degree data" xfId="1600" xr:uid="{00000000-0005-0000-0000-0000581E0000}"/>
    <cellStyle name="Normal 2 5 4" xfId="158" xr:uid="{00000000-0005-0000-0000-0000591E0000}"/>
    <cellStyle name="Normal 2 5 4 10" xfId="1907" xr:uid="{00000000-0005-0000-0000-00005A1E0000}"/>
    <cellStyle name="Normal 2 5 4 10 2" xfId="9438" xr:uid="{00000000-0005-0000-0000-00005B1E0000}"/>
    <cellStyle name="Normal 2 5 4 10 2 2" xfId="18265" xr:uid="{00000000-0005-0000-0000-00005C1E0000}"/>
    <cellStyle name="Normal 2 5 4 10 3" xfId="10882" xr:uid="{00000000-0005-0000-0000-00005D1E0000}"/>
    <cellStyle name="Normal 2 5 4 10 4" xfId="7982" xr:uid="{00000000-0005-0000-0000-00005E1E0000}"/>
    <cellStyle name="Normal 2 5 4 11" xfId="1877" xr:uid="{00000000-0005-0000-0000-00005F1E0000}"/>
    <cellStyle name="Normal 2 5 4 11 2" xfId="14676" xr:uid="{00000000-0005-0000-0000-0000601E0000}"/>
    <cellStyle name="Normal 2 5 4 11 3" xfId="5590" xr:uid="{00000000-0005-0000-0000-0000611E0000}"/>
    <cellStyle name="Normal 2 5 4 12" xfId="9408" xr:uid="{00000000-0005-0000-0000-0000621E0000}"/>
    <cellStyle name="Normal 2 5 4 12 2" xfId="18235" xr:uid="{00000000-0005-0000-0000-0000631E0000}"/>
    <cellStyle name="Normal 2 5 4 13" xfId="10852" xr:uid="{00000000-0005-0000-0000-0000641E0000}"/>
    <cellStyle name="Normal 2 5 4 14" xfId="4368" xr:uid="{00000000-0005-0000-0000-0000651E0000}"/>
    <cellStyle name="Normal 2 5 4 2" xfId="233" xr:uid="{00000000-0005-0000-0000-0000661E0000}"/>
    <cellStyle name="Normal 2 5 4 2 10" xfId="9540" xr:uid="{00000000-0005-0000-0000-0000671E0000}"/>
    <cellStyle name="Normal 2 5 4 2 10 2" xfId="18367" xr:uid="{00000000-0005-0000-0000-0000681E0000}"/>
    <cellStyle name="Normal 2 5 4 2 11" xfId="10984" xr:uid="{00000000-0005-0000-0000-0000691E0000}"/>
    <cellStyle name="Normal 2 5 4 2 12" xfId="4401" xr:uid="{00000000-0005-0000-0000-00006A1E0000}"/>
    <cellStyle name="Normal 2 5 4 2 2" xfId="446" xr:uid="{00000000-0005-0000-0000-00006B1E0000}"/>
    <cellStyle name="Normal 2 5 4 2 2 10" xfId="4505" xr:uid="{00000000-0005-0000-0000-00006C1E0000}"/>
    <cellStyle name="Normal 2 5 4 2 2 2" xfId="637" xr:uid="{00000000-0005-0000-0000-00006D1E0000}"/>
    <cellStyle name="Normal 2 5 4 2 2 2 2" xfId="2367" xr:uid="{00000000-0005-0000-0000-00006E1E0000}"/>
    <cellStyle name="Normal 2 5 4 2 2 2 2 2" xfId="16097" xr:uid="{00000000-0005-0000-0000-00006F1E0000}"/>
    <cellStyle name="Normal 2 5 4 2 2 2 2 3" xfId="12519" xr:uid="{00000000-0005-0000-0000-0000701E0000}"/>
    <cellStyle name="Normal 2 5 4 2 2 2 2 4" xfId="7228" xr:uid="{00000000-0005-0000-0000-0000711E0000}"/>
    <cellStyle name="Normal 2 5 4 2 2 2 3" xfId="3634" xr:uid="{00000000-0005-0000-0000-0000721E0000}"/>
    <cellStyle name="Normal 2 5 4 2 2 2 3 2" xfId="17280" xr:uid="{00000000-0005-0000-0000-0000731E0000}"/>
    <cellStyle name="Normal 2 5 4 2 2 2 3 3" xfId="13701" xr:uid="{00000000-0005-0000-0000-0000741E0000}"/>
    <cellStyle name="Normal 2 5 4 2 2 2 3 4" xfId="8444" xr:uid="{00000000-0005-0000-0000-0000751E0000}"/>
    <cellStyle name="Normal 2 5 4 2 2 2 4" xfId="6344" xr:uid="{00000000-0005-0000-0000-0000761E0000}"/>
    <cellStyle name="Normal 2 5 4 2 2 2 4 2" xfId="15428" xr:uid="{00000000-0005-0000-0000-0000771E0000}"/>
    <cellStyle name="Normal 2 5 4 2 2 2 5" xfId="9898" xr:uid="{00000000-0005-0000-0000-0000781E0000}"/>
    <cellStyle name="Normal 2 5 4 2 2 2 5 2" xfId="18725" xr:uid="{00000000-0005-0000-0000-0000791E0000}"/>
    <cellStyle name="Normal 2 5 4 2 2 2 6" xfId="11342" xr:uid="{00000000-0005-0000-0000-00007A1E0000}"/>
    <cellStyle name="Normal 2 5 4 2 2 2 7" xfId="4822" xr:uid="{00000000-0005-0000-0000-00007B1E0000}"/>
    <cellStyle name="Normal 2 5 4 2 2 3" xfId="995" xr:uid="{00000000-0005-0000-0000-00007C1E0000}"/>
    <cellStyle name="Normal 2 5 4 2 2 3 2" xfId="2715" xr:uid="{00000000-0005-0000-0000-00007D1E0000}"/>
    <cellStyle name="Normal 2 5 4 2 2 3 2 2" xfId="16255" xr:uid="{00000000-0005-0000-0000-00007E1E0000}"/>
    <cellStyle name="Normal 2 5 4 2 2 3 2 3" xfId="12677" xr:uid="{00000000-0005-0000-0000-00007F1E0000}"/>
    <cellStyle name="Normal 2 5 4 2 2 3 2 4" xfId="7387" xr:uid="{00000000-0005-0000-0000-0000801E0000}"/>
    <cellStyle name="Normal 2 5 4 2 2 3 3" xfId="3983" xr:uid="{00000000-0005-0000-0000-0000811E0000}"/>
    <cellStyle name="Normal 2 5 4 2 2 3 3 2" xfId="17628" xr:uid="{00000000-0005-0000-0000-0000821E0000}"/>
    <cellStyle name="Normal 2 5 4 2 2 3 3 3" xfId="14049" xr:uid="{00000000-0005-0000-0000-0000831E0000}"/>
    <cellStyle name="Normal 2 5 4 2 2 3 3 4" xfId="8792" xr:uid="{00000000-0005-0000-0000-0000841E0000}"/>
    <cellStyle name="Normal 2 5 4 2 2 3 4" xfId="6503" xr:uid="{00000000-0005-0000-0000-0000851E0000}"/>
    <cellStyle name="Normal 2 5 4 2 2 3 4 2" xfId="15587" xr:uid="{00000000-0005-0000-0000-0000861E0000}"/>
    <cellStyle name="Normal 2 5 4 2 2 3 5" xfId="10246" xr:uid="{00000000-0005-0000-0000-0000871E0000}"/>
    <cellStyle name="Normal 2 5 4 2 2 3 5 2" xfId="19073" xr:uid="{00000000-0005-0000-0000-0000881E0000}"/>
    <cellStyle name="Normal 2 5 4 2 2 3 6" xfId="11692" xr:uid="{00000000-0005-0000-0000-0000891E0000}"/>
    <cellStyle name="Normal 2 5 4 2 2 3 7" xfId="4981" xr:uid="{00000000-0005-0000-0000-00008A1E0000}"/>
    <cellStyle name="Normal 2 5 4 2 2 4" xfId="1660" xr:uid="{00000000-0005-0000-0000-00008B1E0000}"/>
    <cellStyle name="Normal 2 5 4 2 2 4 2" xfId="3256" xr:uid="{00000000-0005-0000-0000-00008C1E0000}"/>
    <cellStyle name="Normal 2 5 4 2 2 4 2 2" xfId="16805" xr:uid="{00000000-0005-0000-0000-00008D1E0000}"/>
    <cellStyle name="Normal 2 5 4 2 2 4 2 3" xfId="13226" xr:uid="{00000000-0005-0000-0000-00008E1E0000}"/>
    <cellStyle name="Normal 2 5 4 2 2 4 2 4" xfId="7937" xr:uid="{00000000-0005-0000-0000-00008F1E0000}"/>
    <cellStyle name="Normal 2 5 4 2 2 4 3" xfId="4319" xr:uid="{00000000-0005-0000-0000-0000901E0000}"/>
    <cellStyle name="Normal 2 5 4 2 2 4 3 2" xfId="18169" xr:uid="{00000000-0005-0000-0000-0000911E0000}"/>
    <cellStyle name="Normal 2 5 4 2 2 4 3 3" xfId="14590" xr:uid="{00000000-0005-0000-0000-0000921E0000}"/>
    <cellStyle name="Normal 2 5 4 2 2 4 3 4" xfId="9333" xr:uid="{00000000-0005-0000-0000-0000931E0000}"/>
    <cellStyle name="Normal 2 5 4 2 2 4 4" xfId="6025" xr:uid="{00000000-0005-0000-0000-0000941E0000}"/>
    <cellStyle name="Normal 2 5 4 2 2 4 4 2" xfId="15111" xr:uid="{00000000-0005-0000-0000-0000951E0000}"/>
    <cellStyle name="Normal 2 5 4 2 2 4 5" xfId="10787" xr:uid="{00000000-0005-0000-0000-0000961E0000}"/>
    <cellStyle name="Normal 2 5 4 2 2 4 5 2" xfId="19614" xr:uid="{00000000-0005-0000-0000-0000971E0000}"/>
    <cellStyle name="Normal 2 5 4 2 2 4 6" xfId="12233" xr:uid="{00000000-0005-0000-0000-0000981E0000}"/>
    <cellStyle name="Normal 2 5 4 2 2 4 7" xfId="5531" xr:uid="{00000000-0005-0000-0000-0000991E0000}"/>
    <cellStyle name="Normal 2 5 4 2 2 5" xfId="2213" xr:uid="{00000000-0005-0000-0000-00009A1E0000}"/>
    <cellStyle name="Normal 2 5 4 2 2 5 2" xfId="15954" xr:uid="{00000000-0005-0000-0000-00009B1E0000}"/>
    <cellStyle name="Normal 2 5 4 2 2 5 3" xfId="12344" xr:uid="{00000000-0005-0000-0000-00009C1E0000}"/>
    <cellStyle name="Normal 2 5 4 2 2 5 4" xfId="6911" xr:uid="{00000000-0005-0000-0000-00009D1E0000}"/>
    <cellStyle name="Normal 2 5 4 2 2 6" xfId="3481" xr:uid="{00000000-0005-0000-0000-00009E1E0000}"/>
    <cellStyle name="Normal 2 5 4 2 2 6 2" xfId="17126" xr:uid="{00000000-0005-0000-0000-00009F1E0000}"/>
    <cellStyle name="Normal 2 5 4 2 2 6 3" xfId="13547" xr:uid="{00000000-0005-0000-0000-0000A01E0000}"/>
    <cellStyle name="Normal 2 5 4 2 2 6 4" xfId="8290" xr:uid="{00000000-0005-0000-0000-0000A11E0000}"/>
    <cellStyle name="Normal 2 5 4 2 2 7" xfId="5851" xr:uid="{00000000-0005-0000-0000-0000A21E0000}"/>
    <cellStyle name="Normal 2 5 4 2 2 7 2" xfId="14937" xr:uid="{00000000-0005-0000-0000-0000A31E0000}"/>
    <cellStyle name="Normal 2 5 4 2 2 8" xfId="9744" xr:uid="{00000000-0005-0000-0000-0000A41E0000}"/>
    <cellStyle name="Normal 2 5 4 2 2 8 2" xfId="18571" xr:uid="{00000000-0005-0000-0000-0000A51E0000}"/>
    <cellStyle name="Normal 2 5 4 2 2 9" xfId="11188" xr:uid="{00000000-0005-0000-0000-0000A61E0000}"/>
    <cellStyle name="Normal 2 5 4 2 2_Degree data" xfId="1223" xr:uid="{00000000-0005-0000-0000-0000A71E0000}"/>
    <cellStyle name="Normal 2 5 4 2 3" xfId="341" xr:uid="{00000000-0005-0000-0000-0000A81E0000}"/>
    <cellStyle name="Normal 2 5 4 2 3 2" xfId="638" xr:uid="{00000000-0005-0000-0000-0000A91E0000}"/>
    <cellStyle name="Normal 2 5 4 2 3 2 2" xfId="2368" xr:uid="{00000000-0005-0000-0000-0000AA1E0000}"/>
    <cellStyle name="Normal 2 5 4 2 3 2 2 2" xfId="16256" xr:uid="{00000000-0005-0000-0000-0000AB1E0000}"/>
    <cellStyle name="Normal 2 5 4 2 3 2 2 3" xfId="12678" xr:uid="{00000000-0005-0000-0000-0000AC1E0000}"/>
    <cellStyle name="Normal 2 5 4 2 3 2 2 4" xfId="7388" xr:uid="{00000000-0005-0000-0000-0000AD1E0000}"/>
    <cellStyle name="Normal 2 5 4 2 3 2 3" xfId="3635" xr:uid="{00000000-0005-0000-0000-0000AE1E0000}"/>
    <cellStyle name="Normal 2 5 4 2 3 2 3 2" xfId="17281" xr:uid="{00000000-0005-0000-0000-0000AF1E0000}"/>
    <cellStyle name="Normal 2 5 4 2 3 2 3 3" xfId="13702" xr:uid="{00000000-0005-0000-0000-0000B01E0000}"/>
    <cellStyle name="Normal 2 5 4 2 3 2 3 4" xfId="8445" xr:uid="{00000000-0005-0000-0000-0000B11E0000}"/>
    <cellStyle name="Normal 2 5 4 2 3 2 4" xfId="6504" xr:uid="{00000000-0005-0000-0000-0000B21E0000}"/>
    <cellStyle name="Normal 2 5 4 2 3 2 4 2" xfId="15588" xr:uid="{00000000-0005-0000-0000-0000B31E0000}"/>
    <cellStyle name="Normal 2 5 4 2 3 2 5" xfId="9899" xr:uid="{00000000-0005-0000-0000-0000B41E0000}"/>
    <cellStyle name="Normal 2 5 4 2 3 2 5 2" xfId="18726" xr:uid="{00000000-0005-0000-0000-0000B51E0000}"/>
    <cellStyle name="Normal 2 5 4 2 3 2 6" xfId="11343" xr:uid="{00000000-0005-0000-0000-0000B61E0000}"/>
    <cellStyle name="Normal 2 5 4 2 3 2 7" xfId="4982" xr:uid="{00000000-0005-0000-0000-0000B71E0000}"/>
    <cellStyle name="Normal 2 5 4 2 3 3" xfId="996" xr:uid="{00000000-0005-0000-0000-0000B81E0000}"/>
    <cellStyle name="Normal 2 5 4 2 3 3 2" xfId="2716" xr:uid="{00000000-0005-0000-0000-0000B91E0000}"/>
    <cellStyle name="Normal 2 5 4 2 3 3 2 2" xfId="16701" xr:uid="{00000000-0005-0000-0000-0000BA1E0000}"/>
    <cellStyle name="Normal 2 5 4 2 3 3 2 3" xfId="13122" xr:uid="{00000000-0005-0000-0000-0000BB1E0000}"/>
    <cellStyle name="Normal 2 5 4 2 3 3 2 4" xfId="7833" xr:uid="{00000000-0005-0000-0000-0000BC1E0000}"/>
    <cellStyle name="Normal 2 5 4 2 3 3 3" xfId="3984" xr:uid="{00000000-0005-0000-0000-0000BD1E0000}"/>
    <cellStyle name="Normal 2 5 4 2 3 3 3 2" xfId="17629" xr:uid="{00000000-0005-0000-0000-0000BE1E0000}"/>
    <cellStyle name="Normal 2 5 4 2 3 3 3 3" xfId="14050" xr:uid="{00000000-0005-0000-0000-0000BF1E0000}"/>
    <cellStyle name="Normal 2 5 4 2 3 3 3 4" xfId="8793" xr:uid="{00000000-0005-0000-0000-0000C01E0000}"/>
    <cellStyle name="Normal 2 5 4 2 3 3 4" xfId="6240" xr:uid="{00000000-0005-0000-0000-0000C11E0000}"/>
    <cellStyle name="Normal 2 5 4 2 3 3 4 2" xfId="15324" xr:uid="{00000000-0005-0000-0000-0000C21E0000}"/>
    <cellStyle name="Normal 2 5 4 2 3 3 5" xfId="10247" xr:uid="{00000000-0005-0000-0000-0000C31E0000}"/>
    <cellStyle name="Normal 2 5 4 2 3 3 5 2" xfId="19074" xr:uid="{00000000-0005-0000-0000-0000C41E0000}"/>
    <cellStyle name="Normal 2 5 4 2 3 3 6" xfId="11693" xr:uid="{00000000-0005-0000-0000-0000C51E0000}"/>
    <cellStyle name="Normal 2 5 4 2 3 3 7" xfId="5427" xr:uid="{00000000-0005-0000-0000-0000C61E0000}"/>
    <cellStyle name="Normal 2 5 4 2 3 4" xfId="1553" xr:uid="{00000000-0005-0000-0000-0000C71E0000}"/>
    <cellStyle name="Normal 2 5 4 2 3 4 2" xfId="3152" xr:uid="{00000000-0005-0000-0000-0000C81E0000}"/>
    <cellStyle name="Normal 2 5 4 2 3 4 2 2" xfId="18065" xr:uid="{00000000-0005-0000-0000-0000C91E0000}"/>
    <cellStyle name="Normal 2 5 4 2 3 4 2 3" xfId="14486" xr:uid="{00000000-0005-0000-0000-0000CA1E0000}"/>
    <cellStyle name="Normal 2 5 4 2 3 4 2 4" xfId="9229" xr:uid="{00000000-0005-0000-0000-0000CB1E0000}"/>
    <cellStyle name="Normal 2 5 4 2 3 4 3" xfId="10683" xr:uid="{00000000-0005-0000-0000-0000CC1E0000}"/>
    <cellStyle name="Normal 2 5 4 2 3 4 3 2" xfId="19510" xr:uid="{00000000-0005-0000-0000-0000CD1E0000}"/>
    <cellStyle name="Normal 2 5 4 2 3 4 4" xfId="12129" xr:uid="{00000000-0005-0000-0000-0000CE1E0000}"/>
    <cellStyle name="Normal 2 5 4 2 3 4 5" xfId="7124" xr:uid="{00000000-0005-0000-0000-0000CF1E0000}"/>
    <cellStyle name="Normal 2 5 4 2 3 5" xfId="2109" xr:uid="{00000000-0005-0000-0000-0000D01E0000}"/>
    <cellStyle name="Normal 2 5 4 2 3 5 2" xfId="17022" xr:uid="{00000000-0005-0000-0000-0000D11E0000}"/>
    <cellStyle name="Normal 2 5 4 2 3 5 3" xfId="13443" xr:uid="{00000000-0005-0000-0000-0000D21E0000}"/>
    <cellStyle name="Normal 2 5 4 2 3 5 4" xfId="8186" xr:uid="{00000000-0005-0000-0000-0000D31E0000}"/>
    <cellStyle name="Normal 2 5 4 2 3 6" xfId="5747" xr:uid="{00000000-0005-0000-0000-0000D41E0000}"/>
    <cellStyle name="Normal 2 5 4 2 3 6 2" xfId="14833" xr:uid="{00000000-0005-0000-0000-0000D51E0000}"/>
    <cellStyle name="Normal 2 5 4 2 3 7" xfId="9640" xr:uid="{00000000-0005-0000-0000-0000D61E0000}"/>
    <cellStyle name="Normal 2 5 4 2 3 7 2" xfId="18467" xr:uid="{00000000-0005-0000-0000-0000D71E0000}"/>
    <cellStyle name="Normal 2 5 4 2 3 8" xfId="11084" xr:uid="{00000000-0005-0000-0000-0000D81E0000}"/>
    <cellStyle name="Normal 2 5 4 2 3 9" xfId="4718" xr:uid="{00000000-0005-0000-0000-0000D91E0000}"/>
    <cellStyle name="Normal 2 5 4 2 3_Degree data" xfId="1273" xr:uid="{00000000-0005-0000-0000-0000DA1E0000}"/>
    <cellStyle name="Normal 2 5 4 2 4" xfId="636" xr:uid="{00000000-0005-0000-0000-0000DB1E0000}"/>
    <cellStyle name="Normal 2 5 4 2 4 2" xfId="2366" xr:uid="{00000000-0005-0000-0000-0000DC1E0000}"/>
    <cellStyle name="Normal 2 5 4 2 4 2 2" xfId="16038" xr:uid="{00000000-0005-0000-0000-0000DD1E0000}"/>
    <cellStyle name="Normal 2 5 4 2 4 2 3" xfId="12324" xr:uid="{00000000-0005-0000-0000-0000DE1E0000}"/>
    <cellStyle name="Normal 2 5 4 2 4 2 4" xfId="7024" xr:uid="{00000000-0005-0000-0000-0000DF1E0000}"/>
    <cellStyle name="Normal 2 5 4 2 4 3" xfId="3633" xr:uid="{00000000-0005-0000-0000-0000E01E0000}"/>
    <cellStyle name="Normal 2 5 4 2 4 3 2" xfId="17279" xr:uid="{00000000-0005-0000-0000-0000E11E0000}"/>
    <cellStyle name="Normal 2 5 4 2 4 3 3" xfId="13700" xr:uid="{00000000-0005-0000-0000-0000E21E0000}"/>
    <cellStyle name="Normal 2 5 4 2 4 3 4" xfId="8443" xr:uid="{00000000-0005-0000-0000-0000E31E0000}"/>
    <cellStyle name="Normal 2 5 4 2 4 4" xfId="6140" xr:uid="{00000000-0005-0000-0000-0000E41E0000}"/>
    <cellStyle name="Normal 2 5 4 2 4 4 2" xfId="15224" xr:uid="{00000000-0005-0000-0000-0000E51E0000}"/>
    <cellStyle name="Normal 2 5 4 2 4 5" xfId="9897" xr:uid="{00000000-0005-0000-0000-0000E61E0000}"/>
    <cellStyle name="Normal 2 5 4 2 4 5 2" xfId="18724" xr:uid="{00000000-0005-0000-0000-0000E71E0000}"/>
    <cellStyle name="Normal 2 5 4 2 4 6" xfId="11341" xr:uid="{00000000-0005-0000-0000-0000E81E0000}"/>
    <cellStyle name="Normal 2 5 4 2 4 7" xfId="4618" xr:uid="{00000000-0005-0000-0000-0000E91E0000}"/>
    <cellStyle name="Normal 2 5 4 2 5" xfId="994" xr:uid="{00000000-0005-0000-0000-0000EA1E0000}"/>
    <cellStyle name="Normal 2 5 4 2 5 2" xfId="2714" xr:uid="{00000000-0005-0000-0000-0000EB1E0000}"/>
    <cellStyle name="Normal 2 5 4 2 5 2 2" xfId="16254" xr:uid="{00000000-0005-0000-0000-0000EC1E0000}"/>
    <cellStyle name="Normal 2 5 4 2 5 2 3" xfId="12676" xr:uid="{00000000-0005-0000-0000-0000ED1E0000}"/>
    <cellStyle name="Normal 2 5 4 2 5 2 4" xfId="7386" xr:uid="{00000000-0005-0000-0000-0000EE1E0000}"/>
    <cellStyle name="Normal 2 5 4 2 5 3" xfId="3982" xr:uid="{00000000-0005-0000-0000-0000EF1E0000}"/>
    <cellStyle name="Normal 2 5 4 2 5 3 2" xfId="17627" xr:uid="{00000000-0005-0000-0000-0000F01E0000}"/>
    <cellStyle name="Normal 2 5 4 2 5 3 3" xfId="14048" xr:uid="{00000000-0005-0000-0000-0000F11E0000}"/>
    <cellStyle name="Normal 2 5 4 2 5 3 4" xfId="8791" xr:uid="{00000000-0005-0000-0000-0000F21E0000}"/>
    <cellStyle name="Normal 2 5 4 2 5 4" xfId="6502" xr:uid="{00000000-0005-0000-0000-0000F31E0000}"/>
    <cellStyle name="Normal 2 5 4 2 5 4 2" xfId="15586" xr:uid="{00000000-0005-0000-0000-0000F41E0000}"/>
    <cellStyle name="Normal 2 5 4 2 5 5" xfId="10245" xr:uid="{00000000-0005-0000-0000-0000F51E0000}"/>
    <cellStyle name="Normal 2 5 4 2 5 5 2" xfId="19072" xr:uid="{00000000-0005-0000-0000-0000F61E0000}"/>
    <cellStyle name="Normal 2 5 4 2 5 6" xfId="11691" xr:uid="{00000000-0005-0000-0000-0000F71E0000}"/>
    <cellStyle name="Normal 2 5 4 2 5 7" xfId="4980" xr:uid="{00000000-0005-0000-0000-0000F81E0000}"/>
    <cellStyle name="Normal 2 5 4 2 6" xfId="1451" xr:uid="{00000000-0005-0000-0000-0000F91E0000}"/>
    <cellStyle name="Normal 2 5 4 2 6 2" xfId="3052" xr:uid="{00000000-0005-0000-0000-0000FA1E0000}"/>
    <cellStyle name="Normal 2 5 4 2 6 2 2" xfId="16601" xr:uid="{00000000-0005-0000-0000-0000FB1E0000}"/>
    <cellStyle name="Normal 2 5 4 2 6 2 3" xfId="13022" xr:uid="{00000000-0005-0000-0000-0000FC1E0000}"/>
    <cellStyle name="Normal 2 5 4 2 6 2 4" xfId="7733" xr:uid="{00000000-0005-0000-0000-0000FD1E0000}"/>
    <cellStyle name="Normal 2 5 4 2 6 3" xfId="4260" xr:uid="{00000000-0005-0000-0000-0000FE1E0000}"/>
    <cellStyle name="Normal 2 5 4 2 6 3 2" xfId="17965" xr:uid="{00000000-0005-0000-0000-0000FF1E0000}"/>
    <cellStyle name="Normal 2 5 4 2 6 3 3" xfId="14386" xr:uid="{00000000-0005-0000-0000-0000001F0000}"/>
    <cellStyle name="Normal 2 5 4 2 6 3 4" xfId="9129" xr:uid="{00000000-0005-0000-0000-0000011F0000}"/>
    <cellStyle name="Normal 2 5 4 2 6 4" xfId="5921" xr:uid="{00000000-0005-0000-0000-0000021F0000}"/>
    <cellStyle name="Normal 2 5 4 2 6 4 2" xfId="15007" xr:uid="{00000000-0005-0000-0000-0000031F0000}"/>
    <cellStyle name="Normal 2 5 4 2 6 5" xfId="10583" xr:uid="{00000000-0005-0000-0000-0000041F0000}"/>
    <cellStyle name="Normal 2 5 4 2 6 5 2" xfId="19410" xr:uid="{00000000-0005-0000-0000-0000051F0000}"/>
    <cellStyle name="Normal 2 5 4 2 6 6" xfId="12029" xr:uid="{00000000-0005-0000-0000-0000061F0000}"/>
    <cellStyle name="Normal 2 5 4 2 6 7" xfId="5327" xr:uid="{00000000-0005-0000-0000-0000071F0000}"/>
    <cellStyle name="Normal 2 5 4 2 7" xfId="2009" xr:uid="{00000000-0005-0000-0000-0000081F0000}"/>
    <cellStyle name="Normal 2 5 4 2 7 2" xfId="15850" xr:uid="{00000000-0005-0000-0000-0000091F0000}"/>
    <cellStyle name="Normal 2 5 4 2 7 3" xfId="12365" xr:uid="{00000000-0005-0000-0000-00000A1F0000}"/>
    <cellStyle name="Normal 2 5 4 2 7 4" xfId="6807" xr:uid="{00000000-0005-0000-0000-00000B1F0000}"/>
    <cellStyle name="Normal 2 5 4 2 8" xfId="3422" xr:uid="{00000000-0005-0000-0000-00000C1F0000}"/>
    <cellStyle name="Normal 2 5 4 2 8 2" xfId="16922" xr:uid="{00000000-0005-0000-0000-00000D1F0000}"/>
    <cellStyle name="Normal 2 5 4 2 8 3" xfId="13343" xr:uid="{00000000-0005-0000-0000-00000E1F0000}"/>
    <cellStyle name="Normal 2 5 4 2 8 4" xfId="8086" xr:uid="{00000000-0005-0000-0000-00000F1F0000}"/>
    <cellStyle name="Normal 2 5 4 2 9" xfId="5647" xr:uid="{00000000-0005-0000-0000-0000101F0000}"/>
    <cellStyle name="Normal 2 5 4 2 9 2" xfId="14733" xr:uid="{00000000-0005-0000-0000-0000111F0000}"/>
    <cellStyle name="Normal 2 5 4 2_Degree data" xfId="1224" xr:uid="{00000000-0005-0000-0000-0000121F0000}"/>
    <cellStyle name="Normal 2 5 4 3" xfId="276" xr:uid="{00000000-0005-0000-0000-0000131F0000}"/>
    <cellStyle name="Normal 2 5 4 3 10" xfId="11027" xr:uid="{00000000-0005-0000-0000-0000141F0000}"/>
    <cellStyle name="Normal 2 5 4 3 11" xfId="4444" xr:uid="{00000000-0005-0000-0000-0000151F0000}"/>
    <cellStyle name="Normal 2 5 4 3 2" xfId="384" xr:uid="{00000000-0005-0000-0000-0000161F0000}"/>
    <cellStyle name="Normal 2 5 4 3 2 2" xfId="640" xr:uid="{00000000-0005-0000-0000-0000171F0000}"/>
    <cellStyle name="Normal 2 5 4 3 2 2 2" xfId="2370" xr:uid="{00000000-0005-0000-0000-0000181F0000}"/>
    <cellStyle name="Normal 2 5 4 3 2 2 2 2" xfId="16258" xr:uid="{00000000-0005-0000-0000-0000191F0000}"/>
    <cellStyle name="Normal 2 5 4 3 2 2 2 3" xfId="12680" xr:uid="{00000000-0005-0000-0000-00001A1F0000}"/>
    <cellStyle name="Normal 2 5 4 3 2 2 2 4" xfId="7390" xr:uid="{00000000-0005-0000-0000-00001B1F0000}"/>
    <cellStyle name="Normal 2 5 4 3 2 2 3" xfId="3637" xr:uid="{00000000-0005-0000-0000-00001C1F0000}"/>
    <cellStyle name="Normal 2 5 4 3 2 2 3 2" xfId="17283" xr:uid="{00000000-0005-0000-0000-00001D1F0000}"/>
    <cellStyle name="Normal 2 5 4 3 2 2 3 3" xfId="13704" xr:uid="{00000000-0005-0000-0000-00001E1F0000}"/>
    <cellStyle name="Normal 2 5 4 3 2 2 3 4" xfId="8447" xr:uid="{00000000-0005-0000-0000-00001F1F0000}"/>
    <cellStyle name="Normal 2 5 4 3 2 2 4" xfId="6506" xr:uid="{00000000-0005-0000-0000-0000201F0000}"/>
    <cellStyle name="Normal 2 5 4 3 2 2 4 2" xfId="15590" xr:uid="{00000000-0005-0000-0000-0000211F0000}"/>
    <cellStyle name="Normal 2 5 4 3 2 2 5" xfId="9901" xr:uid="{00000000-0005-0000-0000-0000221F0000}"/>
    <cellStyle name="Normal 2 5 4 3 2 2 5 2" xfId="18728" xr:uid="{00000000-0005-0000-0000-0000231F0000}"/>
    <cellStyle name="Normal 2 5 4 3 2 2 6" xfId="11345" xr:uid="{00000000-0005-0000-0000-0000241F0000}"/>
    <cellStyle name="Normal 2 5 4 3 2 2 7" xfId="4984" xr:uid="{00000000-0005-0000-0000-0000251F0000}"/>
    <cellStyle name="Normal 2 5 4 3 2 3" xfId="998" xr:uid="{00000000-0005-0000-0000-0000261F0000}"/>
    <cellStyle name="Normal 2 5 4 3 2 3 2" xfId="2718" xr:uid="{00000000-0005-0000-0000-0000271F0000}"/>
    <cellStyle name="Normal 2 5 4 3 2 3 2 2" xfId="16744" xr:uid="{00000000-0005-0000-0000-0000281F0000}"/>
    <cellStyle name="Normal 2 5 4 3 2 3 2 3" xfId="13165" xr:uid="{00000000-0005-0000-0000-0000291F0000}"/>
    <cellStyle name="Normal 2 5 4 3 2 3 2 4" xfId="7876" xr:uid="{00000000-0005-0000-0000-00002A1F0000}"/>
    <cellStyle name="Normal 2 5 4 3 2 3 3" xfId="3986" xr:uid="{00000000-0005-0000-0000-00002B1F0000}"/>
    <cellStyle name="Normal 2 5 4 3 2 3 3 2" xfId="17631" xr:uid="{00000000-0005-0000-0000-00002C1F0000}"/>
    <cellStyle name="Normal 2 5 4 3 2 3 3 3" xfId="14052" xr:uid="{00000000-0005-0000-0000-00002D1F0000}"/>
    <cellStyle name="Normal 2 5 4 3 2 3 3 4" xfId="8795" xr:uid="{00000000-0005-0000-0000-00002E1F0000}"/>
    <cellStyle name="Normal 2 5 4 3 2 3 4" xfId="6283" xr:uid="{00000000-0005-0000-0000-00002F1F0000}"/>
    <cellStyle name="Normal 2 5 4 3 2 3 4 2" xfId="15367" xr:uid="{00000000-0005-0000-0000-0000301F0000}"/>
    <cellStyle name="Normal 2 5 4 3 2 3 5" xfId="10249" xr:uid="{00000000-0005-0000-0000-0000311F0000}"/>
    <cellStyle name="Normal 2 5 4 3 2 3 5 2" xfId="19076" xr:uid="{00000000-0005-0000-0000-0000321F0000}"/>
    <cellStyle name="Normal 2 5 4 3 2 3 6" xfId="11695" xr:uid="{00000000-0005-0000-0000-0000331F0000}"/>
    <cellStyle name="Normal 2 5 4 3 2 3 7" xfId="5470" xr:uid="{00000000-0005-0000-0000-0000341F0000}"/>
    <cellStyle name="Normal 2 5 4 3 2 4" xfId="1598" xr:uid="{00000000-0005-0000-0000-0000351F0000}"/>
    <cellStyle name="Normal 2 5 4 3 2 4 2" xfId="3195" xr:uid="{00000000-0005-0000-0000-0000361F0000}"/>
    <cellStyle name="Normal 2 5 4 3 2 4 2 2" xfId="18108" xr:uid="{00000000-0005-0000-0000-0000371F0000}"/>
    <cellStyle name="Normal 2 5 4 3 2 4 2 3" xfId="14529" xr:uid="{00000000-0005-0000-0000-0000381F0000}"/>
    <cellStyle name="Normal 2 5 4 3 2 4 2 4" xfId="9272" xr:uid="{00000000-0005-0000-0000-0000391F0000}"/>
    <cellStyle name="Normal 2 5 4 3 2 4 3" xfId="10726" xr:uid="{00000000-0005-0000-0000-00003A1F0000}"/>
    <cellStyle name="Normal 2 5 4 3 2 4 3 2" xfId="19553" xr:uid="{00000000-0005-0000-0000-00003B1F0000}"/>
    <cellStyle name="Normal 2 5 4 3 2 4 4" xfId="12172" xr:uid="{00000000-0005-0000-0000-00003C1F0000}"/>
    <cellStyle name="Normal 2 5 4 3 2 4 5" xfId="7167" xr:uid="{00000000-0005-0000-0000-00003D1F0000}"/>
    <cellStyle name="Normal 2 5 4 3 2 5" xfId="2152" xr:uid="{00000000-0005-0000-0000-00003E1F0000}"/>
    <cellStyle name="Normal 2 5 4 3 2 5 2" xfId="17065" xr:uid="{00000000-0005-0000-0000-00003F1F0000}"/>
    <cellStyle name="Normal 2 5 4 3 2 5 3" xfId="13486" xr:uid="{00000000-0005-0000-0000-0000401F0000}"/>
    <cellStyle name="Normal 2 5 4 3 2 5 4" xfId="8229" xr:uid="{00000000-0005-0000-0000-0000411F0000}"/>
    <cellStyle name="Normal 2 5 4 3 2 6" xfId="5790" xr:uid="{00000000-0005-0000-0000-0000421F0000}"/>
    <cellStyle name="Normal 2 5 4 3 2 6 2" xfId="14876" xr:uid="{00000000-0005-0000-0000-0000431F0000}"/>
    <cellStyle name="Normal 2 5 4 3 2 7" xfId="9683" xr:uid="{00000000-0005-0000-0000-0000441F0000}"/>
    <cellStyle name="Normal 2 5 4 3 2 7 2" xfId="18510" xr:uid="{00000000-0005-0000-0000-0000451F0000}"/>
    <cellStyle name="Normal 2 5 4 3 2 8" xfId="11127" xr:uid="{00000000-0005-0000-0000-0000461F0000}"/>
    <cellStyle name="Normal 2 5 4 3 2 9" xfId="4761" xr:uid="{00000000-0005-0000-0000-0000471F0000}"/>
    <cellStyle name="Normal 2 5 4 3 2_Degree data" xfId="1328" xr:uid="{00000000-0005-0000-0000-0000481F0000}"/>
    <cellStyle name="Normal 2 5 4 3 3" xfId="639" xr:uid="{00000000-0005-0000-0000-0000491F0000}"/>
    <cellStyle name="Normal 2 5 4 3 3 2" xfId="2369" xr:uid="{00000000-0005-0000-0000-00004A1F0000}"/>
    <cellStyle name="Normal 2 5 4 3 3 2 2" xfId="16081" xr:uid="{00000000-0005-0000-0000-00004B1F0000}"/>
    <cellStyle name="Normal 2 5 4 3 3 2 3" xfId="12313" xr:uid="{00000000-0005-0000-0000-00004C1F0000}"/>
    <cellStyle name="Normal 2 5 4 3 3 2 4" xfId="7067" xr:uid="{00000000-0005-0000-0000-00004D1F0000}"/>
    <cellStyle name="Normal 2 5 4 3 3 3" xfId="3636" xr:uid="{00000000-0005-0000-0000-00004E1F0000}"/>
    <cellStyle name="Normal 2 5 4 3 3 3 2" xfId="17282" xr:uid="{00000000-0005-0000-0000-00004F1F0000}"/>
    <cellStyle name="Normal 2 5 4 3 3 3 3" xfId="13703" xr:uid="{00000000-0005-0000-0000-0000501F0000}"/>
    <cellStyle name="Normal 2 5 4 3 3 3 4" xfId="8446" xr:uid="{00000000-0005-0000-0000-0000511F0000}"/>
    <cellStyle name="Normal 2 5 4 3 3 4" xfId="6183" xr:uid="{00000000-0005-0000-0000-0000521F0000}"/>
    <cellStyle name="Normal 2 5 4 3 3 4 2" xfId="15267" xr:uid="{00000000-0005-0000-0000-0000531F0000}"/>
    <cellStyle name="Normal 2 5 4 3 3 5" xfId="9900" xr:uid="{00000000-0005-0000-0000-0000541F0000}"/>
    <cellStyle name="Normal 2 5 4 3 3 5 2" xfId="18727" xr:uid="{00000000-0005-0000-0000-0000551F0000}"/>
    <cellStyle name="Normal 2 5 4 3 3 6" xfId="11344" xr:uid="{00000000-0005-0000-0000-0000561F0000}"/>
    <cellStyle name="Normal 2 5 4 3 3 7" xfId="4661" xr:uid="{00000000-0005-0000-0000-0000571F0000}"/>
    <cellStyle name="Normal 2 5 4 3 4" xfId="997" xr:uid="{00000000-0005-0000-0000-0000581F0000}"/>
    <cellStyle name="Normal 2 5 4 3 4 2" xfId="2717" xr:uid="{00000000-0005-0000-0000-0000591F0000}"/>
    <cellStyle name="Normal 2 5 4 3 4 2 2" xfId="16257" xr:uid="{00000000-0005-0000-0000-00005A1F0000}"/>
    <cellStyle name="Normal 2 5 4 3 4 2 3" xfId="12679" xr:uid="{00000000-0005-0000-0000-00005B1F0000}"/>
    <cellStyle name="Normal 2 5 4 3 4 2 4" xfId="7389" xr:uid="{00000000-0005-0000-0000-00005C1F0000}"/>
    <cellStyle name="Normal 2 5 4 3 4 3" xfId="3985" xr:uid="{00000000-0005-0000-0000-00005D1F0000}"/>
    <cellStyle name="Normal 2 5 4 3 4 3 2" xfId="17630" xr:uid="{00000000-0005-0000-0000-00005E1F0000}"/>
    <cellStyle name="Normal 2 5 4 3 4 3 3" xfId="14051" xr:uid="{00000000-0005-0000-0000-00005F1F0000}"/>
    <cellStyle name="Normal 2 5 4 3 4 3 4" xfId="8794" xr:uid="{00000000-0005-0000-0000-0000601F0000}"/>
    <cellStyle name="Normal 2 5 4 3 4 4" xfId="6505" xr:uid="{00000000-0005-0000-0000-0000611F0000}"/>
    <cellStyle name="Normal 2 5 4 3 4 4 2" xfId="15589" xr:uid="{00000000-0005-0000-0000-0000621F0000}"/>
    <cellStyle name="Normal 2 5 4 3 4 5" xfId="10248" xr:uid="{00000000-0005-0000-0000-0000631F0000}"/>
    <cellStyle name="Normal 2 5 4 3 4 5 2" xfId="19075" xr:uid="{00000000-0005-0000-0000-0000641F0000}"/>
    <cellStyle name="Normal 2 5 4 3 4 6" xfId="11694" xr:uid="{00000000-0005-0000-0000-0000651F0000}"/>
    <cellStyle name="Normal 2 5 4 3 4 7" xfId="4983" xr:uid="{00000000-0005-0000-0000-0000661F0000}"/>
    <cellStyle name="Normal 2 5 4 3 5" xfId="1496" xr:uid="{00000000-0005-0000-0000-0000671F0000}"/>
    <cellStyle name="Normal 2 5 4 3 5 2" xfId="3095" xr:uid="{00000000-0005-0000-0000-0000681F0000}"/>
    <cellStyle name="Normal 2 5 4 3 5 2 2" xfId="16644" xr:uid="{00000000-0005-0000-0000-0000691F0000}"/>
    <cellStyle name="Normal 2 5 4 3 5 2 3" xfId="13065" xr:uid="{00000000-0005-0000-0000-00006A1F0000}"/>
    <cellStyle name="Normal 2 5 4 3 5 2 4" xfId="7776" xr:uid="{00000000-0005-0000-0000-00006B1F0000}"/>
    <cellStyle name="Normal 2 5 4 3 5 3" xfId="4303" xr:uid="{00000000-0005-0000-0000-00006C1F0000}"/>
    <cellStyle name="Normal 2 5 4 3 5 3 2" xfId="18008" xr:uid="{00000000-0005-0000-0000-00006D1F0000}"/>
    <cellStyle name="Normal 2 5 4 3 5 3 3" xfId="14429" xr:uid="{00000000-0005-0000-0000-00006E1F0000}"/>
    <cellStyle name="Normal 2 5 4 3 5 3 4" xfId="9172" xr:uid="{00000000-0005-0000-0000-00006F1F0000}"/>
    <cellStyle name="Normal 2 5 4 3 5 4" xfId="5964" xr:uid="{00000000-0005-0000-0000-0000701F0000}"/>
    <cellStyle name="Normal 2 5 4 3 5 4 2" xfId="15050" xr:uid="{00000000-0005-0000-0000-0000711F0000}"/>
    <cellStyle name="Normal 2 5 4 3 5 5" xfId="10626" xr:uid="{00000000-0005-0000-0000-0000721F0000}"/>
    <cellStyle name="Normal 2 5 4 3 5 5 2" xfId="19453" xr:uid="{00000000-0005-0000-0000-0000731F0000}"/>
    <cellStyle name="Normal 2 5 4 3 5 6" xfId="12072" xr:uid="{00000000-0005-0000-0000-0000741F0000}"/>
    <cellStyle name="Normal 2 5 4 3 5 7" xfId="5370" xr:uid="{00000000-0005-0000-0000-0000751F0000}"/>
    <cellStyle name="Normal 2 5 4 3 6" xfId="2052" xr:uid="{00000000-0005-0000-0000-0000761F0000}"/>
    <cellStyle name="Normal 2 5 4 3 6 2" xfId="15893" xr:uid="{00000000-0005-0000-0000-0000771F0000}"/>
    <cellStyle name="Normal 2 5 4 3 6 3" xfId="12408" xr:uid="{00000000-0005-0000-0000-0000781F0000}"/>
    <cellStyle name="Normal 2 5 4 3 6 4" xfId="6850" xr:uid="{00000000-0005-0000-0000-0000791F0000}"/>
    <cellStyle name="Normal 2 5 4 3 7" xfId="3465" xr:uid="{00000000-0005-0000-0000-00007A1F0000}"/>
    <cellStyle name="Normal 2 5 4 3 7 2" xfId="16965" xr:uid="{00000000-0005-0000-0000-00007B1F0000}"/>
    <cellStyle name="Normal 2 5 4 3 7 3" xfId="13386" xr:uid="{00000000-0005-0000-0000-00007C1F0000}"/>
    <cellStyle name="Normal 2 5 4 3 7 4" xfId="8129" xr:uid="{00000000-0005-0000-0000-00007D1F0000}"/>
    <cellStyle name="Normal 2 5 4 3 8" xfId="5690" xr:uid="{00000000-0005-0000-0000-00007E1F0000}"/>
    <cellStyle name="Normal 2 5 4 3 8 2" xfId="14776" xr:uid="{00000000-0005-0000-0000-00007F1F0000}"/>
    <cellStyle name="Normal 2 5 4 3 9" xfId="9583" xr:uid="{00000000-0005-0000-0000-0000801F0000}"/>
    <cellStyle name="Normal 2 5 4 3 9 2" xfId="18410" xr:uid="{00000000-0005-0000-0000-0000811F0000}"/>
    <cellStyle name="Normal 2 5 4 3_Degree data" xfId="1672" xr:uid="{00000000-0005-0000-0000-0000821F0000}"/>
    <cellStyle name="Normal 2 5 4 4" xfId="197" xr:uid="{00000000-0005-0000-0000-0000831F0000}"/>
    <cellStyle name="Normal 2 5 4 4 10" xfId="10951" xr:uid="{00000000-0005-0000-0000-0000841F0000}"/>
    <cellStyle name="Normal 2 5 4 4 11" xfId="4473" xr:uid="{00000000-0005-0000-0000-0000851F0000}"/>
    <cellStyle name="Normal 2 5 4 4 2" xfId="414" xr:uid="{00000000-0005-0000-0000-0000861F0000}"/>
    <cellStyle name="Normal 2 5 4 4 2 2" xfId="642" xr:uid="{00000000-0005-0000-0000-0000871F0000}"/>
    <cellStyle name="Normal 2 5 4 4 2 2 2" xfId="2372" xr:uid="{00000000-0005-0000-0000-0000881F0000}"/>
    <cellStyle name="Normal 2 5 4 4 2 2 2 2" xfId="16260" xr:uid="{00000000-0005-0000-0000-0000891F0000}"/>
    <cellStyle name="Normal 2 5 4 4 2 2 2 3" xfId="12682" xr:uid="{00000000-0005-0000-0000-00008A1F0000}"/>
    <cellStyle name="Normal 2 5 4 4 2 2 2 4" xfId="7392" xr:uid="{00000000-0005-0000-0000-00008B1F0000}"/>
    <cellStyle name="Normal 2 5 4 4 2 2 3" xfId="3639" xr:uid="{00000000-0005-0000-0000-00008C1F0000}"/>
    <cellStyle name="Normal 2 5 4 4 2 2 3 2" xfId="17285" xr:uid="{00000000-0005-0000-0000-00008D1F0000}"/>
    <cellStyle name="Normal 2 5 4 4 2 2 3 3" xfId="13706" xr:uid="{00000000-0005-0000-0000-00008E1F0000}"/>
    <cellStyle name="Normal 2 5 4 4 2 2 3 4" xfId="8449" xr:uid="{00000000-0005-0000-0000-00008F1F0000}"/>
    <cellStyle name="Normal 2 5 4 4 2 2 4" xfId="6508" xr:uid="{00000000-0005-0000-0000-0000901F0000}"/>
    <cellStyle name="Normal 2 5 4 4 2 2 4 2" xfId="15592" xr:uid="{00000000-0005-0000-0000-0000911F0000}"/>
    <cellStyle name="Normal 2 5 4 4 2 2 5" xfId="9903" xr:uid="{00000000-0005-0000-0000-0000921F0000}"/>
    <cellStyle name="Normal 2 5 4 4 2 2 5 2" xfId="18730" xr:uid="{00000000-0005-0000-0000-0000931F0000}"/>
    <cellStyle name="Normal 2 5 4 4 2 2 6" xfId="11347" xr:uid="{00000000-0005-0000-0000-0000941F0000}"/>
    <cellStyle name="Normal 2 5 4 4 2 2 7" xfId="4986" xr:uid="{00000000-0005-0000-0000-0000951F0000}"/>
    <cellStyle name="Normal 2 5 4 4 2 3" xfId="1000" xr:uid="{00000000-0005-0000-0000-0000961F0000}"/>
    <cellStyle name="Normal 2 5 4 4 2 3 2" xfId="2720" xr:uid="{00000000-0005-0000-0000-0000971F0000}"/>
    <cellStyle name="Normal 2 5 4 4 2 3 2 2" xfId="16773" xr:uid="{00000000-0005-0000-0000-0000981F0000}"/>
    <cellStyle name="Normal 2 5 4 4 2 3 2 3" xfId="13194" xr:uid="{00000000-0005-0000-0000-0000991F0000}"/>
    <cellStyle name="Normal 2 5 4 4 2 3 2 4" xfId="7905" xr:uid="{00000000-0005-0000-0000-00009A1F0000}"/>
    <cellStyle name="Normal 2 5 4 4 2 3 3" xfId="3988" xr:uid="{00000000-0005-0000-0000-00009B1F0000}"/>
    <cellStyle name="Normal 2 5 4 4 2 3 3 2" xfId="17633" xr:uid="{00000000-0005-0000-0000-00009C1F0000}"/>
    <cellStyle name="Normal 2 5 4 4 2 3 3 3" xfId="14054" xr:uid="{00000000-0005-0000-0000-00009D1F0000}"/>
    <cellStyle name="Normal 2 5 4 4 2 3 3 4" xfId="8797" xr:uid="{00000000-0005-0000-0000-00009E1F0000}"/>
    <cellStyle name="Normal 2 5 4 4 2 3 4" xfId="6312" xr:uid="{00000000-0005-0000-0000-00009F1F0000}"/>
    <cellStyle name="Normal 2 5 4 4 2 3 4 2" xfId="15396" xr:uid="{00000000-0005-0000-0000-0000A01F0000}"/>
    <cellStyle name="Normal 2 5 4 4 2 3 5" xfId="10251" xr:uid="{00000000-0005-0000-0000-0000A11F0000}"/>
    <cellStyle name="Normal 2 5 4 4 2 3 5 2" xfId="19078" xr:uid="{00000000-0005-0000-0000-0000A21F0000}"/>
    <cellStyle name="Normal 2 5 4 4 2 3 6" xfId="11697" xr:uid="{00000000-0005-0000-0000-0000A31F0000}"/>
    <cellStyle name="Normal 2 5 4 4 2 3 7" xfId="5499" xr:uid="{00000000-0005-0000-0000-0000A41F0000}"/>
    <cellStyle name="Normal 2 5 4 4 2 4" xfId="1628" xr:uid="{00000000-0005-0000-0000-0000A51F0000}"/>
    <cellStyle name="Normal 2 5 4 4 2 4 2" xfId="3224" xr:uid="{00000000-0005-0000-0000-0000A61F0000}"/>
    <cellStyle name="Normal 2 5 4 4 2 4 2 2" xfId="18137" xr:uid="{00000000-0005-0000-0000-0000A71F0000}"/>
    <cellStyle name="Normal 2 5 4 4 2 4 2 3" xfId="14558" xr:uid="{00000000-0005-0000-0000-0000A81F0000}"/>
    <cellStyle name="Normal 2 5 4 4 2 4 2 4" xfId="9301" xr:uid="{00000000-0005-0000-0000-0000A91F0000}"/>
    <cellStyle name="Normal 2 5 4 4 2 4 3" xfId="10755" xr:uid="{00000000-0005-0000-0000-0000AA1F0000}"/>
    <cellStyle name="Normal 2 5 4 4 2 4 3 2" xfId="19582" xr:uid="{00000000-0005-0000-0000-0000AB1F0000}"/>
    <cellStyle name="Normal 2 5 4 4 2 4 4" xfId="12201" xr:uid="{00000000-0005-0000-0000-0000AC1F0000}"/>
    <cellStyle name="Normal 2 5 4 4 2 4 5" xfId="7196" xr:uid="{00000000-0005-0000-0000-0000AD1F0000}"/>
    <cellStyle name="Normal 2 5 4 4 2 5" xfId="2181" xr:uid="{00000000-0005-0000-0000-0000AE1F0000}"/>
    <cellStyle name="Normal 2 5 4 4 2 5 2" xfId="17094" xr:uid="{00000000-0005-0000-0000-0000AF1F0000}"/>
    <cellStyle name="Normal 2 5 4 4 2 5 3" xfId="13515" xr:uid="{00000000-0005-0000-0000-0000B01F0000}"/>
    <cellStyle name="Normal 2 5 4 4 2 5 4" xfId="8258" xr:uid="{00000000-0005-0000-0000-0000B11F0000}"/>
    <cellStyle name="Normal 2 5 4 4 2 6" xfId="5819" xr:uid="{00000000-0005-0000-0000-0000B21F0000}"/>
    <cellStyle name="Normal 2 5 4 4 2 6 2" xfId="14905" xr:uid="{00000000-0005-0000-0000-0000B31F0000}"/>
    <cellStyle name="Normal 2 5 4 4 2 7" xfId="9712" xr:uid="{00000000-0005-0000-0000-0000B41F0000}"/>
    <cellStyle name="Normal 2 5 4 4 2 7 2" xfId="18539" xr:uid="{00000000-0005-0000-0000-0000B51F0000}"/>
    <cellStyle name="Normal 2 5 4 4 2 8" xfId="11156" xr:uid="{00000000-0005-0000-0000-0000B61F0000}"/>
    <cellStyle name="Normal 2 5 4 4 2 9" xfId="4790" xr:uid="{00000000-0005-0000-0000-0000B71F0000}"/>
    <cellStyle name="Normal 2 5 4 4 2_Degree data" xfId="1222" xr:uid="{00000000-0005-0000-0000-0000B81F0000}"/>
    <cellStyle name="Normal 2 5 4 4 3" xfId="641" xr:uid="{00000000-0005-0000-0000-0000B91F0000}"/>
    <cellStyle name="Normal 2 5 4 4 3 2" xfId="2371" xr:uid="{00000000-0005-0000-0000-0000BA1F0000}"/>
    <cellStyle name="Normal 2 5 4 4 3 2 2" xfId="16005" xr:uid="{00000000-0005-0000-0000-0000BB1F0000}"/>
    <cellStyle name="Normal 2 5 4 4 3 2 3" xfId="12452" xr:uid="{00000000-0005-0000-0000-0000BC1F0000}"/>
    <cellStyle name="Normal 2 5 4 4 3 2 4" xfId="6991" xr:uid="{00000000-0005-0000-0000-0000BD1F0000}"/>
    <cellStyle name="Normal 2 5 4 4 3 3" xfId="3638" xr:uid="{00000000-0005-0000-0000-0000BE1F0000}"/>
    <cellStyle name="Normal 2 5 4 4 3 3 2" xfId="17284" xr:uid="{00000000-0005-0000-0000-0000BF1F0000}"/>
    <cellStyle name="Normal 2 5 4 4 3 3 3" xfId="13705" xr:uid="{00000000-0005-0000-0000-0000C01F0000}"/>
    <cellStyle name="Normal 2 5 4 4 3 3 4" xfId="8448" xr:uid="{00000000-0005-0000-0000-0000C11F0000}"/>
    <cellStyle name="Normal 2 5 4 4 3 4" xfId="6107" xr:uid="{00000000-0005-0000-0000-0000C21F0000}"/>
    <cellStyle name="Normal 2 5 4 4 3 4 2" xfId="15191" xr:uid="{00000000-0005-0000-0000-0000C31F0000}"/>
    <cellStyle name="Normal 2 5 4 4 3 5" xfId="9902" xr:uid="{00000000-0005-0000-0000-0000C41F0000}"/>
    <cellStyle name="Normal 2 5 4 4 3 5 2" xfId="18729" xr:uid="{00000000-0005-0000-0000-0000C51F0000}"/>
    <cellStyle name="Normal 2 5 4 4 3 6" xfId="11346" xr:uid="{00000000-0005-0000-0000-0000C61F0000}"/>
    <cellStyle name="Normal 2 5 4 4 3 7" xfId="4585" xr:uid="{00000000-0005-0000-0000-0000C71F0000}"/>
    <cellStyle name="Normal 2 5 4 4 4" xfId="999" xr:uid="{00000000-0005-0000-0000-0000C81F0000}"/>
    <cellStyle name="Normal 2 5 4 4 4 2" xfId="2719" xr:uid="{00000000-0005-0000-0000-0000C91F0000}"/>
    <cellStyle name="Normal 2 5 4 4 4 2 2" xfId="16259" xr:uid="{00000000-0005-0000-0000-0000CA1F0000}"/>
    <cellStyle name="Normal 2 5 4 4 4 2 3" xfId="12681" xr:uid="{00000000-0005-0000-0000-0000CB1F0000}"/>
    <cellStyle name="Normal 2 5 4 4 4 2 4" xfId="7391" xr:uid="{00000000-0005-0000-0000-0000CC1F0000}"/>
    <cellStyle name="Normal 2 5 4 4 4 3" xfId="3987" xr:uid="{00000000-0005-0000-0000-0000CD1F0000}"/>
    <cellStyle name="Normal 2 5 4 4 4 3 2" xfId="17632" xr:uid="{00000000-0005-0000-0000-0000CE1F0000}"/>
    <cellStyle name="Normal 2 5 4 4 4 3 3" xfId="14053" xr:uid="{00000000-0005-0000-0000-0000CF1F0000}"/>
    <cellStyle name="Normal 2 5 4 4 4 3 4" xfId="8796" xr:uid="{00000000-0005-0000-0000-0000D01F0000}"/>
    <cellStyle name="Normal 2 5 4 4 4 4" xfId="6507" xr:uid="{00000000-0005-0000-0000-0000D11F0000}"/>
    <cellStyle name="Normal 2 5 4 4 4 4 2" xfId="15591" xr:uid="{00000000-0005-0000-0000-0000D21F0000}"/>
    <cellStyle name="Normal 2 5 4 4 4 5" xfId="10250" xr:uid="{00000000-0005-0000-0000-0000D31F0000}"/>
    <cellStyle name="Normal 2 5 4 4 4 5 2" xfId="19077" xr:uid="{00000000-0005-0000-0000-0000D41F0000}"/>
    <cellStyle name="Normal 2 5 4 4 4 6" xfId="11696" xr:uid="{00000000-0005-0000-0000-0000D51F0000}"/>
    <cellStyle name="Normal 2 5 4 4 4 7" xfId="4985" xr:uid="{00000000-0005-0000-0000-0000D61F0000}"/>
    <cellStyle name="Normal 2 5 4 4 5" xfId="1414" xr:uid="{00000000-0005-0000-0000-0000D71F0000}"/>
    <cellStyle name="Normal 2 5 4 4 5 2" xfId="3019" xr:uid="{00000000-0005-0000-0000-0000D81F0000}"/>
    <cellStyle name="Normal 2 5 4 4 5 2 2" xfId="16568" xr:uid="{00000000-0005-0000-0000-0000D91F0000}"/>
    <cellStyle name="Normal 2 5 4 4 5 2 3" xfId="12989" xr:uid="{00000000-0005-0000-0000-0000DA1F0000}"/>
    <cellStyle name="Normal 2 5 4 4 5 2 4" xfId="7700" xr:uid="{00000000-0005-0000-0000-0000DB1F0000}"/>
    <cellStyle name="Normal 2 5 4 4 5 3" xfId="4227" xr:uid="{00000000-0005-0000-0000-0000DC1F0000}"/>
    <cellStyle name="Normal 2 5 4 4 5 3 2" xfId="17932" xr:uid="{00000000-0005-0000-0000-0000DD1F0000}"/>
    <cellStyle name="Normal 2 5 4 4 5 3 3" xfId="14353" xr:uid="{00000000-0005-0000-0000-0000DE1F0000}"/>
    <cellStyle name="Normal 2 5 4 4 5 3 4" xfId="9096" xr:uid="{00000000-0005-0000-0000-0000DF1F0000}"/>
    <cellStyle name="Normal 2 5 4 4 5 4" xfId="5993" xr:uid="{00000000-0005-0000-0000-0000E01F0000}"/>
    <cellStyle name="Normal 2 5 4 4 5 4 2" xfId="15079" xr:uid="{00000000-0005-0000-0000-0000E11F0000}"/>
    <cellStyle name="Normal 2 5 4 4 5 5" xfId="10550" xr:uid="{00000000-0005-0000-0000-0000E21F0000}"/>
    <cellStyle name="Normal 2 5 4 4 5 5 2" xfId="19377" xr:uid="{00000000-0005-0000-0000-0000E31F0000}"/>
    <cellStyle name="Normal 2 5 4 4 5 6" xfId="11996" xr:uid="{00000000-0005-0000-0000-0000E41F0000}"/>
    <cellStyle name="Normal 2 5 4 4 5 7" xfId="5294" xr:uid="{00000000-0005-0000-0000-0000E51F0000}"/>
    <cellStyle name="Normal 2 5 4 4 6" xfId="1976" xr:uid="{00000000-0005-0000-0000-0000E61F0000}"/>
    <cellStyle name="Normal 2 5 4 4 6 2" xfId="15922" xr:uid="{00000000-0005-0000-0000-0000E71F0000}"/>
    <cellStyle name="Normal 2 5 4 4 6 3" xfId="12483" xr:uid="{00000000-0005-0000-0000-0000E81F0000}"/>
    <cellStyle name="Normal 2 5 4 4 6 4" xfId="6879" xr:uid="{00000000-0005-0000-0000-0000E91F0000}"/>
    <cellStyle name="Normal 2 5 4 4 7" xfId="3390" xr:uid="{00000000-0005-0000-0000-0000EA1F0000}"/>
    <cellStyle name="Normal 2 5 4 4 7 2" xfId="16889" xr:uid="{00000000-0005-0000-0000-0000EB1F0000}"/>
    <cellStyle name="Normal 2 5 4 4 7 3" xfId="13310" xr:uid="{00000000-0005-0000-0000-0000EC1F0000}"/>
    <cellStyle name="Normal 2 5 4 4 7 4" xfId="8053" xr:uid="{00000000-0005-0000-0000-0000ED1F0000}"/>
    <cellStyle name="Normal 2 5 4 4 8" xfId="5614" xr:uid="{00000000-0005-0000-0000-0000EE1F0000}"/>
    <cellStyle name="Normal 2 5 4 4 8 2" xfId="14700" xr:uid="{00000000-0005-0000-0000-0000EF1F0000}"/>
    <cellStyle name="Normal 2 5 4 4 9" xfId="9507" xr:uid="{00000000-0005-0000-0000-0000F01F0000}"/>
    <cellStyle name="Normal 2 5 4 4 9 2" xfId="18334" xr:uid="{00000000-0005-0000-0000-0000F11F0000}"/>
    <cellStyle name="Normal 2 5 4 4_Degree data" xfId="1258" xr:uid="{00000000-0005-0000-0000-0000F21F0000}"/>
    <cellStyle name="Normal 2 5 4 5" xfId="308" xr:uid="{00000000-0005-0000-0000-0000F31F0000}"/>
    <cellStyle name="Normal 2 5 4 5 2" xfId="643" xr:uid="{00000000-0005-0000-0000-0000F41F0000}"/>
    <cellStyle name="Normal 2 5 4 5 2 2" xfId="2373" xr:uid="{00000000-0005-0000-0000-0000F51F0000}"/>
    <cellStyle name="Normal 2 5 4 5 2 2 2" xfId="16261" xr:uid="{00000000-0005-0000-0000-0000F61F0000}"/>
    <cellStyle name="Normal 2 5 4 5 2 2 3" xfId="12683" xr:uid="{00000000-0005-0000-0000-0000F71F0000}"/>
    <cellStyle name="Normal 2 5 4 5 2 2 4" xfId="7393" xr:uid="{00000000-0005-0000-0000-0000F81F0000}"/>
    <cellStyle name="Normal 2 5 4 5 2 3" xfId="3640" xr:uid="{00000000-0005-0000-0000-0000F91F0000}"/>
    <cellStyle name="Normal 2 5 4 5 2 3 2" xfId="17286" xr:uid="{00000000-0005-0000-0000-0000FA1F0000}"/>
    <cellStyle name="Normal 2 5 4 5 2 3 3" xfId="13707" xr:uid="{00000000-0005-0000-0000-0000FB1F0000}"/>
    <cellStyle name="Normal 2 5 4 5 2 3 4" xfId="8450" xr:uid="{00000000-0005-0000-0000-0000FC1F0000}"/>
    <cellStyle name="Normal 2 5 4 5 2 4" xfId="6509" xr:uid="{00000000-0005-0000-0000-0000FD1F0000}"/>
    <cellStyle name="Normal 2 5 4 5 2 4 2" xfId="15593" xr:uid="{00000000-0005-0000-0000-0000FE1F0000}"/>
    <cellStyle name="Normal 2 5 4 5 2 5" xfId="9904" xr:uid="{00000000-0005-0000-0000-0000FF1F0000}"/>
    <cellStyle name="Normal 2 5 4 5 2 5 2" xfId="18731" xr:uid="{00000000-0005-0000-0000-000000200000}"/>
    <cellStyle name="Normal 2 5 4 5 2 6" xfId="11348" xr:uid="{00000000-0005-0000-0000-000001200000}"/>
    <cellStyle name="Normal 2 5 4 5 2 7" xfId="4987" xr:uid="{00000000-0005-0000-0000-000002200000}"/>
    <cellStyle name="Normal 2 5 4 5 3" xfId="1001" xr:uid="{00000000-0005-0000-0000-000003200000}"/>
    <cellStyle name="Normal 2 5 4 5 3 2" xfId="2721" xr:uid="{00000000-0005-0000-0000-000004200000}"/>
    <cellStyle name="Normal 2 5 4 5 3 2 2" xfId="16668" xr:uid="{00000000-0005-0000-0000-000005200000}"/>
    <cellStyle name="Normal 2 5 4 5 3 2 3" xfId="13089" xr:uid="{00000000-0005-0000-0000-000006200000}"/>
    <cellStyle name="Normal 2 5 4 5 3 2 4" xfId="7800" xr:uid="{00000000-0005-0000-0000-000007200000}"/>
    <cellStyle name="Normal 2 5 4 5 3 3" xfId="3989" xr:uid="{00000000-0005-0000-0000-000008200000}"/>
    <cellStyle name="Normal 2 5 4 5 3 3 2" xfId="17634" xr:uid="{00000000-0005-0000-0000-000009200000}"/>
    <cellStyle name="Normal 2 5 4 5 3 3 3" xfId="14055" xr:uid="{00000000-0005-0000-0000-00000A200000}"/>
    <cellStyle name="Normal 2 5 4 5 3 3 4" xfId="8798" xr:uid="{00000000-0005-0000-0000-00000B200000}"/>
    <cellStyle name="Normal 2 5 4 5 3 4" xfId="6207" xr:uid="{00000000-0005-0000-0000-00000C200000}"/>
    <cellStyle name="Normal 2 5 4 5 3 4 2" xfId="15291" xr:uid="{00000000-0005-0000-0000-00000D200000}"/>
    <cellStyle name="Normal 2 5 4 5 3 5" xfId="10252" xr:uid="{00000000-0005-0000-0000-00000E200000}"/>
    <cellStyle name="Normal 2 5 4 5 3 5 2" xfId="19079" xr:uid="{00000000-0005-0000-0000-00000F200000}"/>
    <cellStyle name="Normal 2 5 4 5 3 6" xfId="11698" xr:uid="{00000000-0005-0000-0000-000010200000}"/>
    <cellStyle name="Normal 2 5 4 5 3 7" xfId="5394" xr:uid="{00000000-0005-0000-0000-000011200000}"/>
    <cellStyle name="Normal 2 5 4 5 4" xfId="1520" xr:uid="{00000000-0005-0000-0000-000012200000}"/>
    <cellStyle name="Normal 2 5 4 5 4 2" xfId="3119" xr:uid="{00000000-0005-0000-0000-000013200000}"/>
    <cellStyle name="Normal 2 5 4 5 4 2 2" xfId="18032" xr:uid="{00000000-0005-0000-0000-000014200000}"/>
    <cellStyle name="Normal 2 5 4 5 4 2 3" xfId="14453" xr:uid="{00000000-0005-0000-0000-000015200000}"/>
    <cellStyle name="Normal 2 5 4 5 4 2 4" xfId="9196" xr:uid="{00000000-0005-0000-0000-000016200000}"/>
    <cellStyle name="Normal 2 5 4 5 4 3" xfId="10650" xr:uid="{00000000-0005-0000-0000-000017200000}"/>
    <cellStyle name="Normal 2 5 4 5 4 3 2" xfId="19477" xr:uid="{00000000-0005-0000-0000-000018200000}"/>
    <cellStyle name="Normal 2 5 4 5 4 4" xfId="12096" xr:uid="{00000000-0005-0000-0000-000019200000}"/>
    <cellStyle name="Normal 2 5 4 5 4 5" xfId="7091" xr:uid="{00000000-0005-0000-0000-00001A200000}"/>
    <cellStyle name="Normal 2 5 4 5 5" xfId="2076" xr:uid="{00000000-0005-0000-0000-00001B200000}"/>
    <cellStyle name="Normal 2 5 4 5 5 2" xfId="16989" xr:uid="{00000000-0005-0000-0000-00001C200000}"/>
    <cellStyle name="Normal 2 5 4 5 5 3" xfId="13410" xr:uid="{00000000-0005-0000-0000-00001D200000}"/>
    <cellStyle name="Normal 2 5 4 5 5 4" xfId="8153" xr:uid="{00000000-0005-0000-0000-00001E200000}"/>
    <cellStyle name="Normal 2 5 4 5 6" xfId="5714" xr:uid="{00000000-0005-0000-0000-00001F200000}"/>
    <cellStyle name="Normal 2 5 4 5 6 2" xfId="14800" xr:uid="{00000000-0005-0000-0000-000020200000}"/>
    <cellStyle name="Normal 2 5 4 5 7" xfId="9607" xr:uid="{00000000-0005-0000-0000-000021200000}"/>
    <cellStyle name="Normal 2 5 4 5 7 2" xfId="18434" xr:uid="{00000000-0005-0000-0000-000022200000}"/>
    <cellStyle name="Normal 2 5 4 5 8" xfId="11051" xr:uid="{00000000-0005-0000-0000-000023200000}"/>
    <cellStyle name="Normal 2 5 4 5 9" xfId="4685" xr:uid="{00000000-0005-0000-0000-000024200000}"/>
    <cellStyle name="Normal 2 5 4 5_Degree data" xfId="1309" xr:uid="{00000000-0005-0000-0000-000025200000}"/>
    <cellStyle name="Normal 2 5 4 6" xfId="490" xr:uid="{00000000-0005-0000-0000-000026200000}"/>
    <cellStyle name="Normal 2 5 4 6 2" xfId="644" xr:uid="{00000000-0005-0000-0000-000027200000}"/>
    <cellStyle name="Normal 2 5 4 6 2 2" xfId="2374" xr:uid="{00000000-0005-0000-0000-000028200000}"/>
    <cellStyle name="Normal 2 5 4 6 2 2 2" xfId="16262" xr:uid="{00000000-0005-0000-0000-000029200000}"/>
    <cellStyle name="Normal 2 5 4 6 2 2 3" xfId="12684" xr:uid="{00000000-0005-0000-0000-00002A200000}"/>
    <cellStyle name="Normal 2 5 4 6 2 2 4" xfId="7394" xr:uid="{00000000-0005-0000-0000-00002B200000}"/>
    <cellStyle name="Normal 2 5 4 6 2 3" xfId="3641" xr:uid="{00000000-0005-0000-0000-00002C200000}"/>
    <cellStyle name="Normal 2 5 4 6 2 3 2" xfId="17287" xr:uid="{00000000-0005-0000-0000-00002D200000}"/>
    <cellStyle name="Normal 2 5 4 6 2 3 3" xfId="13708" xr:uid="{00000000-0005-0000-0000-00002E200000}"/>
    <cellStyle name="Normal 2 5 4 6 2 3 4" xfId="8451" xr:uid="{00000000-0005-0000-0000-00002F200000}"/>
    <cellStyle name="Normal 2 5 4 6 2 4" xfId="6510" xr:uid="{00000000-0005-0000-0000-000030200000}"/>
    <cellStyle name="Normal 2 5 4 6 2 4 2" xfId="15594" xr:uid="{00000000-0005-0000-0000-000031200000}"/>
    <cellStyle name="Normal 2 5 4 6 2 5" xfId="9905" xr:uid="{00000000-0005-0000-0000-000032200000}"/>
    <cellStyle name="Normal 2 5 4 6 2 5 2" xfId="18732" xr:uid="{00000000-0005-0000-0000-000033200000}"/>
    <cellStyle name="Normal 2 5 4 6 2 6" xfId="11349" xr:uid="{00000000-0005-0000-0000-000034200000}"/>
    <cellStyle name="Normal 2 5 4 6 2 7" xfId="4988" xr:uid="{00000000-0005-0000-0000-000035200000}"/>
    <cellStyle name="Normal 2 5 4 6 3" xfId="1002" xr:uid="{00000000-0005-0000-0000-000036200000}"/>
    <cellStyle name="Normal 2 5 4 6 3 2" xfId="2722" xr:uid="{00000000-0005-0000-0000-000037200000}"/>
    <cellStyle name="Normal 2 5 4 6 3 2 2" xfId="16544" xr:uid="{00000000-0005-0000-0000-000038200000}"/>
    <cellStyle name="Normal 2 5 4 6 3 2 3" xfId="12965" xr:uid="{00000000-0005-0000-0000-000039200000}"/>
    <cellStyle name="Normal 2 5 4 6 3 2 4" xfId="7676" xr:uid="{00000000-0005-0000-0000-00003A200000}"/>
    <cellStyle name="Normal 2 5 4 6 3 3" xfId="3990" xr:uid="{00000000-0005-0000-0000-00003B200000}"/>
    <cellStyle name="Normal 2 5 4 6 3 3 2" xfId="17635" xr:uid="{00000000-0005-0000-0000-00003C200000}"/>
    <cellStyle name="Normal 2 5 4 6 3 3 3" xfId="14056" xr:uid="{00000000-0005-0000-0000-00003D200000}"/>
    <cellStyle name="Normal 2 5 4 6 3 3 4" xfId="8799" xr:uid="{00000000-0005-0000-0000-00003E200000}"/>
    <cellStyle name="Normal 2 5 4 6 3 4" xfId="6737" xr:uid="{00000000-0005-0000-0000-00003F200000}"/>
    <cellStyle name="Normal 2 5 4 6 3 4 2" xfId="15820" xr:uid="{00000000-0005-0000-0000-000040200000}"/>
    <cellStyle name="Normal 2 5 4 6 3 5" xfId="10253" xr:uid="{00000000-0005-0000-0000-000041200000}"/>
    <cellStyle name="Normal 2 5 4 6 3 5 2" xfId="19080" xr:uid="{00000000-0005-0000-0000-000042200000}"/>
    <cellStyle name="Normal 2 5 4 6 3 6" xfId="11699" xr:uid="{00000000-0005-0000-0000-000043200000}"/>
    <cellStyle name="Normal 2 5 4 6 3 7" xfId="5270" xr:uid="{00000000-0005-0000-0000-000044200000}"/>
    <cellStyle name="Normal 2 5 4 6 4" xfId="1386" xr:uid="{00000000-0005-0000-0000-000045200000}"/>
    <cellStyle name="Normal 2 5 4 6 4 2" xfId="2995" xr:uid="{00000000-0005-0000-0000-000046200000}"/>
    <cellStyle name="Normal 2 5 4 6 4 2 2" xfId="17908" xr:uid="{00000000-0005-0000-0000-000047200000}"/>
    <cellStyle name="Normal 2 5 4 6 4 2 3" xfId="14329" xr:uid="{00000000-0005-0000-0000-000048200000}"/>
    <cellStyle name="Normal 2 5 4 6 4 2 4" xfId="9072" xr:uid="{00000000-0005-0000-0000-000049200000}"/>
    <cellStyle name="Normal 2 5 4 6 4 3" xfId="10526" xr:uid="{00000000-0005-0000-0000-00004A200000}"/>
    <cellStyle name="Normal 2 5 4 6 4 3 2" xfId="19353" xr:uid="{00000000-0005-0000-0000-00004B200000}"/>
    <cellStyle name="Normal 2 5 4 6 4 4" xfId="11972" xr:uid="{00000000-0005-0000-0000-00004C200000}"/>
    <cellStyle name="Normal 2 5 4 6 4 5" xfId="6967" xr:uid="{00000000-0005-0000-0000-00004D200000}"/>
    <cellStyle name="Normal 2 5 4 6 5" xfId="1952" xr:uid="{00000000-0005-0000-0000-00004E200000}"/>
    <cellStyle name="Normal 2 5 4 6 5 2" xfId="16863" xr:uid="{00000000-0005-0000-0000-00004F200000}"/>
    <cellStyle name="Normal 2 5 4 6 5 3" xfId="13284" xr:uid="{00000000-0005-0000-0000-000050200000}"/>
    <cellStyle name="Normal 2 5 4 6 5 4" xfId="8027" xr:uid="{00000000-0005-0000-0000-000051200000}"/>
    <cellStyle name="Normal 2 5 4 6 6" xfId="6083" xr:uid="{00000000-0005-0000-0000-000052200000}"/>
    <cellStyle name="Normal 2 5 4 6 6 2" xfId="15167" xr:uid="{00000000-0005-0000-0000-000053200000}"/>
    <cellStyle name="Normal 2 5 4 6 7" xfId="9483" xr:uid="{00000000-0005-0000-0000-000054200000}"/>
    <cellStyle name="Normal 2 5 4 6 7 2" xfId="18310" xr:uid="{00000000-0005-0000-0000-000055200000}"/>
    <cellStyle name="Normal 2 5 4 6 8" xfId="10927" xr:uid="{00000000-0005-0000-0000-000056200000}"/>
    <cellStyle name="Normal 2 5 4 6 9" xfId="4561" xr:uid="{00000000-0005-0000-0000-000057200000}"/>
    <cellStyle name="Normal 2 5 4 6_Degree data" xfId="1221" xr:uid="{00000000-0005-0000-0000-000058200000}"/>
    <cellStyle name="Normal 2 5 4 7" xfId="635" xr:uid="{00000000-0005-0000-0000-000059200000}"/>
    <cellStyle name="Normal 2 5 4 7 2" xfId="2365" xr:uid="{00000000-0005-0000-0000-00005A200000}"/>
    <cellStyle name="Normal 2 5 4 7 2 2" xfId="16253" xr:uid="{00000000-0005-0000-0000-00005B200000}"/>
    <cellStyle name="Normal 2 5 4 7 2 3" xfId="12675" xr:uid="{00000000-0005-0000-0000-00005C200000}"/>
    <cellStyle name="Normal 2 5 4 7 2 4" xfId="7385" xr:uid="{00000000-0005-0000-0000-00005D200000}"/>
    <cellStyle name="Normal 2 5 4 7 3" xfId="3632" xr:uid="{00000000-0005-0000-0000-00005E200000}"/>
    <cellStyle name="Normal 2 5 4 7 3 2" xfId="17278" xr:uid="{00000000-0005-0000-0000-00005F200000}"/>
    <cellStyle name="Normal 2 5 4 7 3 3" xfId="13699" xr:uid="{00000000-0005-0000-0000-000060200000}"/>
    <cellStyle name="Normal 2 5 4 7 3 4" xfId="8442" xr:uid="{00000000-0005-0000-0000-000061200000}"/>
    <cellStyle name="Normal 2 5 4 7 4" xfId="6501" xr:uid="{00000000-0005-0000-0000-000062200000}"/>
    <cellStyle name="Normal 2 5 4 7 4 2" xfId="15585" xr:uid="{00000000-0005-0000-0000-000063200000}"/>
    <cellStyle name="Normal 2 5 4 7 5" xfId="9896" xr:uid="{00000000-0005-0000-0000-000064200000}"/>
    <cellStyle name="Normal 2 5 4 7 5 2" xfId="18723" xr:uid="{00000000-0005-0000-0000-000065200000}"/>
    <cellStyle name="Normal 2 5 4 7 6" xfId="11340" xr:uid="{00000000-0005-0000-0000-000066200000}"/>
    <cellStyle name="Normal 2 5 4 7 7" xfId="4979" xr:uid="{00000000-0005-0000-0000-000067200000}"/>
    <cellStyle name="Normal 2 5 4 8" xfId="993" xr:uid="{00000000-0005-0000-0000-000068200000}"/>
    <cellStyle name="Normal 2 5 4 8 2" xfId="2713" xr:uid="{00000000-0005-0000-0000-000069200000}"/>
    <cellStyle name="Normal 2 5 4 8 2 2" xfId="16499" xr:uid="{00000000-0005-0000-0000-00006A200000}"/>
    <cellStyle name="Normal 2 5 4 8 2 3" xfId="12921" xr:uid="{00000000-0005-0000-0000-00006B200000}"/>
    <cellStyle name="Normal 2 5 4 8 2 4" xfId="7631" xr:uid="{00000000-0005-0000-0000-00006C200000}"/>
    <cellStyle name="Normal 2 5 4 8 3" xfId="3981" xr:uid="{00000000-0005-0000-0000-00006D200000}"/>
    <cellStyle name="Normal 2 5 4 8 3 2" xfId="17626" xr:uid="{00000000-0005-0000-0000-00006E200000}"/>
    <cellStyle name="Normal 2 5 4 8 3 3" xfId="14047" xr:uid="{00000000-0005-0000-0000-00006F200000}"/>
    <cellStyle name="Normal 2 5 4 8 3 4" xfId="8790" xr:uid="{00000000-0005-0000-0000-000070200000}"/>
    <cellStyle name="Normal 2 5 4 8 4" xfId="5887" xr:uid="{00000000-0005-0000-0000-000071200000}"/>
    <cellStyle name="Normal 2 5 4 8 4 2" xfId="14973" xr:uid="{00000000-0005-0000-0000-000072200000}"/>
    <cellStyle name="Normal 2 5 4 8 5" xfId="10244" xr:uid="{00000000-0005-0000-0000-000073200000}"/>
    <cellStyle name="Normal 2 5 4 8 5 2" xfId="19071" xr:uid="{00000000-0005-0000-0000-000074200000}"/>
    <cellStyle name="Normal 2 5 4 8 6" xfId="11690" xr:uid="{00000000-0005-0000-0000-000075200000}"/>
    <cellStyle name="Normal 2 5 4 8 7" xfId="5225" xr:uid="{00000000-0005-0000-0000-000076200000}"/>
    <cellStyle name="Normal 2 5 4 9" xfId="1337" xr:uid="{00000000-0005-0000-0000-000077200000}"/>
    <cellStyle name="Normal 2 5 4 9 2" xfId="2950" xr:uid="{00000000-0005-0000-0000-000078200000}"/>
    <cellStyle name="Normal 2 5 4 9 2 2" xfId="17863" xr:uid="{00000000-0005-0000-0000-000079200000}"/>
    <cellStyle name="Normal 2 5 4 9 2 3" xfId="14284" xr:uid="{00000000-0005-0000-0000-00007A200000}"/>
    <cellStyle name="Normal 2 5 4 9 2 4" xfId="9027" xr:uid="{00000000-0005-0000-0000-00007B200000}"/>
    <cellStyle name="Normal 2 5 4 9 3" xfId="10481" xr:uid="{00000000-0005-0000-0000-00007C200000}"/>
    <cellStyle name="Normal 2 5 4 9 3 2" xfId="19308" xr:uid="{00000000-0005-0000-0000-00007D200000}"/>
    <cellStyle name="Normal 2 5 4 9 4" xfId="11927" xr:uid="{00000000-0005-0000-0000-00007E200000}"/>
    <cellStyle name="Normal 2 5 4 9 5" xfId="6774" xr:uid="{00000000-0005-0000-0000-00007F200000}"/>
    <cellStyle name="Normal 2 5 4_Degree data" xfId="1225" xr:uid="{00000000-0005-0000-0000-000080200000}"/>
    <cellStyle name="Normal 2 5 5" xfId="136" xr:uid="{00000000-0005-0000-0000-000081200000}"/>
    <cellStyle name="Normal 2 5 5 10" xfId="5560" xr:uid="{00000000-0005-0000-0000-000082200000}"/>
    <cellStyle name="Normal 2 5 5 10 2" xfId="14646" xr:uid="{00000000-0005-0000-0000-000083200000}"/>
    <cellStyle name="Normal 2 5 5 11" xfId="9380" xr:uid="{00000000-0005-0000-0000-000084200000}"/>
    <cellStyle name="Normal 2 5 5 11 2" xfId="18207" xr:uid="{00000000-0005-0000-0000-000085200000}"/>
    <cellStyle name="Normal 2 5 5 12" xfId="10820" xr:uid="{00000000-0005-0000-0000-000086200000}"/>
    <cellStyle name="Normal 2 5 5 13" xfId="4373" xr:uid="{00000000-0005-0000-0000-000087200000}"/>
    <cellStyle name="Normal 2 5 5 2" xfId="248" xr:uid="{00000000-0005-0000-0000-000088200000}"/>
    <cellStyle name="Normal 2 5 5 2 10" xfId="10999" xr:uid="{00000000-0005-0000-0000-000089200000}"/>
    <cellStyle name="Normal 2 5 5 2 11" xfId="4416" xr:uid="{00000000-0005-0000-0000-00008A200000}"/>
    <cellStyle name="Normal 2 5 5 2 2" xfId="356" xr:uid="{00000000-0005-0000-0000-00008B200000}"/>
    <cellStyle name="Normal 2 5 5 2 2 2" xfId="647" xr:uid="{00000000-0005-0000-0000-00008C200000}"/>
    <cellStyle name="Normal 2 5 5 2 2 2 2" xfId="2377" xr:uid="{00000000-0005-0000-0000-00008D200000}"/>
    <cellStyle name="Normal 2 5 5 2 2 2 2 2" xfId="16265" xr:uid="{00000000-0005-0000-0000-00008E200000}"/>
    <cellStyle name="Normal 2 5 5 2 2 2 2 3" xfId="12687" xr:uid="{00000000-0005-0000-0000-00008F200000}"/>
    <cellStyle name="Normal 2 5 5 2 2 2 2 4" xfId="7397" xr:uid="{00000000-0005-0000-0000-000090200000}"/>
    <cellStyle name="Normal 2 5 5 2 2 2 3" xfId="3644" xr:uid="{00000000-0005-0000-0000-000091200000}"/>
    <cellStyle name="Normal 2 5 5 2 2 2 3 2" xfId="17290" xr:uid="{00000000-0005-0000-0000-000092200000}"/>
    <cellStyle name="Normal 2 5 5 2 2 2 3 3" xfId="13711" xr:uid="{00000000-0005-0000-0000-000093200000}"/>
    <cellStyle name="Normal 2 5 5 2 2 2 3 4" xfId="8454" xr:uid="{00000000-0005-0000-0000-000094200000}"/>
    <cellStyle name="Normal 2 5 5 2 2 2 4" xfId="6513" xr:uid="{00000000-0005-0000-0000-000095200000}"/>
    <cellStyle name="Normal 2 5 5 2 2 2 4 2" xfId="15597" xr:uid="{00000000-0005-0000-0000-000096200000}"/>
    <cellStyle name="Normal 2 5 5 2 2 2 5" xfId="9908" xr:uid="{00000000-0005-0000-0000-000097200000}"/>
    <cellStyle name="Normal 2 5 5 2 2 2 5 2" xfId="18735" xr:uid="{00000000-0005-0000-0000-000098200000}"/>
    <cellStyle name="Normal 2 5 5 2 2 2 6" xfId="11352" xr:uid="{00000000-0005-0000-0000-000099200000}"/>
    <cellStyle name="Normal 2 5 5 2 2 2 7" xfId="4991" xr:uid="{00000000-0005-0000-0000-00009A200000}"/>
    <cellStyle name="Normal 2 5 5 2 2 3" xfId="1005" xr:uid="{00000000-0005-0000-0000-00009B200000}"/>
    <cellStyle name="Normal 2 5 5 2 2 3 2" xfId="2725" xr:uid="{00000000-0005-0000-0000-00009C200000}"/>
    <cellStyle name="Normal 2 5 5 2 2 3 2 2" xfId="16716" xr:uid="{00000000-0005-0000-0000-00009D200000}"/>
    <cellStyle name="Normal 2 5 5 2 2 3 2 3" xfId="13137" xr:uid="{00000000-0005-0000-0000-00009E200000}"/>
    <cellStyle name="Normal 2 5 5 2 2 3 2 4" xfId="7848" xr:uid="{00000000-0005-0000-0000-00009F200000}"/>
    <cellStyle name="Normal 2 5 5 2 2 3 3" xfId="3993" xr:uid="{00000000-0005-0000-0000-0000A0200000}"/>
    <cellStyle name="Normal 2 5 5 2 2 3 3 2" xfId="17638" xr:uid="{00000000-0005-0000-0000-0000A1200000}"/>
    <cellStyle name="Normal 2 5 5 2 2 3 3 3" xfId="14059" xr:uid="{00000000-0005-0000-0000-0000A2200000}"/>
    <cellStyle name="Normal 2 5 5 2 2 3 3 4" xfId="8802" xr:uid="{00000000-0005-0000-0000-0000A3200000}"/>
    <cellStyle name="Normal 2 5 5 2 2 3 4" xfId="6255" xr:uid="{00000000-0005-0000-0000-0000A4200000}"/>
    <cellStyle name="Normal 2 5 5 2 2 3 4 2" xfId="15339" xr:uid="{00000000-0005-0000-0000-0000A5200000}"/>
    <cellStyle name="Normal 2 5 5 2 2 3 5" xfId="10256" xr:uid="{00000000-0005-0000-0000-0000A6200000}"/>
    <cellStyle name="Normal 2 5 5 2 2 3 5 2" xfId="19083" xr:uid="{00000000-0005-0000-0000-0000A7200000}"/>
    <cellStyle name="Normal 2 5 5 2 2 3 6" xfId="11702" xr:uid="{00000000-0005-0000-0000-0000A8200000}"/>
    <cellStyle name="Normal 2 5 5 2 2 3 7" xfId="5442" xr:uid="{00000000-0005-0000-0000-0000A9200000}"/>
    <cellStyle name="Normal 2 5 5 2 2 4" xfId="1569" xr:uid="{00000000-0005-0000-0000-0000AA200000}"/>
    <cellStyle name="Normal 2 5 5 2 2 4 2" xfId="3167" xr:uid="{00000000-0005-0000-0000-0000AB200000}"/>
    <cellStyle name="Normal 2 5 5 2 2 4 2 2" xfId="18080" xr:uid="{00000000-0005-0000-0000-0000AC200000}"/>
    <cellStyle name="Normal 2 5 5 2 2 4 2 3" xfId="14501" xr:uid="{00000000-0005-0000-0000-0000AD200000}"/>
    <cellStyle name="Normal 2 5 5 2 2 4 2 4" xfId="9244" xr:uid="{00000000-0005-0000-0000-0000AE200000}"/>
    <cellStyle name="Normal 2 5 5 2 2 4 3" xfId="10698" xr:uid="{00000000-0005-0000-0000-0000AF200000}"/>
    <cellStyle name="Normal 2 5 5 2 2 4 3 2" xfId="19525" xr:uid="{00000000-0005-0000-0000-0000B0200000}"/>
    <cellStyle name="Normal 2 5 5 2 2 4 4" xfId="12144" xr:uid="{00000000-0005-0000-0000-0000B1200000}"/>
    <cellStyle name="Normal 2 5 5 2 2 4 5" xfId="7139" xr:uid="{00000000-0005-0000-0000-0000B2200000}"/>
    <cellStyle name="Normal 2 5 5 2 2 5" xfId="2124" xr:uid="{00000000-0005-0000-0000-0000B3200000}"/>
    <cellStyle name="Normal 2 5 5 2 2 5 2" xfId="17037" xr:uid="{00000000-0005-0000-0000-0000B4200000}"/>
    <cellStyle name="Normal 2 5 5 2 2 5 3" xfId="13458" xr:uid="{00000000-0005-0000-0000-0000B5200000}"/>
    <cellStyle name="Normal 2 5 5 2 2 5 4" xfId="8201" xr:uid="{00000000-0005-0000-0000-0000B6200000}"/>
    <cellStyle name="Normal 2 5 5 2 2 6" xfId="5762" xr:uid="{00000000-0005-0000-0000-0000B7200000}"/>
    <cellStyle name="Normal 2 5 5 2 2 6 2" xfId="14848" xr:uid="{00000000-0005-0000-0000-0000B8200000}"/>
    <cellStyle name="Normal 2 5 5 2 2 7" xfId="9655" xr:uid="{00000000-0005-0000-0000-0000B9200000}"/>
    <cellStyle name="Normal 2 5 5 2 2 7 2" xfId="18482" xr:uid="{00000000-0005-0000-0000-0000BA200000}"/>
    <cellStyle name="Normal 2 5 5 2 2 8" xfId="11099" xr:uid="{00000000-0005-0000-0000-0000BB200000}"/>
    <cellStyle name="Normal 2 5 5 2 2 9" xfId="4733" xr:uid="{00000000-0005-0000-0000-0000BC200000}"/>
    <cellStyle name="Normal 2 5 5 2 2_Degree data" xfId="1218" xr:uid="{00000000-0005-0000-0000-0000BD200000}"/>
    <cellStyle name="Normal 2 5 5 2 3" xfId="646" xr:uid="{00000000-0005-0000-0000-0000BE200000}"/>
    <cellStyle name="Normal 2 5 5 2 3 2" xfId="2376" xr:uid="{00000000-0005-0000-0000-0000BF200000}"/>
    <cellStyle name="Normal 2 5 5 2 3 2 2" xfId="16053" xr:uid="{00000000-0005-0000-0000-0000C0200000}"/>
    <cellStyle name="Normal 2 5 5 2 3 2 3" xfId="12319" xr:uid="{00000000-0005-0000-0000-0000C1200000}"/>
    <cellStyle name="Normal 2 5 5 2 3 2 4" xfId="7039" xr:uid="{00000000-0005-0000-0000-0000C2200000}"/>
    <cellStyle name="Normal 2 5 5 2 3 3" xfId="3643" xr:uid="{00000000-0005-0000-0000-0000C3200000}"/>
    <cellStyle name="Normal 2 5 5 2 3 3 2" xfId="17289" xr:uid="{00000000-0005-0000-0000-0000C4200000}"/>
    <cellStyle name="Normal 2 5 5 2 3 3 3" xfId="13710" xr:uid="{00000000-0005-0000-0000-0000C5200000}"/>
    <cellStyle name="Normal 2 5 5 2 3 3 4" xfId="8453" xr:uid="{00000000-0005-0000-0000-0000C6200000}"/>
    <cellStyle name="Normal 2 5 5 2 3 4" xfId="6155" xr:uid="{00000000-0005-0000-0000-0000C7200000}"/>
    <cellStyle name="Normal 2 5 5 2 3 4 2" xfId="15239" xr:uid="{00000000-0005-0000-0000-0000C8200000}"/>
    <cellStyle name="Normal 2 5 5 2 3 5" xfId="9907" xr:uid="{00000000-0005-0000-0000-0000C9200000}"/>
    <cellStyle name="Normal 2 5 5 2 3 5 2" xfId="18734" xr:uid="{00000000-0005-0000-0000-0000CA200000}"/>
    <cellStyle name="Normal 2 5 5 2 3 6" xfId="11351" xr:uid="{00000000-0005-0000-0000-0000CB200000}"/>
    <cellStyle name="Normal 2 5 5 2 3 7" xfId="4633" xr:uid="{00000000-0005-0000-0000-0000CC200000}"/>
    <cellStyle name="Normal 2 5 5 2 4" xfId="1004" xr:uid="{00000000-0005-0000-0000-0000CD200000}"/>
    <cellStyle name="Normal 2 5 5 2 4 2" xfId="2724" xr:uid="{00000000-0005-0000-0000-0000CE200000}"/>
    <cellStyle name="Normal 2 5 5 2 4 2 2" xfId="16264" xr:uid="{00000000-0005-0000-0000-0000CF200000}"/>
    <cellStyle name="Normal 2 5 5 2 4 2 3" xfId="12686" xr:uid="{00000000-0005-0000-0000-0000D0200000}"/>
    <cellStyle name="Normal 2 5 5 2 4 2 4" xfId="7396" xr:uid="{00000000-0005-0000-0000-0000D1200000}"/>
    <cellStyle name="Normal 2 5 5 2 4 3" xfId="3992" xr:uid="{00000000-0005-0000-0000-0000D2200000}"/>
    <cellStyle name="Normal 2 5 5 2 4 3 2" xfId="17637" xr:uid="{00000000-0005-0000-0000-0000D3200000}"/>
    <cellStyle name="Normal 2 5 5 2 4 3 3" xfId="14058" xr:uid="{00000000-0005-0000-0000-0000D4200000}"/>
    <cellStyle name="Normal 2 5 5 2 4 3 4" xfId="8801" xr:uid="{00000000-0005-0000-0000-0000D5200000}"/>
    <cellStyle name="Normal 2 5 5 2 4 4" xfId="6512" xr:uid="{00000000-0005-0000-0000-0000D6200000}"/>
    <cellStyle name="Normal 2 5 5 2 4 4 2" xfId="15596" xr:uid="{00000000-0005-0000-0000-0000D7200000}"/>
    <cellStyle name="Normal 2 5 5 2 4 5" xfId="10255" xr:uid="{00000000-0005-0000-0000-0000D8200000}"/>
    <cellStyle name="Normal 2 5 5 2 4 5 2" xfId="19082" xr:uid="{00000000-0005-0000-0000-0000D9200000}"/>
    <cellStyle name="Normal 2 5 5 2 4 6" xfId="11701" xr:uid="{00000000-0005-0000-0000-0000DA200000}"/>
    <cellStyle name="Normal 2 5 5 2 4 7" xfId="4990" xr:uid="{00000000-0005-0000-0000-0000DB200000}"/>
    <cellStyle name="Normal 2 5 5 2 5" xfId="1467" xr:uid="{00000000-0005-0000-0000-0000DC200000}"/>
    <cellStyle name="Normal 2 5 5 2 5 2" xfId="3067" xr:uid="{00000000-0005-0000-0000-0000DD200000}"/>
    <cellStyle name="Normal 2 5 5 2 5 2 2" xfId="16616" xr:uid="{00000000-0005-0000-0000-0000DE200000}"/>
    <cellStyle name="Normal 2 5 5 2 5 2 3" xfId="13037" xr:uid="{00000000-0005-0000-0000-0000DF200000}"/>
    <cellStyle name="Normal 2 5 5 2 5 2 4" xfId="7748" xr:uid="{00000000-0005-0000-0000-0000E0200000}"/>
    <cellStyle name="Normal 2 5 5 2 5 3" xfId="4275" xr:uid="{00000000-0005-0000-0000-0000E1200000}"/>
    <cellStyle name="Normal 2 5 5 2 5 3 2" xfId="17980" xr:uid="{00000000-0005-0000-0000-0000E2200000}"/>
    <cellStyle name="Normal 2 5 5 2 5 3 3" xfId="14401" xr:uid="{00000000-0005-0000-0000-0000E3200000}"/>
    <cellStyle name="Normal 2 5 5 2 5 3 4" xfId="9144" xr:uid="{00000000-0005-0000-0000-0000E4200000}"/>
    <cellStyle name="Normal 2 5 5 2 5 4" xfId="5936" xr:uid="{00000000-0005-0000-0000-0000E5200000}"/>
    <cellStyle name="Normal 2 5 5 2 5 4 2" xfId="15022" xr:uid="{00000000-0005-0000-0000-0000E6200000}"/>
    <cellStyle name="Normal 2 5 5 2 5 5" xfId="10598" xr:uid="{00000000-0005-0000-0000-0000E7200000}"/>
    <cellStyle name="Normal 2 5 5 2 5 5 2" xfId="19425" xr:uid="{00000000-0005-0000-0000-0000E8200000}"/>
    <cellStyle name="Normal 2 5 5 2 5 6" xfId="12044" xr:uid="{00000000-0005-0000-0000-0000E9200000}"/>
    <cellStyle name="Normal 2 5 5 2 5 7" xfId="5342" xr:uid="{00000000-0005-0000-0000-0000EA200000}"/>
    <cellStyle name="Normal 2 5 5 2 6" xfId="2024" xr:uid="{00000000-0005-0000-0000-0000EB200000}"/>
    <cellStyle name="Normal 2 5 5 2 6 2" xfId="15865" xr:uid="{00000000-0005-0000-0000-0000EC200000}"/>
    <cellStyle name="Normal 2 5 5 2 6 3" xfId="12364" xr:uid="{00000000-0005-0000-0000-0000ED200000}"/>
    <cellStyle name="Normal 2 5 5 2 6 4" xfId="6822" xr:uid="{00000000-0005-0000-0000-0000EE200000}"/>
    <cellStyle name="Normal 2 5 5 2 7" xfId="3437" xr:uid="{00000000-0005-0000-0000-0000EF200000}"/>
    <cellStyle name="Normal 2 5 5 2 7 2" xfId="16937" xr:uid="{00000000-0005-0000-0000-0000F0200000}"/>
    <cellStyle name="Normal 2 5 5 2 7 3" xfId="13358" xr:uid="{00000000-0005-0000-0000-0000F1200000}"/>
    <cellStyle name="Normal 2 5 5 2 7 4" xfId="8101" xr:uid="{00000000-0005-0000-0000-0000F2200000}"/>
    <cellStyle name="Normal 2 5 5 2 8" xfId="5662" xr:uid="{00000000-0005-0000-0000-0000F3200000}"/>
    <cellStyle name="Normal 2 5 5 2 8 2" xfId="14748" xr:uid="{00000000-0005-0000-0000-0000F4200000}"/>
    <cellStyle name="Normal 2 5 5 2 9" xfId="9555" xr:uid="{00000000-0005-0000-0000-0000F5200000}"/>
    <cellStyle name="Normal 2 5 5 2 9 2" xfId="18382" xr:uid="{00000000-0005-0000-0000-0000F6200000}"/>
    <cellStyle name="Normal 2 5 5 2_Degree data" xfId="1219" xr:uid="{00000000-0005-0000-0000-0000F7200000}"/>
    <cellStyle name="Normal 2 5 5 3" xfId="205" xr:uid="{00000000-0005-0000-0000-0000F8200000}"/>
    <cellStyle name="Normal 2 5 5 3 10" xfId="10956" xr:uid="{00000000-0005-0000-0000-0000F9200000}"/>
    <cellStyle name="Normal 2 5 5 3 11" xfId="4478" xr:uid="{00000000-0005-0000-0000-0000FA200000}"/>
    <cellStyle name="Normal 2 5 5 3 2" xfId="419" xr:uid="{00000000-0005-0000-0000-0000FB200000}"/>
    <cellStyle name="Normal 2 5 5 3 2 2" xfId="649" xr:uid="{00000000-0005-0000-0000-0000FC200000}"/>
    <cellStyle name="Normal 2 5 5 3 2 2 2" xfId="2379" xr:uid="{00000000-0005-0000-0000-0000FD200000}"/>
    <cellStyle name="Normal 2 5 5 3 2 2 2 2" xfId="16267" xr:uid="{00000000-0005-0000-0000-0000FE200000}"/>
    <cellStyle name="Normal 2 5 5 3 2 2 2 3" xfId="12689" xr:uid="{00000000-0005-0000-0000-0000FF200000}"/>
    <cellStyle name="Normal 2 5 5 3 2 2 2 4" xfId="7399" xr:uid="{00000000-0005-0000-0000-000000210000}"/>
    <cellStyle name="Normal 2 5 5 3 2 2 3" xfId="3646" xr:uid="{00000000-0005-0000-0000-000001210000}"/>
    <cellStyle name="Normal 2 5 5 3 2 2 3 2" xfId="17292" xr:uid="{00000000-0005-0000-0000-000002210000}"/>
    <cellStyle name="Normal 2 5 5 3 2 2 3 3" xfId="13713" xr:uid="{00000000-0005-0000-0000-000003210000}"/>
    <cellStyle name="Normal 2 5 5 3 2 2 3 4" xfId="8456" xr:uid="{00000000-0005-0000-0000-000004210000}"/>
    <cellStyle name="Normal 2 5 5 3 2 2 4" xfId="6515" xr:uid="{00000000-0005-0000-0000-000005210000}"/>
    <cellStyle name="Normal 2 5 5 3 2 2 4 2" xfId="15599" xr:uid="{00000000-0005-0000-0000-000006210000}"/>
    <cellStyle name="Normal 2 5 5 3 2 2 5" xfId="9910" xr:uid="{00000000-0005-0000-0000-000007210000}"/>
    <cellStyle name="Normal 2 5 5 3 2 2 5 2" xfId="18737" xr:uid="{00000000-0005-0000-0000-000008210000}"/>
    <cellStyle name="Normal 2 5 5 3 2 2 6" xfId="11354" xr:uid="{00000000-0005-0000-0000-000009210000}"/>
    <cellStyle name="Normal 2 5 5 3 2 2 7" xfId="4993" xr:uid="{00000000-0005-0000-0000-00000A210000}"/>
    <cellStyle name="Normal 2 5 5 3 2 3" xfId="1007" xr:uid="{00000000-0005-0000-0000-00000B210000}"/>
    <cellStyle name="Normal 2 5 5 3 2 3 2" xfId="2727" xr:uid="{00000000-0005-0000-0000-00000C210000}"/>
    <cellStyle name="Normal 2 5 5 3 2 3 2 2" xfId="16778" xr:uid="{00000000-0005-0000-0000-00000D210000}"/>
    <cellStyle name="Normal 2 5 5 3 2 3 2 3" xfId="13199" xr:uid="{00000000-0005-0000-0000-00000E210000}"/>
    <cellStyle name="Normal 2 5 5 3 2 3 2 4" xfId="7910" xr:uid="{00000000-0005-0000-0000-00000F210000}"/>
    <cellStyle name="Normal 2 5 5 3 2 3 3" xfId="3995" xr:uid="{00000000-0005-0000-0000-000010210000}"/>
    <cellStyle name="Normal 2 5 5 3 2 3 3 2" xfId="17640" xr:uid="{00000000-0005-0000-0000-000011210000}"/>
    <cellStyle name="Normal 2 5 5 3 2 3 3 3" xfId="14061" xr:uid="{00000000-0005-0000-0000-000012210000}"/>
    <cellStyle name="Normal 2 5 5 3 2 3 3 4" xfId="8804" xr:uid="{00000000-0005-0000-0000-000013210000}"/>
    <cellStyle name="Normal 2 5 5 3 2 3 4" xfId="6317" xr:uid="{00000000-0005-0000-0000-000014210000}"/>
    <cellStyle name="Normal 2 5 5 3 2 3 4 2" xfId="15401" xr:uid="{00000000-0005-0000-0000-000015210000}"/>
    <cellStyle name="Normal 2 5 5 3 2 3 5" xfId="10258" xr:uid="{00000000-0005-0000-0000-000016210000}"/>
    <cellStyle name="Normal 2 5 5 3 2 3 5 2" xfId="19085" xr:uid="{00000000-0005-0000-0000-000017210000}"/>
    <cellStyle name="Normal 2 5 5 3 2 3 6" xfId="11704" xr:uid="{00000000-0005-0000-0000-000018210000}"/>
    <cellStyle name="Normal 2 5 5 3 2 3 7" xfId="5504" xr:uid="{00000000-0005-0000-0000-000019210000}"/>
    <cellStyle name="Normal 2 5 5 3 2 4" xfId="1633" xr:uid="{00000000-0005-0000-0000-00001A210000}"/>
    <cellStyle name="Normal 2 5 5 3 2 4 2" xfId="3229" xr:uid="{00000000-0005-0000-0000-00001B210000}"/>
    <cellStyle name="Normal 2 5 5 3 2 4 2 2" xfId="18142" xr:uid="{00000000-0005-0000-0000-00001C210000}"/>
    <cellStyle name="Normal 2 5 5 3 2 4 2 3" xfId="14563" xr:uid="{00000000-0005-0000-0000-00001D210000}"/>
    <cellStyle name="Normal 2 5 5 3 2 4 2 4" xfId="9306" xr:uid="{00000000-0005-0000-0000-00001E210000}"/>
    <cellStyle name="Normal 2 5 5 3 2 4 3" xfId="10760" xr:uid="{00000000-0005-0000-0000-00001F210000}"/>
    <cellStyle name="Normal 2 5 5 3 2 4 3 2" xfId="19587" xr:uid="{00000000-0005-0000-0000-000020210000}"/>
    <cellStyle name="Normal 2 5 5 3 2 4 4" xfId="12206" xr:uid="{00000000-0005-0000-0000-000021210000}"/>
    <cellStyle name="Normal 2 5 5 3 2 4 5" xfId="7201" xr:uid="{00000000-0005-0000-0000-000022210000}"/>
    <cellStyle name="Normal 2 5 5 3 2 5" xfId="2186" xr:uid="{00000000-0005-0000-0000-000023210000}"/>
    <cellStyle name="Normal 2 5 5 3 2 5 2" xfId="17099" xr:uid="{00000000-0005-0000-0000-000024210000}"/>
    <cellStyle name="Normal 2 5 5 3 2 5 3" xfId="13520" xr:uid="{00000000-0005-0000-0000-000025210000}"/>
    <cellStyle name="Normal 2 5 5 3 2 5 4" xfId="8263" xr:uid="{00000000-0005-0000-0000-000026210000}"/>
    <cellStyle name="Normal 2 5 5 3 2 6" xfId="5824" xr:uid="{00000000-0005-0000-0000-000027210000}"/>
    <cellStyle name="Normal 2 5 5 3 2 6 2" xfId="14910" xr:uid="{00000000-0005-0000-0000-000028210000}"/>
    <cellStyle name="Normal 2 5 5 3 2 7" xfId="9717" xr:uid="{00000000-0005-0000-0000-000029210000}"/>
    <cellStyle name="Normal 2 5 5 3 2 7 2" xfId="18544" xr:uid="{00000000-0005-0000-0000-00002A210000}"/>
    <cellStyle name="Normal 2 5 5 3 2 8" xfId="11161" xr:uid="{00000000-0005-0000-0000-00002B210000}"/>
    <cellStyle name="Normal 2 5 5 3 2 9" xfId="4795" xr:uid="{00000000-0005-0000-0000-00002C210000}"/>
    <cellStyle name="Normal 2 5 5 3 2_Degree data" xfId="1216" xr:uid="{00000000-0005-0000-0000-00002D210000}"/>
    <cellStyle name="Normal 2 5 5 3 3" xfId="648" xr:uid="{00000000-0005-0000-0000-00002E210000}"/>
    <cellStyle name="Normal 2 5 5 3 3 2" xfId="2378" xr:uid="{00000000-0005-0000-0000-00002F210000}"/>
    <cellStyle name="Normal 2 5 5 3 3 2 2" xfId="16010" xr:uid="{00000000-0005-0000-0000-000030210000}"/>
    <cellStyle name="Normal 2 5 5 3 3 2 3" xfId="12392" xr:uid="{00000000-0005-0000-0000-000031210000}"/>
    <cellStyle name="Normal 2 5 5 3 3 2 4" xfId="6996" xr:uid="{00000000-0005-0000-0000-000032210000}"/>
    <cellStyle name="Normal 2 5 5 3 3 3" xfId="3645" xr:uid="{00000000-0005-0000-0000-000033210000}"/>
    <cellStyle name="Normal 2 5 5 3 3 3 2" xfId="17291" xr:uid="{00000000-0005-0000-0000-000034210000}"/>
    <cellStyle name="Normal 2 5 5 3 3 3 3" xfId="13712" xr:uid="{00000000-0005-0000-0000-000035210000}"/>
    <cellStyle name="Normal 2 5 5 3 3 3 4" xfId="8455" xr:uid="{00000000-0005-0000-0000-000036210000}"/>
    <cellStyle name="Normal 2 5 5 3 3 4" xfId="6112" xr:uid="{00000000-0005-0000-0000-000037210000}"/>
    <cellStyle name="Normal 2 5 5 3 3 4 2" xfId="15196" xr:uid="{00000000-0005-0000-0000-000038210000}"/>
    <cellStyle name="Normal 2 5 5 3 3 5" xfId="9909" xr:uid="{00000000-0005-0000-0000-000039210000}"/>
    <cellStyle name="Normal 2 5 5 3 3 5 2" xfId="18736" xr:uid="{00000000-0005-0000-0000-00003A210000}"/>
    <cellStyle name="Normal 2 5 5 3 3 6" xfId="11353" xr:uid="{00000000-0005-0000-0000-00003B210000}"/>
    <cellStyle name="Normal 2 5 5 3 3 7" xfId="4590" xr:uid="{00000000-0005-0000-0000-00003C210000}"/>
    <cellStyle name="Normal 2 5 5 3 4" xfId="1006" xr:uid="{00000000-0005-0000-0000-00003D210000}"/>
    <cellStyle name="Normal 2 5 5 3 4 2" xfId="2726" xr:uid="{00000000-0005-0000-0000-00003E210000}"/>
    <cellStyle name="Normal 2 5 5 3 4 2 2" xfId="16266" xr:uid="{00000000-0005-0000-0000-00003F210000}"/>
    <cellStyle name="Normal 2 5 5 3 4 2 3" xfId="12688" xr:uid="{00000000-0005-0000-0000-000040210000}"/>
    <cellStyle name="Normal 2 5 5 3 4 2 4" xfId="7398" xr:uid="{00000000-0005-0000-0000-000041210000}"/>
    <cellStyle name="Normal 2 5 5 3 4 3" xfId="3994" xr:uid="{00000000-0005-0000-0000-000042210000}"/>
    <cellStyle name="Normal 2 5 5 3 4 3 2" xfId="17639" xr:uid="{00000000-0005-0000-0000-000043210000}"/>
    <cellStyle name="Normal 2 5 5 3 4 3 3" xfId="14060" xr:uid="{00000000-0005-0000-0000-000044210000}"/>
    <cellStyle name="Normal 2 5 5 3 4 3 4" xfId="8803" xr:uid="{00000000-0005-0000-0000-000045210000}"/>
    <cellStyle name="Normal 2 5 5 3 4 4" xfId="6514" xr:uid="{00000000-0005-0000-0000-000046210000}"/>
    <cellStyle name="Normal 2 5 5 3 4 4 2" xfId="15598" xr:uid="{00000000-0005-0000-0000-000047210000}"/>
    <cellStyle name="Normal 2 5 5 3 4 5" xfId="10257" xr:uid="{00000000-0005-0000-0000-000048210000}"/>
    <cellStyle name="Normal 2 5 5 3 4 5 2" xfId="19084" xr:uid="{00000000-0005-0000-0000-000049210000}"/>
    <cellStyle name="Normal 2 5 5 3 4 6" xfId="11703" xr:uid="{00000000-0005-0000-0000-00004A210000}"/>
    <cellStyle name="Normal 2 5 5 3 4 7" xfId="4992" xr:uid="{00000000-0005-0000-0000-00004B210000}"/>
    <cellStyle name="Normal 2 5 5 3 5" xfId="1422" xr:uid="{00000000-0005-0000-0000-00004C210000}"/>
    <cellStyle name="Normal 2 5 5 3 5 2" xfId="3024" xr:uid="{00000000-0005-0000-0000-00004D210000}"/>
    <cellStyle name="Normal 2 5 5 3 5 2 2" xfId="16573" xr:uid="{00000000-0005-0000-0000-00004E210000}"/>
    <cellStyle name="Normal 2 5 5 3 5 2 3" xfId="12994" xr:uid="{00000000-0005-0000-0000-00004F210000}"/>
    <cellStyle name="Normal 2 5 5 3 5 2 4" xfId="7705" xr:uid="{00000000-0005-0000-0000-000050210000}"/>
    <cellStyle name="Normal 2 5 5 3 5 3" xfId="4232" xr:uid="{00000000-0005-0000-0000-000051210000}"/>
    <cellStyle name="Normal 2 5 5 3 5 3 2" xfId="17937" xr:uid="{00000000-0005-0000-0000-000052210000}"/>
    <cellStyle name="Normal 2 5 5 3 5 3 3" xfId="14358" xr:uid="{00000000-0005-0000-0000-000053210000}"/>
    <cellStyle name="Normal 2 5 5 3 5 3 4" xfId="9101" xr:uid="{00000000-0005-0000-0000-000054210000}"/>
    <cellStyle name="Normal 2 5 5 3 5 4" xfId="5998" xr:uid="{00000000-0005-0000-0000-000055210000}"/>
    <cellStyle name="Normal 2 5 5 3 5 4 2" xfId="15084" xr:uid="{00000000-0005-0000-0000-000056210000}"/>
    <cellStyle name="Normal 2 5 5 3 5 5" xfId="10555" xr:uid="{00000000-0005-0000-0000-000057210000}"/>
    <cellStyle name="Normal 2 5 5 3 5 5 2" xfId="19382" xr:uid="{00000000-0005-0000-0000-000058210000}"/>
    <cellStyle name="Normal 2 5 5 3 5 6" xfId="12001" xr:uid="{00000000-0005-0000-0000-000059210000}"/>
    <cellStyle name="Normal 2 5 5 3 5 7" xfId="5299" xr:uid="{00000000-0005-0000-0000-00005A210000}"/>
    <cellStyle name="Normal 2 5 5 3 6" xfId="1981" xr:uid="{00000000-0005-0000-0000-00005B210000}"/>
    <cellStyle name="Normal 2 5 5 3 6 2" xfId="15927" xr:uid="{00000000-0005-0000-0000-00005C210000}"/>
    <cellStyle name="Normal 2 5 5 3 6 3" xfId="12412" xr:uid="{00000000-0005-0000-0000-00005D210000}"/>
    <cellStyle name="Normal 2 5 5 3 6 4" xfId="6884" xr:uid="{00000000-0005-0000-0000-00005E210000}"/>
    <cellStyle name="Normal 2 5 5 3 7" xfId="3395" xr:uid="{00000000-0005-0000-0000-00005F210000}"/>
    <cellStyle name="Normal 2 5 5 3 7 2" xfId="16894" xr:uid="{00000000-0005-0000-0000-000060210000}"/>
    <cellStyle name="Normal 2 5 5 3 7 3" xfId="13315" xr:uid="{00000000-0005-0000-0000-000061210000}"/>
    <cellStyle name="Normal 2 5 5 3 7 4" xfId="8058" xr:uid="{00000000-0005-0000-0000-000062210000}"/>
    <cellStyle name="Normal 2 5 5 3 8" xfId="5619" xr:uid="{00000000-0005-0000-0000-000063210000}"/>
    <cellStyle name="Normal 2 5 5 3 8 2" xfId="14705" xr:uid="{00000000-0005-0000-0000-000064210000}"/>
    <cellStyle name="Normal 2 5 5 3 9" xfId="9512" xr:uid="{00000000-0005-0000-0000-000065210000}"/>
    <cellStyle name="Normal 2 5 5 3 9 2" xfId="18339" xr:uid="{00000000-0005-0000-0000-000066210000}"/>
    <cellStyle name="Normal 2 5 5 3_Degree data" xfId="1217" xr:uid="{00000000-0005-0000-0000-000067210000}"/>
    <cellStyle name="Normal 2 5 5 4" xfId="313" xr:uid="{00000000-0005-0000-0000-000068210000}"/>
    <cellStyle name="Normal 2 5 5 4 2" xfId="650" xr:uid="{00000000-0005-0000-0000-000069210000}"/>
    <cellStyle name="Normal 2 5 5 4 2 2" xfId="2380" xr:uid="{00000000-0005-0000-0000-00006A210000}"/>
    <cellStyle name="Normal 2 5 5 4 2 2 2" xfId="16268" xr:uid="{00000000-0005-0000-0000-00006B210000}"/>
    <cellStyle name="Normal 2 5 5 4 2 2 3" xfId="12690" xr:uid="{00000000-0005-0000-0000-00006C210000}"/>
    <cellStyle name="Normal 2 5 5 4 2 2 4" xfId="7400" xr:uid="{00000000-0005-0000-0000-00006D210000}"/>
    <cellStyle name="Normal 2 5 5 4 2 3" xfId="3647" xr:uid="{00000000-0005-0000-0000-00006E210000}"/>
    <cellStyle name="Normal 2 5 5 4 2 3 2" xfId="17293" xr:uid="{00000000-0005-0000-0000-00006F210000}"/>
    <cellStyle name="Normal 2 5 5 4 2 3 3" xfId="13714" xr:uid="{00000000-0005-0000-0000-000070210000}"/>
    <cellStyle name="Normal 2 5 5 4 2 3 4" xfId="8457" xr:uid="{00000000-0005-0000-0000-000071210000}"/>
    <cellStyle name="Normal 2 5 5 4 2 4" xfId="6516" xr:uid="{00000000-0005-0000-0000-000072210000}"/>
    <cellStyle name="Normal 2 5 5 4 2 4 2" xfId="15600" xr:uid="{00000000-0005-0000-0000-000073210000}"/>
    <cellStyle name="Normal 2 5 5 4 2 5" xfId="9911" xr:uid="{00000000-0005-0000-0000-000074210000}"/>
    <cellStyle name="Normal 2 5 5 4 2 5 2" xfId="18738" xr:uid="{00000000-0005-0000-0000-000075210000}"/>
    <cellStyle name="Normal 2 5 5 4 2 6" xfId="11355" xr:uid="{00000000-0005-0000-0000-000076210000}"/>
    <cellStyle name="Normal 2 5 5 4 2 7" xfId="4994" xr:uid="{00000000-0005-0000-0000-000077210000}"/>
    <cellStyle name="Normal 2 5 5 4 3" xfId="1008" xr:uid="{00000000-0005-0000-0000-000078210000}"/>
    <cellStyle name="Normal 2 5 5 4 3 2" xfId="2728" xr:uid="{00000000-0005-0000-0000-000079210000}"/>
    <cellStyle name="Normal 2 5 5 4 3 2 2" xfId="16673" xr:uid="{00000000-0005-0000-0000-00007A210000}"/>
    <cellStyle name="Normal 2 5 5 4 3 2 3" xfId="13094" xr:uid="{00000000-0005-0000-0000-00007B210000}"/>
    <cellStyle name="Normal 2 5 5 4 3 2 4" xfId="7805" xr:uid="{00000000-0005-0000-0000-00007C210000}"/>
    <cellStyle name="Normal 2 5 5 4 3 3" xfId="3996" xr:uid="{00000000-0005-0000-0000-00007D210000}"/>
    <cellStyle name="Normal 2 5 5 4 3 3 2" xfId="17641" xr:uid="{00000000-0005-0000-0000-00007E210000}"/>
    <cellStyle name="Normal 2 5 5 4 3 3 3" xfId="14062" xr:uid="{00000000-0005-0000-0000-00007F210000}"/>
    <cellStyle name="Normal 2 5 5 4 3 3 4" xfId="8805" xr:uid="{00000000-0005-0000-0000-000080210000}"/>
    <cellStyle name="Normal 2 5 5 4 3 4" xfId="6212" xr:uid="{00000000-0005-0000-0000-000081210000}"/>
    <cellStyle name="Normal 2 5 5 4 3 4 2" xfId="15296" xr:uid="{00000000-0005-0000-0000-000082210000}"/>
    <cellStyle name="Normal 2 5 5 4 3 5" xfId="10259" xr:uid="{00000000-0005-0000-0000-000083210000}"/>
    <cellStyle name="Normal 2 5 5 4 3 5 2" xfId="19086" xr:uid="{00000000-0005-0000-0000-000084210000}"/>
    <cellStyle name="Normal 2 5 5 4 3 6" xfId="11705" xr:uid="{00000000-0005-0000-0000-000085210000}"/>
    <cellStyle name="Normal 2 5 5 4 3 7" xfId="5399" xr:uid="{00000000-0005-0000-0000-000086210000}"/>
    <cellStyle name="Normal 2 5 5 4 4" xfId="1525" xr:uid="{00000000-0005-0000-0000-000087210000}"/>
    <cellStyle name="Normal 2 5 5 4 4 2" xfId="3124" xr:uid="{00000000-0005-0000-0000-000088210000}"/>
    <cellStyle name="Normal 2 5 5 4 4 2 2" xfId="18037" xr:uid="{00000000-0005-0000-0000-000089210000}"/>
    <cellStyle name="Normal 2 5 5 4 4 2 3" xfId="14458" xr:uid="{00000000-0005-0000-0000-00008A210000}"/>
    <cellStyle name="Normal 2 5 5 4 4 2 4" xfId="9201" xr:uid="{00000000-0005-0000-0000-00008B210000}"/>
    <cellStyle name="Normal 2 5 5 4 4 3" xfId="10655" xr:uid="{00000000-0005-0000-0000-00008C210000}"/>
    <cellStyle name="Normal 2 5 5 4 4 3 2" xfId="19482" xr:uid="{00000000-0005-0000-0000-00008D210000}"/>
    <cellStyle name="Normal 2 5 5 4 4 4" xfId="12101" xr:uid="{00000000-0005-0000-0000-00008E210000}"/>
    <cellStyle name="Normal 2 5 5 4 4 5" xfId="7096" xr:uid="{00000000-0005-0000-0000-00008F210000}"/>
    <cellStyle name="Normal 2 5 5 4 5" xfId="2081" xr:uid="{00000000-0005-0000-0000-000090210000}"/>
    <cellStyle name="Normal 2 5 5 4 5 2" xfId="16994" xr:uid="{00000000-0005-0000-0000-000091210000}"/>
    <cellStyle name="Normal 2 5 5 4 5 3" xfId="13415" xr:uid="{00000000-0005-0000-0000-000092210000}"/>
    <cellStyle name="Normal 2 5 5 4 5 4" xfId="8158" xr:uid="{00000000-0005-0000-0000-000093210000}"/>
    <cellStyle name="Normal 2 5 5 4 6" xfId="5719" xr:uid="{00000000-0005-0000-0000-000094210000}"/>
    <cellStyle name="Normal 2 5 5 4 6 2" xfId="14805" xr:uid="{00000000-0005-0000-0000-000095210000}"/>
    <cellStyle name="Normal 2 5 5 4 7" xfId="9612" xr:uid="{00000000-0005-0000-0000-000096210000}"/>
    <cellStyle name="Normal 2 5 5 4 7 2" xfId="18439" xr:uid="{00000000-0005-0000-0000-000097210000}"/>
    <cellStyle name="Normal 2 5 5 4 8" xfId="11056" xr:uid="{00000000-0005-0000-0000-000098210000}"/>
    <cellStyle name="Normal 2 5 5 4 9" xfId="4690" xr:uid="{00000000-0005-0000-0000-000099210000}"/>
    <cellStyle name="Normal 2 5 5 4_Degree data" xfId="1215" xr:uid="{00000000-0005-0000-0000-00009A210000}"/>
    <cellStyle name="Normal 2 5 5 5" xfId="645" xr:uid="{00000000-0005-0000-0000-00009B210000}"/>
    <cellStyle name="Normal 2 5 5 5 2" xfId="2375" xr:uid="{00000000-0005-0000-0000-00009C210000}"/>
    <cellStyle name="Normal 2 5 5 5 2 2" xfId="15967" xr:uid="{00000000-0005-0000-0000-00009D210000}"/>
    <cellStyle name="Normal 2 5 5 5 2 3" xfId="12264" xr:uid="{00000000-0005-0000-0000-00009E210000}"/>
    <cellStyle name="Normal 2 5 5 5 2 4" xfId="6937" xr:uid="{00000000-0005-0000-0000-00009F210000}"/>
    <cellStyle name="Normal 2 5 5 5 3" xfId="3642" xr:uid="{00000000-0005-0000-0000-0000A0210000}"/>
    <cellStyle name="Normal 2 5 5 5 3 2" xfId="17288" xr:uid="{00000000-0005-0000-0000-0000A1210000}"/>
    <cellStyle name="Normal 2 5 5 5 3 3" xfId="13709" xr:uid="{00000000-0005-0000-0000-0000A2210000}"/>
    <cellStyle name="Normal 2 5 5 5 3 4" xfId="8452" xr:uid="{00000000-0005-0000-0000-0000A3210000}"/>
    <cellStyle name="Normal 2 5 5 5 4" xfId="6053" xr:uid="{00000000-0005-0000-0000-0000A4210000}"/>
    <cellStyle name="Normal 2 5 5 5 4 2" xfId="15137" xr:uid="{00000000-0005-0000-0000-0000A5210000}"/>
    <cellStyle name="Normal 2 5 5 5 5" xfId="9906" xr:uid="{00000000-0005-0000-0000-0000A6210000}"/>
    <cellStyle name="Normal 2 5 5 5 5 2" xfId="18733" xr:uid="{00000000-0005-0000-0000-0000A7210000}"/>
    <cellStyle name="Normal 2 5 5 5 6" xfId="11350" xr:uid="{00000000-0005-0000-0000-0000A8210000}"/>
    <cellStyle name="Normal 2 5 5 5 7" xfId="4531" xr:uid="{00000000-0005-0000-0000-0000A9210000}"/>
    <cellStyle name="Normal 2 5 5 6" xfId="1003" xr:uid="{00000000-0005-0000-0000-0000AA210000}"/>
    <cellStyle name="Normal 2 5 5 6 2" xfId="2723" xr:uid="{00000000-0005-0000-0000-0000AB210000}"/>
    <cellStyle name="Normal 2 5 5 6 2 2" xfId="16263" xr:uid="{00000000-0005-0000-0000-0000AC210000}"/>
    <cellStyle name="Normal 2 5 5 6 2 3" xfId="12685" xr:uid="{00000000-0005-0000-0000-0000AD210000}"/>
    <cellStyle name="Normal 2 5 5 6 2 4" xfId="7395" xr:uid="{00000000-0005-0000-0000-0000AE210000}"/>
    <cellStyle name="Normal 2 5 5 6 3" xfId="3991" xr:uid="{00000000-0005-0000-0000-0000AF210000}"/>
    <cellStyle name="Normal 2 5 5 6 3 2" xfId="17636" xr:uid="{00000000-0005-0000-0000-0000B0210000}"/>
    <cellStyle name="Normal 2 5 5 6 3 3" xfId="14057" xr:uid="{00000000-0005-0000-0000-0000B1210000}"/>
    <cellStyle name="Normal 2 5 5 6 3 4" xfId="8800" xr:uid="{00000000-0005-0000-0000-0000B2210000}"/>
    <cellStyle name="Normal 2 5 5 6 4" xfId="6511" xr:uid="{00000000-0005-0000-0000-0000B3210000}"/>
    <cellStyle name="Normal 2 5 5 6 4 2" xfId="15595" xr:uid="{00000000-0005-0000-0000-0000B4210000}"/>
    <cellStyle name="Normal 2 5 5 6 5" xfId="10254" xr:uid="{00000000-0005-0000-0000-0000B5210000}"/>
    <cellStyle name="Normal 2 5 5 6 5 2" xfId="19081" xr:uid="{00000000-0005-0000-0000-0000B6210000}"/>
    <cellStyle name="Normal 2 5 5 6 6" xfId="11700" xr:uid="{00000000-0005-0000-0000-0000B7210000}"/>
    <cellStyle name="Normal 2 5 5 6 7" xfId="4989" xr:uid="{00000000-0005-0000-0000-0000B8210000}"/>
    <cellStyle name="Normal 2 5 5 7" xfId="1354" xr:uid="{00000000-0005-0000-0000-0000B9210000}"/>
    <cellStyle name="Normal 2 5 5 7 2" xfId="2965" xr:uid="{00000000-0005-0000-0000-0000BA210000}"/>
    <cellStyle name="Normal 2 5 5 7 2 2" xfId="16514" xr:uid="{00000000-0005-0000-0000-0000BB210000}"/>
    <cellStyle name="Normal 2 5 5 7 2 3" xfId="12936" xr:uid="{00000000-0005-0000-0000-0000BC210000}"/>
    <cellStyle name="Normal 2 5 5 7 2 4" xfId="7646" xr:uid="{00000000-0005-0000-0000-0000BD210000}"/>
    <cellStyle name="Normal 2 5 5 7 3" xfId="4190" xr:uid="{00000000-0005-0000-0000-0000BE210000}"/>
    <cellStyle name="Normal 2 5 5 7 3 2" xfId="17878" xr:uid="{00000000-0005-0000-0000-0000BF210000}"/>
    <cellStyle name="Normal 2 5 5 7 3 3" xfId="14299" xr:uid="{00000000-0005-0000-0000-0000C0210000}"/>
    <cellStyle name="Normal 2 5 5 7 3 4" xfId="9042" xr:uid="{00000000-0005-0000-0000-0000C1210000}"/>
    <cellStyle name="Normal 2 5 5 7 4" xfId="5892" xr:uid="{00000000-0005-0000-0000-0000C2210000}"/>
    <cellStyle name="Normal 2 5 5 7 4 2" xfId="14978" xr:uid="{00000000-0005-0000-0000-0000C3210000}"/>
    <cellStyle name="Normal 2 5 5 7 5" xfId="10496" xr:uid="{00000000-0005-0000-0000-0000C4210000}"/>
    <cellStyle name="Normal 2 5 5 7 5 2" xfId="19323" xr:uid="{00000000-0005-0000-0000-0000C5210000}"/>
    <cellStyle name="Normal 2 5 5 7 6" xfId="11942" xr:uid="{00000000-0005-0000-0000-0000C6210000}"/>
    <cellStyle name="Normal 2 5 5 7 7" xfId="5240" xr:uid="{00000000-0005-0000-0000-0000C7210000}"/>
    <cellStyle name="Normal 2 5 5 8" xfId="1922" xr:uid="{00000000-0005-0000-0000-0000C8210000}"/>
    <cellStyle name="Normal 2 5 5 8 2" xfId="9453" xr:uid="{00000000-0005-0000-0000-0000C9210000}"/>
    <cellStyle name="Normal 2 5 5 8 2 2" xfId="18280" xr:uid="{00000000-0005-0000-0000-0000CA210000}"/>
    <cellStyle name="Normal 2 5 5 8 3" xfId="10897" xr:uid="{00000000-0005-0000-0000-0000CB210000}"/>
    <cellStyle name="Normal 2 5 5 8 4" xfId="6779" xr:uid="{00000000-0005-0000-0000-0000CC210000}"/>
    <cellStyle name="Normal 2 5 5 9" xfId="1846" xr:uid="{00000000-0005-0000-0000-0000CD210000}"/>
    <cellStyle name="Normal 2 5 5 9 2" xfId="16833" xr:uid="{00000000-0005-0000-0000-0000CE210000}"/>
    <cellStyle name="Normal 2 5 5 9 3" xfId="13254" xr:uid="{00000000-0005-0000-0000-0000CF210000}"/>
    <cellStyle name="Normal 2 5 5 9 4" xfId="7997" xr:uid="{00000000-0005-0000-0000-0000D0210000}"/>
    <cellStyle name="Normal 2 5 5_Degree data" xfId="1220" xr:uid="{00000000-0005-0000-0000-0000D1210000}"/>
    <cellStyle name="Normal 2 5 6" xfId="239" xr:uid="{00000000-0005-0000-0000-0000D2210000}"/>
    <cellStyle name="Normal 2 5 6 10" xfId="10990" xr:uid="{00000000-0005-0000-0000-0000D3210000}"/>
    <cellStyle name="Normal 2 5 6 11" xfId="4407" xr:uid="{00000000-0005-0000-0000-0000D4210000}"/>
    <cellStyle name="Normal 2 5 6 2" xfId="347" xr:uid="{00000000-0005-0000-0000-0000D5210000}"/>
    <cellStyle name="Normal 2 5 6 2 2" xfId="652" xr:uid="{00000000-0005-0000-0000-0000D6210000}"/>
    <cellStyle name="Normal 2 5 6 2 2 2" xfId="2382" xr:uid="{00000000-0005-0000-0000-0000D7210000}"/>
    <cellStyle name="Normal 2 5 6 2 2 2 2" xfId="16270" xr:uid="{00000000-0005-0000-0000-0000D8210000}"/>
    <cellStyle name="Normal 2 5 6 2 2 2 3" xfId="12692" xr:uid="{00000000-0005-0000-0000-0000D9210000}"/>
    <cellStyle name="Normal 2 5 6 2 2 2 4" xfId="7402" xr:uid="{00000000-0005-0000-0000-0000DA210000}"/>
    <cellStyle name="Normal 2 5 6 2 2 3" xfId="3649" xr:uid="{00000000-0005-0000-0000-0000DB210000}"/>
    <cellStyle name="Normal 2 5 6 2 2 3 2" xfId="17295" xr:uid="{00000000-0005-0000-0000-0000DC210000}"/>
    <cellStyle name="Normal 2 5 6 2 2 3 3" xfId="13716" xr:uid="{00000000-0005-0000-0000-0000DD210000}"/>
    <cellStyle name="Normal 2 5 6 2 2 3 4" xfId="8459" xr:uid="{00000000-0005-0000-0000-0000DE210000}"/>
    <cellStyle name="Normal 2 5 6 2 2 4" xfId="6518" xr:uid="{00000000-0005-0000-0000-0000DF210000}"/>
    <cellStyle name="Normal 2 5 6 2 2 4 2" xfId="15602" xr:uid="{00000000-0005-0000-0000-0000E0210000}"/>
    <cellStyle name="Normal 2 5 6 2 2 5" xfId="9913" xr:uid="{00000000-0005-0000-0000-0000E1210000}"/>
    <cellStyle name="Normal 2 5 6 2 2 5 2" xfId="18740" xr:uid="{00000000-0005-0000-0000-0000E2210000}"/>
    <cellStyle name="Normal 2 5 6 2 2 6" xfId="11357" xr:uid="{00000000-0005-0000-0000-0000E3210000}"/>
    <cellStyle name="Normal 2 5 6 2 2 7" xfId="4996" xr:uid="{00000000-0005-0000-0000-0000E4210000}"/>
    <cellStyle name="Normal 2 5 6 2 3" xfId="1010" xr:uid="{00000000-0005-0000-0000-0000E5210000}"/>
    <cellStyle name="Normal 2 5 6 2 3 2" xfId="2730" xr:uid="{00000000-0005-0000-0000-0000E6210000}"/>
    <cellStyle name="Normal 2 5 6 2 3 2 2" xfId="16707" xr:uid="{00000000-0005-0000-0000-0000E7210000}"/>
    <cellStyle name="Normal 2 5 6 2 3 2 3" xfId="13128" xr:uid="{00000000-0005-0000-0000-0000E8210000}"/>
    <cellStyle name="Normal 2 5 6 2 3 2 4" xfId="7839" xr:uid="{00000000-0005-0000-0000-0000E9210000}"/>
    <cellStyle name="Normal 2 5 6 2 3 3" xfId="3998" xr:uid="{00000000-0005-0000-0000-0000EA210000}"/>
    <cellStyle name="Normal 2 5 6 2 3 3 2" xfId="17643" xr:uid="{00000000-0005-0000-0000-0000EB210000}"/>
    <cellStyle name="Normal 2 5 6 2 3 3 3" xfId="14064" xr:uid="{00000000-0005-0000-0000-0000EC210000}"/>
    <cellStyle name="Normal 2 5 6 2 3 3 4" xfId="8807" xr:uid="{00000000-0005-0000-0000-0000ED210000}"/>
    <cellStyle name="Normal 2 5 6 2 3 4" xfId="6246" xr:uid="{00000000-0005-0000-0000-0000EE210000}"/>
    <cellStyle name="Normal 2 5 6 2 3 4 2" xfId="15330" xr:uid="{00000000-0005-0000-0000-0000EF210000}"/>
    <cellStyle name="Normal 2 5 6 2 3 5" xfId="10261" xr:uid="{00000000-0005-0000-0000-0000F0210000}"/>
    <cellStyle name="Normal 2 5 6 2 3 5 2" xfId="19088" xr:uid="{00000000-0005-0000-0000-0000F1210000}"/>
    <cellStyle name="Normal 2 5 6 2 3 6" xfId="11707" xr:uid="{00000000-0005-0000-0000-0000F2210000}"/>
    <cellStyle name="Normal 2 5 6 2 3 7" xfId="5433" xr:uid="{00000000-0005-0000-0000-0000F3210000}"/>
    <cellStyle name="Normal 2 5 6 2 4" xfId="1560" xr:uid="{00000000-0005-0000-0000-0000F4210000}"/>
    <cellStyle name="Normal 2 5 6 2 4 2" xfId="3158" xr:uid="{00000000-0005-0000-0000-0000F5210000}"/>
    <cellStyle name="Normal 2 5 6 2 4 2 2" xfId="18071" xr:uid="{00000000-0005-0000-0000-0000F6210000}"/>
    <cellStyle name="Normal 2 5 6 2 4 2 3" xfId="14492" xr:uid="{00000000-0005-0000-0000-0000F7210000}"/>
    <cellStyle name="Normal 2 5 6 2 4 2 4" xfId="9235" xr:uid="{00000000-0005-0000-0000-0000F8210000}"/>
    <cellStyle name="Normal 2 5 6 2 4 3" xfId="10689" xr:uid="{00000000-0005-0000-0000-0000F9210000}"/>
    <cellStyle name="Normal 2 5 6 2 4 3 2" xfId="19516" xr:uid="{00000000-0005-0000-0000-0000FA210000}"/>
    <cellStyle name="Normal 2 5 6 2 4 4" xfId="12135" xr:uid="{00000000-0005-0000-0000-0000FB210000}"/>
    <cellStyle name="Normal 2 5 6 2 4 5" xfId="7130" xr:uid="{00000000-0005-0000-0000-0000FC210000}"/>
    <cellStyle name="Normal 2 5 6 2 5" xfId="2115" xr:uid="{00000000-0005-0000-0000-0000FD210000}"/>
    <cellStyle name="Normal 2 5 6 2 5 2" xfId="17028" xr:uid="{00000000-0005-0000-0000-0000FE210000}"/>
    <cellStyle name="Normal 2 5 6 2 5 3" xfId="13449" xr:uid="{00000000-0005-0000-0000-0000FF210000}"/>
    <cellStyle name="Normal 2 5 6 2 5 4" xfId="8192" xr:uid="{00000000-0005-0000-0000-000000220000}"/>
    <cellStyle name="Normal 2 5 6 2 6" xfId="5753" xr:uid="{00000000-0005-0000-0000-000001220000}"/>
    <cellStyle name="Normal 2 5 6 2 6 2" xfId="14839" xr:uid="{00000000-0005-0000-0000-000002220000}"/>
    <cellStyle name="Normal 2 5 6 2 7" xfId="9646" xr:uid="{00000000-0005-0000-0000-000003220000}"/>
    <cellStyle name="Normal 2 5 6 2 7 2" xfId="18473" xr:uid="{00000000-0005-0000-0000-000004220000}"/>
    <cellStyle name="Normal 2 5 6 2 8" xfId="11090" xr:uid="{00000000-0005-0000-0000-000005220000}"/>
    <cellStyle name="Normal 2 5 6 2 9" xfId="4724" xr:uid="{00000000-0005-0000-0000-000006220000}"/>
    <cellStyle name="Normal 2 5 6 2_Degree data" xfId="1299" xr:uid="{00000000-0005-0000-0000-000007220000}"/>
    <cellStyle name="Normal 2 5 6 3" xfId="651" xr:uid="{00000000-0005-0000-0000-000008220000}"/>
    <cellStyle name="Normal 2 5 6 3 2" xfId="2381" xr:uid="{00000000-0005-0000-0000-000009220000}"/>
    <cellStyle name="Normal 2 5 6 3 2 2" xfId="16044" xr:uid="{00000000-0005-0000-0000-00000A220000}"/>
    <cellStyle name="Normal 2 5 6 3 2 3" xfId="12383" xr:uid="{00000000-0005-0000-0000-00000B220000}"/>
    <cellStyle name="Normal 2 5 6 3 2 4" xfId="7030" xr:uid="{00000000-0005-0000-0000-00000C220000}"/>
    <cellStyle name="Normal 2 5 6 3 3" xfId="3648" xr:uid="{00000000-0005-0000-0000-00000D220000}"/>
    <cellStyle name="Normal 2 5 6 3 3 2" xfId="17294" xr:uid="{00000000-0005-0000-0000-00000E220000}"/>
    <cellStyle name="Normal 2 5 6 3 3 3" xfId="13715" xr:uid="{00000000-0005-0000-0000-00000F220000}"/>
    <cellStyle name="Normal 2 5 6 3 3 4" xfId="8458" xr:uid="{00000000-0005-0000-0000-000010220000}"/>
    <cellStyle name="Normal 2 5 6 3 4" xfId="6146" xr:uid="{00000000-0005-0000-0000-000011220000}"/>
    <cellStyle name="Normal 2 5 6 3 4 2" xfId="15230" xr:uid="{00000000-0005-0000-0000-000012220000}"/>
    <cellStyle name="Normal 2 5 6 3 5" xfId="9912" xr:uid="{00000000-0005-0000-0000-000013220000}"/>
    <cellStyle name="Normal 2 5 6 3 5 2" xfId="18739" xr:uid="{00000000-0005-0000-0000-000014220000}"/>
    <cellStyle name="Normal 2 5 6 3 6" xfId="11356" xr:uid="{00000000-0005-0000-0000-000015220000}"/>
    <cellStyle name="Normal 2 5 6 3 7" xfId="4624" xr:uid="{00000000-0005-0000-0000-000016220000}"/>
    <cellStyle name="Normal 2 5 6 4" xfId="1009" xr:uid="{00000000-0005-0000-0000-000017220000}"/>
    <cellStyle name="Normal 2 5 6 4 2" xfId="2729" xr:uid="{00000000-0005-0000-0000-000018220000}"/>
    <cellStyle name="Normal 2 5 6 4 2 2" xfId="16269" xr:uid="{00000000-0005-0000-0000-000019220000}"/>
    <cellStyle name="Normal 2 5 6 4 2 3" xfId="12691" xr:uid="{00000000-0005-0000-0000-00001A220000}"/>
    <cellStyle name="Normal 2 5 6 4 2 4" xfId="7401" xr:uid="{00000000-0005-0000-0000-00001B220000}"/>
    <cellStyle name="Normal 2 5 6 4 3" xfId="3997" xr:uid="{00000000-0005-0000-0000-00001C220000}"/>
    <cellStyle name="Normal 2 5 6 4 3 2" xfId="17642" xr:uid="{00000000-0005-0000-0000-00001D220000}"/>
    <cellStyle name="Normal 2 5 6 4 3 3" xfId="14063" xr:uid="{00000000-0005-0000-0000-00001E220000}"/>
    <cellStyle name="Normal 2 5 6 4 3 4" xfId="8806" xr:uid="{00000000-0005-0000-0000-00001F220000}"/>
    <cellStyle name="Normal 2 5 6 4 4" xfId="6517" xr:uid="{00000000-0005-0000-0000-000020220000}"/>
    <cellStyle name="Normal 2 5 6 4 4 2" xfId="15601" xr:uid="{00000000-0005-0000-0000-000021220000}"/>
    <cellStyle name="Normal 2 5 6 4 5" xfId="10260" xr:uid="{00000000-0005-0000-0000-000022220000}"/>
    <cellStyle name="Normal 2 5 6 4 5 2" xfId="19087" xr:uid="{00000000-0005-0000-0000-000023220000}"/>
    <cellStyle name="Normal 2 5 6 4 6" xfId="11706" xr:uid="{00000000-0005-0000-0000-000024220000}"/>
    <cellStyle name="Normal 2 5 6 4 7" xfId="4995" xr:uid="{00000000-0005-0000-0000-000025220000}"/>
    <cellStyle name="Normal 2 5 6 5" xfId="1458" xr:uid="{00000000-0005-0000-0000-000026220000}"/>
    <cellStyle name="Normal 2 5 6 5 2" xfId="3058" xr:uid="{00000000-0005-0000-0000-000027220000}"/>
    <cellStyle name="Normal 2 5 6 5 2 2" xfId="16607" xr:uid="{00000000-0005-0000-0000-000028220000}"/>
    <cellStyle name="Normal 2 5 6 5 2 3" xfId="13028" xr:uid="{00000000-0005-0000-0000-000029220000}"/>
    <cellStyle name="Normal 2 5 6 5 2 4" xfId="7739" xr:uid="{00000000-0005-0000-0000-00002A220000}"/>
    <cellStyle name="Normal 2 5 6 5 3" xfId="4266" xr:uid="{00000000-0005-0000-0000-00002B220000}"/>
    <cellStyle name="Normal 2 5 6 5 3 2" xfId="17971" xr:uid="{00000000-0005-0000-0000-00002C220000}"/>
    <cellStyle name="Normal 2 5 6 5 3 3" xfId="14392" xr:uid="{00000000-0005-0000-0000-00002D220000}"/>
    <cellStyle name="Normal 2 5 6 5 3 4" xfId="9135" xr:uid="{00000000-0005-0000-0000-00002E220000}"/>
    <cellStyle name="Normal 2 5 6 5 4" xfId="5927" xr:uid="{00000000-0005-0000-0000-00002F220000}"/>
    <cellStyle name="Normal 2 5 6 5 4 2" xfId="15013" xr:uid="{00000000-0005-0000-0000-000030220000}"/>
    <cellStyle name="Normal 2 5 6 5 5" xfId="10589" xr:uid="{00000000-0005-0000-0000-000031220000}"/>
    <cellStyle name="Normal 2 5 6 5 5 2" xfId="19416" xr:uid="{00000000-0005-0000-0000-000032220000}"/>
    <cellStyle name="Normal 2 5 6 5 6" xfId="12035" xr:uid="{00000000-0005-0000-0000-000033220000}"/>
    <cellStyle name="Normal 2 5 6 5 7" xfId="5333" xr:uid="{00000000-0005-0000-0000-000034220000}"/>
    <cellStyle name="Normal 2 5 6 6" xfId="2015" xr:uid="{00000000-0005-0000-0000-000035220000}"/>
    <cellStyle name="Normal 2 5 6 6 2" xfId="15856" xr:uid="{00000000-0005-0000-0000-000036220000}"/>
    <cellStyle name="Normal 2 5 6 6 3" xfId="12272" xr:uid="{00000000-0005-0000-0000-000037220000}"/>
    <cellStyle name="Normal 2 5 6 6 4" xfId="6813" xr:uid="{00000000-0005-0000-0000-000038220000}"/>
    <cellStyle name="Normal 2 5 6 7" xfId="3428" xr:uid="{00000000-0005-0000-0000-000039220000}"/>
    <cellStyle name="Normal 2 5 6 7 2" xfId="16928" xr:uid="{00000000-0005-0000-0000-00003A220000}"/>
    <cellStyle name="Normal 2 5 6 7 3" xfId="13349" xr:uid="{00000000-0005-0000-0000-00003B220000}"/>
    <cellStyle name="Normal 2 5 6 7 4" xfId="8092" xr:uid="{00000000-0005-0000-0000-00003C220000}"/>
    <cellStyle name="Normal 2 5 6 8" xfId="5653" xr:uid="{00000000-0005-0000-0000-00003D220000}"/>
    <cellStyle name="Normal 2 5 6 8 2" xfId="14739" xr:uid="{00000000-0005-0000-0000-00003E220000}"/>
    <cellStyle name="Normal 2 5 6 9" xfId="9546" xr:uid="{00000000-0005-0000-0000-00003F220000}"/>
    <cellStyle name="Normal 2 5 6 9 2" xfId="18373" xr:uid="{00000000-0005-0000-0000-000040220000}"/>
    <cellStyle name="Normal 2 5 6_Degree data" xfId="1214" xr:uid="{00000000-0005-0000-0000-000041220000}"/>
    <cellStyle name="Normal 2 5 7" xfId="179" xr:uid="{00000000-0005-0000-0000-000042220000}"/>
    <cellStyle name="Normal 2 5 7 10" xfId="10933" xr:uid="{00000000-0005-0000-0000-000043220000}"/>
    <cellStyle name="Normal 2 5 7 11" xfId="4455" xr:uid="{00000000-0005-0000-0000-000044220000}"/>
    <cellStyle name="Normal 2 5 7 2" xfId="396" xr:uid="{00000000-0005-0000-0000-000045220000}"/>
    <cellStyle name="Normal 2 5 7 2 2" xfId="654" xr:uid="{00000000-0005-0000-0000-000046220000}"/>
    <cellStyle name="Normal 2 5 7 2 2 2" xfId="2384" xr:uid="{00000000-0005-0000-0000-000047220000}"/>
    <cellStyle name="Normal 2 5 7 2 2 2 2" xfId="16272" xr:uid="{00000000-0005-0000-0000-000048220000}"/>
    <cellStyle name="Normal 2 5 7 2 2 2 3" xfId="12694" xr:uid="{00000000-0005-0000-0000-000049220000}"/>
    <cellStyle name="Normal 2 5 7 2 2 2 4" xfId="7404" xr:uid="{00000000-0005-0000-0000-00004A220000}"/>
    <cellStyle name="Normal 2 5 7 2 2 3" xfId="3651" xr:uid="{00000000-0005-0000-0000-00004B220000}"/>
    <cellStyle name="Normal 2 5 7 2 2 3 2" xfId="17297" xr:uid="{00000000-0005-0000-0000-00004C220000}"/>
    <cellStyle name="Normal 2 5 7 2 2 3 3" xfId="13718" xr:uid="{00000000-0005-0000-0000-00004D220000}"/>
    <cellStyle name="Normal 2 5 7 2 2 3 4" xfId="8461" xr:uid="{00000000-0005-0000-0000-00004E220000}"/>
    <cellStyle name="Normal 2 5 7 2 2 4" xfId="6520" xr:uid="{00000000-0005-0000-0000-00004F220000}"/>
    <cellStyle name="Normal 2 5 7 2 2 4 2" xfId="15604" xr:uid="{00000000-0005-0000-0000-000050220000}"/>
    <cellStyle name="Normal 2 5 7 2 2 5" xfId="9915" xr:uid="{00000000-0005-0000-0000-000051220000}"/>
    <cellStyle name="Normal 2 5 7 2 2 5 2" xfId="18742" xr:uid="{00000000-0005-0000-0000-000052220000}"/>
    <cellStyle name="Normal 2 5 7 2 2 6" xfId="11359" xr:uid="{00000000-0005-0000-0000-000053220000}"/>
    <cellStyle name="Normal 2 5 7 2 2 7" xfId="4998" xr:uid="{00000000-0005-0000-0000-000054220000}"/>
    <cellStyle name="Normal 2 5 7 2 3" xfId="1012" xr:uid="{00000000-0005-0000-0000-000055220000}"/>
    <cellStyle name="Normal 2 5 7 2 3 2" xfId="2732" xr:uid="{00000000-0005-0000-0000-000056220000}"/>
    <cellStyle name="Normal 2 5 7 2 3 2 2" xfId="16755" xr:uid="{00000000-0005-0000-0000-000057220000}"/>
    <cellStyle name="Normal 2 5 7 2 3 2 3" xfId="13176" xr:uid="{00000000-0005-0000-0000-000058220000}"/>
    <cellStyle name="Normal 2 5 7 2 3 2 4" xfId="7887" xr:uid="{00000000-0005-0000-0000-000059220000}"/>
    <cellStyle name="Normal 2 5 7 2 3 3" xfId="4000" xr:uid="{00000000-0005-0000-0000-00005A220000}"/>
    <cellStyle name="Normal 2 5 7 2 3 3 2" xfId="17645" xr:uid="{00000000-0005-0000-0000-00005B220000}"/>
    <cellStyle name="Normal 2 5 7 2 3 3 3" xfId="14066" xr:uid="{00000000-0005-0000-0000-00005C220000}"/>
    <cellStyle name="Normal 2 5 7 2 3 3 4" xfId="8809" xr:uid="{00000000-0005-0000-0000-00005D220000}"/>
    <cellStyle name="Normal 2 5 7 2 3 4" xfId="6294" xr:uid="{00000000-0005-0000-0000-00005E220000}"/>
    <cellStyle name="Normal 2 5 7 2 3 4 2" xfId="15378" xr:uid="{00000000-0005-0000-0000-00005F220000}"/>
    <cellStyle name="Normal 2 5 7 2 3 5" xfId="10263" xr:uid="{00000000-0005-0000-0000-000060220000}"/>
    <cellStyle name="Normal 2 5 7 2 3 5 2" xfId="19090" xr:uid="{00000000-0005-0000-0000-000061220000}"/>
    <cellStyle name="Normal 2 5 7 2 3 6" xfId="11709" xr:uid="{00000000-0005-0000-0000-000062220000}"/>
    <cellStyle name="Normal 2 5 7 2 3 7" xfId="5481" xr:uid="{00000000-0005-0000-0000-000063220000}"/>
    <cellStyle name="Normal 2 5 7 2 4" xfId="1610" xr:uid="{00000000-0005-0000-0000-000064220000}"/>
    <cellStyle name="Normal 2 5 7 2 4 2" xfId="3206" xr:uid="{00000000-0005-0000-0000-000065220000}"/>
    <cellStyle name="Normal 2 5 7 2 4 2 2" xfId="18119" xr:uid="{00000000-0005-0000-0000-000066220000}"/>
    <cellStyle name="Normal 2 5 7 2 4 2 3" xfId="14540" xr:uid="{00000000-0005-0000-0000-000067220000}"/>
    <cellStyle name="Normal 2 5 7 2 4 2 4" xfId="9283" xr:uid="{00000000-0005-0000-0000-000068220000}"/>
    <cellStyle name="Normal 2 5 7 2 4 3" xfId="10737" xr:uid="{00000000-0005-0000-0000-000069220000}"/>
    <cellStyle name="Normal 2 5 7 2 4 3 2" xfId="19564" xr:uid="{00000000-0005-0000-0000-00006A220000}"/>
    <cellStyle name="Normal 2 5 7 2 4 4" xfId="12183" xr:uid="{00000000-0005-0000-0000-00006B220000}"/>
    <cellStyle name="Normal 2 5 7 2 4 5" xfId="7178" xr:uid="{00000000-0005-0000-0000-00006C220000}"/>
    <cellStyle name="Normal 2 5 7 2 5" xfId="2163" xr:uid="{00000000-0005-0000-0000-00006D220000}"/>
    <cellStyle name="Normal 2 5 7 2 5 2" xfId="17076" xr:uid="{00000000-0005-0000-0000-00006E220000}"/>
    <cellStyle name="Normal 2 5 7 2 5 3" xfId="13497" xr:uid="{00000000-0005-0000-0000-00006F220000}"/>
    <cellStyle name="Normal 2 5 7 2 5 4" xfId="8240" xr:uid="{00000000-0005-0000-0000-000070220000}"/>
    <cellStyle name="Normal 2 5 7 2 6" xfId="5801" xr:uid="{00000000-0005-0000-0000-000071220000}"/>
    <cellStyle name="Normal 2 5 7 2 6 2" xfId="14887" xr:uid="{00000000-0005-0000-0000-000072220000}"/>
    <cellStyle name="Normal 2 5 7 2 7" xfId="9694" xr:uid="{00000000-0005-0000-0000-000073220000}"/>
    <cellStyle name="Normal 2 5 7 2 7 2" xfId="18521" xr:uid="{00000000-0005-0000-0000-000074220000}"/>
    <cellStyle name="Normal 2 5 7 2 8" xfId="11138" xr:uid="{00000000-0005-0000-0000-000075220000}"/>
    <cellStyle name="Normal 2 5 7 2 9" xfId="4772" xr:uid="{00000000-0005-0000-0000-000076220000}"/>
    <cellStyle name="Normal 2 5 7 2_Degree data" xfId="1269" xr:uid="{00000000-0005-0000-0000-000077220000}"/>
    <cellStyle name="Normal 2 5 7 3" xfId="653" xr:uid="{00000000-0005-0000-0000-000078220000}"/>
    <cellStyle name="Normal 2 5 7 3 2" xfId="2383" xr:uid="{00000000-0005-0000-0000-000079220000}"/>
    <cellStyle name="Normal 2 5 7 3 2 2" xfId="15987" xr:uid="{00000000-0005-0000-0000-00007A220000}"/>
    <cellStyle name="Normal 2 5 7 3 2 3" xfId="12277" xr:uid="{00000000-0005-0000-0000-00007B220000}"/>
    <cellStyle name="Normal 2 5 7 3 2 4" xfId="6973" xr:uid="{00000000-0005-0000-0000-00007C220000}"/>
    <cellStyle name="Normal 2 5 7 3 3" xfId="3650" xr:uid="{00000000-0005-0000-0000-00007D220000}"/>
    <cellStyle name="Normal 2 5 7 3 3 2" xfId="17296" xr:uid="{00000000-0005-0000-0000-00007E220000}"/>
    <cellStyle name="Normal 2 5 7 3 3 3" xfId="13717" xr:uid="{00000000-0005-0000-0000-00007F220000}"/>
    <cellStyle name="Normal 2 5 7 3 3 4" xfId="8460" xr:uid="{00000000-0005-0000-0000-000080220000}"/>
    <cellStyle name="Normal 2 5 7 3 4" xfId="6089" xr:uid="{00000000-0005-0000-0000-000081220000}"/>
    <cellStyle name="Normal 2 5 7 3 4 2" xfId="15173" xr:uid="{00000000-0005-0000-0000-000082220000}"/>
    <cellStyle name="Normal 2 5 7 3 5" xfId="9914" xr:uid="{00000000-0005-0000-0000-000083220000}"/>
    <cellStyle name="Normal 2 5 7 3 5 2" xfId="18741" xr:uid="{00000000-0005-0000-0000-000084220000}"/>
    <cellStyle name="Normal 2 5 7 3 6" xfId="11358" xr:uid="{00000000-0005-0000-0000-000085220000}"/>
    <cellStyle name="Normal 2 5 7 3 7" xfId="4567" xr:uid="{00000000-0005-0000-0000-000086220000}"/>
    <cellStyle name="Normal 2 5 7 4" xfId="1011" xr:uid="{00000000-0005-0000-0000-000087220000}"/>
    <cellStyle name="Normal 2 5 7 4 2" xfId="2731" xr:uid="{00000000-0005-0000-0000-000088220000}"/>
    <cellStyle name="Normal 2 5 7 4 2 2" xfId="16271" xr:uid="{00000000-0005-0000-0000-000089220000}"/>
    <cellStyle name="Normal 2 5 7 4 2 3" xfId="12693" xr:uid="{00000000-0005-0000-0000-00008A220000}"/>
    <cellStyle name="Normal 2 5 7 4 2 4" xfId="7403" xr:uid="{00000000-0005-0000-0000-00008B220000}"/>
    <cellStyle name="Normal 2 5 7 4 3" xfId="3999" xr:uid="{00000000-0005-0000-0000-00008C220000}"/>
    <cellStyle name="Normal 2 5 7 4 3 2" xfId="17644" xr:uid="{00000000-0005-0000-0000-00008D220000}"/>
    <cellStyle name="Normal 2 5 7 4 3 3" xfId="14065" xr:uid="{00000000-0005-0000-0000-00008E220000}"/>
    <cellStyle name="Normal 2 5 7 4 3 4" xfId="8808" xr:uid="{00000000-0005-0000-0000-00008F220000}"/>
    <cellStyle name="Normal 2 5 7 4 4" xfId="6519" xr:uid="{00000000-0005-0000-0000-000090220000}"/>
    <cellStyle name="Normal 2 5 7 4 4 2" xfId="15603" xr:uid="{00000000-0005-0000-0000-000091220000}"/>
    <cellStyle name="Normal 2 5 7 4 5" xfId="10262" xr:uid="{00000000-0005-0000-0000-000092220000}"/>
    <cellStyle name="Normal 2 5 7 4 5 2" xfId="19089" xr:uid="{00000000-0005-0000-0000-000093220000}"/>
    <cellStyle name="Normal 2 5 7 4 6" xfId="11708" xr:uid="{00000000-0005-0000-0000-000094220000}"/>
    <cellStyle name="Normal 2 5 7 4 7" xfId="4997" xr:uid="{00000000-0005-0000-0000-000095220000}"/>
    <cellStyle name="Normal 2 5 7 5" xfId="1396" xr:uid="{00000000-0005-0000-0000-000096220000}"/>
    <cellStyle name="Normal 2 5 7 5 2" xfId="3001" xr:uid="{00000000-0005-0000-0000-000097220000}"/>
    <cellStyle name="Normal 2 5 7 5 2 2" xfId="16550" xr:uid="{00000000-0005-0000-0000-000098220000}"/>
    <cellStyle name="Normal 2 5 7 5 2 3" xfId="12971" xr:uid="{00000000-0005-0000-0000-000099220000}"/>
    <cellStyle name="Normal 2 5 7 5 2 4" xfId="7682" xr:uid="{00000000-0005-0000-0000-00009A220000}"/>
    <cellStyle name="Normal 2 5 7 5 3" xfId="4209" xr:uid="{00000000-0005-0000-0000-00009B220000}"/>
    <cellStyle name="Normal 2 5 7 5 3 2" xfId="17914" xr:uid="{00000000-0005-0000-0000-00009C220000}"/>
    <cellStyle name="Normal 2 5 7 5 3 3" xfId="14335" xr:uid="{00000000-0005-0000-0000-00009D220000}"/>
    <cellStyle name="Normal 2 5 7 5 3 4" xfId="9078" xr:uid="{00000000-0005-0000-0000-00009E220000}"/>
    <cellStyle name="Normal 2 5 7 5 4" xfId="5975" xr:uid="{00000000-0005-0000-0000-00009F220000}"/>
    <cellStyle name="Normal 2 5 7 5 4 2" xfId="15061" xr:uid="{00000000-0005-0000-0000-0000A0220000}"/>
    <cellStyle name="Normal 2 5 7 5 5" xfId="10532" xr:uid="{00000000-0005-0000-0000-0000A1220000}"/>
    <cellStyle name="Normal 2 5 7 5 5 2" xfId="19359" xr:uid="{00000000-0005-0000-0000-0000A2220000}"/>
    <cellStyle name="Normal 2 5 7 5 6" xfId="11978" xr:uid="{00000000-0005-0000-0000-0000A3220000}"/>
    <cellStyle name="Normal 2 5 7 5 7" xfId="5276" xr:uid="{00000000-0005-0000-0000-0000A4220000}"/>
    <cellStyle name="Normal 2 5 7 6" xfId="1958" xr:uid="{00000000-0005-0000-0000-0000A5220000}"/>
    <cellStyle name="Normal 2 5 7 6 2" xfId="15904" xr:uid="{00000000-0005-0000-0000-0000A6220000}"/>
    <cellStyle name="Normal 2 5 7 6 3" xfId="12416" xr:uid="{00000000-0005-0000-0000-0000A7220000}"/>
    <cellStyle name="Normal 2 5 7 6 4" xfId="6861" xr:uid="{00000000-0005-0000-0000-0000A8220000}"/>
    <cellStyle name="Normal 2 5 7 7" xfId="3372" xr:uid="{00000000-0005-0000-0000-0000A9220000}"/>
    <cellStyle name="Normal 2 5 7 7 2" xfId="16871" xr:uid="{00000000-0005-0000-0000-0000AA220000}"/>
    <cellStyle name="Normal 2 5 7 7 3" xfId="13292" xr:uid="{00000000-0005-0000-0000-0000AB220000}"/>
    <cellStyle name="Normal 2 5 7 7 4" xfId="8035" xr:uid="{00000000-0005-0000-0000-0000AC220000}"/>
    <cellStyle name="Normal 2 5 7 8" xfId="5596" xr:uid="{00000000-0005-0000-0000-0000AD220000}"/>
    <cellStyle name="Normal 2 5 7 8 2" xfId="14682" xr:uid="{00000000-0005-0000-0000-0000AE220000}"/>
    <cellStyle name="Normal 2 5 7 9" xfId="9489" xr:uid="{00000000-0005-0000-0000-0000AF220000}"/>
    <cellStyle name="Normal 2 5 7 9 2" xfId="18316" xr:uid="{00000000-0005-0000-0000-0000B0220000}"/>
    <cellStyle name="Normal 2 5 7_Degree data" xfId="1322" xr:uid="{00000000-0005-0000-0000-0000B1220000}"/>
    <cellStyle name="Normal 2 5 8" xfId="452" xr:uid="{00000000-0005-0000-0000-0000B2220000}"/>
    <cellStyle name="Normal 2 5 8 10" xfId="4511" xr:uid="{00000000-0005-0000-0000-0000B3220000}"/>
    <cellStyle name="Normal 2 5 8 2" xfId="655" xr:uid="{00000000-0005-0000-0000-0000B4220000}"/>
    <cellStyle name="Normal 2 5 8 2 2" xfId="2385" xr:uid="{00000000-0005-0000-0000-0000B5220000}"/>
    <cellStyle name="Normal 2 5 8 2 2 2" xfId="16103" xr:uid="{00000000-0005-0000-0000-0000B6220000}"/>
    <cellStyle name="Normal 2 5 8 2 2 3" xfId="12525" xr:uid="{00000000-0005-0000-0000-0000B7220000}"/>
    <cellStyle name="Normal 2 5 8 2 2 4" xfId="7234" xr:uid="{00000000-0005-0000-0000-0000B8220000}"/>
    <cellStyle name="Normal 2 5 8 2 3" xfId="3652" xr:uid="{00000000-0005-0000-0000-0000B9220000}"/>
    <cellStyle name="Normal 2 5 8 2 3 2" xfId="17298" xr:uid="{00000000-0005-0000-0000-0000BA220000}"/>
    <cellStyle name="Normal 2 5 8 2 3 3" xfId="13719" xr:uid="{00000000-0005-0000-0000-0000BB220000}"/>
    <cellStyle name="Normal 2 5 8 2 3 4" xfId="8462" xr:uid="{00000000-0005-0000-0000-0000BC220000}"/>
    <cellStyle name="Normal 2 5 8 2 4" xfId="6350" xr:uid="{00000000-0005-0000-0000-0000BD220000}"/>
    <cellStyle name="Normal 2 5 8 2 4 2" xfId="15434" xr:uid="{00000000-0005-0000-0000-0000BE220000}"/>
    <cellStyle name="Normal 2 5 8 2 5" xfId="9916" xr:uid="{00000000-0005-0000-0000-0000BF220000}"/>
    <cellStyle name="Normal 2 5 8 2 5 2" xfId="18743" xr:uid="{00000000-0005-0000-0000-0000C0220000}"/>
    <cellStyle name="Normal 2 5 8 2 6" xfId="11360" xr:uid="{00000000-0005-0000-0000-0000C1220000}"/>
    <cellStyle name="Normal 2 5 8 2 7" xfId="4828" xr:uid="{00000000-0005-0000-0000-0000C2220000}"/>
    <cellStyle name="Normal 2 5 8 3" xfId="1013" xr:uid="{00000000-0005-0000-0000-0000C3220000}"/>
    <cellStyle name="Normal 2 5 8 3 2" xfId="2733" xr:uid="{00000000-0005-0000-0000-0000C4220000}"/>
    <cellStyle name="Normal 2 5 8 3 2 2" xfId="16273" xr:uid="{00000000-0005-0000-0000-0000C5220000}"/>
    <cellStyle name="Normal 2 5 8 3 2 3" xfId="12695" xr:uid="{00000000-0005-0000-0000-0000C6220000}"/>
    <cellStyle name="Normal 2 5 8 3 2 4" xfId="7405" xr:uid="{00000000-0005-0000-0000-0000C7220000}"/>
    <cellStyle name="Normal 2 5 8 3 3" xfId="4001" xr:uid="{00000000-0005-0000-0000-0000C8220000}"/>
    <cellStyle name="Normal 2 5 8 3 3 2" xfId="17646" xr:uid="{00000000-0005-0000-0000-0000C9220000}"/>
    <cellStyle name="Normal 2 5 8 3 3 3" xfId="14067" xr:uid="{00000000-0005-0000-0000-0000CA220000}"/>
    <cellStyle name="Normal 2 5 8 3 3 4" xfId="8810" xr:uid="{00000000-0005-0000-0000-0000CB220000}"/>
    <cellStyle name="Normal 2 5 8 3 4" xfId="6521" xr:uid="{00000000-0005-0000-0000-0000CC220000}"/>
    <cellStyle name="Normal 2 5 8 3 4 2" xfId="15605" xr:uid="{00000000-0005-0000-0000-0000CD220000}"/>
    <cellStyle name="Normal 2 5 8 3 5" xfId="10264" xr:uid="{00000000-0005-0000-0000-0000CE220000}"/>
    <cellStyle name="Normal 2 5 8 3 5 2" xfId="19091" xr:uid="{00000000-0005-0000-0000-0000CF220000}"/>
    <cellStyle name="Normal 2 5 8 3 6" xfId="11710" xr:uid="{00000000-0005-0000-0000-0000D0220000}"/>
    <cellStyle name="Normal 2 5 8 3 7" xfId="4999" xr:uid="{00000000-0005-0000-0000-0000D1220000}"/>
    <cellStyle name="Normal 2 5 8 4" xfId="1666" xr:uid="{00000000-0005-0000-0000-0000D2220000}"/>
    <cellStyle name="Normal 2 5 8 4 2" xfId="3262" xr:uid="{00000000-0005-0000-0000-0000D3220000}"/>
    <cellStyle name="Normal 2 5 8 4 2 2" xfId="16811" xr:uid="{00000000-0005-0000-0000-0000D4220000}"/>
    <cellStyle name="Normal 2 5 8 4 2 3" xfId="13232" xr:uid="{00000000-0005-0000-0000-0000D5220000}"/>
    <cellStyle name="Normal 2 5 8 4 2 4" xfId="7943" xr:uid="{00000000-0005-0000-0000-0000D6220000}"/>
    <cellStyle name="Normal 2 5 8 4 3" xfId="4325" xr:uid="{00000000-0005-0000-0000-0000D7220000}"/>
    <cellStyle name="Normal 2 5 8 4 3 2" xfId="18175" xr:uid="{00000000-0005-0000-0000-0000D8220000}"/>
    <cellStyle name="Normal 2 5 8 4 3 3" xfId="14596" xr:uid="{00000000-0005-0000-0000-0000D9220000}"/>
    <cellStyle name="Normal 2 5 8 4 3 4" xfId="9339" xr:uid="{00000000-0005-0000-0000-0000DA220000}"/>
    <cellStyle name="Normal 2 5 8 4 4" xfId="6031" xr:uid="{00000000-0005-0000-0000-0000DB220000}"/>
    <cellStyle name="Normal 2 5 8 4 4 2" xfId="15117" xr:uid="{00000000-0005-0000-0000-0000DC220000}"/>
    <cellStyle name="Normal 2 5 8 4 5" xfId="10793" xr:uid="{00000000-0005-0000-0000-0000DD220000}"/>
    <cellStyle name="Normal 2 5 8 4 5 2" xfId="19620" xr:uid="{00000000-0005-0000-0000-0000DE220000}"/>
    <cellStyle name="Normal 2 5 8 4 6" xfId="12239" xr:uid="{00000000-0005-0000-0000-0000DF220000}"/>
    <cellStyle name="Normal 2 5 8 4 7" xfId="5537" xr:uid="{00000000-0005-0000-0000-0000E0220000}"/>
    <cellStyle name="Normal 2 5 8 5" xfId="2219" xr:uid="{00000000-0005-0000-0000-0000E1220000}"/>
    <cellStyle name="Normal 2 5 8 5 2" xfId="15960" xr:uid="{00000000-0005-0000-0000-0000E2220000}"/>
    <cellStyle name="Normal 2 5 8 5 3" xfId="12487" xr:uid="{00000000-0005-0000-0000-0000E3220000}"/>
    <cellStyle name="Normal 2 5 8 5 4" xfId="6917" xr:uid="{00000000-0005-0000-0000-0000E4220000}"/>
    <cellStyle name="Normal 2 5 8 6" xfId="3487" xr:uid="{00000000-0005-0000-0000-0000E5220000}"/>
    <cellStyle name="Normal 2 5 8 6 2" xfId="17132" xr:uid="{00000000-0005-0000-0000-0000E6220000}"/>
    <cellStyle name="Normal 2 5 8 6 3" xfId="13553" xr:uid="{00000000-0005-0000-0000-0000E7220000}"/>
    <cellStyle name="Normal 2 5 8 6 4" xfId="8296" xr:uid="{00000000-0005-0000-0000-0000E8220000}"/>
    <cellStyle name="Normal 2 5 8 7" xfId="5857" xr:uid="{00000000-0005-0000-0000-0000E9220000}"/>
    <cellStyle name="Normal 2 5 8 7 2" xfId="14943" xr:uid="{00000000-0005-0000-0000-0000EA220000}"/>
    <cellStyle name="Normal 2 5 8 8" xfId="9750" xr:uid="{00000000-0005-0000-0000-0000EB220000}"/>
    <cellStyle name="Normal 2 5 8 8 2" xfId="18577" xr:uid="{00000000-0005-0000-0000-0000EC220000}"/>
    <cellStyle name="Normal 2 5 8 9" xfId="11194" xr:uid="{00000000-0005-0000-0000-0000ED220000}"/>
    <cellStyle name="Normal 2 5 8_Degree data" xfId="1213" xr:uid="{00000000-0005-0000-0000-0000EE220000}"/>
    <cellStyle name="Normal 2 5 9" xfId="290" xr:uid="{00000000-0005-0000-0000-0000EF220000}"/>
    <cellStyle name="Normal 2 5 9 2" xfId="656" xr:uid="{00000000-0005-0000-0000-0000F0220000}"/>
    <cellStyle name="Normal 2 5 9 2 2" xfId="2386" xr:uid="{00000000-0005-0000-0000-0000F1220000}"/>
    <cellStyle name="Normal 2 5 9 2 2 2" xfId="16274" xr:uid="{00000000-0005-0000-0000-0000F2220000}"/>
    <cellStyle name="Normal 2 5 9 2 2 3" xfId="12696" xr:uid="{00000000-0005-0000-0000-0000F3220000}"/>
    <cellStyle name="Normal 2 5 9 2 2 4" xfId="7406" xr:uid="{00000000-0005-0000-0000-0000F4220000}"/>
    <cellStyle name="Normal 2 5 9 2 3" xfId="3653" xr:uid="{00000000-0005-0000-0000-0000F5220000}"/>
    <cellStyle name="Normal 2 5 9 2 3 2" xfId="17299" xr:uid="{00000000-0005-0000-0000-0000F6220000}"/>
    <cellStyle name="Normal 2 5 9 2 3 3" xfId="13720" xr:uid="{00000000-0005-0000-0000-0000F7220000}"/>
    <cellStyle name="Normal 2 5 9 2 3 4" xfId="8463" xr:uid="{00000000-0005-0000-0000-0000F8220000}"/>
    <cellStyle name="Normal 2 5 9 2 4" xfId="6522" xr:uid="{00000000-0005-0000-0000-0000F9220000}"/>
    <cellStyle name="Normal 2 5 9 2 4 2" xfId="15606" xr:uid="{00000000-0005-0000-0000-0000FA220000}"/>
    <cellStyle name="Normal 2 5 9 2 5" xfId="9917" xr:uid="{00000000-0005-0000-0000-0000FB220000}"/>
    <cellStyle name="Normal 2 5 9 2 5 2" xfId="18744" xr:uid="{00000000-0005-0000-0000-0000FC220000}"/>
    <cellStyle name="Normal 2 5 9 2 6" xfId="11361" xr:uid="{00000000-0005-0000-0000-0000FD220000}"/>
    <cellStyle name="Normal 2 5 9 2 7" xfId="5000" xr:uid="{00000000-0005-0000-0000-0000FE220000}"/>
    <cellStyle name="Normal 2 5 9 3" xfId="1014" xr:uid="{00000000-0005-0000-0000-0000FF220000}"/>
    <cellStyle name="Normal 2 5 9 3 2" xfId="2734" xr:uid="{00000000-0005-0000-0000-000000230000}"/>
    <cellStyle name="Normal 2 5 9 3 2 2" xfId="16650" xr:uid="{00000000-0005-0000-0000-000001230000}"/>
    <cellStyle name="Normal 2 5 9 3 2 3" xfId="13071" xr:uid="{00000000-0005-0000-0000-000002230000}"/>
    <cellStyle name="Normal 2 5 9 3 2 4" xfId="7782" xr:uid="{00000000-0005-0000-0000-000003230000}"/>
    <cellStyle name="Normal 2 5 9 3 3" xfId="4002" xr:uid="{00000000-0005-0000-0000-000004230000}"/>
    <cellStyle name="Normal 2 5 9 3 3 2" xfId="17647" xr:uid="{00000000-0005-0000-0000-000005230000}"/>
    <cellStyle name="Normal 2 5 9 3 3 3" xfId="14068" xr:uid="{00000000-0005-0000-0000-000006230000}"/>
    <cellStyle name="Normal 2 5 9 3 3 4" xfId="8811" xr:uid="{00000000-0005-0000-0000-000007230000}"/>
    <cellStyle name="Normal 2 5 9 3 4" xfId="6189" xr:uid="{00000000-0005-0000-0000-000008230000}"/>
    <cellStyle name="Normal 2 5 9 3 4 2" xfId="15273" xr:uid="{00000000-0005-0000-0000-000009230000}"/>
    <cellStyle name="Normal 2 5 9 3 5" xfId="10265" xr:uid="{00000000-0005-0000-0000-00000A230000}"/>
    <cellStyle name="Normal 2 5 9 3 5 2" xfId="19092" xr:uid="{00000000-0005-0000-0000-00000B230000}"/>
    <cellStyle name="Normal 2 5 9 3 6" xfId="11711" xr:uid="{00000000-0005-0000-0000-00000C230000}"/>
    <cellStyle name="Normal 2 5 9 3 7" xfId="5376" xr:uid="{00000000-0005-0000-0000-00000D230000}"/>
    <cellStyle name="Normal 2 5 9 4" xfId="1502" xr:uid="{00000000-0005-0000-0000-00000E230000}"/>
    <cellStyle name="Normal 2 5 9 4 2" xfId="3101" xr:uid="{00000000-0005-0000-0000-00000F230000}"/>
    <cellStyle name="Normal 2 5 9 4 2 2" xfId="18014" xr:uid="{00000000-0005-0000-0000-000010230000}"/>
    <cellStyle name="Normal 2 5 9 4 2 3" xfId="14435" xr:uid="{00000000-0005-0000-0000-000011230000}"/>
    <cellStyle name="Normal 2 5 9 4 2 4" xfId="9178" xr:uid="{00000000-0005-0000-0000-000012230000}"/>
    <cellStyle name="Normal 2 5 9 4 3" xfId="10632" xr:uid="{00000000-0005-0000-0000-000013230000}"/>
    <cellStyle name="Normal 2 5 9 4 3 2" xfId="19459" xr:uid="{00000000-0005-0000-0000-000014230000}"/>
    <cellStyle name="Normal 2 5 9 4 4" xfId="12078" xr:uid="{00000000-0005-0000-0000-000015230000}"/>
    <cellStyle name="Normal 2 5 9 4 5" xfId="7073" xr:uid="{00000000-0005-0000-0000-000016230000}"/>
    <cellStyle name="Normal 2 5 9 5" xfId="2058" xr:uid="{00000000-0005-0000-0000-000017230000}"/>
    <cellStyle name="Normal 2 5 9 5 2" xfId="16971" xr:uid="{00000000-0005-0000-0000-000018230000}"/>
    <cellStyle name="Normal 2 5 9 5 3" xfId="13392" xr:uid="{00000000-0005-0000-0000-000019230000}"/>
    <cellStyle name="Normal 2 5 9 5 4" xfId="8135" xr:uid="{00000000-0005-0000-0000-00001A230000}"/>
    <cellStyle name="Normal 2 5 9 6" xfId="5696" xr:uid="{00000000-0005-0000-0000-00001B230000}"/>
    <cellStyle name="Normal 2 5 9 6 2" xfId="14782" xr:uid="{00000000-0005-0000-0000-00001C230000}"/>
    <cellStyle name="Normal 2 5 9 7" xfId="9589" xr:uid="{00000000-0005-0000-0000-00001D230000}"/>
    <cellStyle name="Normal 2 5 9 7 2" xfId="18416" xr:uid="{00000000-0005-0000-0000-00001E230000}"/>
    <cellStyle name="Normal 2 5 9 8" xfId="11033" xr:uid="{00000000-0005-0000-0000-00001F230000}"/>
    <cellStyle name="Normal 2 5 9 9" xfId="4667" xr:uid="{00000000-0005-0000-0000-000020230000}"/>
    <cellStyle name="Normal 2 5 9_Degree data" xfId="1212" xr:uid="{00000000-0005-0000-0000-000021230000}"/>
    <cellStyle name="Normal 2 5_Degree data" xfId="1554" xr:uid="{00000000-0005-0000-0000-000022230000}"/>
    <cellStyle name="Normal 2 6" xfId="279" xr:uid="{00000000-0005-0000-0000-000023230000}"/>
    <cellStyle name="Normal 2 6 2" xfId="657" xr:uid="{00000000-0005-0000-0000-000024230000}"/>
    <cellStyle name="Normal 2 6 3" xfId="3309" xr:uid="{00000000-0005-0000-0000-000025230000}"/>
    <cellStyle name="Normal 2 6 4" xfId="494" xr:uid="{00000000-0005-0000-0000-000026230000}"/>
    <cellStyle name="Normal 2 6_Degree data" xfId="1211" xr:uid="{00000000-0005-0000-0000-000027230000}"/>
    <cellStyle name="Normal 2 7" xfId="3339" xr:uid="{00000000-0005-0000-0000-000028230000}"/>
    <cellStyle name="Normal 20" xfId="74" xr:uid="{00000000-0005-0000-0000-000029230000}"/>
    <cellStyle name="Normal 207" xfId="19660" xr:uid="{00000000-0005-0000-0000-00002A230000}"/>
    <cellStyle name="Normal 208" xfId="19661" xr:uid="{00000000-0005-0000-0000-00002B230000}"/>
    <cellStyle name="Normal 209" xfId="19662" xr:uid="{00000000-0005-0000-0000-00002C230000}"/>
    <cellStyle name="Normal 21" xfId="75" xr:uid="{00000000-0005-0000-0000-00002D230000}"/>
    <cellStyle name="Normal 210" xfId="19663" xr:uid="{00000000-0005-0000-0000-00002E230000}"/>
    <cellStyle name="Normal 211" xfId="19664" xr:uid="{00000000-0005-0000-0000-00002F230000}"/>
    <cellStyle name="Normal 212" xfId="19665" xr:uid="{00000000-0005-0000-0000-000030230000}"/>
    <cellStyle name="Normal 213" xfId="19666" xr:uid="{00000000-0005-0000-0000-000031230000}"/>
    <cellStyle name="Normal 22" xfId="76" xr:uid="{00000000-0005-0000-0000-000032230000}"/>
    <cellStyle name="Normal 23" xfId="77" xr:uid="{00000000-0005-0000-0000-000033230000}"/>
    <cellStyle name="Normal 24" xfId="107" xr:uid="{00000000-0005-0000-0000-000034230000}"/>
    <cellStyle name="Normal 25" xfId="78" xr:uid="{00000000-0005-0000-0000-000035230000}"/>
    <cellStyle name="Normal 26" xfId="79" xr:uid="{00000000-0005-0000-0000-000036230000}"/>
    <cellStyle name="Normal 27" xfId="51" xr:uid="{00000000-0005-0000-0000-000037230000}"/>
    <cellStyle name="Normal 28" xfId="52" xr:uid="{00000000-0005-0000-0000-000038230000}"/>
    <cellStyle name="Normal 29" xfId="53" xr:uid="{00000000-0005-0000-0000-000039230000}"/>
    <cellStyle name="Normal 3" xfId="25" xr:uid="{00000000-0005-0000-0000-00003A230000}"/>
    <cellStyle name="Normal 3 10" xfId="19629" xr:uid="{00000000-0005-0000-0000-00003B230000}"/>
    <cellStyle name="Normal 3 2" xfId="121" xr:uid="{00000000-0005-0000-0000-00003C230000}"/>
    <cellStyle name="Normal 3 2 2" xfId="282" xr:uid="{00000000-0005-0000-0000-00003D230000}"/>
    <cellStyle name="Normal 3 2 2 10" xfId="4515" xr:uid="{00000000-0005-0000-0000-00003E230000}"/>
    <cellStyle name="Normal 3 2 2 2" xfId="658" xr:uid="{00000000-0005-0000-0000-00003F230000}"/>
    <cellStyle name="Normal 3 2 2 2 2" xfId="2387" xr:uid="{00000000-0005-0000-0000-000040230000}"/>
    <cellStyle name="Normal 3 2 2 2 2 2" xfId="16107" xr:uid="{00000000-0005-0000-0000-000041230000}"/>
    <cellStyle name="Normal 3 2 2 2 2 3" xfId="12529" xr:uid="{00000000-0005-0000-0000-000042230000}"/>
    <cellStyle name="Normal 3 2 2 2 2 4" xfId="7238" xr:uid="{00000000-0005-0000-0000-000043230000}"/>
    <cellStyle name="Normal 3 2 2 2 3" xfId="3654" xr:uid="{00000000-0005-0000-0000-000044230000}"/>
    <cellStyle name="Normal 3 2 2 2 3 2" xfId="17300" xr:uid="{00000000-0005-0000-0000-000045230000}"/>
    <cellStyle name="Normal 3 2 2 2 3 3" xfId="13721" xr:uid="{00000000-0005-0000-0000-000046230000}"/>
    <cellStyle name="Normal 3 2 2 2 3 4" xfId="8464" xr:uid="{00000000-0005-0000-0000-000047230000}"/>
    <cellStyle name="Normal 3 2 2 2 4" xfId="6354" xr:uid="{00000000-0005-0000-0000-000048230000}"/>
    <cellStyle name="Normal 3 2 2 2 4 2" xfId="15438" xr:uid="{00000000-0005-0000-0000-000049230000}"/>
    <cellStyle name="Normal 3 2 2 2 5" xfId="9918" xr:uid="{00000000-0005-0000-0000-00004A230000}"/>
    <cellStyle name="Normal 3 2 2 2 5 2" xfId="18745" xr:uid="{00000000-0005-0000-0000-00004B230000}"/>
    <cellStyle name="Normal 3 2 2 2 6" xfId="11363" xr:uid="{00000000-0005-0000-0000-00004C230000}"/>
    <cellStyle name="Normal 3 2 2 2 7" xfId="4832" xr:uid="{00000000-0005-0000-0000-00004D230000}"/>
    <cellStyle name="Normal 3 2 2 3" xfId="1015" xr:uid="{00000000-0005-0000-0000-00004E230000}"/>
    <cellStyle name="Normal 3 2 2 3 2" xfId="2735" xr:uid="{00000000-0005-0000-0000-00004F230000}"/>
    <cellStyle name="Normal 3 2 2 3 2 2" xfId="16275" xr:uid="{00000000-0005-0000-0000-000050230000}"/>
    <cellStyle name="Normal 3 2 2 3 2 3" xfId="12697" xr:uid="{00000000-0005-0000-0000-000051230000}"/>
    <cellStyle name="Normal 3 2 2 3 2 4" xfId="7407" xr:uid="{00000000-0005-0000-0000-000052230000}"/>
    <cellStyle name="Normal 3 2 2 3 3" xfId="4003" xr:uid="{00000000-0005-0000-0000-000053230000}"/>
    <cellStyle name="Normal 3 2 2 3 3 2" xfId="17648" xr:uid="{00000000-0005-0000-0000-000054230000}"/>
    <cellStyle name="Normal 3 2 2 3 3 3" xfId="14069" xr:uid="{00000000-0005-0000-0000-000055230000}"/>
    <cellStyle name="Normal 3 2 2 3 3 4" xfId="8812" xr:uid="{00000000-0005-0000-0000-000056230000}"/>
    <cellStyle name="Normal 3 2 2 3 4" xfId="6523" xr:uid="{00000000-0005-0000-0000-000057230000}"/>
    <cellStyle name="Normal 3 2 2 3 4 2" xfId="15607" xr:uid="{00000000-0005-0000-0000-000058230000}"/>
    <cellStyle name="Normal 3 2 2 3 5" xfId="10266" xr:uid="{00000000-0005-0000-0000-000059230000}"/>
    <cellStyle name="Normal 3 2 2 3 5 2" xfId="19093" xr:uid="{00000000-0005-0000-0000-00005A230000}"/>
    <cellStyle name="Normal 3 2 2 3 6" xfId="11712" xr:uid="{00000000-0005-0000-0000-00005B230000}"/>
    <cellStyle name="Normal 3 2 2 3 7" xfId="5001" xr:uid="{00000000-0005-0000-0000-00005C230000}"/>
    <cellStyle name="Normal 3 2 2 4" xfId="1673" xr:uid="{00000000-0005-0000-0000-00005D230000}"/>
    <cellStyle name="Normal 3 2 2 4 2" xfId="3266" xr:uid="{00000000-0005-0000-0000-00005E230000}"/>
    <cellStyle name="Normal 3 2 2 4 2 2" xfId="16815" xr:uid="{00000000-0005-0000-0000-00005F230000}"/>
    <cellStyle name="Normal 3 2 2 4 2 3" xfId="13236" xr:uid="{00000000-0005-0000-0000-000060230000}"/>
    <cellStyle name="Normal 3 2 2 4 2 4" xfId="7947" xr:uid="{00000000-0005-0000-0000-000061230000}"/>
    <cellStyle name="Normal 3 2 2 4 3" xfId="4329" xr:uid="{00000000-0005-0000-0000-000062230000}"/>
    <cellStyle name="Normal 3 2 2 4 3 2" xfId="18179" xr:uid="{00000000-0005-0000-0000-000063230000}"/>
    <cellStyle name="Normal 3 2 2 4 3 3" xfId="14600" xr:uid="{00000000-0005-0000-0000-000064230000}"/>
    <cellStyle name="Normal 3 2 2 4 3 4" xfId="9343" xr:uid="{00000000-0005-0000-0000-000065230000}"/>
    <cellStyle name="Normal 3 2 2 4 4" xfId="6035" xr:uid="{00000000-0005-0000-0000-000066230000}"/>
    <cellStyle name="Normal 3 2 2 4 4 2" xfId="15121" xr:uid="{00000000-0005-0000-0000-000067230000}"/>
    <cellStyle name="Normal 3 2 2 4 5" xfId="10797" xr:uid="{00000000-0005-0000-0000-000068230000}"/>
    <cellStyle name="Normal 3 2 2 4 5 2" xfId="19624" xr:uid="{00000000-0005-0000-0000-000069230000}"/>
    <cellStyle name="Normal 3 2 2 4 6" xfId="12243" xr:uid="{00000000-0005-0000-0000-00006A230000}"/>
    <cellStyle name="Normal 3 2 2 4 7" xfId="5541" xr:uid="{00000000-0005-0000-0000-00006B230000}"/>
    <cellStyle name="Normal 3 2 2 5" xfId="2223" xr:uid="{00000000-0005-0000-0000-00006C230000}"/>
    <cellStyle name="Normal 3 2 2 5 2" xfId="15964" xr:uid="{00000000-0005-0000-0000-00006D230000}"/>
    <cellStyle name="Normal 3 2 2 5 3" xfId="12270" xr:uid="{00000000-0005-0000-0000-00006E230000}"/>
    <cellStyle name="Normal 3 2 2 5 4" xfId="6921" xr:uid="{00000000-0005-0000-0000-00006F230000}"/>
    <cellStyle name="Normal 3 2 2 6" xfId="3491" xr:uid="{00000000-0005-0000-0000-000070230000}"/>
    <cellStyle name="Normal 3 2 2 6 2" xfId="17136" xr:uid="{00000000-0005-0000-0000-000071230000}"/>
    <cellStyle name="Normal 3 2 2 6 3" xfId="13557" xr:uid="{00000000-0005-0000-0000-000072230000}"/>
    <cellStyle name="Normal 3 2 2 6 4" xfId="8300" xr:uid="{00000000-0005-0000-0000-000073230000}"/>
    <cellStyle name="Normal 3 2 2 7" xfId="5861" xr:uid="{00000000-0005-0000-0000-000074230000}"/>
    <cellStyle name="Normal 3 2 2 7 2" xfId="14947" xr:uid="{00000000-0005-0000-0000-000075230000}"/>
    <cellStyle name="Normal 3 2 2 8" xfId="9754" xr:uid="{00000000-0005-0000-0000-000076230000}"/>
    <cellStyle name="Normal 3 2 2 8 2" xfId="18581" xr:uid="{00000000-0005-0000-0000-000077230000}"/>
    <cellStyle name="Normal 3 2 2 9" xfId="11198" xr:uid="{00000000-0005-0000-0000-000078230000}"/>
    <cellStyle name="Normal 3 2 2_Degree data" xfId="1239" xr:uid="{00000000-0005-0000-0000-000079230000}"/>
    <cellStyle name="Normal 3 3" xfId="98" xr:uid="{00000000-0005-0000-0000-00007A230000}"/>
    <cellStyle name="Normal 3 4" xfId="3312" xr:uid="{00000000-0005-0000-0000-00007B230000}"/>
    <cellStyle name="Normal 3 5" xfId="3358" xr:uid="{00000000-0005-0000-0000-00007C230000}"/>
    <cellStyle name="Normal 3 6" xfId="3308" xr:uid="{00000000-0005-0000-0000-00007D230000}"/>
    <cellStyle name="Normal 3 7" xfId="3320" xr:uid="{00000000-0005-0000-0000-00007E230000}"/>
    <cellStyle name="Normal 3 8" xfId="3347" xr:uid="{00000000-0005-0000-0000-00007F230000}"/>
    <cellStyle name="Normal 3 9" xfId="4344" xr:uid="{00000000-0005-0000-0000-000080230000}"/>
    <cellStyle name="Normal 30" xfId="54" xr:uid="{00000000-0005-0000-0000-000081230000}"/>
    <cellStyle name="Normal 31" xfId="55" xr:uid="{00000000-0005-0000-0000-000082230000}"/>
    <cellStyle name="Normal 32" xfId="56" xr:uid="{00000000-0005-0000-0000-000083230000}"/>
    <cellStyle name="Normal 33" xfId="57" xr:uid="{00000000-0005-0000-0000-000084230000}"/>
    <cellStyle name="Normal 34" xfId="58" xr:uid="{00000000-0005-0000-0000-000085230000}"/>
    <cellStyle name="Normal 35" xfId="59" xr:uid="{00000000-0005-0000-0000-000086230000}"/>
    <cellStyle name="Normal 36" xfId="60" xr:uid="{00000000-0005-0000-0000-000087230000}"/>
    <cellStyle name="Normal 37" xfId="61" xr:uid="{00000000-0005-0000-0000-000088230000}"/>
    <cellStyle name="Normal 38" xfId="108" xr:uid="{00000000-0005-0000-0000-000089230000}"/>
    <cellStyle name="Normal 39" xfId="62" xr:uid="{00000000-0005-0000-0000-00008A230000}"/>
    <cellStyle name="Normal 4" xfId="12" xr:uid="{00000000-0005-0000-0000-00008B230000}"/>
    <cellStyle name="Normal 4 2" xfId="126" xr:uid="{00000000-0005-0000-0000-00008C230000}"/>
    <cellStyle name="Normal 4 2 2" xfId="281" xr:uid="{00000000-0005-0000-0000-00008D230000}"/>
    <cellStyle name="Normal 4 3" xfId="29" xr:uid="{00000000-0005-0000-0000-00008E230000}"/>
    <cellStyle name="Normal 4 4" xfId="277" xr:uid="{00000000-0005-0000-0000-00008F230000}"/>
    <cellStyle name="Normal 4 4 10" xfId="4512" xr:uid="{00000000-0005-0000-0000-000090230000}"/>
    <cellStyle name="Normal 4 4 2" xfId="659" xr:uid="{00000000-0005-0000-0000-000091230000}"/>
    <cellStyle name="Normal 4 4 2 2" xfId="2388" xr:uid="{00000000-0005-0000-0000-000092230000}"/>
    <cellStyle name="Normal 4 4 2 2 2" xfId="16104" xr:uid="{00000000-0005-0000-0000-000093230000}"/>
    <cellStyle name="Normal 4 4 2 2 3" xfId="12526" xr:uid="{00000000-0005-0000-0000-000094230000}"/>
    <cellStyle name="Normal 4 4 2 2 4" xfId="7235" xr:uid="{00000000-0005-0000-0000-000095230000}"/>
    <cellStyle name="Normal 4 4 2 3" xfId="3655" xr:uid="{00000000-0005-0000-0000-000096230000}"/>
    <cellStyle name="Normal 4 4 2 3 2" xfId="17301" xr:uid="{00000000-0005-0000-0000-000097230000}"/>
    <cellStyle name="Normal 4 4 2 3 3" xfId="13722" xr:uid="{00000000-0005-0000-0000-000098230000}"/>
    <cellStyle name="Normal 4 4 2 3 4" xfId="8465" xr:uid="{00000000-0005-0000-0000-000099230000}"/>
    <cellStyle name="Normal 4 4 2 4" xfId="6351" xr:uid="{00000000-0005-0000-0000-00009A230000}"/>
    <cellStyle name="Normal 4 4 2 4 2" xfId="15435" xr:uid="{00000000-0005-0000-0000-00009B230000}"/>
    <cellStyle name="Normal 4 4 2 5" xfId="9919" xr:uid="{00000000-0005-0000-0000-00009C230000}"/>
    <cellStyle name="Normal 4 4 2 5 2" xfId="18746" xr:uid="{00000000-0005-0000-0000-00009D230000}"/>
    <cellStyle name="Normal 4 4 2 6" xfId="11364" xr:uid="{00000000-0005-0000-0000-00009E230000}"/>
    <cellStyle name="Normal 4 4 2 7" xfId="4829" xr:uid="{00000000-0005-0000-0000-00009F230000}"/>
    <cellStyle name="Normal 4 4 3" xfId="1016" xr:uid="{00000000-0005-0000-0000-0000A0230000}"/>
    <cellStyle name="Normal 4 4 3 2" xfId="2736" xr:uid="{00000000-0005-0000-0000-0000A1230000}"/>
    <cellStyle name="Normal 4 4 3 2 2" xfId="16276" xr:uid="{00000000-0005-0000-0000-0000A2230000}"/>
    <cellStyle name="Normal 4 4 3 2 3" xfId="12698" xr:uid="{00000000-0005-0000-0000-0000A3230000}"/>
    <cellStyle name="Normal 4 4 3 2 4" xfId="7408" xr:uid="{00000000-0005-0000-0000-0000A4230000}"/>
    <cellStyle name="Normal 4 4 3 3" xfId="4004" xr:uid="{00000000-0005-0000-0000-0000A5230000}"/>
    <cellStyle name="Normal 4 4 3 3 2" xfId="17649" xr:uid="{00000000-0005-0000-0000-0000A6230000}"/>
    <cellStyle name="Normal 4 4 3 3 3" xfId="14070" xr:uid="{00000000-0005-0000-0000-0000A7230000}"/>
    <cellStyle name="Normal 4 4 3 3 4" xfId="8813" xr:uid="{00000000-0005-0000-0000-0000A8230000}"/>
    <cellStyle name="Normal 4 4 3 4" xfId="6524" xr:uid="{00000000-0005-0000-0000-0000A9230000}"/>
    <cellStyle name="Normal 4 4 3 4 2" xfId="15608" xr:uid="{00000000-0005-0000-0000-0000AA230000}"/>
    <cellStyle name="Normal 4 4 3 5" xfId="10267" xr:uid="{00000000-0005-0000-0000-0000AB230000}"/>
    <cellStyle name="Normal 4 4 3 5 2" xfId="19094" xr:uid="{00000000-0005-0000-0000-0000AC230000}"/>
    <cellStyle name="Normal 4 4 3 6" xfId="11713" xr:uid="{00000000-0005-0000-0000-0000AD230000}"/>
    <cellStyle name="Normal 4 4 3 7" xfId="5002" xr:uid="{00000000-0005-0000-0000-0000AE230000}"/>
    <cellStyle name="Normal 4 4 4" xfId="1667" xr:uid="{00000000-0005-0000-0000-0000AF230000}"/>
    <cellStyle name="Normal 4 4 4 2" xfId="3263" xr:uid="{00000000-0005-0000-0000-0000B0230000}"/>
    <cellStyle name="Normal 4 4 4 2 2" xfId="16812" xr:uid="{00000000-0005-0000-0000-0000B1230000}"/>
    <cellStyle name="Normal 4 4 4 2 3" xfId="13233" xr:uid="{00000000-0005-0000-0000-0000B2230000}"/>
    <cellStyle name="Normal 4 4 4 2 4" xfId="7944" xr:uid="{00000000-0005-0000-0000-0000B3230000}"/>
    <cellStyle name="Normal 4 4 4 3" xfId="4326" xr:uid="{00000000-0005-0000-0000-0000B4230000}"/>
    <cellStyle name="Normal 4 4 4 3 2" xfId="18176" xr:uid="{00000000-0005-0000-0000-0000B5230000}"/>
    <cellStyle name="Normal 4 4 4 3 3" xfId="14597" xr:uid="{00000000-0005-0000-0000-0000B6230000}"/>
    <cellStyle name="Normal 4 4 4 3 4" xfId="9340" xr:uid="{00000000-0005-0000-0000-0000B7230000}"/>
    <cellStyle name="Normal 4 4 4 4" xfId="6032" xr:uid="{00000000-0005-0000-0000-0000B8230000}"/>
    <cellStyle name="Normal 4 4 4 4 2" xfId="15118" xr:uid="{00000000-0005-0000-0000-0000B9230000}"/>
    <cellStyle name="Normal 4 4 4 5" xfId="10794" xr:uid="{00000000-0005-0000-0000-0000BA230000}"/>
    <cellStyle name="Normal 4 4 4 5 2" xfId="19621" xr:uid="{00000000-0005-0000-0000-0000BB230000}"/>
    <cellStyle name="Normal 4 4 4 6" xfId="12240" xr:uid="{00000000-0005-0000-0000-0000BC230000}"/>
    <cellStyle name="Normal 4 4 4 7" xfId="5538" xr:uid="{00000000-0005-0000-0000-0000BD230000}"/>
    <cellStyle name="Normal 4 4 5" xfId="2220" xr:uid="{00000000-0005-0000-0000-0000BE230000}"/>
    <cellStyle name="Normal 4 4 5 2" xfId="15961" xr:uid="{00000000-0005-0000-0000-0000BF230000}"/>
    <cellStyle name="Normal 4 4 5 3" xfId="12403" xr:uid="{00000000-0005-0000-0000-0000C0230000}"/>
    <cellStyle name="Normal 4 4 5 4" xfId="6918" xr:uid="{00000000-0005-0000-0000-0000C1230000}"/>
    <cellStyle name="Normal 4 4 6" xfId="3488" xr:uid="{00000000-0005-0000-0000-0000C2230000}"/>
    <cellStyle name="Normal 4 4 6 2" xfId="17133" xr:uid="{00000000-0005-0000-0000-0000C3230000}"/>
    <cellStyle name="Normal 4 4 6 3" xfId="13554" xr:uid="{00000000-0005-0000-0000-0000C4230000}"/>
    <cellStyle name="Normal 4 4 6 4" xfId="8297" xr:uid="{00000000-0005-0000-0000-0000C5230000}"/>
    <cellStyle name="Normal 4 4 7" xfId="5858" xr:uid="{00000000-0005-0000-0000-0000C6230000}"/>
    <cellStyle name="Normal 4 4 7 2" xfId="14944" xr:uid="{00000000-0005-0000-0000-0000C7230000}"/>
    <cellStyle name="Normal 4 4 8" xfId="9751" xr:uid="{00000000-0005-0000-0000-0000C8230000}"/>
    <cellStyle name="Normal 4 4 8 2" xfId="18578" xr:uid="{00000000-0005-0000-0000-0000C9230000}"/>
    <cellStyle name="Normal 4 4 9" xfId="11195" xr:uid="{00000000-0005-0000-0000-0000CA230000}"/>
    <cellStyle name="Normal 4 4_Degree data" xfId="1238" xr:uid="{00000000-0005-0000-0000-0000CB230000}"/>
    <cellStyle name="Normal 40" xfId="63" xr:uid="{00000000-0005-0000-0000-0000CC230000}"/>
    <cellStyle name="Normal 41" xfId="64" xr:uid="{00000000-0005-0000-0000-0000CD230000}"/>
    <cellStyle name="Normal 42" xfId="65" xr:uid="{00000000-0005-0000-0000-0000CE230000}"/>
    <cellStyle name="Normal 43" xfId="66" xr:uid="{00000000-0005-0000-0000-0000CF230000}"/>
    <cellStyle name="Normal 44" xfId="67" xr:uid="{00000000-0005-0000-0000-0000D0230000}"/>
    <cellStyle name="Normal 45" xfId="68" xr:uid="{00000000-0005-0000-0000-0000D1230000}"/>
    <cellStyle name="Normal 46" xfId="69" xr:uid="{00000000-0005-0000-0000-0000D2230000}"/>
    <cellStyle name="Normal 47" xfId="70" xr:uid="{00000000-0005-0000-0000-0000D3230000}"/>
    <cellStyle name="Normal 48" xfId="71" xr:uid="{00000000-0005-0000-0000-0000D4230000}"/>
    <cellStyle name="Normal 49" xfId="80" xr:uid="{00000000-0005-0000-0000-0000D5230000}"/>
    <cellStyle name="Normal 5" xfId="84" xr:uid="{00000000-0005-0000-0000-0000D6230000}"/>
    <cellStyle name="Normal 5 10" xfId="1017" xr:uid="{00000000-0005-0000-0000-0000D7230000}"/>
    <cellStyle name="Normal 5 10 2" xfId="2737" xr:uid="{00000000-0005-0000-0000-0000D8230000}"/>
    <cellStyle name="Normal 5 10 2 2" xfId="16472" xr:uid="{00000000-0005-0000-0000-0000D9230000}"/>
    <cellStyle name="Normal 5 10 2 3" xfId="12894" xr:uid="{00000000-0005-0000-0000-0000DA230000}"/>
    <cellStyle name="Normal 5 10 2 4" xfId="7604" xr:uid="{00000000-0005-0000-0000-0000DB230000}"/>
    <cellStyle name="Normal 5 10 3" xfId="4005" xr:uid="{00000000-0005-0000-0000-0000DC230000}"/>
    <cellStyle name="Normal 5 10 3 2" xfId="17650" xr:uid="{00000000-0005-0000-0000-0000DD230000}"/>
    <cellStyle name="Normal 5 10 3 3" xfId="14071" xr:uid="{00000000-0005-0000-0000-0000DE230000}"/>
    <cellStyle name="Normal 5 10 3 4" xfId="8814" xr:uid="{00000000-0005-0000-0000-0000DF230000}"/>
    <cellStyle name="Normal 5 10 4" xfId="6724" xr:uid="{00000000-0005-0000-0000-0000E0230000}"/>
    <cellStyle name="Normal 5 10 4 2" xfId="15807" xr:uid="{00000000-0005-0000-0000-0000E1230000}"/>
    <cellStyle name="Normal 5 10 5" xfId="10268" xr:uid="{00000000-0005-0000-0000-0000E2230000}"/>
    <cellStyle name="Normal 5 10 5 2" xfId="19095" xr:uid="{00000000-0005-0000-0000-0000E3230000}"/>
    <cellStyle name="Normal 5 10 6" xfId="11714" xr:uid="{00000000-0005-0000-0000-0000E4230000}"/>
    <cellStyle name="Normal 5 10 7" xfId="5198" xr:uid="{00000000-0005-0000-0000-0000E5230000}"/>
    <cellStyle name="Normal 5 11" xfId="1256" xr:uid="{00000000-0005-0000-0000-0000E6230000}"/>
    <cellStyle name="Normal 5 11 2" xfId="2923" xr:uid="{00000000-0005-0000-0000-0000E7230000}"/>
    <cellStyle name="Normal 5 11 2 2" xfId="17836" xr:uid="{00000000-0005-0000-0000-0000E8230000}"/>
    <cellStyle name="Normal 5 11 2 3" xfId="14257" xr:uid="{00000000-0005-0000-0000-0000E9230000}"/>
    <cellStyle name="Normal 5 11 2 4" xfId="9000" xr:uid="{00000000-0005-0000-0000-0000EA230000}"/>
    <cellStyle name="Normal 5 11 3" xfId="10454" xr:uid="{00000000-0005-0000-0000-0000EB230000}"/>
    <cellStyle name="Normal 5 11 3 2" xfId="19281" xr:uid="{00000000-0005-0000-0000-0000EC230000}"/>
    <cellStyle name="Normal 5 11 4" xfId="11900" xr:uid="{00000000-0005-0000-0000-0000ED230000}"/>
    <cellStyle name="Normal 5 11 5" xfId="7950" xr:uid="{00000000-0005-0000-0000-0000EE230000}"/>
    <cellStyle name="Normal 5 12" xfId="1880" xr:uid="{00000000-0005-0000-0000-0000EF230000}"/>
    <cellStyle name="Normal 5 12 2" xfId="9411" xr:uid="{00000000-0005-0000-0000-0000F0230000}"/>
    <cellStyle name="Normal 5 12 2 2" xfId="18238" xr:uid="{00000000-0005-0000-0000-0000F1230000}"/>
    <cellStyle name="Normal 5 12 3" xfId="10855" xr:uid="{00000000-0005-0000-0000-0000F2230000}"/>
    <cellStyle name="Normal 5 12 4" xfId="7954" xr:uid="{00000000-0005-0000-0000-0000F3230000}"/>
    <cellStyle name="Normal 5 13" xfId="1831" xr:uid="{00000000-0005-0000-0000-0000F4230000}"/>
    <cellStyle name="Normal 5 13 2" xfId="14636" xr:uid="{00000000-0005-0000-0000-0000F5230000}"/>
    <cellStyle name="Normal 5 13 3" xfId="5550" xr:uid="{00000000-0005-0000-0000-0000F6230000}"/>
    <cellStyle name="Normal 5 14" xfId="9367" xr:uid="{00000000-0005-0000-0000-0000F7230000}"/>
    <cellStyle name="Normal 5 14 2" xfId="18194" xr:uid="{00000000-0005-0000-0000-0000F8230000}"/>
    <cellStyle name="Normal 5 15" xfId="10805" xr:uid="{00000000-0005-0000-0000-0000F9230000}"/>
    <cellStyle name="Normal 5 2" xfId="99" xr:uid="{00000000-0005-0000-0000-0000FA230000}"/>
    <cellStyle name="Normal 5 2 10" xfId="9371" xr:uid="{00000000-0005-0000-0000-0000FB230000}"/>
    <cellStyle name="Normal 5 2 10 2" xfId="18198" xr:uid="{00000000-0005-0000-0000-0000FC230000}"/>
    <cellStyle name="Normal 5 2 11" xfId="10810" xr:uid="{00000000-0005-0000-0000-0000FD230000}"/>
    <cellStyle name="Normal 5 2 12" xfId="4356" xr:uid="{00000000-0005-0000-0000-0000FE230000}"/>
    <cellStyle name="Normal 5 2 2" xfId="129" xr:uid="{00000000-0005-0000-0000-0000FF230000}"/>
    <cellStyle name="Normal 5 2 2 10" xfId="9402" xr:uid="{00000000-0005-0000-0000-000000240000}"/>
    <cellStyle name="Normal 5 2 2 10 2" xfId="18229" xr:uid="{00000000-0005-0000-0000-000001240000}"/>
    <cellStyle name="Normal 5 2 2 11" xfId="10846" xr:uid="{00000000-0005-0000-0000-000002240000}"/>
    <cellStyle name="Normal 5 2 2 2" xfId="146" xr:uid="{00000000-0005-0000-0000-000003240000}"/>
    <cellStyle name="Normal 5 2 2 2 10" xfId="9360" xr:uid="{00000000-0005-0000-0000-000004240000}"/>
    <cellStyle name="Normal 5 2 2 2 11" xfId="14616" xr:uid="{00000000-0005-0000-0000-000005240000}"/>
    <cellStyle name="Normal 5 2 2 2 12" xfId="4395" xr:uid="{00000000-0005-0000-0000-000006240000}"/>
    <cellStyle name="Normal 5 2 2 2 2" xfId="227" xr:uid="{00000000-0005-0000-0000-000007240000}"/>
    <cellStyle name="Normal 5 2 2 2 2 10" xfId="10978" xr:uid="{00000000-0005-0000-0000-000008240000}"/>
    <cellStyle name="Normal 5 2 2 2 2 11" xfId="4499" xr:uid="{00000000-0005-0000-0000-000009240000}"/>
    <cellStyle name="Normal 5 2 2 2 2 2" xfId="440" xr:uid="{00000000-0005-0000-0000-00000A240000}"/>
    <cellStyle name="Normal 5 2 2 2 2 2 2" xfId="663" xr:uid="{00000000-0005-0000-0000-00000B240000}"/>
    <cellStyle name="Normal 5 2 2 2 2 2 2 2" xfId="2392" xr:uid="{00000000-0005-0000-0000-00000C240000}"/>
    <cellStyle name="Normal 5 2 2 2 2 2 2 2 2" xfId="16280" xr:uid="{00000000-0005-0000-0000-00000D240000}"/>
    <cellStyle name="Normal 5 2 2 2 2 2 2 2 3" xfId="12702" xr:uid="{00000000-0005-0000-0000-00000E240000}"/>
    <cellStyle name="Normal 5 2 2 2 2 2 2 2 4" xfId="7412" xr:uid="{00000000-0005-0000-0000-00000F240000}"/>
    <cellStyle name="Normal 5 2 2 2 2 2 2 3" xfId="3659" xr:uid="{00000000-0005-0000-0000-000010240000}"/>
    <cellStyle name="Normal 5 2 2 2 2 2 2 3 2" xfId="17305" xr:uid="{00000000-0005-0000-0000-000011240000}"/>
    <cellStyle name="Normal 5 2 2 2 2 2 2 3 3" xfId="13726" xr:uid="{00000000-0005-0000-0000-000012240000}"/>
    <cellStyle name="Normal 5 2 2 2 2 2 2 3 4" xfId="8469" xr:uid="{00000000-0005-0000-0000-000013240000}"/>
    <cellStyle name="Normal 5 2 2 2 2 2 2 4" xfId="6528" xr:uid="{00000000-0005-0000-0000-000014240000}"/>
    <cellStyle name="Normal 5 2 2 2 2 2 2 4 2" xfId="15612" xr:uid="{00000000-0005-0000-0000-000015240000}"/>
    <cellStyle name="Normal 5 2 2 2 2 2 2 5" xfId="9923" xr:uid="{00000000-0005-0000-0000-000016240000}"/>
    <cellStyle name="Normal 5 2 2 2 2 2 2 5 2" xfId="18750" xr:uid="{00000000-0005-0000-0000-000017240000}"/>
    <cellStyle name="Normal 5 2 2 2 2 2 2 6" xfId="11368" xr:uid="{00000000-0005-0000-0000-000018240000}"/>
    <cellStyle name="Normal 5 2 2 2 2 2 2 7" xfId="5006" xr:uid="{00000000-0005-0000-0000-000019240000}"/>
    <cellStyle name="Normal 5 2 2 2 2 2 3" xfId="1020" xr:uid="{00000000-0005-0000-0000-00001A240000}"/>
    <cellStyle name="Normal 5 2 2 2 2 2 3 2" xfId="2740" xr:uid="{00000000-0005-0000-0000-00001B240000}"/>
    <cellStyle name="Normal 5 2 2 2 2 2 3 2 2" xfId="16799" xr:uid="{00000000-0005-0000-0000-00001C240000}"/>
    <cellStyle name="Normal 5 2 2 2 2 2 3 2 3" xfId="13220" xr:uid="{00000000-0005-0000-0000-00001D240000}"/>
    <cellStyle name="Normal 5 2 2 2 2 2 3 2 4" xfId="7931" xr:uid="{00000000-0005-0000-0000-00001E240000}"/>
    <cellStyle name="Normal 5 2 2 2 2 2 3 3" xfId="4008" xr:uid="{00000000-0005-0000-0000-00001F240000}"/>
    <cellStyle name="Normal 5 2 2 2 2 2 3 3 2" xfId="17653" xr:uid="{00000000-0005-0000-0000-000020240000}"/>
    <cellStyle name="Normal 5 2 2 2 2 2 3 3 3" xfId="14074" xr:uid="{00000000-0005-0000-0000-000021240000}"/>
    <cellStyle name="Normal 5 2 2 2 2 2 3 3 4" xfId="8817" xr:uid="{00000000-0005-0000-0000-000022240000}"/>
    <cellStyle name="Normal 5 2 2 2 2 2 3 4" xfId="6338" xr:uid="{00000000-0005-0000-0000-000023240000}"/>
    <cellStyle name="Normal 5 2 2 2 2 2 3 4 2" xfId="15422" xr:uid="{00000000-0005-0000-0000-000024240000}"/>
    <cellStyle name="Normal 5 2 2 2 2 2 3 5" xfId="10271" xr:uid="{00000000-0005-0000-0000-000025240000}"/>
    <cellStyle name="Normal 5 2 2 2 2 2 3 5 2" xfId="19098" xr:uid="{00000000-0005-0000-0000-000026240000}"/>
    <cellStyle name="Normal 5 2 2 2 2 2 3 6" xfId="11717" xr:uid="{00000000-0005-0000-0000-000027240000}"/>
    <cellStyle name="Normal 5 2 2 2 2 2 3 7" xfId="5525" xr:uid="{00000000-0005-0000-0000-000028240000}"/>
    <cellStyle name="Normal 5 2 2 2 2 2 4" xfId="1654" xr:uid="{00000000-0005-0000-0000-000029240000}"/>
    <cellStyle name="Normal 5 2 2 2 2 2 4 2" xfId="3250" xr:uid="{00000000-0005-0000-0000-00002A240000}"/>
    <cellStyle name="Normal 5 2 2 2 2 2 4 2 2" xfId="18163" xr:uid="{00000000-0005-0000-0000-00002B240000}"/>
    <cellStyle name="Normal 5 2 2 2 2 2 4 2 3" xfId="14584" xr:uid="{00000000-0005-0000-0000-00002C240000}"/>
    <cellStyle name="Normal 5 2 2 2 2 2 4 2 4" xfId="9327" xr:uid="{00000000-0005-0000-0000-00002D240000}"/>
    <cellStyle name="Normal 5 2 2 2 2 2 4 3" xfId="10781" xr:uid="{00000000-0005-0000-0000-00002E240000}"/>
    <cellStyle name="Normal 5 2 2 2 2 2 4 3 2" xfId="19608" xr:uid="{00000000-0005-0000-0000-00002F240000}"/>
    <cellStyle name="Normal 5 2 2 2 2 2 4 4" xfId="12227" xr:uid="{00000000-0005-0000-0000-000030240000}"/>
    <cellStyle name="Normal 5 2 2 2 2 2 4 5" xfId="7222" xr:uid="{00000000-0005-0000-0000-000031240000}"/>
    <cellStyle name="Normal 5 2 2 2 2 2 5" xfId="2207" xr:uid="{00000000-0005-0000-0000-000032240000}"/>
    <cellStyle name="Normal 5 2 2 2 2 2 5 2" xfId="17120" xr:uid="{00000000-0005-0000-0000-000033240000}"/>
    <cellStyle name="Normal 5 2 2 2 2 2 5 3" xfId="13541" xr:uid="{00000000-0005-0000-0000-000034240000}"/>
    <cellStyle name="Normal 5 2 2 2 2 2 5 4" xfId="8284" xr:uid="{00000000-0005-0000-0000-000035240000}"/>
    <cellStyle name="Normal 5 2 2 2 2 2 6" xfId="5845" xr:uid="{00000000-0005-0000-0000-000036240000}"/>
    <cellStyle name="Normal 5 2 2 2 2 2 6 2" xfId="14931" xr:uid="{00000000-0005-0000-0000-000037240000}"/>
    <cellStyle name="Normal 5 2 2 2 2 2 7" xfId="9738" xr:uid="{00000000-0005-0000-0000-000038240000}"/>
    <cellStyle name="Normal 5 2 2 2 2 2 7 2" xfId="18565" xr:uid="{00000000-0005-0000-0000-000039240000}"/>
    <cellStyle name="Normal 5 2 2 2 2 2 8" xfId="11182" xr:uid="{00000000-0005-0000-0000-00003A240000}"/>
    <cellStyle name="Normal 5 2 2 2 2 2 9" xfId="4816" xr:uid="{00000000-0005-0000-0000-00003B240000}"/>
    <cellStyle name="Normal 5 2 2 2 2 2_Degree data" xfId="1235" xr:uid="{00000000-0005-0000-0000-00003C240000}"/>
    <cellStyle name="Normal 5 2 2 2 2 3" xfId="662" xr:uid="{00000000-0005-0000-0000-00003D240000}"/>
    <cellStyle name="Normal 5 2 2 2 2 3 2" xfId="2391" xr:uid="{00000000-0005-0000-0000-00003E240000}"/>
    <cellStyle name="Normal 5 2 2 2 2 3 2 2" xfId="16032" xr:uid="{00000000-0005-0000-0000-00003F240000}"/>
    <cellStyle name="Normal 5 2 2 2 2 3 2 3" xfId="12484" xr:uid="{00000000-0005-0000-0000-000040240000}"/>
    <cellStyle name="Normal 5 2 2 2 2 3 2 4" xfId="7018" xr:uid="{00000000-0005-0000-0000-000041240000}"/>
    <cellStyle name="Normal 5 2 2 2 2 3 3" xfId="3658" xr:uid="{00000000-0005-0000-0000-000042240000}"/>
    <cellStyle name="Normal 5 2 2 2 2 3 3 2" xfId="17304" xr:uid="{00000000-0005-0000-0000-000043240000}"/>
    <cellStyle name="Normal 5 2 2 2 2 3 3 3" xfId="13725" xr:uid="{00000000-0005-0000-0000-000044240000}"/>
    <cellStyle name="Normal 5 2 2 2 2 3 3 4" xfId="8468" xr:uid="{00000000-0005-0000-0000-000045240000}"/>
    <cellStyle name="Normal 5 2 2 2 2 3 4" xfId="6134" xr:uid="{00000000-0005-0000-0000-000046240000}"/>
    <cellStyle name="Normal 5 2 2 2 2 3 4 2" xfId="15218" xr:uid="{00000000-0005-0000-0000-000047240000}"/>
    <cellStyle name="Normal 5 2 2 2 2 3 5" xfId="9922" xr:uid="{00000000-0005-0000-0000-000048240000}"/>
    <cellStyle name="Normal 5 2 2 2 2 3 5 2" xfId="18749" xr:uid="{00000000-0005-0000-0000-000049240000}"/>
    <cellStyle name="Normal 5 2 2 2 2 3 6" xfId="11367" xr:uid="{00000000-0005-0000-0000-00004A240000}"/>
    <cellStyle name="Normal 5 2 2 2 2 3 7" xfId="4612" xr:uid="{00000000-0005-0000-0000-00004B240000}"/>
    <cellStyle name="Normal 5 2 2 2 2 4" xfId="1019" xr:uid="{00000000-0005-0000-0000-00004C240000}"/>
    <cellStyle name="Normal 5 2 2 2 2 4 2" xfId="2739" xr:uid="{00000000-0005-0000-0000-00004D240000}"/>
    <cellStyle name="Normal 5 2 2 2 2 4 2 2" xfId="16279" xr:uid="{00000000-0005-0000-0000-00004E240000}"/>
    <cellStyle name="Normal 5 2 2 2 2 4 2 3" xfId="12701" xr:uid="{00000000-0005-0000-0000-00004F240000}"/>
    <cellStyle name="Normal 5 2 2 2 2 4 2 4" xfId="7411" xr:uid="{00000000-0005-0000-0000-000050240000}"/>
    <cellStyle name="Normal 5 2 2 2 2 4 3" xfId="4007" xr:uid="{00000000-0005-0000-0000-000051240000}"/>
    <cellStyle name="Normal 5 2 2 2 2 4 3 2" xfId="17652" xr:uid="{00000000-0005-0000-0000-000052240000}"/>
    <cellStyle name="Normal 5 2 2 2 2 4 3 3" xfId="14073" xr:uid="{00000000-0005-0000-0000-000053240000}"/>
    <cellStyle name="Normal 5 2 2 2 2 4 3 4" xfId="8816" xr:uid="{00000000-0005-0000-0000-000054240000}"/>
    <cellStyle name="Normal 5 2 2 2 2 4 4" xfId="6527" xr:uid="{00000000-0005-0000-0000-000055240000}"/>
    <cellStyle name="Normal 5 2 2 2 2 4 4 2" xfId="15611" xr:uid="{00000000-0005-0000-0000-000056240000}"/>
    <cellStyle name="Normal 5 2 2 2 2 4 5" xfId="10270" xr:uid="{00000000-0005-0000-0000-000057240000}"/>
    <cellStyle name="Normal 5 2 2 2 2 4 5 2" xfId="19097" xr:uid="{00000000-0005-0000-0000-000058240000}"/>
    <cellStyle name="Normal 5 2 2 2 2 4 6" xfId="11716" xr:uid="{00000000-0005-0000-0000-000059240000}"/>
    <cellStyle name="Normal 5 2 2 2 2 4 7" xfId="5005" xr:uid="{00000000-0005-0000-0000-00005A240000}"/>
    <cellStyle name="Normal 5 2 2 2 2 5" xfId="1445" xr:uid="{00000000-0005-0000-0000-00005B240000}"/>
    <cellStyle name="Normal 5 2 2 2 2 5 2" xfId="3046" xr:uid="{00000000-0005-0000-0000-00005C240000}"/>
    <cellStyle name="Normal 5 2 2 2 2 5 2 2" xfId="16595" xr:uid="{00000000-0005-0000-0000-00005D240000}"/>
    <cellStyle name="Normal 5 2 2 2 2 5 2 3" xfId="13016" xr:uid="{00000000-0005-0000-0000-00005E240000}"/>
    <cellStyle name="Normal 5 2 2 2 2 5 2 4" xfId="7727" xr:uid="{00000000-0005-0000-0000-00005F240000}"/>
    <cellStyle name="Normal 5 2 2 2 2 5 3" xfId="4254" xr:uid="{00000000-0005-0000-0000-000060240000}"/>
    <cellStyle name="Normal 5 2 2 2 2 5 3 2" xfId="17959" xr:uid="{00000000-0005-0000-0000-000061240000}"/>
    <cellStyle name="Normal 5 2 2 2 2 5 3 3" xfId="14380" xr:uid="{00000000-0005-0000-0000-000062240000}"/>
    <cellStyle name="Normal 5 2 2 2 2 5 3 4" xfId="9123" xr:uid="{00000000-0005-0000-0000-000063240000}"/>
    <cellStyle name="Normal 5 2 2 2 2 5 4" xfId="6019" xr:uid="{00000000-0005-0000-0000-000064240000}"/>
    <cellStyle name="Normal 5 2 2 2 2 5 4 2" xfId="15105" xr:uid="{00000000-0005-0000-0000-000065240000}"/>
    <cellStyle name="Normal 5 2 2 2 2 5 5" xfId="10577" xr:uid="{00000000-0005-0000-0000-000066240000}"/>
    <cellStyle name="Normal 5 2 2 2 2 5 5 2" xfId="19404" xr:uid="{00000000-0005-0000-0000-000067240000}"/>
    <cellStyle name="Normal 5 2 2 2 2 5 6" xfId="12023" xr:uid="{00000000-0005-0000-0000-000068240000}"/>
    <cellStyle name="Normal 5 2 2 2 2 5 7" xfId="5321" xr:uid="{00000000-0005-0000-0000-000069240000}"/>
    <cellStyle name="Normal 5 2 2 2 2 6" xfId="2003" xr:uid="{00000000-0005-0000-0000-00006A240000}"/>
    <cellStyle name="Normal 5 2 2 2 2 6 2" xfId="15948" xr:uid="{00000000-0005-0000-0000-00006B240000}"/>
    <cellStyle name="Normal 5 2 2 2 2 6 3" xfId="12309" xr:uid="{00000000-0005-0000-0000-00006C240000}"/>
    <cellStyle name="Normal 5 2 2 2 2 6 4" xfId="6905" xr:uid="{00000000-0005-0000-0000-00006D240000}"/>
    <cellStyle name="Normal 5 2 2 2 2 7" xfId="3416" xr:uid="{00000000-0005-0000-0000-00006E240000}"/>
    <cellStyle name="Normal 5 2 2 2 2 7 2" xfId="16916" xr:uid="{00000000-0005-0000-0000-00006F240000}"/>
    <cellStyle name="Normal 5 2 2 2 2 7 3" xfId="13337" xr:uid="{00000000-0005-0000-0000-000070240000}"/>
    <cellStyle name="Normal 5 2 2 2 2 7 4" xfId="8080" xr:uid="{00000000-0005-0000-0000-000071240000}"/>
    <cellStyle name="Normal 5 2 2 2 2 8" xfId="5641" xr:uid="{00000000-0005-0000-0000-000072240000}"/>
    <cellStyle name="Normal 5 2 2 2 2 8 2" xfId="14727" xr:uid="{00000000-0005-0000-0000-000073240000}"/>
    <cellStyle name="Normal 5 2 2 2 2 9" xfId="9534" xr:uid="{00000000-0005-0000-0000-000074240000}"/>
    <cellStyle name="Normal 5 2 2 2 2 9 2" xfId="18361" xr:uid="{00000000-0005-0000-0000-000075240000}"/>
    <cellStyle name="Normal 5 2 2 2 2_Degree data" xfId="1236" xr:uid="{00000000-0005-0000-0000-000076240000}"/>
    <cellStyle name="Normal 5 2 2 2 3" xfId="386" xr:uid="{00000000-0005-0000-0000-000077240000}"/>
    <cellStyle name="Normal 5 2 2 2 4" xfId="335" xr:uid="{00000000-0005-0000-0000-000078240000}"/>
    <cellStyle name="Normal 5 2 2 2 4 2" xfId="664" xr:uid="{00000000-0005-0000-0000-000079240000}"/>
    <cellStyle name="Normal 5 2 2 2 4 2 2" xfId="2393" xr:uid="{00000000-0005-0000-0000-00007A240000}"/>
    <cellStyle name="Normal 5 2 2 2 4 2 2 2" xfId="16281" xr:uid="{00000000-0005-0000-0000-00007B240000}"/>
    <cellStyle name="Normal 5 2 2 2 4 2 2 3" xfId="12703" xr:uid="{00000000-0005-0000-0000-00007C240000}"/>
    <cellStyle name="Normal 5 2 2 2 4 2 2 4" xfId="7413" xr:uid="{00000000-0005-0000-0000-00007D240000}"/>
    <cellStyle name="Normal 5 2 2 2 4 2 3" xfId="3660" xr:uid="{00000000-0005-0000-0000-00007E240000}"/>
    <cellStyle name="Normal 5 2 2 2 4 2 3 2" xfId="17306" xr:uid="{00000000-0005-0000-0000-00007F240000}"/>
    <cellStyle name="Normal 5 2 2 2 4 2 3 3" xfId="13727" xr:uid="{00000000-0005-0000-0000-000080240000}"/>
    <cellStyle name="Normal 5 2 2 2 4 2 3 4" xfId="8470" xr:uid="{00000000-0005-0000-0000-000081240000}"/>
    <cellStyle name="Normal 5 2 2 2 4 2 4" xfId="6529" xr:uid="{00000000-0005-0000-0000-000082240000}"/>
    <cellStyle name="Normal 5 2 2 2 4 2 4 2" xfId="15613" xr:uid="{00000000-0005-0000-0000-000083240000}"/>
    <cellStyle name="Normal 5 2 2 2 4 2 5" xfId="9924" xr:uid="{00000000-0005-0000-0000-000084240000}"/>
    <cellStyle name="Normal 5 2 2 2 4 2 5 2" xfId="18751" xr:uid="{00000000-0005-0000-0000-000085240000}"/>
    <cellStyle name="Normal 5 2 2 2 4 2 6" xfId="11369" xr:uid="{00000000-0005-0000-0000-000086240000}"/>
    <cellStyle name="Normal 5 2 2 2 4 2 7" xfId="5007" xr:uid="{00000000-0005-0000-0000-000087240000}"/>
    <cellStyle name="Normal 5 2 2 2 4 3" xfId="1021" xr:uid="{00000000-0005-0000-0000-000088240000}"/>
    <cellStyle name="Normal 5 2 2 2 4 3 2" xfId="2741" xr:uid="{00000000-0005-0000-0000-000089240000}"/>
    <cellStyle name="Normal 5 2 2 2 4 3 2 2" xfId="16695" xr:uid="{00000000-0005-0000-0000-00008A240000}"/>
    <cellStyle name="Normal 5 2 2 2 4 3 2 3" xfId="13116" xr:uid="{00000000-0005-0000-0000-00008B240000}"/>
    <cellStyle name="Normal 5 2 2 2 4 3 2 4" xfId="7827" xr:uid="{00000000-0005-0000-0000-00008C240000}"/>
    <cellStyle name="Normal 5 2 2 2 4 3 3" xfId="4009" xr:uid="{00000000-0005-0000-0000-00008D240000}"/>
    <cellStyle name="Normal 5 2 2 2 4 3 3 2" xfId="17654" xr:uid="{00000000-0005-0000-0000-00008E240000}"/>
    <cellStyle name="Normal 5 2 2 2 4 3 3 3" xfId="14075" xr:uid="{00000000-0005-0000-0000-00008F240000}"/>
    <cellStyle name="Normal 5 2 2 2 4 3 3 4" xfId="8818" xr:uid="{00000000-0005-0000-0000-000090240000}"/>
    <cellStyle name="Normal 5 2 2 2 4 3 4" xfId="6234" xr:uid="{00000000-0005-0000-0000-000091240000}"/>
    <cellStyle name="Normal 5 2 2 2 4 3 4 2" xfId="15318" xr:uid="{00000000-0005-0000-0000-000092240000}"/>
    <cellStyle name="Normal 5 2 2 2 4 3 5" xfId="10272" xr:uid="{00000000-0005-0000-0000-000093240000}"/>
    <cellStyle name="Normal 5 2 2 2 4 3 5 2" xfId="19099" xr:uid="{00000000-0005-0000-0000-000094240000}"/>
    <cellStyle name="Normal 5 2 2 2 4 3 6" xfId="11718" xr:uid="{00000000-0005-0000-0000-000095240000}"/>
    <cellStyle name="Normal 5 2 2 2 4 3 7" xfId="5421" xr:uid="{00000000-0005-0000-0000-000096240000}"/>
    <cellStyle name="Normal 5 2 2 2 4 4" xfId="1547" xr:uid="{00000000-0005-0000-0000-000097240000}"/>
    <cellStyle name="Normal 5 2 2 2 4 4 2" xfId="3146" xr:uid="{00000000-0005-0000-0000-000098240000}"/>
    <cellStyle name="Normal 5 2 2 2 4 4 2 2" xfId="18059" xr:uid="{00000000-0005-0000-0000-000099240000}"/>
    <cellStyle name="Normal 5 2 2 2 4 4 2 3" xfId="14480" xr:uid="{00000000-0005-0000-0000-00009A240000}"/>
    <cellStyle name="Normal 5 2 2 2 4 4 2 4" xfId="9223" xr:uid="{00000000-0005-0000-0000-00009B240000}"/>
    <cellStyle name="Normal 5 2 2 2 4 4 3" xfId="10677" xr:uid="{00000000-0005-0000-0000-00009C240000}"/>
    <cellStyle name="Normal 5 2 2 2 4 4 3 2" xfId="19504" xr:uid="{00000000-0005-0000-0000-00009D240000}"/>
    <cellStyle name="Normal 5 2 2 2 4 4 4" xfId="12123" xr:uid="{00000000-0005-0000-0000-00009E240000}"/>
    <cellStyle name="Normal 5 2 2 2 4 4 5" xfId="7118" xr:uid="{00000000-0005-0000-0000-00009F240000}"/>
    <cellStyle name="Normal 5 2 2 2 4 5" xfId="2103" xr:uid="{00000000-0005-0000-0000-0000A0240000}"/>
    <cellStyle name="Normal 5 2 2 2 4 5 2" xfId="17016" xr:uid="{00000000-0005-0000-0000-0000A1240000}"/>
    <cellStyle name="Normal 5 2 2 2 4 5 3" xfId="13437" xr:uid="{00000000-0005-0000-0000-0000A2240000}"/>
    <cellStyle name="Normal 5 2 2 2 4 5 4" xfId="8180" xr:uid="{00000000-0005-0000-0000-0000A3240000}"/>
    <cellStyle name="Normal 5 2 2 2 4 6" xfId="5741" xr:uid="{00000000-0005-0000-0000-0000A4240000}"/>
    <cellStyle name="Normal 5 2 2 2 4 6 2" xfId="14827" xr:uid="{00000000-0005-0000-0000-0000A5240000}"/>
    <cellStyle name="Normal 5 2 2 2 4 7" xfId="9634" xr:uid="{00000000-0005-0000-0000-0000A6240000}"/>
    <cellStyle name="Normal 5 2 2 2 4 7 2" xfId="18461" xr:uid="{00000000-0005-0000-0000-0000A7240000}"/>
    <cellStyle name="Normal 5 2 2 2 4 8" xfId="11078" xr:uid="{00000000-0005-0000-0000-0000A8240000}"/>
    <cellStyle name="Normal 5 2 2 2 4 9" xfId="4712" xr:uid="{00000000-0005-0000-0000-0000A9240000}"/>
    <cellStyle name="Normal 5 2 2 2 4_Degree data" xfId="1234" xr:uid="{00000000-0005-0000-0000-0000AA240000}"/>
    <cellStyle name="Normal 5 2 2 2 5" xfId="1828" xr:uid="{00000000-0005-0000-0000-0000AB240000}"/>
    <cellStyle name="Normal 5 2 2 2 5 2" xfId="15001" xr:uid="{00000000-0005-0000-0000-0000AC240000}"/>
    <cellStyle name="Normal 5 2 2 2 5 3" xfId="12463" xr:uid="{00000000-0005-0000-0000-0000AD240000}"/>
    <cellStyle name="Normal 5 2 2 2 5 4" xfId="5915" xr:uid="{00000000-0005-0000-0000-0000AE240000}"/>
    <cellStyle name="Normal 5 2 2 2 6" xfId="3314" xr:uid="{00000000-0005-0000-0000-0000AF240000}"/>
    <cellStyle name="Normal 5 2 2 2 6 2" xfId="15845" xr:uid="{00000000-0005-0000-0000-0000B0240000}"/>
    <cellStyle name="Normal 5 2 2 2 6 3" xfId="12368" xr:uid="{00000000-0005-0000-0000-0000B1240000}"/>
    <cellStyle name="Normal 5 2 2 2 6 4" xfId="6801" xr:uid="{00000000-0005-0000-0000-0000B2240000}"/>
    <cellStyle name="Normal 5 2 2 2 7" xfId="5545" xr:uid="{00000000-0005-0000-0000-0000B3240000}"/>
    <cellStyle name="Normal 5 2 2 2 8" xfId="9361" xr:uid="{00000000-0005-0000-0000-0000B4240000}"/>
    <cellStyle name="Normal 5 2 2 2 9" xfId="9359" xr:uid="{00000000-0005-0000-0000-0000B5240000}"/>
    <cellStyle name="Normal 5 2 2 3" xfId="270" xr:uid="{00000000-0005-0000-0000-0000B6240000}"/>
    <cellStyle name="Normal 5 2 2 3 10" xfId="11021" xr:uid="{00000000-0005-0000-0000-0000B7240000}"/>
    <cellStyle name="Normal 5 2 2 3 11" xfId="4438" xr:uid="{00000000-0005-0000-0000-0000B8240000}"/>
    <cellStyle name="Normal 5 2 2 3 2" xfId="378" xr:uid="{00000000-0005-0000-0000-0000B9240000}"/>
    <cellStyle name="Normal 5 2 2 3 2 2" xfId="666" xr:uid="{00000000-0005-0000-0000-0000BA240000}"/>
    <cellStyle name="Normal 5 2 2 3 2 2 2" xfId="2395" xr:uid="{00000000-0005-0000-0000-0000BB240000}"/>
    <cellStyle name="Normal 5 2 2 3 2 2 2 2" xfId="16283" xr:uid="{00000000-0005-0000-0000-0000BC240000}"/>
    <cellStyle name="Normal 5 2 2 3 2 2 2 3" xfId="12705" xr:uid="{00000000-0005-0000-0000-0000BD240000}"/>
    <cellStyle name="Normal 5 2 2 3 2 2 2 4" xfId="7415" xr:uid="{00000000-0005-0000-0000-0000BE240000}"/>
    <cellStyle name="Normal 5 2 2 3 2 2 3" xfId="3662" xr:uid="{00000000-0005-0000-0000-0000BF240000}"/>
    <cellStyle name="Normal 5 2 2 3 2 2 3 2" xfId="17308" xr:uid="{00000000-0005-0000-0000-0000C0240000}"/>
    <cellStyle name="Normal 5 2 2 3 2 2 3 3" xfId="13729" xr:uid="{00000000-0005-0000-0000-0000C1240000}"/>
    <cellStyle name="Normal 5 2 2 3 2 2 3 4" xfId="8472" xr:uid="{00000000-0005-0000-0000-0000C2240000}"/>
    <cellStyle name="Normal 5 2 2 3 2 2 4" xfId="6531" xr:uid="{00000000-0005-0000-0000-0000C3240000}"/>
    <cellStyle name="Normal 5 2 2 3 2 2 4 2" xfId="15615" xr:uid="{00000000-0005-0000-0000-0000C4240000}"/>
    <cellStyle name="Normal 5 2 2 3 2 2 5" xfId="9926" xr:uid="{00000000-0005-0000-0000-0000C5240000}"/>
    <cellStyle name="Normal 5 2 2 3 2 2 5 2" xfId="18753" xr:uid="{00000000-0005-0000-0000-0000C6240000}"/>
    <cellStyle name="Normal 5 2 2 3 2 2 6" xfId="11371" xr:uid="{00000000-0005-0000-0000-0000C7240000}"/>
    <cellStyle name="Normal 5 2 2 3 2 2 7" xfId="5009" xr:uid="{00000000-0005-0000-0000-0000C8240000}"/>
    <cellStyle name="Normal 5 2 2 3 2 3" xfId="1023" xr:uid="{00000000-0005-0000-0000-0000C9240000}"/>
    <cellStyle name="Normal 5 2 2 3 2 3 2" xfId="2743" xr:uid="{00000000-0005-0000-0000-0000CA240000}"/>
    <cellStyle name="Normal 5 2 2 3 2 3 2 2" xfId="16738" xr:uid="{00000000-0005-0000-0000-0000CB240000}"/>
    <cellStyle name="Normal 5 2 2 3 2 3 2 3" xfId="13159" xr:uid="{00000000-0005-0000-0000-0000CC240000}"/>
    <cellStyle name="Normal 5 2 2 3 2 3 2 4" xfId="7870" xr:uid="{00000000-0005-0000-0000-0000CD240000}"/>
    <cellStyle name="Normal 5 2 2 3 2 3 3" xfId="4011" xr:uid="{00000000-0005-0000-0000-0000CE240000}"/>
    <cellStyle name="Normal 5 2 2 3 2 3 3 2" xfId="17656" xr:uid="{00000000-0005-0000-0000-0000CF240000}"/>
    <cellStyle name="Normal 5 2 2 3 2 3 3 3" xfId="14077" xr:uid="{00000000-0005-0000-0000-0000D0240000}"/>
    <cellStyle name="Normal 5 2 2 3 2 3 3 4" xfId="8820" xr:uid="{00000000-0005-0000-0000-0000D1240000}"/>
    <cellStyle name="Normal 5 2 2 3 2 3 4" xfId="6277" xr:uid="{00000000-0005-0000-0000-0000D2240000}"/>
    <cellStyle name="Normal 5 2 2 3 2 3 4 2" xfId="15361" xr:uid="{00000000-0005-0000-0000-0000D3240000}"/>
    <cellStyle name="Normal 5 2 2 3 2 3 5" xfId="10274" xr:uid="{00000000-0005-0000-0000-0000D4240000}"/>
    <cellStyle name="Normal 5 2 2 3 2 3 5 2" xfId="19101" xr:uid="{00000000-0005-0000-0000-0000D5240000}"/>
    <cellStyle name="Normal 5 2 2 3 2 3 6" xfId="11720" xr:uid="{00000000-0005-0000-0000-0000D6240000}"/>
    <cellStyle name="Normal 5 2 2 3 2 3 7" xfId="5464" xr:uid="{00000000-0005-0000-0000-0000D7240000}"/>
    <cellStyle name="Normal 5 2 2 3 2 4" xfId="1592" xr:uid="{00000000-0005-0000-0000-0000D8240000}"/>
    <cellStyle name="Normal 5 2 2 3 2 4 2" xfId="3189" xr:uid="{00000000-0005-0000-0000-0000D9240000}"/>
    <cellStyle name="Normal 5 2 2 3 2 4 2 2" xfId="18102" xr:uid="{00000000-0005-0000-0000-0000DA240000}"/>
    <cellStyle name="Normal 5 2 2 3 2 4 2 3" xfId="14523" xr:uid="{00000000-0005-0000-0000-0000DB240000}"/>
    <cellStyle name="Normal 5 2 2 3 2 4 2 4" xfId="9266" xr:uid="{00000000-0005-0000-0000-0000DC240000}"/>
    <cellStyle name="Normal 5 2 2 3 2 4 3" xfId="10720" xr:uid="{00000000-0005-0000-0000-0000DD240000}"/>
    <cellStyle name="Normal 5 2 2 3 2 4 3 2" xfId="19547" xr:uid="{00000000-0005-0000-0000-0000DE240000}"/>
    <cellStyle name="Normal 5 2 2 3 2 4 4" xfId="12166" xr:uid="{00000000-0005-0000-0000-0000DF240000}"/>
    <cellStyle name="Normal 5 2 2 3 2 4 5" xfId="7161" xr:uid="{00000000-0005-0000-0000-0000E0240000}"/>
    <cellStyle name="Normal 5 2 2 3 2 5" xfId="2146" xr:uid="{00000000-0005-0000-0000-0000E1240000}"/>
    <cellStyle name="Normal 5 2 2 3 2 5 2" xfId="17059" xr:uid="{00000000-0005-0000-0000-0000E2240000}"/>
    <cellStyle name="Normal 5 2 2 3 2 5 3" xfId="13480" xr:uid="{00000000-0005-0000-0000-0000E3240000}"/>
    <cellStyle name="Normal 5 2 2 3 2 5 4" xfId="8223" xr:uid="{00000000-0005-0000-0000-0000E4240000}"/>
    <cellStyle name="Normal 5 2 2 3 2 6" xfId="5784" xr:uid="{00000000-0005-0000-0000-0000E5240000}"/>
    <cellStyle name="Normal 5 2 2 3 2 6 2" xfId="14870" xr:uid="{00000000-0005-0000-0000-0000E6240000}"/>
    <cellStyle name="Normal 5 2 2 3 2 7" xfId="9677" xr:uid="{00000000-0005-0000-0000-0000E7240000}"/>
    <cellStyle name="Normal 5 2 2 3 2 7 2" xfId="18504" xr:uid="{00000000-0005-0000-0000-0000E8240000}"/>
    <cellStyle name="Normal 5 2 2 3 2 8" xfId="11121" xr:uid="{00000000-0005-0000-0000-0000E9240000}"/>
    <cellStyle name="Normal 5 2 2 3 2 9" xfId="4755" xr:uid="{00000000-0005-0000-0000-0000EA240000}"/>
    <cellStyle name="Normal 5 2 2 3 2_Degree data" xfId="1668" xr:uid="{00000000-0005-0000-0000-0000EB240000}"/>
    <cellStyle name="Normal 5 2 2 3 3" xfId="665" xr:uid="{00000000-0005-0000-0000-0000EC240000}"/>
    <cellStyle name="Normal 5 2 2 3 3 2" xfId="2394" xr:uid="{00000000-0005-0000-0000-0000ED240000}"/>
    <cellStyle name="Normal 5 2 2 3 3 2 2" xfId="16075" xr:uid="{00000000-0005-0000-0000-0000EE240000}"/>
    <cellStyle name="Normal 5 2 2 3 3 2 3" xfId="12482" xr:uid="{00000000-0005-0000-0000-0000EF240000}"/>
    <cellStyle name="Normal 5 2 2 3 3 2 4" xfId="7061" xr:uid="{00000000-0005-0000-0000-0000F0240000}"/>
    <cellStyle name="Normal 5 2 2 3 3 3" xfId="3661" xr:uid="{00000000-0005-0000-0000-0000F1240000}"/>
    <cellStyle name="Normal 5 2 2 3 3 3 2" xfId="17307" xr:uid="{00000000-0005-0000-0000-0000F2240000}"/>
    <cellStyle name="Normal 5 2 2 3 3 3 3" xfId="13728" xr:uid="{00000000-0005-0000-0000-0000F3240000}"/>
    <cellStyle name="Normal 5 2 2 3 3 3 4" xfId="8471" xr:uid="{00000000-0005-0000-0000-0000F4240000}"/>
    <cellStyle name="Normal 5 2 2 3 3 4" xfId="6177" xr:uid="{00000000-0005-0000-0000-0000F5240000}"/>
    <cellStyle name="Normal 5 2 2 3 3 4 2" xfId="15261" xr:uid="{00000000-0005-0000-0000-0000F6240000}"/>
    <cellStyle name="Normal 5 2 2 3 3 5" xfId="9925" xr:uid="{00000000-0005-0000-0000-0000F7240000}"/>
    <cellStyle name="Normal 5 2 2 3 3 5 2" xfId="18752" xr:uid="{00000000-0005-0000-0000-0000F8240000}"/>
    <cellStyle name="Normal 5 2 2 3 3 6" xfId="11370" xr:uid="{00000000-0005-0000-0000-0000F9240000}"/>
    <cellStyle name="Normal 5 2 2 3 3 7" xfId="4655" xr:uid="{00000000-0005-0000-0000-0000FA240000}"/>
    <cellStyle name="Normal 5 2 2 3 4" xfId="1022" xr:uid="{00000000-0005-0000-0000-0000FB240000}"/>
    <cellStyle name="Normal 5 2 2 3 4 2" xfId="2742" xr:uid="{00000000-0005-0000-0000-0000FC240000}"/>
    <cellStyle name="Normal 5 2 2 3 4 2 2" xfId="16282" xr:uid="{00000000-0005-0000-0000-0000FD240000}"/>
    <cellStyle name="Normal 5 2 2 3 4 2 3" xfId="12704" xr:uid="{00000000-0005-0000-0000-0000FE240000}"/>
    <cellStyle name="Normal 5 2 2 3 4 2 4" xfId="7414" xr:uid="{00000000-0005-0000-0000-0000FF240000}"/>
    <cellStyle name="Normal 5 2 2 3 4 3" xfId="4010" xr:uid="{00000000-0005-0000-0000-000000250000}"/>
    <cellStyle name="Normal 5 2 2 3 4 3 2" xfId="17655" xr:uid="{00000000-0005-0000-0000-000001250000}"/>
    <cellStyle name="Normal 5 2 2 3 4 3 3" xfId="14076" xr:uid="{00000000-0005-0000-0000-000002250000}"/>
    <cellStyle name="Normal 5 2 2 3 4 3 4" xfId="8819" xr:uid="{00000000-0005-0000-0000-000003250000}"/>
    <cellStyle name="Normal 5 2 2 3 4 4" xfId="6530" xr:uid="{00000000-0005-0000-0000-000004250000}"/>
    <cellStyle name="Normal 5 2 2 3 4 4 2" xfId="15614" xr:uid="{00000000-0005-0000-0000-000005250000}"/>
    <cellStyle name="Normal 5 2 2 3 4 5" xfId="10273" xr:uid="{00000000-0005-0000-0000-000006250000}"/>
    <cellStyle name="Normal 5 2 2 3 4 5 2" xfId="19100" xr:uid="{00000000-0005-0000-0000-000007250000}"/>
    <cellStyle name="Normal 5 2 2 3 4 6" xfId="11719" xr:uid="{00000000-0005-0000-0000-000008250000}"/>
    <cellStyle name="Normal 5 2 2 3 4 7" xfId="5008" xr:uid="{00000000-0005-0000-0000-000009250000}"/>
    <cellStyle name="Normal 5 2 2 3 5" xfId="1490" xr:uid="{00000000-0005-0000-0000-00000A250000}"/>
    <cellStyle name="Normal 5 2 2 3 5 2" xfId="3089" xr:uid="{00000000-0005-0000-0000-00000B250000}"/>
    <cellStyle name="Normal 5 2 2 3 5 2 2" xfId="16638" xr:uid="{00000000-0005-0000-0000-00000C250000}"/>
    <cellStyle name="Normal 5 2 2 3 5 2 3" xfId="13059" xr:uid="{00000000-0005-0000-0000-00000D250000}"/>
    <cellStyle name="Normal 5 2 2 3 5 2 4" xfId="7770" xr:uid="{00000000-0005-0000-0000-00000E250000}"/>
    <cellStyle name="Normal 5 2 2 3 5 3" xfId="4297" xr:uid="{00000000-0005-0000-0000-00000F250000}"/>
    <cellStyle name="Normal 5 2 2 3 5 3 2" xfId="18002" xr:uid="{00000000-0005-0000-0000-000010250000}"/>
    <cellStyle name="Normal 5 2 2 3 5 3 3" xfId="14423" xr:uid="{00000000-0005-0000-0000-000011250000}"/>
    <cellStyle name="Normal 5 2 2 3 5 3 4" xfId="9166" xr:uid="{00000000-0005-0000-0000-000012250000}"/>
    <cellStyle name="Normal 5 2 2 3 5 4" xfId="5958" xr:uid="{00000000-0005-0000-0000-000013250000}"/>
    <cellStyle name="Normal 5 2 2 3 5 4 2" xfId="15044" xr:uid="{00000000-0005-0000-0000-000014250000}"/>
    <cellStyle name="Normal 5 2 2 3 5 5" xfId="10620" xr:uid="{00000000-0005-0000-0000-000015250000}"/>
    <cellStyle name="Normal 5 2 2 3 5 5 2" xfId="19447" xr:uid="{00000000-0005-0000-0000-000016250000}"/>
    <cellStyle name="Normal 5 2 2 3 5 6" xfId="12066" xr:uid="{00000000-0005-0000-0000-000017250000}"/>
    <cellStyle name="Normal 5 2 2 3 5 7" xfId="5364" xr:uid="{00000000-0005-0000-0000-000018250000}"/>
    <cellStyle name="Normal 5 2 2 3 6" xfId="2046" xr:uid="{00000000-0005-0000-0000-000019250000}"/>
    <cellStyle name="Normal 5 2 2 3 6 2" xfId="15887" xr:uid="{00000000-0005-0000-0000-00001A250000}"/>
    <cellStyle name="Normal 5 2 2 3 6 3" xfId="10835" xr:uid="{00000000-0005-0000-0000-00001B250000}"/>
    <cellStyle name="Normal 5 2 2 3 6 4" xfId="6844" xr:uid="{00000000-0005-0000-0000-00001C250000}"/>
    <cellStyle name="Normal 5 2 2 3 7" xfId="3459" xr:uid="{00000000-0005-0000-0000-00001D250000}"/>
    <cellStyle name="Normal 5 2 2 3 7 2" xfId="16959" xr:uid="{00000000-0005-0000-0000-00001E250000}"/>
    <cellStyle name="Normal 5 2 2 3 7 3" xfId="13380" xr:uid="{00000000-0005-0000-0000-00001F250000}"/>
    <cellStyle name="Normal 5 2 2 3 7 4" xfId="8123" xr:uid="{00000000-0005-0000-0000-000020250000}"/>
    <cellStyle name="Normal 5 2 2 3 8" xfId="5684" xr:uid="{00000000-0005-0000-0000-000021250000}"/>
    <cellStyle name="Normal 5 2 2 3 8 2" xfId="14770" xr:uid="{00000000-0005-0000-0000-000022250000}"/>
    <cellStyle name="Normal 5 2 2 3 9" xfId="9577" xr:uid="{00000000-0005-0000-0000-000023250000}"/>
    <cellStyle name="Normal 5 2 2 3 9 2" xfId="18404" xr:uid="{00000000-0005-0000-0000-000024250000}"/>
    <cellStyle name="Normal 5 2 2 3_Degree data" xfId="1670" xr:uid="{00000000-0005-0000-0000-000025250000}"/>
    <cellStyle name="Normal 5 2 2 4" xfId="484" xr:uid="{00000000-0005-0000-0000-000026250000}"/>
    <cellStyle name="Normal 5 2 2 4 2" xfId="667" xr:uid="{00000000-0005-0000-0000-000027250000}"/>
    <cellStyle name="Normal 5 2 2 4 2 2" xfId="2396" xr:uid="{00000000-0005-0000-0000-000028250000}"/>
    <cellStyle name="Normal 5 2 2 4 2 2 2" xfId="16284" xr:uid="{00000000-0005-0000-0000-000029250000}"/>
    <cellStyle name="Normal 5 2 2 4 2 2 3" xfId="12706" xr:uid="{00000000-0005-0000-0000-00002A250000}"/>
    <cellStyle name="Normal 5 2 2 4 2 2 4" xfId="7416" xr:uid="{00000000-0005-0000-0000-00002B250000}"/>
    <cellStyle name="Normal 5 2 2 4 2 3" xfId="3663" xr:uid="{00000000-0005-0000-0000-00002C250000}"/>
    <cellStyle name="Normal 5 2 2 4 2 3 2" xfId="17309" xr:uid="{00000000-0005-0000-0000-00002D250000}"/>
    <cellStyle name="Normal 5 2 2 4 2 3 3" xfId="13730" xr:uid="{00000000-0005-0000-0000-00002E250000}"/>
    <cellStyle name="Normal 5 2 2 4 2 3 4" xfId="8473" xr:uid="{00000000-0005-0000-0000-00002F250000}"/>
    <cellStyle name="Normal 5 2 2 4 2 4" xfId="6532" xr:uid="{00000000-0005-0000-0000-000030250000}"/>
    <cellStyle name="Normal 5 2 2 4 2 4 2" xfId="15616" xr:uid="{00000000-0005-0000-0000-000031250000}"/>
    <cellStyle name="Normal 5 2 2 4 2 5" xfId="9927" xr:uid="{00000000-0005-0000-0000-000032250000}"/>
    <cellStyle name="Normal 5 2 2 4 2 5 2" xfId="18754" xr:uid="{00000000-0005-0000-0000-000033250000}"/>
    <cellStyle name="Normal 5 2 2 4 2 6" xfId="11372" xr:uid="{00000000-0005-0000-0000-000034250000}"/>
    <cellStyle name="Normal 5 2 2 4 2 7" xfId="5010" xr:uid="{00000000-0005-0000-0000-000035250000}"/>
    <cellStyle name="Normal 5 2 2 4 3" xfId="1024" xr:uid="{00000000-0005-0000-0000-000036250000}"/>
    <cellStyle name="Normal 5 2 2 4 3 2" xfId="2744" xr:uid="{00000000-0005-0000-0000-000037250000}"/>
    <cellStyle name="Normal 5 2 2 4 3 2 2" xfId="16538" xr:uid="{00000000-0005-0000-0000-000038250000}"/>
    <cellStyle name="Normal 5 2 2 4 3 2 3" xfId="12959" xr:uid="{00000000-0005-0000-0000-000039250000}"/>
    <cellStyle name="Normal 5 2 2 4 3 2 4" xfId="7670" xr:uid="{00000000-0005-0000-0000-00003A250000}"/>
    <cellStyle name="Normal 5 2 2 4 3 3" xfId="4012" xr:uid="{00000000-0005-0000-0000-00003B250000}"/>
    <cellStyle name="Normal 5 2 2 4 3 3 2" xfId="17657" xr:uid="{00000000-0005-0000-0000-00003C250000}"/>
    <cellStyle name="Normal 5 2 2 4 3 3 3" xfId="14078" xr:uid="{00000000-0005-0000-0000-00003D250000}"/>
    <cellStyle name="Normal 5 2 2 4 3 3 4" xfId="8821" xr:uid="{00000000-0005-0000-0000-00003E250000}"/>
    <cellStyle name="Normal 5 2 2 4 3 4" xfId="6726" xr:uid="{00000000-0005-0000-0000-00003F250000}"/>
    <cellStyle name="Normal 5 2 2 4 3 4 2" xfId="15809" xr:uid="{00000000-0005-0000-0000-000040250000}"/>
    <cellStyle name="Normal 5 2 2 4 3 5" xfId="10275" xr:uid="{00000000-0005-0000-0000-000041250000}"/>
    <cellStyle name="Normal 5 2 2 4 3 5 2" xfId="19102" xr:uid="{00000000-0005-0000-0000-000042250000}"/>
    <cellStyle name="Normal 5 2 2 4 3 6" xfId="11721" xr:uid="{00000000-0005-0000-0000-000043250000}"/>
    <cellStyle name="Normal 5 2 2 4 3 7" xfId="5264" xr:uid="{00000000-0005-0000-0000-000044250000}"/>
    <cellStyle name="Normal 5 2 2 4 4" xfId="1380" xr:uid="{00000000-0005-0000-0000-000045250000}"/>
    <cellStyle name="Normal 5 2 2 4 4 2" xfId="2989" xr:uid="{00000000-0005-0000-0000-000046250000}"/>
    <cellStyle name="Normal 5 2 2 4 4 2 2" xfId="17902" xr:uid="{00000000-0005-0000-0000-000047250000}"/>
    <cellStyle name="Normal 5 2 2 4 4 2 3" xfId="14323" xr:uid="{00000000-0005-0000-0000-000048250000}"/>
    <cellStyle name="Normal 5 2 2 4 4 2 4" xfId="9066" xr:uid="{00000000-0005-0000-0000-000049250000}"/>
    <cellStyle name="Normal 5 2 2 4 4 3" xfId="10520" xr:uid="{00000000-0005-0000-0000-00004A250000}"/>
    <cellStyle name="Normal 5 2 2 4 4 3 2" xfId="19347" xr:uid="{00000000-0005-0000-0000-00004B250000}"/>
    <cellStyle name="Normal 5 2 2 4 4 4" xfId="11966" xr:uid="{00000000-0005-0000-0000-00004C250000}"/>
    <cellStyle name="Normal 5 2 2 4 4 5" xfId="6961" xr:uid="{00000000-0005-0000-0000-00004D250000}"/>
    <cellStyle name="Normal 5 2 2 4 5" xfId="1946" xr:uid="{00000000-0005-0000-0000-00004E250000}"/>
    <cellStyle name="Normal 5 2 2 4 5 2" xfId="16857" xr:uid="{00000000-0005-0000-0000-00004F250000}"/>
    <cellStyle name="Normal 5 2 2 4 5 3" xfId="13278" xr:uid="{00000000-0005-0000-0000-000050250000}"/>
    <cellStyle name="Normal 5 2 2 4 5 4" xfId="8021" xr:uid="{00000000-0005-0000-0000-000051250000}"/>
    <cellStyle name="Normal 5 2 2 4 6" xfId="6077" xr:uid="{00000000-0005-0000-0000-000052250000}"/>
    <cellStyle name="Normal 5 2 2 4 6 2" xfId="15161" xr:uid="{00000000-0005-0000-0000-000053250000}"/>
    <cellStyle name="Normal 5 2 2 4 7" xfId="9477" xr:uid="{00000000-0005-0000-0000-000054250000}"/>
    <cellStyle name="Normal 5 2 2 4 7 2" xfId="18304" xr:uid="{00000000-0005-0000-0000-000055250000}"/>
    <cellStyle name="Normal 5 2 2 4 8" xfId="10921" xr:uid="{00000000-0005-0000-0000-000056250000}"/>
    <cellStyle name="Normal 5 2 2 4 9" xfId="4555" xr:uid="{00000000-0005-0000-0000-000057250000}"/>
    <cellStyle name="Normal 5 2 2 4_Degree data" xfId="1290" xr:uid="{00000000-0005-0000-0000-000058250000}"/>
    <cellStyle name="Normal 5 2 2 5" xfId="661" xr:uid="{00000000-0005-0000-0000-000059250000}"/>
    <cellStyle name="Normal 5 2 2 5 2" xfId="2390" xr:uid="{00000000-0005-0000-0000-00005A250000}"/>
    <cellStyle name="Normal 5 2 2 5 2 2" xfId="16278" xr:uid="{00000000-0005-0000-0000-00005B250000}"/>
    <cellStyle name="Normal 5 2 2 5 2 3" xfId="12700" xr:uid="{00000000-0005-0000-0000-00005C250000}"/>
    <cellStyle name="Normal 5 2 2 5 2 4" xfId="7410" xr:uid="{00000000-0005-0000-0000-00005D250000}"/>
    <cellStyle name="Normal 5 2 2 5 3" xfId="3657" xr:uid="{00000000-0005-0000-0000-00005E250000}"/>
    <cellStyle name="Normal 5 2 2 5 3 2" xfId="17303" xr:uid="{00000000-0005-0000-0000-00005F250000}"/>
    <cellStyle name="Normal 5 2 2 5 3 3" xfId="13724" xr:uid="{00000000-0005-0000-0000-000060250000}"/>
    <cellStyle name="Normal 5 2 2 5 3 4" xfId="8467" xr:uid="{00000000-0005-0000-0000-000061250000}"/>
    <cellStyle name="Normal 5 2 2 5 4" xfId="6526" xr:uid="{00000000-0005-0000-0000-000062250000}"/>
    <cellStyle name="Normal 5 2 2 5 4 2" xfId="15610" xr:uid="{00000000-0005-0000-0000-000063250000}"/>
    <cellStyle name="Normal 5 2 2 5 5" xfId="9921" xr:uid="{00000000-0005-0000-0000-000064250000}"/>
    <cellStyle name="Normal 5 2 2 5 5 2" xfId="18748" xr:uid="{00000000-0005-0000-0000-000065250000}"/>
    <cellStyle name="Normal 5 2 2 5 6" xfId="11366" xr:uid="{00000000-0005-0000-0000-000066250000}"/>
    <cellStyle name="Normal 5 2 2 5 7" xfId="5004" xr:uid="{00000000-0005-0000-0000-000067250000}"/>
    <cellStyle name="Normal 5 2 2 6" xfId="1018" xr:uid="{00000000-0005-0000-0000-000068250000}"/>
    <cellStyle name="Normal 5 2 2 6 2" xfId="2738" xr:uid="{00000000-0005-0000-0000-000069250000}"/>
    <cellStyle name="Normal 5 2 2 6 2 2" xfId="16493" xr:uid="{00000000-0005-0000-0000-00006A250000}"/>
    <cellStyle name="Normal 5 2 2 6 2 3" xfId="12915" xr:uid="{00000000-0005-0000-0000-00006B250000}"/>
    <cellStyle name="Normal 5 2 2 6 2 4" xfId="7625" xr:uid="{00000000-0005-0000-0000-00006C250000}"/>
    <cellStyle name="Normal 5 2 2 6 3" xfId="4006" xr:uid="{00000000-0005-0000-0000-00006D250000}"/>
    <cellStyle name="Normal 5 2 2 6 3 2" xfId="17651" xr:uid="{00000000-0005-0000-0000-00006E250000}"/>
    <cellStyle name="Normal 5 2 2 6 3 3" xfId="14072" xr:uid="{00000000-0005-0000-0000-00006F250000}"/>
    <cellStyle name="Normal 5 2 2 6 3 4" xfId="8815" xr:uid="{00000000-0005-0000-0000-000070250000}"/>
    <cellStyle name="Normal 5 2 2 6 4" xfId="6734" xr:uid="{00000000-0005-0000-0000-000071250000}"/>
    <cellStyle name="Normal 5 2 2 6 4 2" xfId="15817" xr:uid="{00000000-0005-0000-0000-000072250000}"/>
    <cellStyle name="Normal 5 2 2 6 5" xfId="10269" xr:uid="{00000000-0005-0000-0000-000073250000}"/>
    <cellStyle name="Normal 5 2 2 6 5 2" xfId="19096" xr:uid="{00000000-0005-0000-0000-000074250000}"/>
    <cellStyle name="Normal 5 2 2 6 6" xfId="11715" xr:uid="{00000000-0005-0000-0000-000075250000}"/>
    <cellStyle name="Normal 5 2 2 6 7" xfId="5219" xr:uid="{00000000-0005-0000-0000-000076250000}"/>
    <cellStyle name="Normal 5 2 2 7" xfId="1331" xr:uid="{00000000-0005-0000-0000-000077250000}"/>
    <cellStyle name="Normal 5 2 2 7 2" xfId="2944" xr:uid="{00000000-0005-0000-0000-000078250000}"/>
    <cellStyle name="Normal 5 2 2 7 2 2" xfId="17857" xr:uid="{00000000-0005-0000-0000-000079250000}"/>
    <cellStyle name="Normal 5 2 2 7 2 3" xfId="14278" xr:uid="{00000000-0005-0000-0000-00007A250000}"/>
    <cellStyle name="Normal 5 2 2 7 2 4" xfId="9021" xr:uid="{00000000-0005-0000-0000-00007B250000}"/>
    <cellStyle name="Normal 5 2 2 7 3" xfId="10475" xr:uid="{00000000-0005-0000-0000-00007C250000}"/>
    <cellStyle name="Normal 5 2 2 7 3 2" xfId="19302" xr:uid="{00000000-0005-0000-0000-00007D250000}"/>
    <cellStyle name="Normal 5 2 2 7 4" xfId="11921" xr:uid="{00000000-0005-0000-0000-00007E250000}"/>
    <cellStyle name="Normal 5 2 2 7 5" xfId="6770" xr:uid="{00000000-0005-0000-0000-00007F250000}"/>
    <cellStyle name="Normal 5 2 2 8" xfId="1901" xr:uid="{00000000-0005-0000-0000-000080250000}"/>
    <cellStyle name="Normal 5 2 2 8 2" xfId="9432" xr:uid="{00000000-0005-0000-0000-000081250000}"/>
    <cellStyle name="Normal 5 2 2 8 2 2" xfId="18259" xr:uid="{00000000-0005-0000-0000-000082250000}"/>
    <cellStyle name="Normal 5 2 2 8 3" xfId="10876" xr:uid="{00000000-0005-0000-0000-000083250000}"/>
    <cellStyle name="Normal 5 2 2 8 4" xfId="7976" xr:uid="{00000000-0005-0000-0000-000084250000}"/>
    <cellStyle name="Normal 5 2 2 9" xfId="1871" xr:uid="{00000000-0005-0000-0000-000085250000}"/>
    <cellStyle name="Normal 5 2 2 9 2" xfId="14670" xr:uid="{00000000-0005-0000-0000-000086250000}"/>
    <cellStyle name="Normal 5 2 2 9 3" xfId="5584" xr:uid="{00000000-0005-0000-0000-000087250000}"/>
    <cellStyle name="Normal 5 2 2_Degree data" xfId="1237" xr:uid="{00000000-0005-0000-0000-000088250000}"/>
    <cellStyle name="Normal 5 2 3" xfId="167" xr:uid="{00000000-0005-0000-0000-000089250000}"/>
    <cellStyle name="Normal 5 2 4" xfId="243" xr:uid="{00000000-0005-0000-0000-00008A250000}"/>
    <cellStyle name="Normal 5 2 4 10" xfId="10994" xr:uid="{00000000-0005-0000-0000-00008B250000}"/>
    <cellStyle name="Normal 5 2 4 11" xfId="4411" xr:uid="{00000000-0005-0000-0000-00008C250000}"/>
    <cellStyle name="Normal 5 2 4 2" xfId="351" xr:uid="{00000000-0005-0000-0000-00008D250000}"/>
    <cellStyle name="Normal 5 2 4 2 2" xfId="669" xr:uid="{00000000-0005-0000-0000-00008E250000}"/>
    <cellStyle name="Normal 5 2 4 2 2 2" xfId="2398" xr:uid="{00000000-0005-0000-0000-00008F250000}"/>
    <cellStyle name="Normal 5 2 4 2 2 2 2" xfId="16286" xr:uid="{00000000-0005-0000-0000-000090250000}"/>
    <cellStyle name="Normal 5 2 4 2 2 2 3" xfId="12708" xr:uid="{00000000-0005-0000-0000-000091250000}"/>
    <cellStyle name="Normal 5 2 4 2 2 2 4" xfId="7418" xr:uid="{00000000-0005-0000-0000-000092250000}"/>
    <cellStyle name="Normal 5 2 4 2 2 3" xfId="3665" xr:uid="{00000000-0005-0000-0000-000093250000}"/>
    <cellStyle name="Normal 5 2 4 2 2 3 2" xfId="17311" xr:uid="{00000000-0005-0000-0000-000094250000}"/>
    <cellStyle name="Normal 5 2 4 2 2 3 3" xfId="13732" xr:uid="{00000000-0005-0000-0000-000095250000}"/>
    <cellStyle name="Normal 5 2 4 2 2 3 4" xfId="8475" xr:uid="{00000000-0005-0000-0000-000096250000}"/>
    <cellStyle name="Normal 5 2 4 2 2 4" xfId="6534" xr:uid="{00000000-0005-0000-0000-000097250000}"/>
    <cellStyle name="Normal 5 2 4 2 2 4 2" xfId="15618" xr:uid="{00000000-0005-0000-0000-000098250000}"/>
    <cellStyle name="Normal 5 2 4 2 2 5" xfId="9929" xr:uid="{00000000-0005-0000-0000-000099250000}"/>
    <cellStyle name="Normal 5 2 4 2 2 5 2" xfId="18756" xr:uid="{00000000-0005-0000-0000-00009A250000}"/>
    <cellStyle name="Normal 5 2 4 2 2 6" xfId="11374" xr:uid="{00000000-0005-0000-0000-00009B250000}"/>
    <cellStyle name="Normal 5 2 4 2 2 7" xfId="5012" xr:uid="{00000000-0005-0000-0000-00009C250000}"/>
    <cellStyle name="Normal 5 2 4 2 3" xfId="1026" xr:uid="{00000000-0005-0000-0000-00009D250000}"/>
    <cellStyle name="Normal 5 2 4 2 3 2" xfId="2746" xr:uid="{00000000-0005-0000-0000-00009E250000}"/>
    <cellStyle name="Normal 5 2 4 2 3 2 2" xfId="16711" xr:uid="{00000000-0005-0000-0000-00009F250000}"/>
    <cellStyle name="Normal 5 2 4 2 3 2 3" xfId="13132" xr:uid="{00000000-0005-0000-0000-0000A0250000}"/>
    <cellStyle name="Normal 5 2 4 2 3 2 4" xfId="7843" xr:uid="{00000000-0005-0000-0000-0000A1250000}"/>
    <cellStyle name="Normal 5 2 4 2 3 3" xfId="4014" xr:uid="{00000000-0005-0000-0000-0000A2250000}"/>
    <cellStyle name="Normal 5 2 4 2 3 3 2" xfId="17659" xr:uid="{00000000-0005-0000-0000-0000A3250000}"/>
    <cellStyle name="Normal 5 2 4 2 3 3 3" xfId="14080" xr:uid="{00000000-0005-0000-0000-0000A4250000}"/>
    <cellStyle name="Normal 5 2 4 2 3 3 4" xfId="8823" xr:uid="{00000000-0005-0000-0000-0000A5250000}"/>
    <cellStyle name="Normal 5 2 4 2 3 4" xfId="6250" xr:uid="{00000000-0005-0000-0000-0000A6250000}"/>
    <cellStyle name="Normal 5 2 4 2 3 4 2" xfId="15334" xr:uid="{00000000-0005-0000-0000-0000A7250000}"/>
    <cellStyle name="Normal 5 2 4 2 3 5" xfId="10277" xr:uid="{00000000-0005-0000-0000-0000A8250000}"/>
    <cellStyle name="Normal 5 2 4 2 3 5 2" xfId="19104" xr:uid="{00000000-0005-0000-0000-0000A9250000}"/>
    <cellStyle name="Normal 5 2 4 2 3 6" xfId="11723" xr:uid="{00000000-0005-0000-0000-0000AA250000}"/>
    <cellStyle name="Normal 5 2 4 2 3 7" xfId="5437" xr:uid="{00000000-0005-0000-0000-0000AB250000}"/>
    <cellStyle name="Normal 5 2 4 2 4" xfId="1564" xr:uid="{00000000-0005-0000-0000-0000AC250000}"/>
    <cellStyle name="Normal 5 2 4 2 4 2" xfId="3162" xr:uid="{00000000-0005-0000-0000-0000AD250000}"/>
    <cellStyle name="Normal 5 2 4 2 4 2 2" xfId="18075" xr:uid="{00000000-0005-0000-0000-0000AE250000}"/>
    <cellStyle name="Normal 5 2 4 2 4 2 3" xfId="14496" xr:uid="{00000000-0005-0000-0000-0000AF250000}"/>
    <cellStyle name="Normal 5 2 4 2 4 2 4" xfId="9239" xr:uid="{00000000-0005-0000-0000-0000B0250000}"/>
    <cellStyle name="Normal 5 2 4 2 4 3" xfId="10693" xr:uid="{00000000-0005-0000-0000-0000B1250000}"/>
    <cellStyle name="Normal 5 2 4 2 4 3 2" xfId="19520" xr:uid="{00000000-0005-0000-0000-0000B2250000}"/>
    <cellStyle name="Normal 5 2 4 2 4 4" xfId="12139" xr:uid="{00000000-0005-0000-0000-0000B3250000}"/>
    <cellStyle name="Normal 5 2 4 2 4 5" xfId="7134" xr:uid="{00000000-0005-0000-0000-0000B4250000}"/>
    <cellStyle name="Normal 5 2 4 2 5" xfId="2119" xr:uid="{00000000-0005-0000-0000-0000B5250000}"/>
    <cellStyle name="Normal 5 2 4 2 5 2" xfId="17032" xr:uid="{00000000-0005-0000-0000-0000B6250000}"/>
    <cellStyle name="Normal 5 2 4 2 5 3" xfId="13453" xr:uid="{00000000-0005-0000-0000-0000B7250000}"/>
    <cellStyle name="Normal 5 2 4 2 5 4" xfId="8196" xr:uid="{00000000-0005-0000-0000-0000B8250000}"/>
    <cellStyle name="Normal 5 2 4 2 6" xfId="5757" xr:uid="{00000000-0005-0000-0000-0000B9250000}"/>
    <cellStyle name="Normal 5 2 4 2 6 2" xfId="14843" xr:uid="{00000000-0005-0000-0000-0000BA250000}"/>
    <cellStyle name="Normal 5 2 4 2 7" xfId="9650" xr:uid="{00000000-0005-0000-0000-0000BB250000}"/>
    <cellStyle name="Normal 5 2 4 2 7 2" xfId="18477" xr:uid="{00000000-0005-0000-0000-0000BC250000}"/>
    <cellStyle name="Normal 5 2 4 2 8" xfId="11094" xr:uid="{00000000-0005-0000-0000-0000BD250000}"/>
    <cellStyle name="Normal 5 2 4 2 9" xfId="4728" xr:uid="{00000000-0005-0000-0000-0000BE250000}"/>
    <cellStyle name="Normal 5 2 4 2_Degree data" xfId="1281" xr:uid="{00000000-0005-0000-0000-0000BF250000}"/>
    <cellStyle name="Normal 5 2 4 3" xfId="668" xr:uid="{00000000-0005-0000-0000-0000C0250000}"/>
    <cellStyle name="Normal 5 2 4 3 2" xfId="2397" xr:uid="{00000000-0005-0000-0000-0000C1250000}"/>
    <cellStyle name="Normal 5 2 4 3 2 2" xfId="16048" xr:uid="{00000000-0005-0000-0000-0000C2250000}"/>
    <cellStyle name="Normal 5 2 4 3 2 3" xfId="12382" xr:uid="{00000000-0005-0000-0000-0000C3250000}"/>
    <cellStyle name="Normal 5 2 4 3 2 4" xfId="7034" xr:uid="{00000000-0005-0000-0000-0000C4250000}"/>
    <cellStyle name="Normal 5 2 4 3 3" xfId="3664" xr:uid="{00000000-0005-0000-0000-0000C5250000}"/>
    <cellStyle name="Normal 5 2 4 3 3 2" xfId="17310" xr:uid="{00000000-0005-0000-0000-0000C6250000}"/>
    <cellStyle name="Normal 5 2 4 3 3 3" xfId="13731" xr:uid="{00000000-0005-0000-0000-0000C7250000}"/>
    <cellStyle name="Normal 5 2 4 3 3 4" xfId="8474" xr:uid="{00000000-0005-0000-0000-0000C8250000}"/>
    <cellStyle name="Normal 5 2 4 3 4" xfId="6150" xr:uid="{00000000-0005-0000-0000-0000C9250000}"/>
    <cellStyle name="Normal 5 2 4 3 4 2" xfId="15234" xr:uid="{00000000-0005-0000-0000-0000CA250000}"/>
    <cellStyle name="Normal 5 2 4 3 5" xfId="9928" xr:uid="{00000000-0005-0000-0000-0000CB250000}"/>
    <cellStyle name="Normal 5 2 4 3 5 2" xfId="18755" xr:uid="{00000000-0005-0000-0000-0000CC250000}"/>
    <cellStyle name="Normal 5 2 4 3 6" xfId="11373" xr:uid="{00000000-0005-0000-0000-0000CD250000}"/>
    <cellStyle name="Normal 5 2 4 3 7" xfId="4628" xr:uid="{00000000-0005-0000-0000-0000CE250000}"/>
    <cellStyle name="Normal 5 2 4 4" xfId="1025" xr:uid="{00000000-0005-0000-0000-0000CF250000}"/>
    <cellStyle name="Normal 5 2 4 4 2" xfId="2745" xr:uid="{00000000-0005-0000-0000-0000D0250000}"/>
    <cellStyle name="Normal 5 2 4 4 2 2" xfId="16285" xr:uid="{00000000-0005-0000-0000-0000D1250000}"/>
    <cellStyle name="Normal 5 2 4 4 2 3" xfId="12707" xr:uid="{00000000-0005-0000-0000-0000D2250000}"/>
    <cellStyle name="Normal 5 2 4 4 2 4" xfId="7417" xr:uid="{00000000-0005-0000-0000-0000D3250000}"/>
    <cellStyle name="Normal 5 2 4 4 3" xfId="4013" xr:uid="{00000000-0005-0000-0000-0000D4250000}"/>
    <cellStyle name="Normal 5 2 4 4 3 2" xfId="17658" xr:uid="{00000000-0005-0000-0000-0000D5250000}"/>
    <cellStyle name="Normal 5 2 4 4 3 3" xfId="14079" xr:uid="{00000000-0005-0000-0000-0000D6250000}"/>
    <cellStyle name="Normal 5 2 4 4 3 4" xfId="8822" xr:uid="{00000000-0005-0000-0000-0000D7250000}"/>
    <cellStyle name="Normal 5 2 4 4 4" xfId="6533" xr:uid="{00000000-0005-0000-0000-0000D8250000}"/>
    <cellStyle name="Normal 5 2 4 4 4 2" xfId="15617" xr:uid="{00000000-0005-0000-0000-0000D9250000}"/>
    <cellStyle name="Normal 5 2 4 4 5" xfId="10276" xr:uid="{00000000-0005-0000-0000-0000DA250000}"/>
    <cellStyle name="Normal 5 2 4 4 5 2" xfId="19103" xr:uid="{00000000-0005-0000-0000-0000DB250000}"/>
    <cellStyle name="Normal 5 2 4 4 6" xfId="11722" xr:uid="{00000000-0005-0000-0000-0000DC250000}"/>
    <cellStyle name="Normal 5 2 4 4 7" xfId="5011" xr:uid="{00000000-0005-0000-0000-0000DD250000}"/>
    <cellStyle name="Normal 5 2 4 5" xfId="1462" xr:uid="{00000000-0005-0000-0000-0000DE250000}"/>
    <cellStyle name="Normal 5 2 4 5 2" xfId="3062" xr:uid="{00000000-0005-0000-0000-0000DF250000}"/>
    <cellStyle name="Normal 5 2 4 5 2 2" xfId="16611" xr:uid="{00000000-0005-0000-0000-0000E0250000}"/>
    <cellStyle name="Normal 5 2 4 5 2 3" xfId="13032" xr:uid="{00000000-0005-0000-0000-0000E1250000}"/>
    <cellStyle name="Normal 5 2 4 5 2 4" xfId="7743" xr:uid="{00000000-0005-0000-0000-0000E2250000}"/>
    <cellStyle name="Normal 5 2 4 5 3" xfId="4270" xr:uid="{00000000-0005-0000-0000-0000E3250000}"/>
    <cellStyle name="Normal 5 2 4 5 3 2" xfId="17975" xr:uid="{00000000-0005-0000-0000-0000E4250000}"/>
    <cellStyle name="Normal 5 2 4 5 3 3" xfId="14396" xr:uid="{00000000-0005-0000-0000-0000E5250000}"/>
    <cellStyle name="Normal 5 2 4 5 3 4" xfId="9139" xr:uid="{00000000-0005-0000-0000-0000E6250000}"/>
    <cellStyle name="Normal 5 2 4 5 4" xfId="5931" xr:uid="{00000000-0005-0000-0000-0000E7250000}"/>
    <cellStyle name="Normal 5 2 4 5 4 2" xfId="15017" xr:uid="{00000000-0005-0000-0000-0000E8250000}"/>
    <cellStyle name="Normal 5 2 4 5 5" xfId="10593" xr:uid="{00000000-0005-0000-0000-0000E9250000}"/>
    <cellStyle name="Normal 5 2 4 5 5 2" xfId="19420" xr:uid="{00000000-0005-0000-0000-0000EA250000}"/>
    <cellStyle name="Normal 5 2 4 5 6" xfId="12039" xr:uid="{00000000-0005-0000-0000-0000EB250000}"/>
    <cellStyle name="Normal 5 2 4 5 7" xfId="5337" xr:uid="{00000000-0005-0000-0000-0000EC250000}"/>
    <cellStyle name="Normal 5 2 4 6" xfId="2019" xr:uid="{00000000-0005-0000-0000-0000ED250000}"/>
    <cellStyle name="Normal 5 2 4 6 2" xfId="15860" xr:uid="{00000000-0005-0000-0000-0000EE250000}"/>
    <cellStyle name="Normal 5 2 4 6 3" xfId="12420" xr:uid="{00000000-0005-0000-0000-0000EF250000}"/>
    <cellStyle name="Normal 5 2 4 6 4" xfId="6817" xr:uid="{00000000-0005-0000-0000-0000F0250000}"/>
    <cellStyle name="Normal 5 2 4 7" xfId="3432" xr:uid="{00000000-0005-0000-0000-0000F1250000}"/>
    <cellStyle name="Normal 5 2 4 7 2" xfId="16932" xr:uid="{00000000-0005-0000-0000-0000F2250000}"/>
    <cellStyle name="Normal 5 2 4 7 3" xfId="13353" xr:uid="{00000000-0005-0000-0000-0000F3250000}"/>
    <cellStyle name="Normal 5 2 4 7 4" xfId="8096" xr:uid="{00000000-0005-0000-0000-0000F4250000}"/>
    <cellStyle name="Normal 5 2 4 8" xfId="5657" xr:uid="{00000000-0005-0000-0000-0000F5250000}"/>
    <cellStyle name="Normal 5 2 4 8 2" xfId="14743" xr:uid="{00000000-0005-0000-0000-0000F6250000}"/>
    <cellStyle name="Normal 5 2 4 9" xfId="9550" xr:uid="{00000000-0005-0000-0000-0000F7250000}"/>
    <cellStyle name="Normal 5 2 4 9 2" xfId="18377" xr:uid="{00000000-0005-0000-0000-0000F8250000}"/>
    <cellStyle name="Normal 5 2 4_Degree data" xfId="1282" xr:uid="{00000000-0005-0000-0000-0000F9250000}"/>
    <cellStyle name="Normal 5 2 5" xfId="185" xr:uid="{00000000-0005-0000-0000-0000FA250000}"/>
    <cellStyle name="Normal 5 2 5 10" xfId="10939" xr:uid="{00000000-0005-0000-0000-0000FB250000}"/>
    <cellStyle name="Normal 5 2 5 11" xfId="4461" xr:uid="{00000000-0005-0000-0000-0000FC250000}"/>
    <cellStyle name="Normal 5 2 5 2" xfId="402" xr:uid="{00000000-0005-0000-0000-0000FD250000}"/>
    <cellStyle name="Normal 5 2 5 2 2" xfId="671" xr:uid="{00000000-0005-0000-0000-0000FE250000}"/>
    <cellStyle name="Normal 5 2 5 2 2 2" xfId="2400" xr:uid="{00000000-0005-0000-0000-0000FF250000}"/>
    <cellStyle name="Normal 5 2 5 2 2 2 2" xfId="16288" xr:uid="{00000000-0005-0000-0000-000000260000}"/>
    <cellStyle name="Normal 5 2 5 2 2 2 3" xfId="12710" xr:uid="{00000000-0005-0000-0000-000001260000}"/>
    <cellStyle name="Normal 5 2 5 2 2 2 4" xfId="7420" xr:uid="{00000000-0005-0000-0000-000002260000}"/>
    <cellStyle name="Normal 5 2 5 2 2 3" xfId="3667" xr:uid="{00000000-0005-0000-0000-000003260000}"/>
    <cellStyle name="Normal 5 2 5 2 2 3 2" xfId="17313" xr:uid="{00000000-0005-0000-0000-000004260000}"/>
    <cellStyle name="Normal 5 2 5 2 2 3 3" xfId="13734" xr:uid="{00000000-0005-0000-0000-000005260000}"/>
    <cellStyle name="Normal 5 2 5 2 2 3 4" xfId="8477" xr:uid="{00000000-0005-0000-0000-000006260000}"/>
    <cellStyle name="Normal 5 2 5 2 2 4" xfId="6536" xr:uid="{00000000-0005-0000-0000-000007260000}"/>
    <cellStyle name="Normal 5 2 5 2 2 4 2" xfId="15620" xr:uid="{00000000-0005-0000-0000-000008260000}"/>
    <cellStyle name="Normal 5 2 5 2 2 5" xfId="9931" xr:uid="{00000000-0005-0000-0000-000009260000}"/>
    <cellStyle name="Normal 5 2 5 2 2 5 2" xfId="18758" xr:uid="{00000000-0005-0000-0000-00000A260000}"/>
    <cellStyle name="Normal 5 2 5 2 2 6" xfId="11376" xr:uid="{00000000-0005-0000-0000-00000B260000}"/>
    <cellStyle name="Normal 5 2 5 2 2 7" xfId="5014" xr:uid="{00000000-0005-0000-0000-00000C260000}"/>
    <cellStyle name="Normal 5 2 5 2 3" xfId="1028" xr:uid="{00000000-0005-0000-0000-00000D260000}"/>
    <cellStyle name="Normal 5 2 5 2 3 2" xfId="2748" xr:uid="{00000000-0005-0000-0000-00000E260000}"/>
    <cellStyle name="Normal 5 2 5 2 3 2 2" xfId="16761" xr:uid="{00000000-0005-0000-0000-00000F260000}"/>
    <cellStyle name="Normal 5 2 5 2 3 2 3" xfId="13182" xr:uid="{00000000-0005-0000-0000-000010260000}"/>
    <cellStyle name="Normal 5 2 5 2 3 2 4" xfId="7893" xr:uid="{00000000-0005-0000-0000-000011260000}"/>
    <cellStyle name="Normal 5 2 5 2 3 3" xfId="4016" xr:uid="{00000000-0005-0000-0000-000012260000}"/>
    <cellStyle name="Normal 5 2 5 2 3 3 2" xfId="17661" xr:uid="{00000000-0005-0000-0000-000013260000}"/>
    <cellStyle name="Normal 5 2 5 2 3 3 3" xfId="14082" xr:uid="{00000000-0005-0000-0000-000014260000}"/>
    <cellStyle name="Normal 5 2 5 2 3 3 4" xfId="8825" xr:uid="{00000000-0005-0000-0000-000015260000}"/>
    <cellStyle name="Normal 5 2 5 2 3 4" xfId="6300" xr:uid="{00000000-0005-0000-0000-000016260000}"/>
    <cellStyle name="Normal 5 2 5 2 3 4 2" xfId="15384" xr:uid="{00000000-0005-0000-0000-000017260000}"/>
    <cellStyle name="Normal 5 2 5 2 3 5" xfId="10279" xr:uid="{00000000-0005-0000-0000-000018260000}"/>
    <cellStyle name="Normal 5 2 5 2 3 5 2" xfId="19106" xr:uid="{00000000-0005-0000-0000-000019260000}"/>
    <cellStyle name="Normal 5 2 5 2 3 6" xfId="11725" xr:uid="{00000000-0005-0000-0000-00001A260000}"/>
    <cellStyle name="Normal 5 2 5 2 3 7" xfId="5487" xr:uid="{00000000-0005-0000-0000-00001B260000}"/>
    <cellStyle name="Normal 5 2 5 2 4" xfId="1616" xr:uid="{00000000-0005-0000-0000-00001C260000}"/>
    <cellStyle name="Normal 5 2 5 2 4 2" xfId="3212" xr:uid="{00000000-0005-0000-0000-00001D260000}"/>
    <cellStyle name="Normal 5 2 5 2 4 2 2" xfId="18125" xr:uid="{00000000-0005-0000-0000-00001E260000}"/>
    <cellStyle name="Normal 5 2 5 2 4 2 3" xfId="14546" xr:uid="{00000000-0005-0000-0000-00001F260000}"/>
    <cellStyle name="Normal 5 2 5 2 4 2 4" xfId="9289" xr:uid="{00000000-0005-0000-0000-000020260000}"/>
    <cellStyle name="Normal 5 2 5 2 4 3" xfId="10743" xr:uid="{00000000-0005-0000-0000-000021260000}"/>
    <cellStyle name="Normal 5 2 5 2 4 3 2" xfId="19570" xr:uid="{00000000-0005-0000-0000-000022260000}"/>
    <cellStyle name="Normal 5 2 5 2 4 4" xfId="12189" xr:uid="{00000000-0005-0000-0000-000023260000}"/>
    <cellStyle name="Normal 5 2 5 2 4 5" xfId="7184" xr:uid="{00000000-0005-0000-0000-000024260000}"/>
    <cellStyle name="Normal 5 2 5 2 5" xfId="2169" xr:uid="{00000000-0005-0000-0000-000025260000}"/>
    <cellStyle name="Normal 5 2 5 2 5 2" xfId="17082" xr:uid="{00000000-0005-0000-0000-000026260000}"/>
    <cellStyle name="Normal 5 2 5 2 5 3" xfId="13503" xr:uid="{00000000-0005-0000-0000-000027260000}"/>
    <cellStyle name="Normal 5 2 5 2 5 4" xfId="8246" xr:uid="{00000000-0005-0000-0000-000028260000}"/>
    <cellStyle name="Normal 5 2 5 2 6" xfId="5807" xr:uid="{00000000-0005-0000-0000-000029260000}"/>
    <cellStyle name="Normal 5 2 5 2 6 2" xfId="14893" xr:uid="{00000000-0005-0000-0000-00002A260000}"/>
    <cellStyle name="Normal 5 2 5 2 7" xfId="9700" xr:uid="{00000000-0005-0000-0000-00002B260000}"/>
    <cellStyle name="Normal 5 2 5 2 7 2" xfId="18527" xr:uid="{00000000-0005-0000-0000-00002C260000}"/>
    <cellStyle name="Normal 5 2 5 2 8" xfId="11144" xr:uid="{00000000-0005-0000-0000-00002D260000}"/>
    <cellStyle name="Normal 5 2 5 2 9" xfId="4778" xr:uid="{00000000-0005-0000-0000-00002E260000}"/>
    <cellStyle name="Normal 5 2 5 2_Degree data" xfId="1251" xr:uid="{00000000-0005-0000-0000-00002F260000}"/>
    <cellStyle name="Normal 5 2 5 3" xfId="670" xr:uid="{00000000-0005-0000-0000-000030260000}"/>
    <cellStyle name="Normal 5 2 5 3 2" xfId="2399" xr:uid="{00000000-0005-0000-0000-000031260000}"/>
    <cellStyle name="Normal 5 2 5 3 2 2" xfId="15993" xr:uid="{00000000-0005-0000-0000-000032260000}"/>
    <cellStyle name="Normal 5 2 5 3 2 3" xfId="12334" xr:uid="{00000000-0005-0000-0000-000033260000}"/>
    <cellStyle name="Normal 5 2 5 3 2 4" xfId="6979" xr:uid="{00000000-0005-0000-0000-000034260000}"/>
    <cellStyle name="Normal 5 2 5 3 3" xfId="3666" xr:uid="{00000000-0005-0000-0000-000035260000}"/>
    <cellStyle name="Normal 5 2 5 3 3 2" xfId="17312" xr:uid="{00000000-0005-0000-0000-000036260000}"/>
    <cellStyle name="Normal 5 2 5 3 3 3" xfId="13733" xr:uid="{00000000-0005-0000-0000-000037260000}"/>
    <cellStyle name="Normal 5 2 5 3 3 4" xfId="8476" xr:uid="{00000000-0005-0000-0000-000038260000}"/>
    <cellStyle name="Normal 5 2 5 3 4" xfId="6095" xr:uid="{00000000-0005-0000-0000-000039260000}"/>
    <cellStyle name="Normal 5 2 5 3 4 2" xfId="15179" xr:uid="{00000000-0005-0000-0000-00003A260000}"/>
    <cellStyle name="Normal 5 2 5 3 5" xfId="9930" xr:uid="{00000000-0005-0000-0000-00003B260000}"/>
    <cellStyle name="Normal 5 2 5 3 5 2" xfId="18757" xr:uid="{00000000-0005-0000-0000-00003C260000}"/>
    <cellStyle name="Normal 5 2 5 3 6" xfId="11375" xr:uid="{00000000-0005-0000-0000-00003D260000}"/>
    <cellStyle name="Normal 5 2 5 3 7" xfId="4573" xr:uid="{00000000-0005-0000-0000-00003E260000}"/>
    <cellStyle name="Normal 5 2 5 4" xfId="1027" xr:uid="{00000000-0005-0000-0000-00003F260000}"/>
    <cellStyle name="Normal 5 2 5 4 2" xfId="2747" xr:uid="{00000000-0005-0000-0000-000040260000}"/>
    <cellStyle name="Normal 5 2 5 4 2 2" xfId="16287" xr:uid="{00000000-0005-0000-0000-000041260000}"/>
    <cellStyle name="Normal 5 2 5 4 2 3" xfId="12709" xr:uid="{00000000-0005-0000-0000-000042260000}"/>
    <cellStyle name="Normal 5 2 5 4 2 4" xfId="7419" xr:uid="{00000000-0005-0000-0000-000043260000}"/>
    <cellStyle name="Normal 5 2 5 4 3" xfId="4015" xr:uid="{00000000-0005-0000-0000-000044260000}"/>
    <cellStyle name="Normal 5 2 5 4 3 2" xfId="17660" xr:uid="{00000000-0005-0000-0000-000045260000}"/>
    <cellStyle name="Normal 5 2 5 4 3 3" xfId="14081" xr:uid="{00000000-0005-0000-0000-000046260000}"/>
    <cellStyle name="Normal 5 2 5 4 3 4" xfId="8824" xr:uid="{00000000-0005-0000-0000-000047260000}"/>
    <cellStyle name="Normal 5 2 5 4 4" xfId="6535" xr:uid="{00000000-0005-0000-0000-000048260000}"/>
    <cellStyle name="Normal 5 2 5 4 4 2" xfId="15619" xr:uid="{00000000-0005-0000-0000-000049260000}"/>
    <cellStyle name="Normal 5 2 5 4 5" xfId="10278" xr:uid="{00000000-0005-0000-0000-00004A260000}"/>
    <cellStyle name="Normal 5 2 5 4 5 2" xfId="19105" xr:uid="{00000000-0005-0000-0000-00004B260000}"/>
    <cellStyle name="Normal 5 2 5 4 6" xfId="11724" xr:uid="{00000000-0005-0000-0000-00004C260000}"/>
    <cellStyle name="Normal 5 2 5 4 7" xfId="5013" xr:uid="{00000000-0005-0000-0000-00004D260000}"/>
    <cellStyle name="Normal 5 2 5 5" xfId="1402" xr:uid="{00000000-0005-0000-0000-00004E260000}"/>
    <cellStyle name="Normal 5 2 5 5 2" xfId="3007" xr:uid="{00000000-0005-0000-0000-00004F260000}"/>
    <cellStyle name="Normal 5 2 5 5 2 2" xfId="16556" xr:uid="{00000000-0005-0000-0000-000050260000}"/>
    <cellStyle name="Normal 5 2 5 5 2 3" xfId="12977" xr:uid="{00000000-0005-0000-0000-000051260000}"/>
    <cellStyle name="Normal 5 2 5 5 2 4" xfId="7688" xr:uid="{00000000-0005-0000-0000-000052260000}"/>
    <cellStyle name="Normal 5 2 5 5 3" xfId="4215" xr:uid="{00000000-0005-0000-0000-000053260000}"/>
    <cellStyle name="Normal 5 2 5 5 3 2" xfId="17920" xr:uid="{00000000-0005-0000-0000-000054260000}"/>
    <cellStyle name="Normal 5 2 5 5 3 3" xfId="14341" xr:uid="{00000000-0005-0000-0000-000055260000}"/>
    <cellStyle name="Normal 5 2 5 5 3 4" xfId="9084" xr:uid="{00000000-0005-0000-0000-000056260000}"/>
    <cellStyle name="Normal 5 2 5 5 4" xfId="5981" xr:uid="{00000000-0005-0000-0000-000057260000}"/>
    <cellStyle name="Normal 5 2 5 5 4 2" xfId="15067" xr:uid="{00000000-0005-0000-0000-000058260000}"/>
    <cellStyle name="Normal 5 2 5 5 5" xfId="10538" xr:uid="{00000000-0005-0000-0000-000059260000}"/>
    <cellStyle name="Normal 5 2 5 5 5 2" xfId="19365" xr:uid="{00000000-0005-0000-0000-00005A260000}"/>
    <cellStyle name="Normal 5 2 5 5 6" xfId="11984" xr:uid="{00000000-0005-0000-0000-00005B260000}"/>
    <cellStyle name="Normal 5 2 5 5 7" xfId="5282" xr:uid="{00000000-0005-0000-0000-00005C260000}"/>
    <cellStyle name="Normal 5 2 5 6" xfId="1964" xr:uid="{00000000-0005-0000-0000-00005D260000}"/>
    <cellStyle name="Normal 5 2 5 6 2" xfId="15910" xr:uid="{00000000-0005-0000-0000-00005E260000}"/>
    <cellStyle name="Normal 5 2 5 6 3" xfId="12263" xr:uid="{00000000-0005-0000-0000-00005F260000}"/>
    <cellStyle name="Normal 5 2 5 6 4" xfId="6867" xr:uid="{00000000-0005-0000-0000-000060260000}"/>
    <cellStyle name="Normal 5 2 5 7" xfId="3378" xr:uid="{00000000-0005-0000-0000-000061260000}"/>
    <cellStyle name="Normal 5 2 5 7 2" xfId="16877" xr:uid="{00000000-0005-0000-0000-000062260000}"/>
    <cellStyle name="Normal 5 2 5 7 3" xfId="13298" xr:uid="{00000000-0005-0000-0000-000063260000}"/>
    <cellStyle name="Normal 5 2 5 7 4" xfId="8041" xr:uid="{00000000-0005-0000-0000-000064260000}"/>
    <cellStyle name="Normal 5 2 5 8" xfId="5602" xr:uid="{00000000-0005-0000-0000-000065260000}"/>
    <cellStyle name="Normal 5 2 5 8 2" xfId="14688" xr:uid="{00000000-0005-0000-0000-000066260000}"/>
    <cellStyle name="Normal 5 2 5 9" xfId="9495" xr:uid="{00000000-0005-0000-0000-000067260000}"/>
    <cellStyle name="Normal 5 2 5 9 2" xfId="18322" xr:uid="{00000000-0005-0000-0000-000068260000}"/>
    <cellStyle name="Normal 5 2 5_Degree data" xfId="1255" xr:uid="{00000000-0005-0000-0000-000069260000}"/>
    <cellStyle name="Normal 5 2 6" xfId="454" xr:uid="{00000000-0005-0000-0000-00006A260000}"/>
    <cellStyle name="Normal 5 2 6 10" xfId="4516" xr:uid="{00000000-0005-0000-0000-00006B260000}"/>
    <cellStyle name="Normal 5 2 6 2" xfId="672" xr:uid="{00000000-0005-0000-0000-00006C260000}"/>
    <cellStyle name="Normal 5 2 6 2 2" xfId="2401" xr:uid="{00000000-0005-0000-0000-00006D260000}"/>
    <cellStyle name="Normal 5 2 6 2 2 2" xfId="16108" xr:uid="{00000000-0005-0000-0000-00006E260000}"/>
    <cellStyle name="Normal 5 2 6 2 2 3" xfId="12530" xr:uid="{00000000-0005-0000-0000-00006F260000}"/>
    <cellStyle name="Normal 5 2 6 2 2 4" xfId="7239" xr:uid="{00000000-0005-0000-0000-000070260000}"/>
    <cellStyle name="Normal 5 2 6 2 3" xfId="3668" xr:uid="{00000000-0005-0000-0000-000071260000}"/>
    <cellStyle name="Normal 5 2 6 2 3 2" xfId="17314" xr:uid="{00000000-0005-0000-0000-000072260000}"/>
    <cellStyle name="Normal 5 2 6 2 3 3" xfId="13735" xr:uid="{00000000-0005-0000-0000-000073260000}"/>
    <cellStyle name="Normal 5 2 6 2 3 4" xfId="8478" xr:uid="{00000000-0005-0000-0000-000074260000}"/>
    <cellStyle name="Normal 5 2 6 2 4" xfId="6355" xr:uid="{00000000-0005-0000-0000-000075260000}"/>
    <cellStyle name="Normal 5 2 6 2 4 2" xfId="15439" xr:uid="{00000000-0005-0000-0000-000076260000}"/>
    <cellStyle name="Normal 5 2 6 2 5" xfId="9932" xr:uid="{00000000-0005-0000-0000-000077260000}"/>
    <cellStyle name="Normal 5 2 6 2 5 2" xfId="18759" xr:uid="{00000000-0005-0000-0000-000078260000}"/>
    <cellStyle name="Normal 5 2 6 2 6" xfId="11377" xr:uid="{00000000-0005-0000-0000-000079260000}"/>
    <cellStyle name="Normal 5 2 6 2 7" xfId="4833" xr:uid="{00000000-0005-0000-0000-00007A260000}"/>
    <cellStyle name="Normal 5 2 6 3" xfId="1029" xr:uid="{00000000-0005-0000-0000-00007B260000}"/>
    <cellStyle name="Normal 5 2 6 3 2" xfId="2749" xr:uid="{00000000-0005-0000-0000-00007C260000}"/>
    <cellStyle name="Normal 5 2 6 3 2 2" xfId="16289" xr:uid="{00000000-0005-0000-0000-00007D260000}"/>
    <cellStyle name="Normal 5 2 6 3 2 3" xfId="12711" xr:uid="{00000000-0005-0000-0000-00007E260000}"/>
    <cellStyle name="Normal 5 2 6 3 2 4" xfId="7421" xr:uid="{00000000-0005-0000-0000-00007F260000}"/>
    <cellStyle name="Normal 5 2 6 3 3" xfId="4017" xr:uid="{00000000-0005-0000-0000-000080260000}"/>
    <cellStyle name="Normal 5 2 6 3 3 2" xfId="17662" xr:uid="{00000000-0005-0000-0000-000081260000}"/>
    <cellStyle name="Normal 5 2 6 3 3 3" xfId="14083" xr:uid="{00000000-0005-0000-0000-000082260000}"/>
    <cellStyle name="Normal 5 2 6 3 3 4" xfId="8826" xr:uid="{00000000-0005-0000-0000-000083260000}"/>
    <cellStyle name="Normal 5 2 6 3 4" xfId="6537" xr:uid="{00000000-0005-0000-0000-000084260000}"/>
    <cellStyle name="Normal 5 2 6 3 4 2" xfId="15621" xr:uid="{00000000-0005-0000-0000-000085260000}"/>
    <cellStyle name="Normal 5 2 6 3 5" xfId="10280" xr:uid="{00000000-0005-0000-0000-000086260000}"/>
    <cellStyle name="Normal 5 2 6 3 5 2" xfId="19107" xr:uid="{00000000-0005-0000-0000-000087260000}"/>
    <cellStyle name="Normal 5 2 6 3 6" xfId="11726" xr:uid="{00000000-0005-0000-0000-000088260000}"/>
    <cellStyle name="Normal 5 2 6 3 7" xfId="5015" xr:uid="{00000000-0005-0000-0000-000089260000}"/>
    <cellStyle name="Normal 5 2 6 4" xfId="1674" xr:uid="{00000000-0005-0000-0000-00008A260000}"/>
    <cellStyle name="Normal 5 2 6 4 2" xfId="3267" xr:uid="{00000000-0005-0000-0000-00008B260000}"/>
    <cellStyle name="Normal 5 2 6 4 2 2" xfId="16816" xr:uid="{00000000-0005-0000-0000-00008C260000}"/>
    <cellStyle name="Normal 5 2 6 4 2 3" xfId="13237" xr:uid="{00000000-0005-0000-0000-00008D260000}"/>
    <cellStyle name="Normal 5 2 6 4 2 4" xfId="7948" xr:uid="{00000000-0005-0000-0000-00008E260000}"/>
    <cellStyle name="Normal 5 2 6 4 3" xfId="4330" xr:uid="{00000000-0005-0000-0000-00008F260000}"/>
    <cellStyle name="Normal 5 2 6 4 3 2" xfId="18180" xr:uid="{00000000-0005-0000-0000-000090260000}"/>
    <cellStyle name="Normal 5 2 6 4 3 3" xfId="14601" xr:uid="{00000000-0005-0000-0000-000091260000}"/>
    <cellStyle name="Normal 5 2 6 4 3 4" xfId="9344" xr:uid="{00000000-0005-0000-0000-000092260000}"/>
    <cellStyle name="Normal 5 2 6 4 4" xfId="6036" xr:uid="{00000000-0005-0000-0000-000093260000}"/>
    <cellStyle name="Normal 5 2 6 4 4 2" xfId="15122" xr:uid="{00000000-0005-0000-0000-000094260000}"/>
    <cellStyle name="Normal 5 2 6 4 5" xfId="10798" xr:uid="{00000000-0005-0000-0000-000095260000}"/>
    <cellStyle name="Normal 5 2 6 4 5 2" xfId="19625" xr:uid="{00000000-0005-0000-0000-000096260000}"/>
    <cellStyle name="Normal 5 2 6 4 6" xfId="12244" xr:uid="{00000000-0005-0000-0000-000097260000}"/>
    <cellStyle name="Normal 5 2 6 4 7" xfId="5542" xr:uid="{00000000-0005-0000-0000-000098260000}"/>
    <cellStyle name="Normal 5 2 6 5" xfId="2224" xr:uid="{00000000-0005-0000-0000-000099260000}"/>
    <cellStyle name="Normal 5 2 6 5 2" xfId="15965" xr:uid="{00000000-0005-0000-0000-00009A260000}"/>
    <cellStyle name="Normal 5 2 6 5 3" xfId="12253" xr:uid="{00000000-0005-0000-0000-00009B260000}"/>
    <cellStyle name="Normal 5 2 6 5 4" xfId="6922" xr:uid="{00000000-0005-0000-0000-00009C260000}"/>
    <cellStyle name="Normal 5 2 6 6" xfId="3492" xr:uid="{00000000-0005-0000-0000-00009D260000}"/>
    <cellStyle name="Normal 5 2 6 6 2" xfId="17137" xr:uid="{00000000-0005-0000-0000-00009E260000}"/>
    <cellStyle name="Normal 5 2 6 6 3" xfId="13558" xr:uid="{00000000-0005-0000-0000-00009F260000}"/>
    <cellStyle name="Normal 5 2 6 6 4" xfId="8301" xr:uid="{00000000-0005-0000-0000-0000A0260000}"/>
    <cellStyle name="Normal 5 2 6 7" xfId="5862" xr:uid="{00000000-0005-0000-0000-0000A1260000}"/>
    <cellStyle name="Normal 5 2 6 7 2" xfId="14948" xr:uid="{00000000-0005-0000-0000-0000A2260000}"/>
    <cellStyle name="Normal 5 2 6 8" xfId="9755" xr:uid="{00000000-0005-0000-0000-0000A3260000}"/>
    <cellStyle name="Normal 5 2 6 8 2" xfId="18582" xr:uid="{00000000-0005-0000-0000-0000A4260000}"/>
    <cellStyle name="Normal 5 2 6 9" xfId="11199" xr:uid="{00000000-0005-0000-0000-0000A5260000}"/>
    <cellStyle name="Normal 5 2 6_Degree data" xfId="1243" xr:uid="{00000000-0005-0000-0000-0000A6260000}"/>
    <cellStyle name="Normal 5 2 7" xfId="296" xr:uid="{00000000-0005-0000-0000-0000A7260000}"/>
    <cellStyle name="Normal 5 2 7 2" xfId="673" xr:uid="{00000000-0005-0000-0000-0000A8260000}"/>
    <cellStyle name="Normal 5 2 7 2 2" xfId="2402" xr:uid="{00000000-0005-0000-0000-0000A9260000}"/>
    <cellStyle name="Normal 5 2 7 2 2 2" xfId="16290" xr:uid="{00000000-0005-0000-0000-0000AA260000}"/>
    <cellStyle name="Normal 5 2 7 2 2 3" xfId="12712" xr:uid="{00000000-0005-0000-0000-0000AB260000}"/>
    <cellStyle name="Normal 5 2 7 2 2 4" xfId="7422" xr:uid="{00000000-0005-0000-0000-0000AC260000}"/>
    <cellStyle name="Normal 5 2 7 2 3" xfId="3669" xr:uid="{00000000-0005-0000-0000-0000AD260000}"/>
    <cellStyle name="Normal 5 2 7 2 3 2" xfId="17315" xr:uid="{00000000-0005-0000-0000-0000AE260000}"/>
    <cellStyle name="Normal 5 2 7 2 3 3" xfId="13736" xr:uid="{00000000-0005-0000-0000-0000AF260000}"/>
    <cellStyle name="Normal 5 2 7 2 3 4" xfId="8479" xr:uid="{00000000-0005-0000-0000-0000B0260000}"/>
    <cellStyle name="Normal 5 2 7 2 4" xfId="6538" xr:uid="{00000000-0005-0000-0000-0000B1260000}"/>
    <cellStyle name="Normal 5 2 7 2 4 2" xfId="15622" xr:uid="{00000000-0005-0000-0000-0000B2260000}"/>
    <cellStyle name="Normal 5 2 7 2 5" xfId="9933" xr:uid="{00000000-0005-0000-0000-0000B3260000}"/>
    <cellStyle name="Normal 5 2 7 2 5 2" xfId="18760" xr:uid="{00000000-0005-0000-0000-0000B4260000}"/>
    <cellStyle name="Normal 5 2 7 2 6" xfId="11378" xr:uid="{00000000-0005-0000-0000-0000B5260000}"/>
    <cellStyle name="Normal 5 2 7 2 7" xfId="5016" xr:uid="{00000000-0005-0000-0000-0000B6260000}"/>
    <cellStyle name="Normal 5 2 7 3" xfId="1030" xr:uid="{00000000-0005-0000-0000-0000B7260000}"/>
    <cellStyle name="Normal 5 2 7 3 2" xfId="2750" xr:uid="{00000000-0005-0000-0000-0000B8260000}"/>
    <cellStyle name="Normal 5 2 7 3 2 2" xfId="16656" xr:uid="{00000000-0005-0000-0000-0000B9260000}"/>
    <cellStyle name="Normal 5 2 7 3 2 3" xfId="13077" xr:uid="{00000000-0005-0000-0000-0000BA260000}"/>
    <cellStyle name="Normal 5 2 7 3 2 4" xfId="7788" xr:uid="{00000000-0005-0000-0000-0000BB260000}"/>
    <cellStyle name="Normal 5 2 7 3 3" xfId="4018" xr:uid="{00000000-0005-0000-0000-0000BC260000}"/>
    <cellStyle name="Normal 5 2 7 3 3 2" xfId="17663" xr:uid="{00000000-0005-0000-0000-0000BD260000}"/>
    <cellStyle name="Normal 5 2 7 3 3 3" xfId="14084" xr:uid="{00000000-0005-0000-0000-0000BE260000}"/>
    <cellStyle name="Normal 5 2 7 3 3 4" xfId="8827" xr:uid="{00000000-0005-0000-0000-0000BF260000}"/>
    <cellStyle name="Normal 5 2 7 3 4" xfId="6195" xr:uid="{00000000-0005-0000-0000-0000C0260000}"/>
    <cellStyle name="Normal 5 2 7 3 4 2" xfId="15279" xr:uid="{00000000-0005-0000-0000-0000C1260000}"/>
    <cellStyle name="Normal 5 2 7 3 5" xfId="10281" xr:uid="{00000000-0005-0000-0000-0000C2260000}"/>
    <cellStyle name="Normal 5 2 7 3 5 2" xfId="19108" xr:uid="{00000000-0005-0000-0000-0000C3260000}"/>
    <cellStyle name="Normal 5 2 7 3 6" xfId="11727" xr:uid="{00000000-0005-0000-0000-0000C4260000}"/>
    <cellStyle name="Normal 5 2 7 3 7" xfId="5382" xr:uid="{00000000-0005-0000-0000-0000C5260000}"/>
    <cellStyle name="Normal 5 2 7 4" xfId="1508" xr:uid="{00000000-0005-0000-0000-0000C6260000}"/>
    <cellStyle name="Normal 5 2 7 4 2" xfId="3107" xr:uid="{00000000-0005-0000-0000-0000C7260000}"/>
    <cellStyle name="Normal 5 2 7 4 2 2" xfId="18020" xr:uid="{00000000-0005-0000-0000-0000C8260000}"/>
    <cellStyle name="Normal 5 2 7 4 2 3" xfId="14441" xr:uid="{00000000-0005-0000-0000-0000C9260000}"/>
    <cellStyle name="Normal 5 2 7 4 2 4" xfId="9184" xr:uid="{00000000-0005-0000-0000-0000CA260000}"/>
    <cellStyle name="Normal 5 2 7 4 3" xfId="10638" xr:uid="{00000000-0005-0000-0000-0000CB260000}"/>
    <cellStyle name="Normal 5 2 7 4 3 2" xfId="19465" xr:uid="{00000000-0005-0000-0000-0000CC260000}"/>
    <cellStyle name="Normal 5 2 7 4 4" xfId="12084" xr:uid="{00000000-0005-0000-0000-0000CD260000}"/>
    <cellStyle name="Normal 5 2 7 4 5" xfId="7079" xr:uid="{00000000-0005-0000-0000-0000CE260000}"/>
    <cellStyle name="Normal 5 2 7 5" xfId="2064" xr:uid="{00000000-0005-0000-0000-0000CF260000}"/>
    <cellStyle name="Normal 5 2 7 5 2" xfId="16977" xr:uid="{00000000-0005-0000-0000-0000D0260000}"/>
    <cellStyle name="Normal 5 2 7 5 3" xfId="13398" xr:uid="{00000000-0005-0000-0000-0000D1260000}"/>
    <cellStyle name="Normal 5 2 7 5 4" xfId="8141" xr:uid="{00000000-0005-0000-0000-0000D2260000}"/>
    <cellStyle name="Normal 5 2 7 6" xfId="5702" xr:uid="{00000000-0005-0000-0000-0000D3260000}"/>
    <cellStyle name="Normal 5 2 7 6 2" xfId="14788" xr:uid="{00000000-0005-0000-0000-0000D4260000}"/>
    <cellStyle name="Normal 5 2 7 7" xfId="9595" xr:uid="{00000000-0005-0000-0000-0000D5260000}"/>
    <cellStyle name="Normal 5 2 7 7 2" xfId="18422" xr:uid="{00000000-0005-0000-0000-0000D6260000}"/>
    <cellStyle name="Normal 5 2 7 8" xfId="11039" xr:uid="{00000000-0005-0000-0000-0000D7260000}"/>
    <cellStyle name="Normal 5 2 7 9" xfId="4673" xr:uid="{00000000-0005-0000-0000-0000D8260000}"/>
    <cellStyle name="Normal 5 2 7_Degree data" xfId="1297" xr:uid="{00000000-0005-0000-0000-0000D9260000}"/>
    <cellStyle name="Normal 5 2 8" xfId="1835" xr:uid="{00000000-0005-0000-0000-0000DA260000}"/>
    <cellStyle name="Normal 5 2 8 2" xfId="14961" xr:uid="{00000000-0005-0000-0000-0000DB260000}"/>
    <cellStyle name="Normal 5 2 8 3" xfId="12304" xr:uid="{00000000-0005-0000-0000-0000DC260000}"/>
    <cellStyle name="Normal 5 2 8 4" xfId="5875" xr:uid="{00000000-0005-0000-0000-0000DD260000}"/>
    <cellStyle name="Normal 5 2 9" xfId="3279" xr:uid="{00000000-0005-0000-0000-0000DE260000}"/>
    <cellStyle name="Normal 5 2 9 2" xfId="15834" xr:uid="{00000000-0005-0000-0000-0000DF260000}"/>
    <cellStyle name="Normal 5 2 9 3" xfId="12457" xr:uid="{00000000-0005-0000-0000-0000E0260000}"/>
    <cellStyle name="Normal 5 2 9 4" xfId="6761" xr:uid="{00000000-0005-0000-0000-0000E1260000}"/>
    <cellStyle name="Normal 5 3" xfId="116" xr:uid="{00000000-0005-0000-0000-0000E2260000}"/>
    <cellStyle name="Normal 5 3 10" xfId="1893" xr:uid="{00000000-0005-0000-0000-0000E3260000}"/>
    <cellStyle name="Normal 5 3 10 2" xfId="9424" xr:uid="{00000000-0005-0000-0000-0000E4260000}"/>
    <cellStyle name="Normal 5 3 10 2 2" xfId="18251" xr:uid="{00000000-0005-0000-0000-0000E5260000}"/>
    <cellStyle name="Normal 5 3 10 3" xfId="10868" xr:uid="{00000000-0005-0000-0000-0000E6260000}"/>
    <cellStyle name="Normal 5 3 10 4" xfId="7968" xr:uid="{00000000-0005-0000-0000-0000E7260000}"/>
    <cellStyle name="Normal 5 3 11" xfId="1863" xr:uid="{00000000-0005-0000-0000-0000E8260000}"/>
    <cellStyle name="Normal 5 3 11 2" xfId="14637" xr:uid="{00000000-0005-0000-0000-0000E9260000}"/>
    <cellStyle name="Normal 5 3 11 3" xfId="5551" xr:uid="{00000000-0005-0000-0000-0000EA260000}"/>
    <cellStyle name="Normal 5 3 12" xfId="9394" xr:uid="{00000000-0005-0000-0000-0000EB260000}"/>
    <cellStyle name="Normal 5 3 12 2" xfId="18221" xr:uid="{00000000-0005-0000-0000-0000EC260000}"/>
    <cellStyle name="Normal 5 3 13" xfId="10838" xr:uid="{00000000-0005-0000-0000-0000ED260000}"/>
    <cellStyle name="Normal 5 3 14" xfId="4352" xr:uid="{00000000-0005-0000-0000-0000EE260000}"/>
    <cellStyle name="Normal 5 3 2" xfId="149" xr:uid="{00000000-0005-0000-0000-0000EF260000}"/>
    <cellStyle name="Normal 5 3 2 10" xfId="5576" xr:uid="{00000000-0005-0000-0000-0000F0260000}"/>
    <cellStyle name="Normal 5 3 2 10 2" xfId="14662" xr:uid="{00000000-0005-0000-0000-0000F1260000}"/>
    <cellStyle name="Normal 5 3 2 11" xfId="9469" xr:uid="{00000000-0005-0000-0000-0000F2260000}"/>
    <cellStyle name="Normal 5 3 2 11 2" xfId="18296" xr:uid="{00000000-0005-0000-0000-0000F3260000}"/>
    <cellStyle name="Normal 5 3 2 12" xfId="10913" xr:uid="{00000000-0005-0000-0000-0000F4260000}"/>
    <cellStyle name="Normal 5 3 2 13" xfId="4387" xr:uid="{00000000-0005-0000-0000-0000F5260000}"/>
    <cellStyle name="Normal 5 3 2 2" xfId="219" xr:uid="{00000000-0005-0000-0000-0000F6260000}"/>
    <cellStyle name="Normal 5 3 2 2 10" xfId="10970" xr:uid="{00000000-0005-0000-0000-0000F7260000}"/>
    <cellStyle name="Normal 5 3 2 2 11" xfId="4491" xr:uid="{00000000-0005-0000-0000-0000F8260000}"/>
    <cellStyle name="Normal 5 3 2 2 2" xfId="432" xr:uid="{00000000-0005-0000-0000-0000F9260000}"/>
    <cellStyle name="Normal 5 3 2 2 2 2" xfId="677" xr:uid="{00000000-0005-0000-0000-0000FA260000}"/>
    <cellStyle name="Normal 5 3 2 2 2 2 2" xfId="2406" xr:uid="{00000000-0005-0000-0000-0000FB260000}"/>
    <cellStyle name="Normal 5 3 2 2 2 2 2 2" xfId="16294" xr:uid="{00000000-0005-0000-0000-0000FC260000}"/>
    <cellStyle name="Normal 5 3 2 2 2 2 2 3" xfId="12716" xr:uid="{00000000-0005-0000-0000-0000FD260000}"/>
    <cellStyle name="Normal 5 3 2 2 2 2 2 4" xfId="7426" xr:uid="{00000000-0005-0000-0000-0000FE260000}"/>
    <cellStyle name="Normal 5 3 2 2 2 2 3" xfId="3673" xr:uid="{00000000-0005-0000-0000-0000FF260000}"/>
    <cellStyle name="Normal 5 3 2 2 2 2 3 2" xfId="17319" xr:uid="{00000000-0005-0000-0000-000000270000}"/>
    <cellStyle name="Normal 5 3 2 2 2 2 3 3" xfId="13740" xr:uid="{00000000-0005-0000-0000-000001270000}"/>
    <cellStyle name="Normal 5 3 2 2 2 2 3 4" xfId="8483" xr:uid="{00000000-0005-0000-0000-000002270000}"/>
    <cellStyle name="Normal 5 3 2 2 2 2 4" xfId="6542" xr:uid="{00000000-0005-0000-0000-000003270000}"/>
    <cellStyle name="Normal 5 3 2 2 2 2 4 2" xfId="15626" xr:uid="{00000000-0005-0000-0000-000004270000}"/>
    <cellStyle name="Normal 5 3 2 2 2 2 5" xfId="9937" xr:uid="{00000000-0005-0000-0000-000005270000}"/>
    <cellStyle name="Normal 5 3 2 2 2 2 5 2" xfId="18764" xr:uid="{00000000-0005-0000-0000-000006270000}"/>
    <cellStyle name="Normal 5 3 2 2 2 2 6" xfId="11382" xr:uid="{00000000-0005-0000-0000-000007270000}"/>
    <cellStyle name="Normal 5 3 2 2 2 2 7" xfId="5020" xr:uid="{00000000-0005-0000-0000-000008270000}"/>
    <cellStyle name="Normal 5 3 2 2 2 3" xfId="1034" xr:uid="{00000000-0005-0000-0000-000009270000}"/>
    <cellStyle name="Normal 5 3 2 2 2 3 2" xfId="2754" xr:uid="{00000000-0005-0000-0000-00000A270000}"/>
    <cellStyle name="Normal 5 3 2 2 2 3 2 2" xfId="16791" xr:uid="{00000000-0005-0000-0000-00000B270000}"/>
    <cellStyle name="Normal 5 3 2 2 2 3 2 3" xfId="13212" xr:uid="{00000000-0005-0000-0000-00000C270000}"/>
    <cellStyle name="Normal 5 3 2 2 2 3 2 4" xfId="7923" xr:uid="{00000000-0005-0000-0000-00000D270000}"/>
    <cellStyle name="Normal 5 3 2 2 2 3 3" xfId="4022" xr:uid="{00000000-0005-0000-0000-00000E270000}"/>
    <cellStyle name="Normal 5 3 2 2 2 3 3 2" xfId="17667" xr:uid="{00000000-0005-0000-0000-00000F270000}"/>
    <cellStyle name="Normal 5 3 2 2 2 3 3 3" xfId="14088" xr:uid="{00000000-0005-0000-0000-000010270000}"/>
    <cellStyle name="Normal 5 3 2 2 2 3 3 4" xfId="8831" xr:uid="{00000000-0005-0000-0000-000011270000}"/>
    <cellStyle name="Normal 5 3 2 2 2 3 4" xfId="6330" xr:uid="{00000000-0005-0000-0000-000012270000}"/>
    <cellStyle name="Normal 5 3 2 2 2 3 4 2" xfId="15414" xr:uid="{00000000-0005-0000-0000-000013270000}"/>
    <cellStyle name="Normal 5 3 2 2 2 3 5" xfId="10285" xr:uid="{00000000-0005-0000-0000-000014270000}"/>
    <cellStyle name="Normal 5 3 2 2 2 3 5 2" xfId="19112" xr:uid="{00000000-0005-0000-0000-000015270000}"/>
    <cellStyle name="Normal 5 3 2 2 2 3 6" xfId="11731" xr:uid="{00000000-0005-0000-0000-000016270000}"/>
    <cellStyle name="Normal 5 3 2 2 2 3 7" xfId="5517" xr:uid="{00000000-0005-0000-0000-000017270000}"/>
    <cellStyle name="Normal 5 3 2 2 2 4" xfId="1646" xr:uid="{00000000-0005-0000-0000-000018270000}"/>
    <cellStyle name="Normal 5 3 2 2 2 4 2" xfId="3242" xr:uid="{00000000-0005-0000-0000-000019270000}"/>
    <cellStyle name="Normal 5 3 2 2 2 4 2 2" xfId="18155" xr:uid="{00000000-0005-0000-0000-00001A270000}"/>
    <cellStyle name="Normal 5 3 2 2 2 4 2 3" xfId="14576" xr:uid="{00000000-0005-0000-0000-00001B270000}"/>
    <cellStyle name="Normal 5 3 2 2 2 4 2 4" xfId="9319" xr:uid="{00000000-0005-0000-0000-00001C270000}"/>
    <cellStyle name="Normal 5 3 2 2 2 4 3" xfId="10773" xr:uid="{00000000-0005-0000-0000-00001D270000}"/>
    <cellStyle name="Normal 5 3 2 2 2 4 3 2" xfId="19600" xr:uid="{00000000-0005-0000-0000-00001E270000}"/>
    <cellStyle name="Normal 5 3 2 2 2 4 4" xfId="12219" xr:uid="{00000000-0005-0000-0000-00001F270000}"/>
    <cellStyle name="Normal 5 3 2 2 2 4 5" xfId="7214" xr:uid="{00000000-0005-0000-0000-000020270000}"/>
    <cellStyle name="Normal 5 3 2 2 2 5" xfId="2199" xr:uid="{00000000-0005-0000-0000-000021270000}"/>
    <cellStyle name="Normal 5 3 2 2 2 5 2" xfId="17112" xr:uid="{00000000-0005-0000-0000-000022270000}"/>
    <cellStyle name="Normal 5 3 2 2 2 5 3" xfId="13533" xr:uid="{00000000-0005-0000-0000-000023270000}"/>
    <cellStyle name="Normal 5 3 2 2 2 5 4" xfId="8276" xr:uid="{00000000-0005-0000-0000-000024270000}"/>
    <cellStyle name="Normal 5 3 2 2 2 6" xfId="5837" xr:uid="{00000000-0005-0000-0000-000025270000}"/>
    <cellStyle name="Normal 5 3 2 2 2 6 2" xfId="14923" xr:uid="{00000000-0005-0000-0000-000026270000}"/>
    <cellStyle name="Normal 5 3 2 2 2 7" xfId="9730" xr:uid="{00000000-0005-0000-0000-000027270000}"/>
    <cellStyle name="Normal 5 3 2 2 2 7 2" xfId="18557" xr:uid="{00000000-0005-0000-0000-000028270000}"/>
    <cellStyle name="Normal 5 3 2 2 2 8" xfId="11174" xr:uid="{00000000-0005-0000-0000-000029270000}"/>
    <cellStyle name="Normal 5 3 2 2 2 9" xfId="4808" xr:uid="{00000000-0005-0000-0000-00002A270000}"/>
    <cellStyle name="Normal 5 3 2 2 2_Degree data" xfId="1209" xr:uid="{00000000-0005-0000-0000-00002B270000}"/>
    <cellStyle name="Normal 5 3 2 2 3" xfId="676" xr:uid="{00000000-0005-0000-0000-00002C270000}"/>
    <cellStyle name="Normal 5 3 2 2 3 2" xfId="2405" xr:uid="{00000000-0005-0000-0000-00002D270000}"/>
    <cellStyle name="Normal 5 3 2 2 3 2 2" xfId="16024" xr:uid="{00000000-0005-0000-0000-00002E270000}"/>
    <cellStyle name="Normal 5 3 2 2 3 2 3" xfId="12492" xr:uid="{00000000-0005-0000-0000-00002F270000}"/>
    <cellStyle name="Normal 5 3 2 2 3 2 4" xfId="7010" xr:uid="{00000000-0005-0000-0000-000030270000}"/>
    <cellStyle name="Normal 5 3 2 2 3 3" xfId="3672" xr:uid="{00000000-0005-0000-0000-000031270000}"/>
    <cellStyle name="Normal 5 3 2 2 3 3 2" xfId="17318" xr:uid="{00000000-0005-0000-0000-000032270000}"/>
    <cellStyle name="Normal 5 3 2 2 3 3 3" xfId="13739" xr:uid="{00000000-0005-0000-0000-000033270000}"/>
    <cellStyle name="Normal 5 3 2 2 3 3 4" xfId="8482" xr:uid="{00000000-0005-0000-0000-000034270000}"/>
    <cellStyle name="Normal 5 3 2 2 3 4" xfId="6126" xr:uid="{00000000-0005-0000-0000-000035270000}"/>
    <cellStyle name="Normal 5 3 2 2 3 4 2" xfId="15210" xr:uid="{00000000-0005-0000-0000-000036270000}"/>
    <cellStyle name="Normal 5 3 2 2 3 5" xfId="9936" xr:uid="{00000000-0005-0000-0000-000037270000}"/>
    <cellStyle name="Normal 5 3 2 2 3 5 2" xfId="18763" xr:uid="{00000000-0005-0000-0000-000038270000}"/>
    <cellStyle name="Normal 5 3 2 2 3 6" xfId="11381" xr:uid="{00000000-0005-0000-0000-000039270000}"/>
    <cellStyle name="Normal 5 3 2 2 3 7" xfId="4604" xr:uid="{00000000-0005-0000-0000-00003A270000}"/>
    <cellStyle name="Normal 5 3 2 2 4" xfId="1033" xr:uid="{00000000-0005-0000-0000-00003B270000}"/>
    <cellStyle name="Normal 5 3 2 2 4 2" xfId="2753" xr:uid="{00000000-0005-0000-0000-00003C270000}"/>
    <cellStyle name="Normal 5 3 2 2 4 2 2" xfId="16293" xr:uid="{00000000-0005-0000-0000-00003D270000}"/>
    <cellStyle name="Normal 5 3 2 2 4 2 3" xfId="12715" xr:uid="{00000000-0005-0000-0000-00003E270000}"/>
    <cellStyle name="Normal 5 3 2 2 4 2 4" xfId="7425" xr:uid="{00000000-0005-0000-0000-00003F270000}"/>
    <cellStyle name="Normal 5 3 2 2 4 3" xfId="4021" xr:uid="{00000000-0005-0000-0000-000040270000}"/>
    <cellStyle name="Normal 5 3 2 2 4 3 2" xfId="17666" xr:uid="{00000000-0005-0000-0000-000041270000}"/>
    <cellStyle name="Normal 5 3 2 2 4 3 3" xfId="14087" xr:uid="{00000000-0005-0000-0000-000042270000}"/>
    <cellStyle name="Normal 5 3 2 2 4 3 4" xfId="8830" xr:uid="{00000000-0005-0000-0000-000043270000}"/>
    <cellStyle name="Normal 5 3 2 2 4 4" xfId="6541" xr:uid="{00000000-0005-0000-0000-000044270000}"/>
    <cellStyle name="Normal 5 3 2 2 4 4 2" xfId="15625" xr:uid="{00000000-0005-0000-0000-000045270000}"/>
    <cellStyle name="Normal 5 3 2 2 4 5" xfId="10284" xr:uid="{00000000-0005-0000-0000-000046270000}"/>
    <cellStyle name="Normal 5 3 2 2 4 5 2" xfId="19111" xr:uid="{00000000-0005-0000-0000-000047270000}"/>
    <cellStyle name="Normal 5 3 2 2 4 6" xfId="11730" xr:uid="{00000000-0005-0000-0000-000048270000}"/>
    <cellStyle name="Normal 5 3 2 2 4 7" xfId="5019" xr:uid="{00000000-0005-0000-0000-000049270000}"/>
    <cellStyle name="Normal 5 3 2 2 5" xfId="1437" xr:uid="{00000000-0005-0000-0000-00004A270000}"/>
    <cellStyle name="Normal 5 3 2 2 5 2" xfId="3038" xr:uid="{00000000-0005-0000-0000-00004B270000}"/>
    <cellStyle name="Normal 5 3 2 2 5 2 2" xfId="16587" xr:uid="{00000000-0005-0000-0000-00004C270000}"/>
    <cellStyle name="Normal 5 3 2 2 5 2 3" xfId="13008" xr:uid="{00000000-0005-0000-0000-00004D270000}"/>
    <cellStyle name="Normal 5 3 2 2 5 2 4" xfId="7719" xr:uid="{00000000-0005-0000-0000-00004E270000}"/>
    <cellStyle name="Normal 5 3 2 2 5 3" xfId="4246" xr:uid="{00000000-0005-0000-0000-00004F270000}"/>
    <cellStyle name="Normal 5 3 2 2 5 3 2" xfId="17951" xr:uid="{00000000-0005-0000-0000-000050270000}"/>
    <cellStyle name="Normal 5 3 2 2 5 3 3" xfId="14372" xr:uid="{00000000-0005-0000-0000-000051270000}"/>
    <cellStyle name="Normal 5 3 2 2 5 3 4" xfId="9115" xr:uid="{00000000-0005-0000-0000-000052270000}"/>
    <cellStyle name="Normal 5 3 2 2 5 4" xfId="6011" xr:uid="{00000000-0005-0000-0000-000053270000}"/>
    <cellStyle name="Normal 5 3 2 2 5 4 2" xfId="15097" xr:uid="{00000000-0005-0000-0000-000054270000}"/>
    <cellStyle name="Normal 5 3 2 2 5 5" xfId="10569" xr:uid="{00000000-0005-0000-0000-000055270000}"/>
    <cellStyle name="Normal 5 3 2 2 5 5 2" xfId="19396" xr:uid="{00000000-0005-0000-0000-000056270000}"/>
    <cellStyle name="Normal 5 3 2 2 5 6" xfId="12015" xr:uid="{00000000-0005-0000-0000-000057270000}"/>
    <cellStyle name="Normal 5 3 2 2 5 7" xfId="5313" xr:uid="{00000000-0005-0000-0000-000058270000}"/>
    <cellStyle name="Normal 5 3 2 2 6" xfId="1995" xr:uid="{00000000-0005-0000-0000-000059270000}"/>
    <cellStyle name="Normal 5 3 2 2 6 2" xfId="15940" xr:uid="{00000000-0005-0000-0000-00005A270000}"/>
    <cellStyle name="Normal 5 3 2 2 6 3" xfId="10807" xr:uid="{00000000-0005-0000-0000-00005B270000}"/>
    <cellStyle name="Normal 5 3 2 2 6 4" xfId="6897" xr:uid="{00000000-0005-0000-0000-00005C270000}"/>
    <cellStyle name="Normal 5 3 2 2 7" xfId="3408" xr:uid="{00000000-0005-0000-0000-00005D270000}"/>
    <cellStyle name="Normal 5 3 2 2 7 2" xfId="16908" xr:uid="{00000000-0005-0000-0000-00005E270000}"/>
    <cellStyle name="Normal 5 3 2 2 7 3" xfId="13329" xr:uid="{00000000-0005-0000-0000-00005F270000}"/>
    <cellStyle name="Normal 5 3 2 2 7 4" xfId="8072" xr:uid="{00000000-0005-0000-0000-000060270000}"/>
    <cellStyle name="Normal 5 3 2 2 8" xfId="5633" xr:uid="{00000000-0005-0000-0000-000061270000}"/>
    <cellStyle name="Normal 5 3 2 2 8 2" xfId="14719" xr:uid="{00000000-0005-0000-0000-000062270000}"/>
    <cellStyle name="Normal 5 3 2 2 9" xfId="9526" xr:uid="{00000000-0005-0000-0000-000063270000}"/>
    <cellStyle name="Normal 5 3 2 2 9 2" xfId="18353" xr:uid="{00000000-0005-0000-0000-000064270000}"/>
    <cellStyle name="Normal 5 3 2 2_Degree data" xfId="1210" xr:uid="{00000000-0005-0000-0000-000065270000}"/>
    <cellStyle name="Normal 5 3 2 3" xfId="389" xr:uid="{00000000-0005-0000-0000-000066270000}"/>
    <cellStyle name="Normal 5 3 2 3 10" xfId="4448" xr:uid="{00000000-0005-0000-0000-000067270000}"/>
    <cellStyle name="Normal 5 3 2 3 2" xfId="678" xr:uid="{00000000-0005-0000-0000-000068270000}"/>
    <cellStyle name="Normal 5 3 2 3 2 2" xfId="2407" xr:uid="{00000000-0005-0000-0000-000069270000}"/>
    <cellStyle name="Normal 5 3 2 3 2 2 2" xfId="16085" xr:uid="{00000000-0005-0000-0000-00006A270000}"/>
    <cellStyle name="Normal 5 3 2 3 2 2 3" xfId="12373" xr:uid="{00000000-0005-0000-0000-00006B270000}"/>
    <cellStyle name="Normal 5 3 2 3 2 2 4" xfId="7171" xr:uid="{00000000-0005-0000-0000-00006C270000}"/>
    <cellStyle name="Normal 5 3 2 3 2 3" xfId="3674" xr:uid="{00000000-0005-0000-0000-00006D270000}"/>
    <cellStyle name="Normal 5 3 2 3 2 3 2" xfId="17320" xr:uid="{00000000-0005-0000-0000-00006E270000}"/>
    <cellStyle name="Normal 5 3 2 3 2 3 3" xfId="13741" xr:uid="{00000000-0005-0000-0000-00006F270000}"/>
    <cellStyle name="Normal 5 3 2 3 2 3 4" xfId="8484" xr:uid="{00000000-0005-0000-0000-000070270000}"/>
    <cellStyle name="Normal 5 3 2 3 2 4" xfId="6287" xr:uid="{00000000-0005-0000-0000-000071270000}"/>
    <cellStyle name="Normal 5 3 2 3 2 4 2" xfId="15371" xr:uid="{00000000-0005-0000-0000-000072270000}"/>
    <cellStyle name="Normal 5 3 2 3 2 5" xfId="9938" xr:uid="{00000000-0005-0000-0000-000073270000}"/>
    <cellStyle name="Normal 5 3 2 3 2 5 2" xfId="18765" xr:uid="{00000000-0005-0000-0000-000074270000}"/>
    <cellStyle name="Normal 5 3 2 3 2 6" xfId="11383" xr:uid="{00000000-0005-0000-0000-000075270000}"/>
    <cellStyle name="Normal 5 3 2 3 2 7" xfId="4765" xr:uid="{00000000-0005-0000-0000-000076270000}"/>
    <cellStyle name="Normal 5 3 2 3 3" xfId="1035" xr:uid="{00000000-0005-0000-0000-000077270000}"/>
    <cellStyle name="Normal 5 3 2 3 3 2" xfId="2755" xr:uid="{00000000-0005-0000-0000-000078270000}"/>
    <cellStyle name="Normal 5 3 2 3 3 2 2" xfId="16295" xr:uid="{00000000-0005-0000-0000-000079270000}"/>
    <cellStyle name="Normal 5 3 2 3 3 2 3" xfId="12717" xr:uid="{00000000-0005-0000-0000-00007A270000}"/>
    <cellStyle name="Normal 5 3 2 3 3 2 4" xfId="7427" xr:uid="{00000000-0005-0000-0000-00007B270000}"/>
    <cellStyle name="Normal 5 3 2 3 3 3" xfId="4023" xr:uid="{00000000-0005-0000-0000-00007C270000}"/>
    <cellStyle name="Normal 5 3 2 3 3 3 2" xfId="17668" xr:uid="{00000000-0005-0000-0000-00007D270000}"/>
    <cellStyle name="Normal 5 3 2 3 3 3 3" xfId="14089" xr:uid="{00000000-0005-0000-0000-00007E270000}"/>
    <cellStyle name="Normal 5 3 2 3 3 3 4" xfId="8832" xr:uid="{00000000-0005-0000-0000-00007F270000}"/>
    <cellStyle name="Normal 5 3 2 3 3 4" xfId="6543" xr:uid="{00000000-0005-0000-0000-000080270000}"/>
    <cellStyle name="Normal 5 3 2 3 3 4 2" xfId="15627" xr:uid="{00000000-0005-0000-0000-000081270000}"/>
    <cellStyle name="Normal 5 3 2 3 3 5" xfId="10286" xr:uid="{00000000-0005-0000-0000-000082270000}"/>
    <cellStyle name="Normal 5 3 2 3 3 5 2" xfId="19113" xr:uid="{00000000-0005-0000-0000-000083270000}"/>
    <cellStyle name="Normal 5 3 2 3 3 6" xfId="11732" xr:uid="{00000000-0005-0000-0000-000084270000}"/>
    <cellStyle name="Normal 5 3 2 3 3 7" xfId="5021" xr:uid="{00000000-0005-0000-0000-000085270000}"/>
    <cellStyle name="Normal 5 3 2 3 4" xfId="1603" xr:uid="{00000000-0005-0000-0000-000086270000}"/>
    <cellStyle name="Normal 5 3 2 3 4 2" xfId="3199" xr:uid="{00000000-0005-0000-0000-000087270000}"/>
    <cellStyle name="Normal 5 3 2 3 4 2 2" xfId="16748" xr:uid="{00000000-0005-0000-0000-000088270000}"/>
    <cellStyle name="Normal 5 3 2 3 4 2 3" xfId="13169" xr:uid="{00000000-0005-0000-0000-000089270000}"/>
    <cellStyle name="Normal 5 3 2 3 4 2 4" xfId="7880" xr:uid="{00000000-0005-0000-0000-00008A270000}"/>
    <cellStyle name="Normal 5 3 2 3 4 3" xfId="4307" xr:uid="{00000000-0005-0000-0000-00008B270000}"/>
    <cellStyle name="Normal 5 3 2 3 4 3 2" xfId="18112" xr:uid="{00000000-0005-0000-0000-00008C270000}"/>
    <cellStyle name="Normal 5 3 2 3 4 3 3" xfId="14533" xr:uid="{00000000-0005-0000-0000-00008D270000}"/>
    <cellStyle name="Normal 5 3 2 3 4 3 4" xfId="9276" xr:uid="{00000000-0005-0000-0000-00008E270000}"/>
    <cellStyle name="Normal 5 3 2 3 4 4" xfId="5968" xr:uid="{00000000-0005-0000-0000-00008F270000}"/>
    <cellStyle name="Normal 5 3 2 3 4 4 2" xfId="15054" xr:uid="{00000000-0005-0000-0000-000090270000}"/>
    <cellStyle name="Normal 5 3 2 3 4 5" xfId="10730" xr:uid="{00000000-0005-0000-0000-000091270000}"/>
    <cellStyle name="Normal 5 3 2 3 4 5 2" xfId="19557" xr:uid="{00000000-0005-0000-0000-000092270000}"/>
    <cellStyle name="Normal 5 3 2 3 4 6" xfId="12176" xr:uid="{00000000-0005-0000-0000-000093270000}"/>
    <cellStyle name="Normal 5 3 2 3 4 7" xfId="5474" xr:uid="{00000000-0005-0000-0000-000094270000}"/>
    <cellStyle name="Normal 5 3 2 3 5" xfId="2156" xr:uid="{00000000-0005-0000-0000-000095270000}"/>
    <cellStyle name="Normal 5 3 2 3 5 2" xfId="15897" xr:uid="{00000000-0005-0000-0000-000096270000}"/>
    <cellStyle name="Normal 5 3 2 3 5 3" xfId="12358" xr:uid="{00000000-0005-0000-0000-000097270000}"/>
    <cellStyle name="Normal 5 3 2 3 5 4" xfId="6854" xr:uid="{00000000-0005-0000-0000-000098270000}"/>
    <cellStyle name="Normal 5 3 2 3 6" xfId="3469" xr:uid="{00000000-0005-0000-0000-000099270000}"/>
    <cellStyle name="Normal 5 3 2 3 6 2" xfId="17069" xr:uid="{00000000-0005-0000-0000-00009A270000}"/>
    <cellStyle name="Normal 5 3 2 3 6 3" xfId="13490" xr:uid="{00000000-0005-0000-0000-00009B270000}"/>
    <cellStyle name="Normal 5 3 2 3 6 4" xfId="8233" xr:uid="{00000000-0005-0000-0000-00009C270000}"/>
    <cellStyle name="Normal 5 3 2 3 7" xfId="5794" xr:uid="{00000000-0005-0000-0000-00009D270000}"/>
    <cellStyle name="Normal 5 3 2 3 7 2" xfId="14880" xr:uid="{00000000-0005-0000-0000-00009E270000}"/>
    <cellStyle name="Normal 5 3 2 3 8" xfId="9687" xr:uid="{00000000-0005-0000-0000-00009F270000}"/>
    <cellStyle name="Normal 5 3 2 3 8 2" xfId="18514" xr:uid="{00000000-0005-0000-0000-0000A0270000}"/>
    <cellStyle name="Normal 5 3 2 3 9" xfId="11131" xr:uid="{00000000-0005-0000-0000-0000A1270000}"/>
    <cellStyle name="Normal 5 3 2 3_Degree data" xfId="1208" xr:uid="{00000000-0005-0000-0000-0000A2270000}"/>
    <cellStyle name="Normal 5 3 2 4" xfId="327" xr:uid="{00000000-0005-0000-0000-0000A3270000}"/>
    <cellStyle name="Normal 5 3 2 4 2" xfId="679" xr:uid="{00000000-0005-0000-0000-0000A4270000}"/>
    <cellStyle name="Normal 5 3 2 4 2 2" xfId="2408" xr:uid="{00000000-0005-0000-0000-0000A5270000}"/>
    <cellStyle name="Normal 5 3 2 4 2 2 2" xfId="16296" xr:uid="{00000000-0005-0000-0000-0000A6270000}"/>
    <cellStyle name="Normal 5 3 2 4 2 2 3" xfId="12718" xr:uid="{00000000-0005-0000-0000-0000A7270000}"/>
    <cellStyle name="Normal 5 3 2 4 2 2 4" xfId="7428" xr:uid="{00000000-0005-0000-0000-0000A8270000}"/>
    <cellStyle name="Normal 5 3 2 4 2 3" xfId="3675" xr:uid="{00000000-0005-0000-0000-0000A9270000}"/>
    <cellStyle name="Normal 5 3 2 4 2 3 2" xfId="17321" xr:uid="{00000000-0005-0000-0000-0000AA270000}"/>
    <cellStyle name="Normal 5 3 2 4 2 3 3" xfId="13742" xr:uid="{00000000-0005-0000-0000-0000AB270000}"/>
    <cellStyle name="Normal 5 3 2 4 2 3 4" xfId="8485" xr:uid="{00000000-0005-0000-0000-0000AC270000}"/>
    <cellStyle name="Normal 5 3 2 4 2 4" xfId="6544" xr:uid="{00000000-0005-0000-0000-0000AD270000}"/>
    <cellStyle name="Normal 5 3 2 4 2 4 2" xfId="15628" xr:uid="{00000000-0005-0000-0000-0000AE270000}"/>
    <cellStyle name="Normal 5 3 2 4 2 5" xfId="9939" xr:uid="{00000000-0005-0000-0000-0000AF270000}"/>
    <cellStyle name="Normal 5 3 2 4 2 5 2" xfId="18766" xr:uid="{00000000-0005-0000-0000-0000B0270000}"/>
    <cellStyle name="Normal 5 3 2 4 2 6" xfId="11384" xr:uid="{00000000-0005-0000-0000-0000B1270000}"/>
    <cellStyle name="Normal 5 3 2 4 2 7" xfId="5022" xr:uid="{00000000-0005-0000-0000-0000B2270000}"/>
    <cellStyle name="Normal 5 3 2 4 3" xfId="1036" xr:uid="{00000000-0005-0000-0000-0000B3270000}"/>
    <cellStyle name="Normal 5 3 2 4 3 2" xfId="2756" xr:uid="{00000000-0005-0000-0000-0000B4270000}"/>
    <cellStyle name="Normal 5 3 2 4 3 2 2" xfId="16687" xr:uid="{00000000-0005-0000-0000-0000B5270000}"/>
    <cellStyle name="Normal 5 3 2 4 3 2 3" xfId="13108" xr:uid="{00000000-0005-0000-0000-0000B6270000}"/>
    <cellStyle name="Normal 5 3 2 4 3 2 4" xfId="7819" xr:uid="{00000000-0005-0000-0000-0000B7270000}"/>
    <cellStyle name="Normal 5 3 2 4 3 3" xfId="4024" xr:uid="{00000000-0005-0000-0000-0000B8270000}"/>
    <cellStyle name="Normal 5 3 2 4 3 3 2" xfId="17669" xr:uid="{00000000-0005-0000-0000-0000B9270000}"/>
    <cellStyle name="Normal 5 3 2 4 3 3 3" xfId="14090" xr:uid="{00000000-0005-0000-0000-0000BA270000}"/>
    <cellStyle name="Normal 5 3 2 4 3 3 4" xfId="8833" xr:uid="{00000000-0005-0000-0000-0000BB270000}"/>
    <cellStyle name="Normal 5 3 2 4 3 4" xfId="6226" xr:uid="{00000000-0005-0000-0000-0000BC270000}"/>
    <cellStyle name="Normal 5 3 2 4 3 4 2" xfId="15310" xr:uid="{00000000-0005-0000-0000-0000BD270000}"/>
    <cellStyle name="Normal 5 3 2 4 3 5" xfId="10287" xr:uid="{00000000-0005-0000-0000-0000BE270000}"/>
    <cellStyle name="Normal 5 3 2 4 3 5 2" xfId="19114" xr:uid="{00000000-0005-0000-0000-0000BF270000}"/>
    <cellStyle name="Normal 5 3 2 4 3 6" xfId="11733" xr:uid="{00000000-0005-0000-0000-0000C0270000}"/>
    <cellStyle name="Normal 5 3 2 4 3 7" xfId="5413" xr:uid="{00000000-0005-0000-0000-0000C1270000}"/>
    <cellStyle name="Normal 5 3 2 4 4" xfId="1539" xr:uid="{00000000-0005-0000-0000-0000C2270000}"/>
    <cellStyle name="Normal 5 3 2 4 4 2" xfId="3138" xr:uid="{00000000-0005-0000-0000-0000C3270000}"/>
    <cellStyle name="Normal 5 3 2 4 4 2 2" xfId="18051" xr:uid="{00000000-0005-0000-0000-0000C4270000}"/>
    <cellStyle name="Normal 5 3 2 4 4 2 3" xfId="14472" xr:uid="{00000000-0005-0000-0000-0000C5270000}"/>
    <cellStyle name="Normal 5 3 2 4 4 2 4" xfId="9215" xr:uid="{00000000-0005-0000-0000-0000C6270000}"/>
    <cellStyle name="Normal 5 3 2 4 4 3" xfId="10669" xr:uid="{00000000-0005-0000-0000-0000C7270000}"/>
    <cellStyle name="Normal 5 3 2 4 4 3 2" xfId="19496" xr:uid="{00000000-0005-0000-0000-0000C8270000}"/>
    <cellStyle name="Normal 5 3 2 4 4 4" xfId="12115" xr:uid="{00000000-0005-0000-0000-0000C9270000}"/>
    <cellStyle name="Normal 5 3 2 4 4 5" xfId="7110" xr:uid="{00000000-0005-0000-0000-0000CA270000}"/>
    <cellStyle name="Normal 5 3 2 4 5" xfId="2095" xr:uid="{00000000-0005-0000-0000-0000CB270000}"/>
    <cellStyle name="Normal 5 3 2 4 5 2" xfId="17008" xr:uid="{00000000-0005-0000-0000-0000CC270000}"/>
    <cellStyle name="Normal 5 3 2 4 5 3" xfId="13429" xr:uid="{00000000-0005-0000-0000-0000CD270000}"/>
    <cellStyle name="Normal 5 3 2 4 5 4" xfId="8172" xr:uid="{00000000-0005-0000-0000-0000CE270000}"/>
    <cellStyle name="Normal 5 3 2 4 6" xfId="5733" xr:uid="{00000000-0005-0000-0000-0000CF270000}"/>
    <cellStyle name="Normal 5 3 2 4 6 2" xfId="14819" xr:uid="{00000000-0005-0000-0000-0000D0270000}"/>
    <cellStyle name="Normal 5 3 2 4 7" xfId="9626" xr:uid="{00000000-0005-0000-0000-0000D1270000}"/>
    <cellStyle name="Normal 5 3 2 4 7 2" xfId="18453" xr:uid="{00000000-0005-0000-0000-0000D2270000}"/>
    <cellStyle name="Normal 5 3 2 4 8" xfId="11070" xr:uid="{00000000-0005-0000-0000-0000D3270000}"/>
    <cellStyle name="Normal 5 3 2 4 9" xfId="4704" xr:uid="{00000000-0005-0000-0000-0000D4270000}"/>
    <cellStyle name="Normal 5 3 2 4_Degree data" xfId="1303" xr:uid="{00000000-0005-0000-0000-0000D5270000}"/>
    <cellStyle name="Normal 5 3 2 5" xfId="675" xr:uid="{00000000-0005-0000-0000-0000D6270000}"/>
    <cellStyle name="Normal 5 3 2 5 2" xfId="2404" xr:uid="{00000000-0005-0000-0000-0000D7270000}"/>
    <cellStyle name="Normal 5 3 2 5 2 2" xfId="15979" xr:uid="{00000000-0005-0000-0000-0000D8270000}"/>
    <cellStyle name="Normal 5 3 2 5 2 3" xfId="12259" xr:uid="{00000000-0005-0000-0000-0000D9270000}"/>
    <cellStyle name="Normal 5 3 2 5 2 4" xfId="6953" xr:uid="{00000000-0005-0000-0000-0000DA270000}"/>
    <cellStyle name="Normal 5 3 2 5 3" xfId="3671" xr:uid="{00000000-0005-0000-0000-0000DB270000}"/>
    <cellStyle name="Normal 5 3 2 5 3 2" xfId="17317" xr:uid="{00000000-0005-0000-0000-0000DC270000}"/>
    <cellStyle name="Normal 5 3 2 5 3 3" xfId="13738" xr:uid="{00000000-0005-0000-0000-0000DD270000}"/>
    <cellStyle name="Normal 5 3 2 5 3 4" xfId="8481" xr:uid="{00000000-0005-0000-0000-0000DE270000}"/>
    <cellStyle name="Normal 5 3 2 5 4" xfId="6069" xr:uid="{00000000-0005-0000-0000-0000DF270000}"/>
    <cellStyle name="Normal 5 3 2 5 4 2" xfId="15153" xr:uid="{00000000-0005-0000-0000-0000E0270000}"/>
    <cellStyle name="Normal 5 3 2 5 5" xfId="9935" xr:uid="{00000000-0005-0000-0000-0000E1270000}"/>
    <cellStyle name="Normal 5 3 2 5 5 2" xfId="18762" xr:uid="{00000000-0005-0000-0000-0000E2270000}"/>
    <cellStyle name="Normal 5 3 2 5 6" xfId="11380" xr:uid="{00000000-0005-0000-0000-0000E3270000}"/>
    <cellStyle name="Normal 5 3 2 5 7" xfId="4547" xr:uid="{00000000-0005-0000-0000-0000E4270000}"/>
    <cellStyle name="Normal 5 3 2 6" xfId="1032" xr:uid="{00000000-0005-0000-0000-0000E5270000}"/>
    <cellStyle name="Normal 5 3 2 6 2" xfId="2752" xr:uid="{00000000-0005-0000-0000-0000E6270000}"/>
    <cellStyle name="Normal 5 3 2 6 2 2" xfId="16292" xr:uid="{00000000-0005-0000-0000-0000E7270000}"/>
    <cellStyle name="Normal 5 3 2 6 2 3" xfId="12714" xr:uid="{00000000-0005-0000-0000-0000E8270000}"/>
    <cellStyle name="Normal 5 3 2 6 2 4" xfId="7424" xr:uid="{00000000-0005-0000-0000-0000E9270000}"/>
    <cellStyle name="Normal 5 3 2 6 3" xfId="4020" xr:uid="{00000000-0005-0000-0000-0000EA270000}"/>
    <cellStyle name="Normal 5 3 2 6 3 2" xfId="17665" xr:uid="{00000000-0005-0000-0000-0000EB270000}"/>
    <cellStyle name="Normal 5 3 2 6 3 3" xfId="14086" xr:uid="{00000000-0005-0000-0000-0000EC270000}"/>
    <cellStyle name="Normal 5 3 2 6 3 4" xfId="8829" xr:uid="{00000000-0005-0000-0000-0000ED270000}"/>
    <cellStyle name="Normal 5 3 2 6 4" xfId="6540" xr:uid="{00000000-0005-0000-0000-0000EE270000}"/>
    <cellStyle name="Normal 5 3 2 6 4 2" xfId="15624" xr:uid="{00000000-0005-0000-0000-0000EF270000}"/>
    <cellStyle name="Normal 5 3 2 6 5" xfId="10283" xr:uid="{00000000-0005-0000-0000-0000F0270000}"/>
    <cellStyle name="Normal 5 3 2 6 5 2" xfId="19110" xr:uid="{00000000-0005-0000-0000-0000F1270000}"/>
    <cellStyle name="Normal 5 3 2 6 6" xfId="11729" xr:uid="{00000000-0005-0000-0000-0000F2270000}"/>
    <cellStyle name="Normal 5 3 2 6 7" xfId="5018" xr:uid="{00000000-0005-0000-0000-0000F3270000}"/>
    <cellStyle name="Normal 5 3 2 7" xfId="1371" xr:uid="{00000000-0005-0000-0000-0000F4270000}"/>
    <cellStyle name="Normal 5 3 2 7 2" xfId="2981" xr:uid="{00000000-0005-0000-0000-0000F5270000}"/>
    <cellStyle name="Normal 5 3 2 7 2 2" xfId="16530" xr:uid="{00000000-0005-0000-0000-0000F6270000}"/>
    <cellStyle name="Normal 5 3 2 7 2 3" xfId="12951" xr:uid="{00000000-0005-0000-0000-0000F7270000}"/>
    <cellStyle name="Normal 5 3 2 7 2 4" xfId="7662" xr:uid="{00000000-0005-0000-0000-0000F8270000}"/>
    <cellStyle name="Normal 5 3 2 7 3" xfId="4201" xr:uid="{00000000-0005-0000-0000-0000F9270000}"/>
    <cellStyle name="Normal 5 3 2 7 3 2" xfId="17894" xr:uid="{00000000-0005-0000-0000-0000FA270000}"/>
    <cellStyle name="Normal 5 3 2 7 3 3" xfId="14315" xr:uid="{00000000-0005-0000-0000-0000FB270000}"/>
    <cellStyle name="Normal 5 3 2 7 3 4" xfId="9058" xr:uid="{00000000-0005-0000-0000-0000FC270000}"/>
    <cellStyle name="Normal 5 3 2 7 4" xfId="5907" xr:uid="{00000000-0005-0000-0000-0000FD270000}"/>
    <cellStyle name="Normal 5 3 2 7 4 2" xfId="14993" xr:uid="{00000000-0005-0000-0000-0000FE270000}"/>
    <cellStyle name="Normal 5 3 2 7 5" xfId="10512" xr:uid="{00000000-0005-0000-0000-0000FF270000}"/>
    <cellStyle name="Normal 5 3 2 7 5 2" xfId="19339" xr:uid="{00000000-0005-0000-0000-000000280000}"/>
    <cellStyle name="Normal 5 3 2 7 6" xfId="11958" xr:uid="{00000000-0005-0000-0000-000001280000}"/>
    <cellStyle name="Normal 5 3 2 7 7" xfId="5256" xr:uid="{00000000-0005-0000-0000-000002280000}"/>
    <cellStyle name="Normal 5 3 2 8" xfId="1938" xr:uid="{00000000-0005-0000-0000-000003280000}"/>
    <cellStyle name="Normal 5 3 2 8 2" xfId="15840" xr:uid="{00000000-0005-0000-0000-000004280000}"/>
    <cellStyle name="Normal 5 3 2 8 3" xfId="12280" xr:uid="{00000000-0005-0000-0000-000005280000}"/>
    <cellStyle name="Normal 5 3 2 8 4" xfId="6793" xr:uid="{00000000-0005-0000-0000-000006280000}"/>
    <cellStyle name="Normal 5 3 2 9" xfId="3363" xr:uid="{00000000-0005-0000-0000-000007280000}"/>
    <cellStyle name="Normal 5 3 2 9 2" xfId="16849" xr:uid="{00000000-0005-0000-0000-000008280000}"/>
    <cellStyle name="Normal 5 3 2 9 3" xfId="13270" xr:uid="{00000000-0005-0000-0000-000009280000}"/>
    <cellStyle name="Normal 5 3 2 9 4" xfId="8013" xr:uid="{00000000-0005-0000-0000-00000A280000}"/>
    <cellStyle name="Normal 5 3 2_Degree data" xfId="1233" xr:uid="{00000000-0005-0000-0000-00000B280000}"/>
    <cellStyle name="Normal 5 3 3" xfId="262" xr:uid="{00000000-0005-0000-0000-00000C280000}"/>
    <cellStyle name="Normal 5 3 3 10" xfId="11013" xr:uid="{00000000-0005-0000-0000-00000D280000}"/>
    <cellStyle name="Normal 5 3 3 11" xfId="4430" xr:uid="{00000000-0005-0000-0000-00000E280000}"/>
    <cellStyle name="Normal 5 3 3 2" xfId="370" xr:uid="{00000000-0005-0000-0000-00000F280000}"/>
    <cellStyle name="Normal 5 3 3 2 2" xfId="681" xr:uid="{00000000-0005-0000-0000-000010280000}"/>
    <cellStyle name="Normal 5 3 3 2 2 2" xfId="2410" xr:uid="{00000000-0005-0000-0000-000011280000}"/>
    <cellStyle name="Normal 5 3 3 2 2 2 2" xfId="16298" xr:uid="{00000000-0005-0000-0000-000012280000}"/>
    <cellStyle name="Normal 5 3 3 2 2 2 3" xfId="12720" xr:uid="{00000000-0005-0000-0000-000013280000}"/>
    <cellStyle name="Normal 5 3 3 2 2 2 4" xfId="7430" xr:uid="{00000000-0005-0000-0000-000014280000}"/>
    <cellStyle name="Normal 5 3 3 2 2 3" xfId="3677" xr:uid="{00000000-0005-0000-0000-000015280000}"/>
    <cellStyle name="Normal 5 3 3 2 2 3 2" xfId="17323" xr:uid="{00000000-0005-0000-0000-000016280000}"/>
    <cellStyle name="Normal 5 3 3 2 2 3 3" xfId="13744" xr:uid="{00000000-0005-0000-0000-000017280000}"/>
    <cellStyle name="Normal 5 3 3 2 2 3 4" xfId="8487" xr:uid="{00000000-0005-0000-0000-000018280000}"/>
    <cellStyle name="Normal 5 3 3 2 2 4" xfId="6546" xr:uid="{00000000-0005-0000-0000-000019280000}"/>
    <cellStyle name="Normal 5 3 3 2 2 4 2" xfId="15630" xr:uid="{00000000-0005-0000-0000-00001A280000}"/>
    <cellStyle name="Normal 5 3 3 2 2 5" xfId="9941" xr:uid="{00000000-0005-0000-0000-00001B280000}"/>
    <cellStyle name="Normal 5 3 3 2 2 5 2" xfId="18768" xr:uid="{00000000-0005-0000-0000-00001C280000}"/>
    <cellStyle name="Normal 5 3 3 2 2 6" xfId="11386" xr:uid="{00000000-0005-0000-0000-00001D280000}"/>
    <cellStyle name="Normal 5 3 3 2 2 7" xfId="5024" xr:uid="{00000000-0005-0000-0000-00001E280000}"/>
    <cellStyle name="Normal 5 3 3 2 3" xfId="1038" xr:uid="{00000000-0005-0000-0000-00001F280000}"/>
    <cellStyle name="Normal 5 3 3 2 3 2" xfId="2758" xr:uid="{00000000-0005-0000-0000-000020280000}"/>
    <cellStyle name="Normal 5 3 3 2 3 2 2" xfId="16730" xr:uid="{00000000-0005-0000-0000-000021280000}"/>
    <cellStyle name="Normal 5 3 3 2 3 2 3" xfId="13151" xr:uid="{00000000-0005-0000-0000-000022280000}"/>
    <cellStyle name="Normal 5 3 3 2 3 2 4" xfId="7862" xr:uid="{00000000-0005-0000-0000-000023280000}"/>
    <cellStyle name="Normal 5 3 3 2 3 3" xfId="4026" xr:uid="{00000000-0005-0000-0000-000024280000}"/>
    <cellStyle name="Normal 5 3 3 2 3 3 2" xfId="17671" xr:uid="{00000000-0005-0000-0000-000025280000}"/>
    <cellStyle name="Normal 5 3 3 2 3 3 3" xfId="14092" xr:uid="{00000000-0005-0000-0000-000026280000}"/>
    <cellStyle name="Normal 5 3 3 2 3 3 4" xfId="8835" xr:uid="{00000000-0005-0000-0000-000027280000}"/>
    <cellStyle name="Normal 5 3 3 2 3 4" xfId="6269" xr:uid="{00000000-0005-0000-0000-000028280000}"/>
    <cellStyle name="Normal 5 3 3 2 3 4 2" xfId="15353" xr:uid="{00000000-0005-0000-0000-000029280000}"/>
    <cellStyle name="Normal 5 3 3 2 3 5" xfId="10289" xr:uid="{00000000-0005-0000-0000-00002A280000}"/>
    <cellStyle name="Normal 5 3 3 2 3 5 2" xfId="19116" xr:uid="{00000000-0005-0000-0000-00002B280000}"/>
    <cellStyle name="Normal 5 3 3 2 3 6" xfId="11735" xr:uid="{00000000-0005-0000-0000-00002C280000}"/>
    <cellStyle name="Normal 5 3 3 2 3 7" xfId="5456" xr:uid="{00000000-0005-0000-0000-00002D280000}"/>
    <cellStyle name="Normal 5 3 3 2 4" xfId="1584" xr:uid="{00000000-0005-0000-0000-00002E280000}"/>
    <cellStyle name="Normal 5 3 3 2 4 2" xfId="3181" xr:uid="{00000000-0005-0000-0000-00002F280000}"/>
    <cellStyle name="Normal 5 3 3 2 4 2 2" xfId="18094" xr:uid="{00000000-0005-0000-0000-000030280000}"/>
    <cellStyle name="Normal 5 3 3 2 4 2 3" xfId="14515" xr:uid="{00000000-0005-0000-0000-000031280000}"/>
    <cellStyle name="Normal 5 3 3 2 4 2 4" xfId="9258" xr:uid="{00000000-0005-0000-0000-000032280000}"/>
    <cellStyle name="Normal 5 3 3 2 4 3" xfId="10712" xr:uid="{00000000-0005-0000-0000-000033280000}"/>
    <cellStyle name="Normal 5 3 3 2 4 3 2" xfId="19539" xr:uid="{00000000-0005-0000-0000-000034280000}"/>
    <cellStyle name="Normal 5 3 3 2 4 4" xfId="12158" xr:uid="{00000000-0005-0000-0000-000035280000}"/>
    <cellStyle name="Normal 5 3 3 2 4 5" xfId="7153" xr:uid="{00000000-0005-0000-0000-000036280000}"/>
    <cellStyle name="Normal 5 3 3 2 5" xfId="2138" xr:uid="{00000000-0005-0000-0000-000037280000}"/>
    <cellStyle name="Normal 5 3 3 2 5 2" xfId="17051" xr:uid="{00000000-0005-0000-0000-000038280000}"/>
    <cellStyle name="Normal 5 3 3 2 5 3" xfId="13472" xr:uid="{00000000-0005-0000-0000-000039280000}"/>
    <cellStyle name="Normal 5 3 3 2 5 4" xfId="8215" xr:uid="{00000000-0005-0000-0000-00003A280000}"/>
    <cellStyle name="Normal 5 3 3 2 6" xfId="5776" xr:uid="{00000000-0005-0000-0000-00003B280000}"/>
    <cellStyle name="Normal 5 3 3 2 6 2" xfId="14862" xr:uid="{00000000-0005-0000-0000-00003C280000}"/>
    <cellStyle name="Normal 5 3 3 2 7" xfId="9669" xr:uid="{00000000-0005-0000-0000-00003D280000}"/>
    <cellStyle name="Normal 5 3 3 2 7 2" xfId="18496" xr:uid="{00000000-0005-0000-0000-00003E280000}"/>
    <cellStyle name="Normal 5 3 3 2 8" xfId="11113" xr:uid="{00000000-0005-0000-0000-00003F280000}"/>
    <cellStyle name="Normal 5 3 3 2 9" xfId="4747" xr:uid="{00000000-0005-0000-0000-000040280000}"/>
    <cellStyle name="Normal 5 3 3 2_Degree data" xfId="1320" xr:uid="{00000000-0005-0000-0000-000041280000}"/>
    <cellStyle name="Normal 5 3 3 3" xfId="680" xr:uid="{00000000-0005-0000-0000-000042280000}"/>
    <cellStyle name="Normal 5 3 3 3 2" xfId="2409" xr:uid="{00000000-0005-0000-0000-000043280000}"/>
    <cellStyle name="Normal 5 3 3 3 2 2" xfId="16067" xr:uid="{00000000-0005-0000-0000-000044280000}"/>
    <cellStyle name="Normal 5 3 3 3 2 3" xfId="12378" xr:uid="{00000000-0005-0000-0000-000045280000}"/>
    <cellStyle name="Normal 5 3 3 3 2 4" xfId="7053" xr:uid="{00000000-0005-0000-0000-000046280000}"/>
    <cellStyle name="Normal 5 3 3 3 3" xfId="3676" xr:uid="{00000000-0005-0000-0000-000047280000}"/>
    <cellStyle name="Normal 5 3 3 3 3 2" xfId="17322" xr:uid="{00000000-0005-0000-0000-000048280000}"/>
    <cellStyle name="Normal 5 3 3 3 3 3" xfId="13743" xr:uid="{00000000-0005-0000-0000-000049280000}"/>
    <cellStyle name="Normal 5 3 3 3 3 4" xfId="8486" xr:uid="{00000000-0005-0000-0000-00004A280000}"/>
    <cellStyle name="Normal 5 3 3 3 4" xfId="6169" xr:uid="{00000000-0005-0000-0000-00004B280000}"/>
    <cellStyle name="Normal 5 3 3 3 4 2" xfId="15253" xr:uid="{00000000-0005-0000-0000-00004C280000}"/>
    <cellStyle name="Normal 5 3 3 3 5" xfId="9940" xr:uid="{00000000-0005-0000-0000-00004D280000}"/>
    <cellStyle name="Normal 5 3 3 3 5 2" xfId="18767" xr:uid="{00000000-0005-0000-0000-00004E280000}"/>
    <cellStyle name="Normal 5 3 3 3 6" xfId="11385" xr:uid="{00000000-0005-0000-0000-00004F280000}"/>
    <cellStyle name="Normal 5 3 3 3 7" xfId="4647" xr:uid="{00000000-0005-0000-0000-000050280000}"/>
    <cellStyle name="Normal 5 3 3 4" xfId="1037" xr:uid="{00000000-0005-0000-0000-000051280000}"/>
    <cellStyle name="Normal 5 3 3 4 2" xfId="2757" xr:uid="{00000000-0005-0000-0000-000052280000}"/>
    <cellStyle name="Normal 5 3 3 4 2 2" xfId="16297" xr:uid="{00000000-0005-0000-0000-000053280000}"/>
    <cellStyle name="Normal 5 3 3 4 2 3" xfId="12719" xr:uid="{00000000-0005-0000-0000-000054280000}"/>
    <cellStyle name="Normal 5 3 3 4 2 4" xfId="7429" xr:uid="{00000000-0005-0000-0000-000055280000}"/>
    <cellStyle name="Normal 5 3 3 4 3" xfId="4025" xr:uid="{00000000-0005-0000-0000-000056280000}"/>
    <cellStyle name="Normal 5 3 3 4 3 2" xfId="17670" xr:uid="{00000000-0005-0000-0000-000057280000}"/>
    <cellStyle name="Normal 5 3 3 4 3 3" xfId="14091" xr:uid="{00000000-0005-0000-0000-000058280000}"/>
    <cellStyle name="Normal 5 3 3 4 3 4" xfId="8834" xr:uid="{00000000-0005-0000-0000-000059280000}"/>
    <cellStyle name="Normal 5 3 3 4 4" xfId="6545" xr:uid="{00000000-0005-0000-0000-00005A280000}"/>
    <cellStyle name="Normal 5 3 3 4 4 2" xfId="15629" xr:uid="{00000000-0005-0000-0000-00005B280000}"/>
    <cellStyle name="Normal 5 3 3 4 5" xfId="10288" xr:uid="{00000000-0005-0000-0000-00005C280000}"/>
    <cellStyle name="Normal 5 3 3 4 5 2" xfId="19115" xr:uid="{00000000-0005-0000-0000-00005D280000}"/>
    <cellStyle name="Normal 5 3 3 4 6" xfId="11734" xr:uid="{00000000-0005-0000-0000-00005E280000}"/>
    <cellStyle name="Normal 5 3 3 4 7" xfId="5023" xr:uid="{00000000-0005-0000-0000-00005F280000}"/>
    <cellStyle name="Normal 5 3 3 5" xfId="1482" xr:uid="{00000000-0005-0000-0000-000060280000}"/>
    <cellStyle name="Normal 5 3 3 5 2" xfId="3081" xr:uid="{00000000-0005-0000-0000-000061280000}"/>
    <cellStyle name="Normal 5 3 3 5 2 2" xfId="16630" xr:uid="{00000000-0005-0000-0000-000062280000}"/>
    <cellStyle name="Normal 5 3 3 5 2 3" xfId="13051" xr:uid="{00000000-0005-0000-0000-000063280000}"/>
    <cellStyle name="Normal 5 3 3 5 2 4" xfId="7762" xr:uid="{00000000-0005-0000-0000-000064280000}"/>
    <cellStyle name="Normal 5 3 3 5 3" xfId="4289" xr:uid="{00000000-0005-0000-0000-000065280000}"/>
    <cellStyle name="Normal 5 3 3 5 3 2" xfId="17994" xr:uid="{00000000-0005-0000-0000-000066280000}"/>
    <cellStyle name="Normal 5 3 3 5 3 3" xfId="14415" xr:uid="{00000000-0005-0000-0000-000067280000}"/>
    <cellStyle name="Normal 5 3 3 5 3 4" xfId="9158" xr:uid="{00000000-0005-0000-0000-000068280000}"/>
    <cellStyle name="Normal 5 3 3 5 4" xfId="5950" xr:uid="{00000000-0005-0000-0000-000069280000}"/>
    <cellStyle name="Normal 5 3 3 5 4 2" xfId="15036" xr:uid="{00000000-0005-0000-0000-00006A280000}"/>
    <cellStyle name="Normal 5 3 3 5 5" xfId="10612" xr:uid="{00000000-0005-0000-0000-00006B280000}"/>
    <cellStyle name="Normal 5 3 3 5 5 2" xfId="19439" xr:uid="{00000000-0005-0000-0000-00006C280000}"/>
    <cellStyle name="Normal 5 3 3 5 6" xfId="12058" xr:uid="{00000000-0005-0000-0000-00006D280000}"/>
    <cellStyle name="Normal 5 3 3 5 7" xfId="5356" xr:uid="{00000000-0005-0000-0000-00006E280000}"/>
    <cellStyle name="Normal 5 3 3 6" xfId="2038" xr:uid="{00000000-0005-0000-0000-00006F280000}"/>
    <cellStyle name="Normal 5 3 3 6 2" xfId="15879" xr:uid="{00000000-0005-0000-0000-000070280000}"/>
    <cellStyle name="Normal 5 3 3 6 3" xfId="12421" xr:uid="{00000000-0005-0000-0000-000071280000}"/>
    <cellStyle name="Normal 5 3 3 6 4" xfId="6836" xr:uid="{00000000-0005-0000-0000-000072280000}"/>
    <cellStyle name="Normal 5 3 3 7" xfId="3451" xr:uid="{00000000-0005-0000-0000-000073280000}"/>
    <cellStyle name="Normal 5 3 3 7 2" xfId="16951" xr:uid="{00000000-0005-0000-0000-000074280000}"/>
    <cellStyle name="Normal 5 3 3 7 3" xfId="13372" xr:uid="{00000000-0005-0000-0000-000075280000}"/>
    <cellStyle name="Normal 5 3 3 7 4" xfId="8115" xr:uid="{00000000-0005-0000-0000-000076280000}"/>
    <cellStyle name="Normal 5 3 3 8" xfId="5676" xr:uid="{00000000-0005-0000-0000-000077280000}"/>
    <cellStyle name="Normal 5 3 3 8 2" xfId="14762" xr:uid="{00000000-0005-0000-0000-000078280000}"/>
    <cellStyle name="Normal 5 3 3 9" xfId="9569" xr:uid="{00000000-0005-0000-0000-000079280000}"/>
    <cellStyle name="Normal 5 3 3 9 2" xfId="18396" xr:uid="{00000000-0005-0000-0000-00007A280000}"/>
    <cellStyle name="Normal 5 3 3_Degree data" xfId="1302" xr:uid="{00000000-0005-0000-0000-00007B280000}"/>
    <cellStyle name="Normal 5 3 4" xfId="181" xr:uid="{00000000-0005-0000-0000-00007C280000}"/>
    <cellStyle name="Normal 5 3 4 10" xfId="10935" xr:uid="{00000000-0005-0000-0000-00007D280000}"/>
    <cellStyle name="Normal 5 3 4 11" xfId="4457" xr:uid="{00000000-0005-0000-0000-00007E280000}"/>
    <cellStyle name="Normal 5 3 4 2" xfId="398" xr:uid="{00000000-0005-0000-0000-00007F280000}"/>
    <cellStyle name="Normal 5 3 4 2 2" xfId="683" xr:uid="{00000000-0005-0000-0000-000080280000}"/>
    <cellStyle name="Normal 5 3 4 2 2 2" xfId="2412" xr:uid="{00000000-0005-0000-0000-000081280000}"/>
    <cellStyle name="Normal 5 3 4 2 2 2 2" xfId="16300" xr:uid="{00000000-0005-0000-0000-000082280000}"/>
    <cellStyle name="Normal 5 3 4 2 2 2 3" xfId="12722" xr:uid="{00000000-0005-0000-0000-000083280000}"/>
    <cellStyle name="Normal 5 3 4 2 2 2 4" xfId="7432" xr:uid="{00000000-0005-0000-0000-000084280000}"/>
    <cellStyle name="Normal 5 3 4 2 2 3" xfId="3679" xr:uid="{00000000-0005-0000-0000-000085280000}"/>
    <cellStyle name="Normal 5 3 4 2 2 3 2" xfId="17325" xr:uid="{00000000-0005-0000-0000-000086280000}"/>
    <cellStyle name="Normal 5 3 4 2 2 3 3" xfId="13746" xr:uid="{00000000-0005-0000-0000-000087280000}"/>
    <cellStyle name="Normal 5 3 4 2 2 3 4" xfId="8489" xr:uid="{00000000-0005-0000-0000-000088280000}"/>
    <cellStyle name="Normal 5 3 4 2 2 4" xfId="6548" xr:uid="{00000000-0005-0000-0000-000089280000}"/>
    <cellStyle name="Normal 5 3 4 2 2 4 2" xfId="15632" xr:uid="{00000000-0005-0000-0000-00008A280000}"/>
    <cellStyle name="Normal 5 3 4 2 2 5" xfId="9943" xr:uid="{00000000-0005-0000-0000-00008B280000}"/>
    <cellStyle name="Normal 5 3 4 2 2 5 2" xfId="18770" xr:uid="{00000000-0005-0000-0000-00008C280000}"/>
    <cellStyle name="Normal 5 3 4 2 2 6" xfId="11388" xr:uid="{00000000-0005-0000-0000-00008D280000}"/>
    <cellStyle name="Normal 5 3 4 2 2 7" xfId="5026" xr:uid="{00000000-0005-0000-0000-00008E280000}"/>
    <cellStyle name="Normal 5 3 4 2 3" xfId="1040" xr:uid="{00000000-0005-0000-0000-00008F280000}"/>
    <cellStyle name="Normal 5 3 4 2 3 2" xfId="2760" xr:uid="{00000000-0005-0000-0000-000090280000}"/>
    <cellStyle name="Normal 5 3 4 2 3 2 2" xfId="16757" xr:uid="{00000000-0005-0000-0000-000091280000}"/>
    <cellStyle name="Normal 5 3 4 2 3 2 3" xfId="13178" xr:uid="{00000000-0005-0000-0000-000092280000}"/>
    <cellStyle name="Normal 5 3 4 2 3 2 4" xfId="7889" xr:uid="{00000000-0005-0000-0000-000093280000}"/>
    <cellStyle name="Normal 5 3 4 2 3 3" xfId="4028" xr:uid="{00000000-0005-0000-0000-000094280000}"/>
    <cellStyle name="Normal 5 3 4 2 3 3 2" xfId="17673" xr:uid="{00000000-0005-0000-0000-000095280000}"/>
    <cellStyle name="Normal 5 3 4 2 3 3 3" xfId="14094" xr:uid="{00000000-0005-0000-0000-000096280000}"/>
    <cellStyle name="Normal 5 3 4 2 3 3 4" xfId="8837" xr:uid="{00000000-0005-0000-0000-000097280000}"/>
    <cellStyle name="Normal 5 3 4 2 3 4" xfId="6296" xr:uid="{00000000-0005-0000-0000-000098280000}"/>
    <cellStyle name="Normal 5 3 4 2 3 4 2" xfId="15380" xr:uid="{00000000-0005-0000-0000-000099280000}"/>
    <cellStyle name="Normal 5 3 4 2 3 5" xfId="10291" xr:uid="{00000000-0005-0000-0000-00009A280000}"/>
    <cellStyle name="Normal 5 3 4 2 3 5 2" xfId="19118" xr:uid="{00000000-0005-0000-0000-00009B280000}"/>
    <cellStyle name="Normal 5 3 4 2 3 6" xfId="11737" xr:uid="{00000000-0005-0000-0000-00009C280000}"/>
    <cellStyle name="Normal 5 3 4 2 3 7" xfId="5483" xr:uid="{00000000-0005-0000-0000-00009D280000}"/>
    <cellStyle name="Normal 5 3 4 2 4" xfId="1612" xr:uid="{00000000-0005-0000-0000-00009E280000}"/>
    <cellStyle name="Normal 5 3 4 2 4 2" xfId="3208" xr:uid="{00000000-0005-0000-0000-00009F280000}"/>
    <cellStyle name="Normal 5 3 4 2 4 2 2" xfId="18121" xr:uid="{00000000-0005-0000-0000-0000A0280000}"/>
    <cellStyle name="Normal 5 3 4 2 4 2 3" xfId="14542" xr:uid="{00000000-0005-0000-0000-0000A1280000}"/>
    <cellStyle name="Normal 5 3 4 2 4 2 4" xfId="9285" xr:uid="{00000000-0005-0000-0000-0000A2280000}"/>
    <cellStyle name="Normal 5 3 4 2 4 3" xfId="10739" xr:uid="{00000000-0005-0000-0000-0000A3280000}"/>
    <cellStyle name="Normal 5 3 4 2 4 3 2" xfId="19566" xr:uid="{00000000-0005-0000-0000-0000A4280000}"/>
    <cellStyle name="Normal 5 3 4 2 4 4" xfId="12185" xr:uid="{00000000-0005-0000-0000-0000A5280000}"/>
    <cellStyle name="Normal 5 3 4 2 4 5" xfId="7180" xr:uid="{00000000-0005-0000-0000-0000A6280000}"/>
    <cellStyle name="Normal 5 3 4 2 5" xfId="2165" xr:uid="{00000000-0005-0000-0000-0000A7280000}"/>
    <cellStyle name="Normal 5 3 4 2 5 2" xfId="17078" xr:uid="{00000000-0005-0000-0000-0000A8280000}"/>
    <cellStyle name="Normal 5 3 4 2 5 3" xfId="13499" xr:uid="{00000000-0005-0000-0000-0000A9280000}"/>
    <cellStyle name="Normal 5 3 4 2 5 4" xfId="8242" xr:uid="{00000000-0005-0000-0000-0000AA280000}"/>
    <cellStyle name="Normal 5 3 4 2 6" xfId="5803" xr:uid="{00000000-0005-0000-0000-0000AB280000}"/>
    <cellStyle name="Normal 5 3 4 2 6 2" xfId="14889" xr:uid="{00000000-0005-0000-0000-0000AC280000}"/>
    <cellStyle name="Normal 5 3 4 2 7" xfId="9696" xr:uid="{00000000-0005-0000-0000-0000AD280000}"/>
    <cellStyle name="Normal 5 3 4 2 7 2" xfId="18523" xr:uid="{00000000-0005-0000-0000-0000AE280000}"/>
    <cellStyle name="Normal 5 3 4 2 8" xfId="11140" xr:uid="{00000000-0005-0000-0000-0000AF280000}"/>
    <cellStyle name="Normal 5 3 4 2 9" xfId="4774" xr:uid="{00000000-0005-0000-0000-0000B0280000}"/>
    <cellStyle name="Normal 5 3 4 2_Degree data" xfId="1390" xr:uid="{00000000-0005-0000-0000-0000B1280000}"/>
    <cellStyle name="Normal 5 3 4 3" xfId="682" xr:uid="{00000000-0005-0000-0000-0000B2280000}"/>
    <cellStyle name="Normal 5 3 4 3 2" xfId="2411" xr:uid="{00000000-0005-0000-0000-0000B3280000}"/>
    <cellStyle name="Normal 5 3 4 3 2 2" xfId="15989" xr:uid="{00000000-0005-0000-0000-0000B4280000}"/>
    <cellStyle name="Normal 5 3 4 3 2 3" xfId="12394" xr:uid="{00000000-0005-0000-0000-0000B5280000}"/>
    <cellStyle name="Normal 5 3 4 3 2 4" xfId="6975" xr:uid="{00000000-0005-0000-0000-0000B6280000}"/>
    <cellStyle name="Normal 5 3 4 3 3" xfId="3678" xr:uid="{00000000-0005-0000-0000-0000B7280000}"/>
    <cellStyle name="Normal 5 3 4 3 3 2" xfId="17324" xr:uid="{00000000-0005-0000-0000-0000B8280000}"/>
    <cellStyle name="Normal 5 3 4 3 3 3" xfId="13745" xr:uid="{00000000-0005-0000-0000-0000B9280000}"/>
    <cellStyle name="Normal 5 3 4 3 3 4" xfId="8488" xr:uid="{00000000-0005-0000-0000-0000BA280000}"/>
    <cellStyle name="Normal 5 3 4 3 4" xfId="6091" xr:uid="{00000000-0005-0000-0000-0000BB280000}"/>
    <cellStyle name="Normal 5 3 4 3 4 2" xfId="15175" xr:uid="{00000000-0005-0000-0000-0000BC280000}"/>
    <cellStyle name="Normal 5 3 4 3 5" xfId="9942" xr:uid="{00000000-0005-0000-0000-0000BD280000}"/>
    <cellStyle name="Normal 5 3 4 3 5 2" xfId="18769" xr:uid="{00000000-0005-0000-0000-0000BE280000}"/>
    <cellStyle name="Normal 5 3 4 3 6" xfId="11387" xr:uid="{00000000-0005-0000-0000-0000BF280000}"/>
    <cellStyle name="Normal 5 3 4 3 7" xfId="4569" xr:uid="{00000000-0005-0000-0000-0000C0280000}"/>
    <cellStyle name="Normal 5 3 4 4" xfId="1039" xr:uid="{00000000-0005-0000-0000-0000C1280000}"/>
    <cellStyle name="Normal 5 3 4 4 2" xfId="2759" xr:uid="{00000000-0005-0000-0000-0000C2280000}"/>
    <cellStyle name="Normal 5 3 4 4 2 2" xfId="16299" xr:uid="{00000000-0005-0000-0000-0000C3280000}"/>
    <cellStyle name="Normal 5 3 4 4 2 3" xfId="12721" xr:uid="{00000000-0005-0000-0000-0000C4280000}"/>
    <cellStyle name="Normal 5 3 4 4 2 4" xfId="7431" xr:uid="{00000000-0005-0000-0000-0000C5280000}"/>
    <cellStyle name="Normal 5 3 4 4 3" xfId="4027" xr:uid="{00000000-0005-0000-0000-0000C6280000}"/>
    <cellStyle name="Normal 5 3 4 4 3 2" xfId="17672" xr:uid="{00000000-0005-0000-0000-0000C7280000}"/>
    <cellStyle name="Normal 5 3 4 4 3 3" xfId="14093" xr:uid="{00000000-0005-0000-0000-0000C8280000}"/>
    <cellStyle name="Normal 5 3 4 4 3 4" xfId="8836" xr:uid="{00000000-0005-0000-0000-0000C9280000}"/>
    <cellStyle name="Normal 5 3 4 4 4" xfId="6547" xr:uid="{00000000-0005-0000-0000-0000CA280000}"/>
    <cellStyle name="Normal 5 3 4 4 4 2" xfId="15631" xr:uid="{00000000-0005-0000-0000-0000CB280000}"/>
    <cellStyle name="Normal 5 3 4 4 5" xfId="10290" xr:uid="{00000000-0005-0000-0000-0000CC280000}"/>
    <cellStyle name="Normal 5 3 4 4 5 2" xfId="19117" xr:uid="{00000000-0005-0000-0000-0000CD280000}"/>
    <cellStyle name="Normal 5 3 4 4 6" xfId="11736" xr:uid="{00000000-0005-0000-0000-0000CE280000}"/>
    <cellStyle name="Normal 5 3 4 4 7" xfId="5025" xr:uid="{00000000-0005-0000-0000-0000CF280000}"/>
    <cellStyle name="Normal 5 3 4 5" xfId="1398" xr:uid="{00000000-0005-0000-0000-0000D0280000}"/>
    <cellStyle name="Normal 5 3 4 5 2" xfId="3003" xr:uid="{00000000-0005-0000-0000-0000D1280000}"/>
    <cellStyle name="Normal 5 3 4 5 2 2" xfId="16552" xr:uid="{00000000-0005-0000-0000-0000D2280000}"/>
    <cellStyle name="Normal 5 3 4 5 2 3" xfId="12973" xr:uid="{00000000-0005-0000-0000-0000D3280000}"/>
    <cellStyle name="Normal 5 3 4 5 2 4" xfId="7684" xr:uid="{00000000-0005-0000-0000-0000D4280000}"/>
    <cellStyle name="Normal 5 3 4 5 3" xfId="4211" xr:uid="{00000000-0005-0000-0000-0000D5280000}"/>
    <cellStyle name="Normal 5 3 4 5 3 2" xfId="17916" xr:uid="{00000000-0005-0000-0000-0000D6280000}"/>
    <cellStyle name="Normal 5 3 4 5 3 3" xfId="14337" xr:uid="{00000000-0005-0000-0000-0000D7280000}"/>
    <cellStyle name="Normal 5 3 4 5 3 4" xfId="9080" xr:uid="{00000000-0005-0000-0000-0000D8280000}"/>
    <cellStyle name="Normal 5 3 4 5 4" xfId="5977" xr:uid="{00000000-0005-0000-0000-0000D9280000}"/>
    <cellStyle name="Normal 5 3 4 5 4 2" xfId="15063" xr:uid="{00000000-0005-0000-0000-0000DA280000}"/>
    <cellStyle name="Normal 5 3 4 5 5" xfId="10534" xr:uid="{00000000-0005-0000-0000-0000DB280000}"/>
    <cellStyle name="Normal 5 3 4 5 5 2" xfId="19361" xr:uid="{00000000-0005-0000-0000-0000DC280000}"/>
    <cellStyle name="Normal 5 3 4 5 6" xfId="11980" xr:uid="{00000000-0005-0000-0000-0000DD280000}"/>
    <cellStyle name="Normal 5 3 4 5 7" xfId="5278" xr:uid="{00000000-0005-0000-0000-0000DE280000}"/>
    <cellStyle name="Normal 5 3 4 6" xfId="1960" xr:uid="{00000000-0005-0000-0000-0000DF280000}"/>
    <cellStyle name="Normal 5 3 4 6 2" xfId="15906" xr:uid="{00000000-0005-0000-0000-0000E0280000}"/>
    <cellStyle name="Normal 5 3 4 6 3" xfId="12501" xr:uid="{00000000-0005-0000-0000-0000E1280000}"/>
    <cellStyle name="Normal 5 3 4 6 4" xfId="6863" xr:uid="{00000000-0005-0000-0000-0000E2280000}"/>
    <cellStyle name="Normal 5 3 4 7" xfId="3374" xr:uid="{00000000-0005-0000-0000-0000E3280000}"/>
    <cellStyle name="Normal 5 3 4 7 2" xfId="16873" xr:uid="{00000000-0005-0000-0000-0000E4280000}"/>
    <cellStyle name="Normal 5 3 4 7 3" xfId="13294" xr:uid="{00000000-0005-0000-0000-0000E5280000}"/>
    <cellStyle name="Normal 5 3 4 7 4" xfId="8037" xr:uid="{00000000-0005-0000-0000-0000E6280000}"/>
    <cellStyle name="Normal 5 3 4 8" xfId="5598" xr:uid="{00000000-0005-0000-0000-0000E7280000}"/>
    <cellStyle name="Normal 5 3 4 8 2" xfId="14684" xr:uid="{00000000-0005-0000-0000-0000E8280000}"/>
    <cellStyle name="Normal 5 3 4 9" xfId="9491" xr:uid="{00000000-0005-0000-0000-0000E9280000}"/>
    <cellStyle name="Normal 5 3 4 9 2" xfId="18318" xr:uid="{00000000-0005-0000-0000-0000EA280000}"/>
    <cellStyle name="Normal 5 3 4_Degree data" xfId="1265" xr:uid="{00000000-0005-0000-0000-0000EB280000}"/>
    <cellStyle name="Normal 5 3 5" xfId="292" xr:uid="{00000000-0005-0000-0000-0000EC280000}"/>
    <cellStyle name="Normal 5 3 5 2" xfId="684" xr:uid="{00000000-0005-0000-0000-0000ED280000}"/>
    <cellStyle name="Normal 5 3 5 2 2" xfId="2413" xr:uid="{00000000-0005-0000-0000-0000EE280000}"/>
    <cellStyle name="Normal 5 3 5 2 2 2" xfId="16301" xr:uid="{00000000-0005-0000-0000-0000EF280000}"/>
    <cellStyle name="Normal 5 3 5 2 2 3" xfId="12723" xr:uid="{00000000-0005-0000-0000-0000F0280000}"/>
    <cellStyle name="Normal 5 3 5 2 2 4" xfId="7433" xr:uid="{00000000-0005-0000-0000-0000F1280000}"/>
    <cellStyle name="Normal 5 3 5 2 3" xfId="3680" xr:uid="{00000000-0005-0000-0000-0000F2280000}"/>
    <cellStyle name="Normal 5 3 5 2 3 2" xfId="17326" xr:uid="{00000000-0005-0000-0000-0000F3280000}"/>
    <cellStyle name="Normal 5 3 5 2 3 3" xfId="13747" xr:uid="{00000000-0005-0000-0000-0000F4280000}"/>
    <cellStyle name="Normal 5 3 5 2 3 4" xfId="8490" xr:uid="{00000000-0005-0000-0000-0000F5280000}"/>
    <cellStyle name="Normal 5 3 5 2 4" xfId="6549" xr:uid="{00000000-0005-0000-0000-0000F6280000}"/>
    <cellStyle name="Normal 5 3 5 2 4 2" xfId="15633" xr:uid="{00000000-0005-0000-0000-0000F7280000}"/>
    <cellStyle name="Normal 5 3 5 2 5" xfId="9944" xr:uid="{00000000-0005-0000-0000-0000F8280000}"/>
    <cellStyle name="Normal 5 3 5 2 5 2" xfId="18771" xr:uid="{00000000-0005-0000-0000-0000F9280000}"/>
    <cellStyle name="Normal 5 3 5 2 6" xfId="11389" xr:uid="{00000000-0005-0000-0000-0000FA280000}"/>
    <cellStyle name="Normal 5 3 5 2 7" xfId="5027" xr:uid="{00000000-0005-0000-0000-0000FB280000}"/>
    <cellStyle name="Normal 5 3 5 3" xfId="1041" xr:uid="{00000000-0005-0000-0000-0000FC280000}"/>
    <cellStyle name="Normal 5 3 5 3 2" xfId="2761" xr:uid="{00000000-0005-0000-0000-0000FD280000}"/>
    <cellStyle name="Normal 5 3 5 3 2 2" xfId="16652" xr:uid="{00000000-0005-0000-0000-0000FE280000}"/>
    <cellStyle name="Normal 5 3 5 3 2 3" xfId="13073" xr:uid="{00000000-0005-0000-0000-0000FF280000}"/>
    <cellStyle name="Normal 5 3 5 3 2 4" xfId="7784" xr:uid="{00000000-0005-0000-0000-000000290000}"/>
    <cellStyle name="Normal 5 3 5 3 3" xfId="4029" xr:uid="{00000000-0005-0000-0000-000001290000}"/>
    <cellStyle name="Normal 5 3 5 3 3 2" xfId="17674" xr:uid="{00000000-0005-0000-0000-000002290000}"/>
    <cellStyle name="Normal 5 3 5 3 3 3" xfId="14095" xr:uid="{00000000-0005-0000-0000-000003290000}"/>
    <cellStyle name="Normal 5 3 5 3 3 4" xfId="8838" xr:uid="{00000000-0005-0000-0000-000004290000}"/>
    <cellStyle name="Normal 5 3 5 3 4" xfId="6191" xr:uid="{00000000-0005-0000-0000-000005290000}"/>
    <cellStyle name="Normal 5 3 5 3 4 2" xfId="15275" xr:uid="{00000000-0005-0000-0000-000006290000}"/>
    <cellStyle name="Normal 5 3 5 3 5" xfId="10292" xr:uid="{00000000-0005-0000-0000-000007290000}"/>
    <cellStyle name="Normal 5 3 5 3 5 2" xfId="19119" xr:uid="{00000000-0005-0000-0000-000008290000}"/>
    <cellStyle name="Normal 5 3 5 3 6" xfId="11738" xr:uid="{00000000-0005-0000-0000-000009290000}"/>
    <cellStyle name="Normal 5 3 5 3 7" xfId="5378" xr:uid="{00000000-0005-0000-0000-00000A290000}"/>
    <cellStyle name="Normal 5 3 5 4" xfId="1504" xr:uid="{00000000-0005-0000-0000-00000B290000}"/>
    <cellStyle name="Normal 5 3 5 4 2" xfId="3103" xr:uid="{00000000-0005-0000-0000-00000C290000}"/>
    <cellStyle name="Normal 5 3 5 4 2 2" xfId="18016" xr:uid="{00000000-0005-0000-0000-00000D290000}"/>
    <cellStyle name="Normal 5 3 5 4 2 3" xfId="14437" xr:uid="{00000000-0005-0000-0000-00000E290000}"/>
    <cellStyle name="Normal 5 3 5 4 2 4" xfId="9180" xr:uid="{00000000-0005-0000-0000-00000F290000}"/>
    <cellStyle name="Normal 5 3 5 4 3" xfId="10634" xr:uid="{00000000-0005-0000-0000-000010290000}"/>
    <cellStyle name="Normal 5 3 5 4 3 2" xfId="19461" xr:uid="{00000000-0005-0000-0000-000011290000}"/>
    <cellStyle name="Normal 5 3 5 4 4" xfId="12080" xr:uid="{00000000-0005-0000-0000-000012290000}"/>
    <cellStyle name="Normal 5 3 5 4 5" xfId="7075" xr:uid="{00000000-0005-0000-0000-000013290000}"/>
    <cellStyle name="Normal 5 3 5 5" xfId="2060" xr:uid="{00000000-0005-0000-0000-000014290000}"/>
    <cellStyle name="Normal 5 3 5 5 2" xfId="16973" xr:uid="{00000000-0005-0000-0000-000015290000}"/>
    <cellStyle name="Normal 5 3 5 5 3" xfId="13394" xr:uid="{00000000-0005-0000-0000-000016290000}"/>
    <cellStyle name="Normal 5 3 5 5 4" xfId="8137" xr:uid="{00000000-0005-0000-0000-000017290000}"/>
    <cellStyle name="Normal 5 3 5 6" xfId="5698" xr:uid="{00000000-0005-0000-0000-000018290000}"/>
    <cellStyle name="Normal 5 3 5 6 2" xfId="14784" xr:uid="{00000000-0005-0000-0000-000019290000}"/>
    <cellStyle name="Normal 5 3 5 7" xfId="9591" xr:uid="{00000000-0005-0000-0000-00001A290000}"/>
    <cellStyle name="Normal 5 3 5 7 2" xfId="18418" xr:uid="{00000000-0005-0000-0000-00001B290000}"/>
    <cellStyle name="Normal 5 3 5 8" xfId="11035" xr:uid="{00000000-0005-0000-0000-00001C290000}"/>
    <cellStyle name="Normal 5 3 5 9" xfId="4669" xr:uid="{00000000-0005-0000-0000-00001D290000}"/>
    <cellStyle name="Normal 5 3 5_Degree data" xfId="1352" xr:uid="{00000000-0005-0000-0000-00001E290000}"/>
    <cellStyle name="Normal 5 3 6" xfId="467" xr:uid="{00000000-0005-0000-0000-00001F290000}"/>
    <cellStyle name="Normal 5 3 6 2" xfId="685" xr:uid="{00000000-0005-0000-0000-000020290000}"/>
    <cellStyle name="Normal 5 3 6 2 2" xfId="2414" xr:uid="{00000000-0005-0000-0000-000021290000}"/>
    <cellStyle name="Normal 5 3 6 2 2 2" xfId="16302" xr:uid="{00000000-0005-0000-0000-000022290000}"/>
    <cellStyle name="Normal 5 3 6 2 2 3" xfId="12724" xr:uid="{00000000-0005-0000-0000-000023290000}"/>
    <cellStyle name="Normal 5 3 6 2 2 4" xfId="7434" xr:uid="{00000000-0005-0000-0000-000024290000}"/>
    <cellStyle name="Normal 5 3 6 2 3" xfId="3681" xr:uid="{00000000-0005-0000-0000-000025290000}"/>
    <cellStyle name="Normal 5 3 6 2 3 2" xfId="17327" xr:uid="{00000000-0005-0000-0000-000026290000}"/>
    <cellStyle name="Normal 5 3 6 2 3 3" xfId="13748" xr:uid="{00000000-0005-0000-0000-000027290000}"/>
    <cellStyle name="Normal 5 3 6 2 3 4" xfId="8491" xr:uid="{00000000-0005-0000-0000-000028290000}"/>
    <cellStyle name="Normal 5 3 6 2 4" xfId="6550" xr:uid="{00000000-0005-0000-0000-000029290000}"/>
    <cellStyle name="Normal 5 3 6 2 4 2" xfId="15634" xr:uid="{00000000-0005-0000-0000-00002A290000}"/>
    <cellStyle name="Normal 5 3 6 2 5" xfId="9945" xr:uid="{00000000-0005-0000-0000-00002B290000}"/>
    <cellStyle name="Normal 5 3 6 2 5 2" xfId="18772" xr:uid="{00000000-0005-0000-0000-00002C290000}"/>
    <cellStyle name="Normal 5 3 6 2 6" xfId="11390" xr:uid="{00000000-0005-0000-0000-00002D290000}"/>
    <cellStyle name="Normal 5 3 6 2 7" xfId="5028" xr:uid="{00000000-0005-0000-0000-00002E290000}"/>
    <cellStyle name="Normal 5 3 6 3" xfId="1042" xr:uid="{00000000-0005-0000-0000-00002F290000}"/>
    <cellStyle name="Normal 5 3 6 3 2" xfId="2762" xr:uid="{00000000-0005-0000-0000-000030290000}"/>
    <cellStyle name="Normal 5 3 6 3 2 2" xfId="16505" xr:uid="{00000000-0005-0000-0000-000031290000}"/>
    <cellStyle name="Normal 5 3 6 3 2 3" xfId="12927" xr:uid="{00000000-0005-0000-0000-000032290000}"/>
    <cellStyle name="Normal 5 3 6 3 2 4" xfId="7637" xr:uid="{00000000-0005-0000-0000-000033290000}"/>
    <cellStyle name="Normal 5 3 6 3 3" xfId="4030" xr:uid="{00000000-0005-0000-0000-000034290000}"/>
    <cellStyle name="Normal 5 3 6 3 3 2" xfId="17675" xr:uid="{00000000-0005-0000-0000-000035290000}"/>
    <cellStyle name="Normal 5 3 6 3 3 3" xfId="14096" xr:uid="{00000000-0005-0000-0000-000036290000}"/>
    <cellStyle name="Normal 5 3 6 3 3 4" xfId="8839" xr:uid="{00000000-0005-0000-0000-000037290000}"/>
    <cellStyle name="Normal 5 3 6 3 4" xfId="5864" xr:uid="{00000000-0005-0000-0000-000038290000}"/>
    <cellStyle name="Normal 5 3 6 3 4 2" xfId="14950" xr:uid="{00000000-0005-0000-0000-000039290000}"/>
    <cellStyle name="Normal 5 3 6 3 5" xfId="10293" xr:uid="{00000000-0005-0000-0000-00003A290000}"/>
    <cellStyle name="Normal 5 3 6 3 5 2" xfId="19120" xr:uid="{00000000-0005-0000-0000-00003B290000}"/>
    <cellStyle name="Normal 5 3 6 3 6" xfId="11739" xr:uid="{00000000-0005-0000-0000-00003C290000}"/>
    <cellStyle name="Normal 5 3 6 3 7" xfId="5231" xr:uid="{00000000-0005-0000-0000-00003D290000}"/>
    <cellStyle name="Normal 5 3 6 4" xfId="1343" xr:uid="{00000000-0005-0000-0000-00003E290000}"/>
    <cellStyle name="Normal 5 3 6 4 2" xfId="2956" xr:uid="{00000000-0005-0000-0000-00003F290000}"/>
    <cellStyle name="Normal 5 3 6 4 2 2" xfId="17869" xr:uid="{00000000-0005-0000-0000-000040290000}"/>
    <cellStyle name="Normal 5 3 6 4 2 3" xfId="14290" xr:uid="{00000000-0005-0000-0000-000041290000}"/>
    <cellStyle name="Normal 5 3 6 4 2 4" xfId="9033" xr:uid="{00000000-0005-0000-0000-000042290000}"/>
    <cellStyle name="Normal 5 3 6 4 3" xfId="10487" xr:uid="{00000000-0005-0000-0000-000043290000}"/>
    <cellStyle name="Normal 5 3 6 4 3 2" xfId="19314" xr:uid="{00000000-0005-0000-0000-000044290000}"/>
    <cellStyle name="Normal 5 3 6 4 4" xfId="11933" xr:uid="{00000000-0005-0000-0000-000045290000}"/>
    <cellStyle name="Normal 5 3 6 4 5" xfId="6928" xr:uid="{00000000-0005-0000-0000-000046290000}"/>
    <cellStyle name="Normal 5 3 6 5" xfId="1913" xr:uid="{00000000-0005-0000-0000-000047290000}"/>
    <cellStyle name="Normal 5 3 6 5 2" xfId="16824" xr:uid="{00000000-0005-0000-0000-000048290000}"/>
    <cellStyle name="Normal 5 3 6 5 3" xfId="13245" xr:uid="{00000000-0005-0000-0000-000049290000}"/>
    <cellStyle name="Normal 5 3 6 5 4" xfId="7988" xr:uid="{00000000-0005-0000-0000-00004A290000}"/>
    <cellStyle name="Normal 5 3 6 6" xfId="6044" xr:uid="{00000000-0005-0000-0000-00004B290000}"/>
    <cellStyle name="Normal 5 3 6 6 2" xfId="15128" xr:uid="{00000000-0005-0000-0000-00004C290000}"/>
    <cellStyle name="Normal 5 3 6 7" xfId="9444" xr:uid="{00000000-0005-0000-0000-00004D290000}"/>
    <cellStyle name="Normal 5 3 6 7 2" xfId="18271" xr:uid="{00000000-0005-0000-0000-00004E290000}"/>
    <cellStyle name="Normal 5 3 6 8" xfId="10888" xr:uid="{00000000-0005-0000-0000-00004F290000}"/>
    <cellStyle name="Normal 5 3 6 9" xfId="4522" xr:uid="{00000000-0005-0000-0000-000050290000}"/>
    <cellStyle name="Normal 5 3 6_Degree data" xfId="1315" xr:uid="{00000000-0005-0000-0000-000051290000}"/>
    <cellStyle name="Normal 5 3 7" xfId="674" xr:uid="{00000000-0005-0000-0000-000052290000}"/>
    <cellStyle name="Normal 5 3 7 2" xfId="2403" xr:uid="{00000000-0005-0000-0000-000053290000}"/>
    <cellStyle name="Normal 5 3 7 2 2" xfId="16291" xr:uid="{00000000-0005-0000-0000-000054290000}"/>
    <cellStyle name="Normal 5 3 7 2 3" xfId="12713" xr:uid="{00000000-0005-0000-0000-000055290000}"/>
    <cellStyle name="Normal 5 3 7 2 4" xfId="7423" xr:uid="{00000000-0005-0000-0000-000056290000}"/>
    <cellStyle name="Normal 5 3 7 3" xfId="3670" xr:uid="{00000000-0005-0000-0000-000057290000}"/>
    <cellStyle name="Normal 5 3 7 3 2" xfId="17316" xr:uid="{00000000-0005-0000-0000-000058290000}"/>
    <cellStyle name="Normal 5 3 7 3 3" xfId="13737" xr:uid="{00000000-0005-0000-0000-000059290000}"/>
    <cellStyle name="Normal 5 3 7 3 4" xfId="8480" xr:uid="{00000000-0005-0000-0000-00005A290000}"/>
    <cellStyle name="Normal 5 3 7 4" xfId="6539" xr:uid="{00000000-0005-0000-0000-00005B290000}"/>
    <cellStyle name="Normal 5 3 7 4 2" xfId="15623" xr:uid="{00000000-0005-0000-0000-00005C290000}"/>
    <cellStyle name="Normal 5 3 7 5" xfId="9934" xr:uid="{00000000-0005-0000-0000-00005D290000}"/>
    <cellStyle name="Normal 5 3 7 5 2" xfId="18761" xr:uid="{00000000-0005-0000-0000-00005E290000}"/>
    <cellStyle name="Normal 5 3 7 6" xfId="11379" xr:uid="{00000000-0005-0000-0000-00005F290000}"/>
    <cellStyle name="Normal 5 3 7 7" xfId="5017" xr:uid="{00000000-0005-0000-0000-000060290000}"/>
    <cellStyle name="Normal 5 3 8" xfId="1031" xr:uid="{00000000-0005-0000-0000-000061290000}"/>
    <cellStyle name="Normal 5 3 8 2" xfId="2751" xr:uid="{00000000-0005-0000-0000-000062290000}"/>
    <cellStyle name="Normal 5 3 8 2 2" xfId="16485" xr:uid="{00000000-0005-0000-0000-000063290000}"/>
    <cellStyle name="Normal 5 3 8 2 3" xfId="12907" xr:uid="{00000000-0005-0000-0000-000064290000}"/>
    <cellStyle name="Normal 5 3 8 2 4" xfId="7617" xr:uid="{00000000-0005-0000-0000-000065290000}"/>
    <cellStyle name="Normal 5 3 8 3" xfId="4019" xr:uid="{00000000-0005-0000-0000-000066290000}"/>
    <cellStyle name="Normal 5 3 8 3 2" xfId="17664" xr:uid="{00000000-0005-0000-0000-000067290000}"/>
    <cellStyle name="Normal 5 3 8 3 3" xfId="14085" xr:uid="{00000000-0005-0000-0000-000068290000}"/>
    <cellStyle name="Normal 5 3 8 3 4" xfId="8828" xr:uid="{00000000-0005-0000-0000-000069290000}"/>
    <cellStyle name="Normal 5 3 8 4" xfId="5871" xr:uid="{00000000-0005-0000-0000-00006A290000}"/>
    <cellStyle name="Normal 5 3 8 4 2" xfId="14957" xr:uid="{00000000-0005-0000-0000-00006B290000}"/>
    <cellStyle name="Normal 5 3 8 5" xfId="10282" xr:uid="{00000000-0005-0000-0000-00006C290000}"/>
    <cellStyle name="Normal 5 3 8 5 2" xfId="19109" xr:uid="{00000000-0005-0000-0000-00006D290000}"/>
    <cellStyle name="Normal 5 3 8 6" xfId="11728" xr:uid="{00000000-0005-0000-0000-00006E290000}"/>
    <cellStyle name="Normal 5 3 8 7" xfId="5211" xr:uid="{00000000-0005-0000-0000-00006F290000}"/>
    <cellStyle name="Normal 5 3 9" xfId="1317" xr:uid="{00000000-0005-0000-0000-000070290000}"/>
    <cellStyle name="Normal 5 3 9 2" xfId="2936" xr:uid="{00000000-0005-0000-0000-000071290000}"/>
    <cellStyle name="Normal 5 3 9 2 2" xfId="17849" xr:uid="{00000000-0005-0000-0000-000072290000}"/>
    <cellStyle name="Normal 5 3 9 2 3" xfId="14270" xr:uid="{00000000-0005-0000-0000-000073290000}"/>
    <cellStyle name="Normal 5 3 9 2 4" xfId="9013" xr:uid="{00000000-0005-0000-0000-000074290000}"/>
    <cellStyle name="Normal 5 3 9 3" xfId="10467" xr:uid="{00000000-0005-0000-0000-000075290000}"/>
    <cellStyle name="Normal 5 3 9 3 2" xfId="19294" xr:uid="{00000000-0005-0000-0000-000076290000}"/>
    <cellStyle name="Normal 5 3 9 4" xfId="11913" xr:uid="{00000000-0005-0000-0000-000077290000}"/>
    <cellStyle name="Normal 5 3 9 5" xfId="6757" xr:uid="{00000000-0005-0000-0000-000078290000}"/>
    <cellStyle name="Normal 5 3_Degree data" xfId="1329" xr:uid="{00000000-0005-0000-0000-000079290000}"/>
    <cellStyle name="Normal 5 4" xfId="95" xr:uid="{00000000-0005-0000-0000-00007A290000}"/>
    <cellStyle name="Normal 5 4 10" xfId="1859" xr:uid="{00000000-0005-0000-0000-00007B290000}"/>
    <cellStyle name="Normal 5 4 10 2" xfId="14659" xr:uid="{00000000-0005-0000-0000-00007C290000}"/>
    <cellStyle name="Normal 5 4 10 3" xfId="5573" xr:uid="{00000000-0005-0000-0000-00007D290000}"/>
    <cellStyle name="Normal 5 4 11" xfId="9393" xr:uid="{00000000-0005-0000-0000-00007E290000}"/>
    <cellStyle name="Normal 5 4 11 2" xfId="18220" xr:uid="{00000000-0005-0000-0000-00007F290000}"/>
    <cellStyle name="Normal 5 4 12" xfId="10834" xr:uid="{00000000-0005-0000-0000-000080290000}"/>
    <cellStyle name="Normal 5 4 13" xfId="4386" xr:uid="{00000000-0005-0000-0000-000081290000}"/>
    <cellStyle name="Normal 5 4 2" xfId="261" xr:uid="{00000000-0005-0000-0000-000082290000}"/>
    <cellStyle name="Normal 5 4 2 10" xfId="11012" xr:uid="{00000000-0005-0000-0000-000083290000}"/>
    <cellStyle name="Normal 5 4 2 11" xfId="4429" xr:uid="{00000000-0005-0000-0000-000084290000}"/>
    <cellStyle name="Normal 5 4 2 2" xfId="369" xr:uid="{00000000-0005-0000-0000-000085290000}"/>
    <cellStyle name="Normal 5 4 2 2 2" xfId="688" xr:uid="{00000000-0005-0000-0000-000086290000}"/>
    <cellStyle name="Normal 5 4 2 2 2 2" xfId="2417" xr:uid="{00000000-0005-0000-0000-000087290000}"/>
    <cellStyle name="Normal 5 4 2 2 2 2 2" xfId="16305" xr:uid="{00000000-0005-0000-0000-000088290000}"/>
    <cellStyle name="Normal 5 4 2 2 2 2 3" xfId="12727" xr:uid="{00000000-0005-0000-0000-000089290000}"/>
    <cellStyle name="Normal 5 4 2 2 2 2 4" xfId="7437" xr:uid="{00000000-0005-0000-0000-00008A290000}"/>
    <cellStyle name="Normal 5 4 2 2 2 3" xfId="3684" xr:uid="{00000000-0005-0000-0000-00008B290000}"/>
    <cellStyle name="Normal 5 4 2 2 2 3 2" xfId="17330" xr:uid="{00000000-0005-0000-0000-00008C290000}"/>
    <cellStyle name="Normal 5 4 2 2 2 3 3" xfId="13751" xr:uid="{00000000-0005-0000-0000-00008D290000}"/>
    <cellStyle name="Normal 5 4 2 2 2 3 4" xfId="8494" xr:uid="{00000000-0005-0000-0000-00008E290000}"/>
    <cellStyle name="Normal 5 4 2 2 2 4" xfId="6553" xr:uid="{00000000-0005-0000-0000-00008F290000}"/>
    <cellStyle name="Normal 5 4 2 2 2 4 2" xfId="15637" xr:uid="{00000000-0005-0000-0000-000090290000}"/>
    <cellStyle name="Normal 5 4 2 2 2 5" xfId="9948" xr:uid="{00000000-0005-0000-0000-000091290000}"/>
    <cellStyle name="Normal 5 4 2 2 2 5 2" xfId="18775" xr:uid="{00000000-0005-0000-0000-000092290000}"/>
    <cellStyle name="Normal 5 4 2 2 2 6" xfId="11393" xr:uid="{00000000-0005-0000-0000-000093290000}"/>
    <cellStyle name="Normal 5 4 2 2 2 7" xfId="5031" xr:uid="{00000000-0005-0000-0000-000094290000}"/>
    <cellStyle name="Normal 5 4 2 2 3" xfId="1045" xr:uid="{00000000-0005-0000-0000-000095290000}"/>
    <cellStyle name="Normal 5 4 2 2 3 2" xfId="2765" xr:uid="{00000000-0005-0000-0000-000096290000}"/>
    <cellStyle name="Normal 5 4 2 2 3 2 2" xfId="16729" xr:uid="{00000000-0005-0000-0000-000097290000}"/>
    <cellStyle name="Normal 5 4 2 2 3 2 3" xfId="13150" xr:uid="{00000000-0005-0000-0000-000098290000}"/>
    <cellStyle name="Normal 5 4 2 2 3 2 4" xfId="7861" xr:uid="{00000000-0005-0000-0000-000099290000}"/>
    <cellStyle name="Normal 5 4 2 2 3 3" xfId="4033" xr:uid="{00000000-0005-0000-0000-00009A290000}"/>
    <cellStyle name="Normal 5 4 2 2 3 3 2" xfId="17678" xr:uid="{00000000-0005-0000-0000-00009B290000}"/>
    <cellStyle name="Normal 5 4 2 2 3 3 3" xfId="14099" xr:uid="{00000000-0005-0000-0000-00009C290000}"/>
    <cellStyle name="Normal 5 4 2 2 3 3 4" xfId="8842" xr:uid="{00000000-0005-0000-0000-00009D290000}"/>
    <cellStyle name="Normal 5 4 2 2 3 4" xfId="6268" xr:uid="{00000000-0005-0000-0000-00009E290000}"/>
    <cellStyle name="Normal 5 4 2 2 3 4 2" xfId="15352" xr:uid="{00000000-0005-0000-0000-00009F290000}"/>
    <cellStyle name="Normal 5 4 2 2 3 5" xfId="10296" xr:uid="{00000000-0005-0000-0000-0000A0290000}"/>
    <cellStyle name="Normal 5 4 2 2 3 5 2" xfId="19123" xr:uid="{00000000-0005-0000-0000-0000A1290000}"/>
    <cellStyle name="Normal 5 4 2 2 3 6" xfId="11742" xr:uid="{00000000-0005-0000-0000-0000A2290000}"/>
    <cellStyle name="Normal 5 4 2 2 3 7" xfId="5455" xr:uid="{00000000-0005-0000-0000-0000A3290000}"/>
    <cellStyle name="Normal 5 4 2 2 4" xfId="1582" xr:uid="{00000000-0005-0000-0000-0000A4290000}"/>
    <cellStyle name="Normal 5 4 2 2 4 2" xfId="3180" xr:uid="{00000000-0005-0000-0000-0000A5290000}"/>
    <cellStyle name="Normal 5 4 2 2 4 2 2" xfId="18093" xr:uid="{00000000-0005-0000-0000-0000A6290000}"/>
    <cellStyle name="Normal 5 4 2 2 4 2 3" xfId="14514" xr:uid="{00000000-0005-0000-0000-0000A7290000}"/>
    <cellStyle name="Normal 5 4 2 2 4 2 4" xfId="9257" xr:uid="{00000000-0005-0000-0000-0000A8290000}"/>
    <cellStyle name="Normal 5 4 2 2 4 3" xfId="10711" xr:uid="{00000000-0005-0000-0000-0000A9290000}"/>
    <cellStyle name="Normal 5 4 2 2 4 3 2" xfId="19538" xr:uid="{00000000-0005-0000-0000-0000AA290000}"/>
    <cellStyle name="Normal 5 4 2 2 4 4" xfId="12157" xr:uid="{00000000-0005-0000-0000-0000AB290000}"/>
    <cellStyle name="Normal 5 4 2 2 4 5" xfId="7152" xr:uid="{00000000-0005-0000-0000-0000AC290000}"/>
    <cellStyle name="Normal 5 4 2 2 5" xfId="2137" xr:uid="{00000000-0005-0000-0000-0000AD290000}"/>
    <cellStyle name="Normal 5 4 2 2 5 2" xfId="17050" xr:uid="{00000000-0005-0000-0000-0000AE290000}"/>
    <cellStyle name="Normal 5 4 2 2 5 3" xfId="13471" xr:uid="{00000000-0005-0000-0000-0000AF290000}"/>
    <cellStyle name="Normal 5 4 2 2 5 4" xfId="8214" xr:uid="{00000000-0005-0000-0000-0000B0290000}"/>
    <cellStyle name="Normal 5 4 2 2 6" xfId="5775" xr:uid="{00000000-0005-0000-0000-0000B1290000}"/>
    <cellStyle name="Normal 5 4 2 2 6 2" xfId="14861" xr:uid="{00000000-0005-0000-0000-0000B2290000}"/>
    <cellStyle name="Normal 5 4 2 2 7" xfId="9668" xr:uid="{00000000-0005-0000-0000-0000B3290000}"/>
    <cellStyle name="Normal 5 4 2 2 7 2" xfId="18495" xr:uid="{00000000-0005-0000-0000-0000B4290000}"/>
    <cellStyle name="Normal 5 4 2 2 8" xfId="11112" xr:uid="{00000000-0005-0000-0000-0000B5290000}"/>
    <cellStyle name="Normal 5 4 2 2 9" xfId="4746" xr:uid="{00000000-0005-0000-0000-0000B6290000}"/>
    <cellStyle name="Normal 5 4 2 2_Degree data" xfId="1304" xr:uid="{00000000-0005-0000-0000-0000B7290000}"/>
    <cellStyle name="Normal 5 4 2 3" xfId="687" xr:uid="{00000000-0005-0000-0000-0000B8290000}"/>
    <cellStyle name="Normal 5 4 2 3 2" xfId="2416" xr:uid="{00000000-0005-0000-0000-0000B9290000}"/>
    <cellStyle name="Normal 5 4 2 3 2 2" xfId="16066" xr:uid="{00000000-0005-0000-0000-0000BA290000}"/>
    <cellStyle name="Normal 5 4 2 3 2 3" xfId="12488" xr:uid="{00000000-0005-0000-0000-0000BB290000}"/>
    <cellStyle name="Normal 5 4 2 3 2 4" xfId="7052" xr:uid="{00000000-0005-0000-0000-0000BC290000}"/>
    <cellStyle name="Normal 5 4 2 3 3" xfId="3683" xr:uid="{00000000-0005-0000-0000-0000BD290000}"/>
    <cellStyle name="Normal 5 4 2 3 3 2" xfId="17329" xr:uid="{00000000-0005-0000-0000-0000BE290000}"/>
    <cellStyle name="Normal 5 4 2 3 3 3" xfId="13750" xr:uid="{00000000-0005-0000-0000-0000BF290000}"/>
    <cellStyle name="Normal 5 4 2 3 3 4" xfId="8493" xr:uid="{00000000-0005-0000-0000-0000C0290000}"/>
    <cellStyle name="Normal 5 4 2 3 4" xfId="6168" xr:uid="{00000000-0005-0000-0000-0000C1290000}"/>
    <cellStyle name="Normal 5 4 2 3 4 2" xfId="15252" xr:uid="{00000000-0005-0000-0000-0000C2290000}"/>
    <cellStyle name="Normal 5 4 2 3 5" xfId="9947" xr:uid="{00000000-0005-0000-0000-0000C3290000}"/>
    <cellStyle name="Normal 5 4 2 3 5 2" xfId="18774" xr:uid="{00000000-0005-0000-0000-0000C4290000}"/>
    <cellStyle name="Normal 5 4 2 3 6" xfId="11392" xr:uid="{00000000-0005-0000-0000-0000C5290000}"/>
    <cellStyle name="Normal 5 4 2 3 7" xfId="4646" xr:uid="{00000000-0005-0000-0000-0000C6290000}"/>
    <cellStyle name="Normal 5 4 2 4" xfId="1044" xr:uid="{00000000-0005-0000-0000-0000C7290000}"/>
    <cellStyle name="Normal 5 4 2 4 2" xfId="2764" xr:uid="{00000000-0005-0000-0000-0000C8290000}"/>
    <cellStyle name="Normal 5 4 2 4 2 2" xfId="16304" xr:uid="{00000000-0005-0000-0000-0000C9290000}"/>
    <cellStyle name="Normal 5 4 2 4 2 3" xfId="12726" xr:uid="{00000000-0005-0000-0000-0000CA290000}"/>
    <cellStyle name="Normal 5 4 2 4 2 4" xfId="7436" xr:uid="{00000000-0005-0000-0000-0000CB290000}"/>
    <cellStyle name="Normal 5 4 2 4 3" xfId="4032" xr:uid="{00000000-0005-0000-0000-0000CC290000}"/>
    <cellStyle name="Normal 5 4 2 4 3 2" xfId="17677" xr:uid="{00000000-0005-0000-0000-0000CD290000}"/>
    <cellStyle name="Normal 5 4 2 4 3 3" xfId="14098" xr:uid="{00000000-0005-0000-0000-0000CE290000}"/>
    <cellStyle name="Normal 5 4 2 4 3 4" xfId="8841" xr:uid="{00000000-0005-0000-0000-0000CF290000}"/>
    <cellStyle name="Normal 5 4 2 4 4" xfId="6552" xr:uid="{00000000-0005-0000-0000-0000D0290000}"/>
    <cellStyle name="Normal 5 4 2 4 4 2" xfId="15636" xr:uid="{00000000-0005-0000-0000-0000D1290000}"/>
    <cellStyle name="Normal 5 4 2 4 5" xfId="10295" xr:uid="{00000000-0005-0000-0000-0000D2290000}"/>
    <cellStyle name="Normal 5 4 2 4 5 2" xfId="19122" xr:uid="{00000000-0005-0000-0000-0000D3290000}"/>
    <cellStyle name="Normal 5 4 2 4 6" xfId="11741" xr:uid="{00000000-0005-0000-0000-0000D4290000}"/>
    <cellStyle name="Normal 5 4 2 4 7" xfId="5030" xr:uid="{00000000-0005-0000-0000-0000D5290000}"/>
    <cellStyle name="Normal 5 4 2 5" xfId="1480" xr:uid="{00000000-0005-0000-0000-0000D6290000}"/>
    <cellStyle name="Normal 5 4 2 5 2" xfId="3080" xr:uid="{00000000-0005-0000-0000-0000D7290000}"/>
    <cellStyle name="Normal 5 4 2 5 2 2" xfId="16629" xr:uid="{00000000-0005-0000-0000-0000D8290000}"/>
    <cellStyle name="Normal 5 4 2 5 2 3" xfId="13050" xr:uid="{00000000-0005-0000-0000-0000D9290000}"/>
    <cellStyle name="Normal 5 4 2 5 2 4" xfId="7761" xr:uid="{00000000-0005-0000-0000-0000DA290000}"/>
    <cellStyle name="Normal 5 4 2 5 3" xfId="4288" xr:uid="{00000000-0005-0000-0000-0000DB290000}"/>
    <cellStyle name="Normal 5 4 2 5 3 2" xfId="17993" xr:uid="{00000000-0005-0000-0000-0000DC290000}"/>
    <cellStyle name="Normal 5 4 2 5 3 3" xfId="14414" xr:uid="{00000000-0005-0000-0000-0000DD290000}"/>
    <cellStyle name="Normal 5 4 2 5 3 4" xfId="9157" xr:uid="{00000000-0005-0000-0000-0000DE290000}"/>
    <cellStyle name="Normal 5 4 2 5 4" xfId="5949" xr:uid="{00000000-0005-0000-0000-0000DF290000}"/>
    <cellStyle name="Normal 5 4 2 5 4 2" xfId="15035" xr:uid="{00000000-0005-0000-0000-0000E0290000}"/>
    <cellStyle name="Normal 5 4 2 5 5" xfId="10611" xr:uid="{00000000-0005-0000-0000-0000E1290000}"/>
    <cellStyle name="Normal 5 4 2 5 5 2" xfId="19438" xr:uid="{00000000-0005-0000-0000-0000E2290000}"/>
    <cellStyle name="Normal 5 4 2 5 6" xfId="12057" xr:uid="{00000000-0005-0000-0000-0000E3290000}"/>
    <cellStyle name="Normal 5 4 2 5 7" xfId="5355" xr:uid="{00000000-0005-0000-0000-0000E4290000}"/>
    <cellStyle name="Normal 5 4 2 6" xfId="2037" xr:uid="{00000000-0005-0000-0000-0000E5290000}"/>
    <cellStyle name="Normal 5 4 2 6 2" xfId="15878" xr:uid="{00000000-0005-0000-0000-0000E6290000}"/>
    <cellStyle name="Normal 5 4 2 6 3" xfId="12476" xr:uid="{00000000-0005-0000-0000-0000E7290000}"/>
    <cellStyle name="Normal 5 4 2 6 4" xfId="6835" xr:uid="{00000000-0005-0000-0000-0000E8290000}"/>
    <cellStyle name="Normal 5 4 2 7" xfId="3450" xr:uid="{00000000-0005-0000-0000-0000E9290000}"/>
    <cellStyle name="Normal 5 4 2 7 2" xfId="16950" xr:uid="{00000000-0005-0000-0000-0000EA290000}"/>
    <cellStyle name="Normal 5 4 2 7 3" xfId="13371" xr:uid="{00000000-0005-0000-0000-0000EB290000}"/>
    <cellStyle name="Normal 5 4 2 7 4" xfId="8114" xr:uid="{00000000-0005-0000-0000-0000EC290000}"/>
    <cellStyle name="Normal 5 4 2 8" xfId="5675" xr:uid="{00000000-0005-0000-0000-0000ED290000}"/>
    <cellStyle name="Normal 5 4 2 8 2" xfId="14761" xr:uid="{00000000-0005-0000-0000-0000EE290000}"/>
    <cellStyle name="Normal 5 4 2 9" xfId="9568" xr:uid="{00000000-0005-0000-0000-0000EF290000}"/>
    <cellStyle name="Normal 5 4 2 9 2" xfId="18395" xr:uid="{00000000-0005-0000-0000-0000F0290000}"/>
    <cellStyle name="Normal 5 4 2_Degree data" xfId="1207" xr:uid="{00000000-0005-0000-0000-0000F1290000}"/>
    <cellStyle name="Normal 5 4 3" xfId="217" xr:uid="{00000000-0005-0000-0000-0000F2290000}"/>
    <cellStyle name="Normal 5 4 3 10" xfId="10969" xr:uid="{00000000-0005-0000-0000-0000F3290000}"/>
    <cellStyle name="Normal 5 4 3 11" xfId="4490" xr:uid="{00000000-0005-0000-0000-0000F4290000}"/>
    <cellStyle name="Normal 5 4 3 2" xfId="431" xr:uid="{00000000-0005-0000-0000-0000F5290000}"/>
    <cellStyle name="Normal 5 4 3 2 2" xfId="690" xr:uid="{00000000-0005-0000-0000-0000F6290000}"/>
    <cellStyle name="Normal 5 4 3 2 2 2" xfId="2419" xr:uid="{00000000-0005-0000-0000-0000F7290000}"/>
    <cellStyle name="Normal 5 4 3 2 2 2 2" xfId="16307" xr:uid="{00000000-0005-0000-0000-0000F8290000}"/>
    <cellStyle name="Normal 5 4 3 2 2 2 3" xfId="12729" xr:uid="{00000000-0005-0000-0000-0000F9290000}"/>
    <cellStyle name="Normal 5 4 3 2 2 2 4" xfId="7439" xr:uid="{00000000-0005-0000-0000-0000FA290000}"/>
    <cellStyle name="Normal 5 4 3 2 2 3" xfId="3686" xr:uid="{00000000-0005-0000-0000-0000FB290000}"/>
    <cellStyle name="Normal 5 4 3 2 2 3 2" xfId="17332" xr:uid="{00000000-0005-0000-0000-0000FC290000}"/>
    <cellStyle name="Normal 5 4 3 2 2 3 3" xfId="13753" xr:uid="{00000000-0005-0000-0000-0000FD290000}"/>
    <cellStyle name="Normal 5 4 3 2 2 3 4" xfId="8496" xr:uid="{00000000-0005-0000-0000-0000FE290000}"/>
    <cellStyle name="Normal 5 4 3 2 2 4" xfId="6555" xr:uid="{00000000-0005-0000-0000-0000FF290000}"/>
    <cellStyle name="Normal 5 4 3 2 2 4 2" xfId="15639" xr:uid="{00000000-0005-0000-0000-0000002A0000}"/>
    <cellStyle name="Normal 5 4 3 2 2 5" xfId="9950" xr:uid="{00000000-0005-0000-0000-0000012A0000}"/>
    <cellStyle name="Normal 5 4 3 2 2 5 2" xfId="18777" xr:uid="{00000000-0005-0000-0000-0000022A0000}"/>
    <cellStyle name="Normal 5 4 3 2 2 6" xfId="11395" xr:uid="{00000000-0005-0000-0000-0000032A0000}"/>
    <cellStyle name="Normal 5 4 3 2 2 7" xfId="5033" xr:uid="{00000000-0005-0000-0000-0000042A0000}"/>
    <cellStyle name="Normal 5 4 3 2 3" xfId="1047" xr:uid="{00000000-0005-0000-0000-0000052A0000}"/>
    <cellStyle name="Normal 5 4 3 2 3 2" xfId="2767" xr:uid="{00000000-0005-0000-0000-0000062A0000}"/>
    <cellStyle name="Normal 5 4 3 2 3 2 2" xfId="16790" xr:uid="{00000000-0005-0000-0000-0000072A0000}"/>
    <cellStyle name="Normal 5 4 3 2 3 2 3" xfId="13211" xr:uid="{00000000-0005-0000-0000-0000082A0000}"/>
    <cellStyle name="Normal 5 4 3 2 3 2 4" xfId="7922" xr:uid="{00000000-0005-0000-0000-0000092A0000}"/>
    <cellStyle name="Normal 5 4 3 2 3 3" xfId="4035" xr:uid="{00000000-0005-0000-0000-00000A2A0000}"/>
    <cellStyle name="Normal 5 4 3 2 3 3 2" xfId="17680" xr:uid="{00000000-0005-0000-0000-00000B2A0000}"/>
    <cellStyle name="Normal 5 4 3 2 3 3 3" xfId="14101" xr:uid="{00000000-0005-0000-0000-00000C2A0000}"/>
    <cellStyle name="Normal 5 4 3 2 3 3 4" xfId="8844" xr:uid="{00000000-0005-0000-0000-00000D2A0000}"/>
    <cellStyle name="Normal 5 4 3 2 3 4" xfId="6329" xr:uid="{00000000-0005-0000-0000-00000E2A0000}"/>
    <cellStyle name="Normal 5 4 3 2 3 4 2" xfId="15413" xr:uid="{00000000-0005-0000-0000-00000F2A0000}"/>
    <cellStyle name="Normal 5 4 3 2 3 5" xfId="10298" xr:uid="{00000000-0005-0000-0000-0000102A0000}"/>
    <cellStyle name="Normal 5 4 3 2 3 5 2" xfId="19125" xr:uid="{00000000-0005-0000-0000-0000112A0000}"/>
    <cellStyle name="Normal 5 4 3 2 3 6" xfId="11744" xr:uid="{00000000-0005-0000-0000-0000122A0000}"/>
    <cellStyle name="Normal 5 4 3 2 3 7" xfId="5516" xr:uid="{00000000-0005-0000-0000-0000132A0000}"/>
    <cellStyle name="Normal 5 4 3 2 4" xfId="1645" xr:uid="{00000000-0005-0000-0000-0000142A0000}"/>
    <cellStyle name="Normal 5 4 3 2 4 2" xfId="3241" xr:uid="{00000000-0005-0000-0000-0000152A0000}"/>
    <cellStyle name="Normal 5 4 3 2 4 2 2" xfId="18154" xr:uid="{00000000-0005-0000-0000-0000162A0000}"/>
    <cellStyle name="Normal 5 4 3 2 4 2 3" xfId="14575" xr:uid="{00000000-0005-0000-0000-0000172A0000}"/>
    <cellStyle name="Normal 5 4 3 2 4 2 4" xfId="9318" xr:uid="{00000000-0005-0000-0000-0000182A0000}"/>
    <cellStyle name="Normal 5 4 3 2 4 3" xfId="10772" xr:uid="{00000000-0005-0000-0000-0000192A0000}"/>
    <cellStyle name="Normal 5 4 3 2 4 3 2" xfId="19599" xr:uid="{00000000-0005-0000-0000-00001A2A0000}"/>
    <cellStyle name="Normal 5 4 3 2 4 4" xfId="12218" xr:uid="{00000000-0005-0000-0000-00001B2A0000}"/>
    <cellStyle name="Normal 5 4 3 2 4 5" xfId="7213" xr:uid="{00000000-0005-0000-0000-00001C2A0000}"/>
    <cellStyle name="Normal 5 4 3 2 5" xfId="2198" xr:uid="{00000000-0005-0000-0000-00001D2A0000}"/>
    <cellStyle name="Normal 5 4 3 2 5 2" xfId="17111" xr:uid="{00000000-0005-0000-0000-00001E2A0000}"/>
    <cellStyle name="Normal 5 4 3 2 5 3" xfId="13532" xr:uid="{00000000-0005-0000-0000-00001F2A0000}"/>
    <cellStyle name="Normal 5 4 3 2 5 4" xfId="8275" xr:uid="{00000000-0005-0000-0000-0000202A0000}"/>
    <cellStyle name="Normal 5 4 3 2 6" xfId="5836" xr:uid="{00000000-0005-0000-0000-0000212A0000}"/>
    <cellStyle name="Normal 5 4 3 2 6 2" xfId="14922" xr:uid="{00000000-0005-0000-0000-0000222A0000}"/>
    <cellStyle name="Normal 5 4 3 2 7" xfId="9729" xr:uid="{00000000-0005-0000-0000-0000232A0000}"/>
    <cellStyle name="Normal 5 4 3 2 7 2" xfId="18556" xr:uid="{00000000-0005-0000-0000-0000242A0000}"/>
    <cellStyle name="Normal 5 4 3 2 8" xfId="11173" xr:uid="{00000000-0005-0000-0000-0000252A0000}"/>
    <cellStyle name="Normal 5 4 3 2 9" xfId="4807" xr:uid="{00000000-0005-0000-0000-0000262A0000}"/>
    <cellStyle name="Normal 5 4 3 2_Degree data" xfId="1266" xr:uid="{00000000-0005-0000-0000-0000272A0000}"/>
    <cellStyle name="Normal 5 4 3 3" xfId="689" xr:uid="{00000000-0005-0000-0000-0000282A0000}"/>
    <cellStyle name="Normal 5 4 3 3 2" xfId="2418" xr:uid="{00000000-0005-0000-0000-0000292A0000}"/>
    <cellStyle name="Normal 5 4 3 3 2 2" xfId="16023" xr:uid="{00000000-0005-0000-0000-00002A2A0000}"/>
    <cellStyle name="Normal 5 4 3 3 2 3" xfId="12326" xr:uid="{00000000-0005-0000-0000-00002B2A0000}"/>
    <cellStyle name="Normal 5 4 3 3 2 4" xfId="7009" xr:uid="{00000000-0005-0000-0000-00002C2A0000}"/>
    <cellStyle name="Normal 5 4 3 3 3" xfId="3685" xr:uid="{00000000-0005-0000-0000-00002D2A0000}"/>
    <cellStyle name="Normal 5 4 3 3 3 2" xfId="17331" xr:uid="{00000000-0005-0000-0000-00002E2A0000}"/>
    <cellStyle name="Normal 5 4 3 3 3 3" xfId="13752" xr:uid="{00000000-0005-0000-0000-00002F2A0000}"/>
    <cellStyle name="Normal 5 4 3 3 3 4" xfId="8495" xr:uid="{00000000-0005-0000-0000-0000302A0000}"/>
    <cellStyle name="Normal 5 4 3 3 4" xfId="6125" xr:uid="{00000000-0005-0000-0000-0000312A0000}"/>
    <cellStyle name="Normal 5 4 3 3 4 2" xfId="15209" xr:uid="{00000000-0005-0000-0000-0000322A0000}"/>
    <cellStyle name="Normal 5 4 3 3 5" xfId="9949" xr:uid="{00000000-0005-0000-0000-0000332A0000}"/>
    <cellStyle name="Normal 5 4 3 3 5 2" xfId="18776" xr:uid="{00000000-0005-0000-0000-0000342A0000}"/>
    <cellStyle name="Normal 5 4 3 3 6" xfId="11394" xr:uid="{00000000-0005-0000-0000-0000352A0000}"/>
    <cellStyle name="Normal 5 4 3 3 7" xfId="4603" xr:uid="{00000000-0005-0000-0000-0000362A0000}"/>
    <cellStyle name="Normal 5 4 3 4" xfId="1046" xr:uid="{00000000-0005-0000-0000-0000372A0000}"/>
    <cellStyle name="Normal 5 4 3 4 2" xfId="2766" xr:uid="{00000000-0005-0000-0000-0000382A0000}"/>
    <cellStyle name="Normal 5 4 3 4 2 2" xfId="16306" xr:uid="{00000000-0005-0000-0000-0000392A0000}"/>
    <cellStyle name="Normal 5 4 3 4 2 3" xfId="12728" xr:uid="{00000000-0005-0000-0000-00003A2A0000}"/>
    <cellStyle name="Normal 5 4 3 4 2 4" xfId="7438" xr:uid="{00000000-0005-0000-0000-00003B2A0000}"/>
    <cellStyle name="Normal 5 4 3 4 3" xfId="4034" xr:uid="{00000000-0005-0000-0000-00003C2A0000}"/>
    <cellStyle name="Normal 5 4 3 4 3 2" xfId="17679" xr:uid="{00000000-0005-0000-0000-00003D2A0000}"/>
    <cellStyle name="Normal 5 4 3 4 3 3" xfId="14100" xr:uid="{00000000-0005-0000-0000-00003E2A0000}"/>
    <cellStyle name="Normal 5 4 3 4 3 4" xfId="8843" xr:uid="{00000000-0005-0000-0000-00003F2A0000}"/>
    <cellStyle name="Normal 5 4 3 4 4" xfId="6554" xr:uid="{00000000-0005-0000-0000-0000402A0000}"/>
    <cellStyle name="Normal 5 4 3 4 4 2" xfId="15638" xr:uid="{00000000-0005-0000-0000-0000412A0000}"/>
    <cellStyle name="Normal 5 4 3 4 5" xfId="10297" xr:uid="{00000000-0005-0000-0000-0000422A0000}"/>
    <cellStyle name="Normal 5 4 3 4 5 2" xfId="19124" xr:uid="{00000000-0005-0000-0000-0000432A0000}"/>
    <cellStyle name="Normal 5 4 3 4 6" xfId="11743" xr:uid="{00000000-0005-0000-0000-0000442A0000}"/>
    <cellStyle name="Normal 5 4 3 4 7" xfId="5032" xr:uid="{00000000-0005-0000-0000-0000452A0000}"/>
    <cellStyle name="Normal 5 4 3 5" xfId="1435" xr:uid="{00000000-0005-0000-0000-0000462A0000}"/>
    <cellStyle name="Normal 5 4 3 5 2" xfId="3037" xr:uid="{00000000-0005-0000-0000-0000472A0000}"/>
    <cellStyle name="Normal 5 4 3 5 2 2" xfId="16586" xr:uid="{00000000-0005-0000-0000-0000482A0000}"/>
    <cellStyle name="Normal 5 4 3 5 2 3" xfId="13007" xr:uid="{00000000-0005-0000-0000-0000492A0000}"/>
    <cellStyle name="Normal 5 4 3 5 2 4" xfId="7718" xr:uid="{00000000-0005-0000-0000-00004A2A0000}"/>
    <cellStyle name="Normal 5 4 3 5 3" xfId="4245" xr:uid="{00000000-0005-0000-0000-00004B2A0000}"/>
    <cellStyle name="Normal 5 4 3 5 3 2" xfId="17950" xr:uid="{00000000-0005-0000-0000-00004C2A0000}"/>
    <cellStyle name="Normal 5 4 3 5 3 3" xfId="14371" xr:uid="{00000000-0005-0000-0000-00004D2A0000}"/>
    <cellStyle name="Normal 5 4 3 5 3 4" xfId="9114" xr:uid="{00000000-0005-0000-0000-00004E2A0000}"/>
    <cellStyle name="Normal 5 4 3 5 4" xfId="6010" xr:uid="{00000000-0005-0000-0000-00004F2A0000}"/>
    <cellStyle name="Normal 5 4 3 5 4 2" xfId="15096" xr:uid="{00000000-0005-0000-0000-0000502A0000}"/>
    <cellStyle name="Normal 5 4 3 5 5" xfId="10568" xr:uid="{00000000-0005-0000-0000-0000512A0000}"/>
    <cellStyle name="Normal 5 4 3 5 5 2" xfId="19395" xr:uid="{00000000-0005-0000-0000-0000522A0000}"/>
    <cellStyle name="Normal 5 4 3 5 6" xfId="12014" xr:uid="{00000000-0005-0000-0000-0000532A0000}"/>
    <cellStyle name="Normal 5 4 3 5 7" xfId="5312" xr:uid="{00000000-0005-0000-0000-0000542A0000}"/>
    <cellStyle name="Normal 5 4 3 6" xfId="1994" xr:uid="{00000000-0005-0000-0000-0000552A0000}"/>
    <cellStyle name="Normal 5 4 3 6 2" xfId="15939" xr:uid="{00000000-0005-0000-0000-0000562A0000}"/>
    <cellStyle name="Normal 5 4 3 6 3" xfId="12247" xr:uid="{00000000-0005-0000-0000-0000572A0000}"/>
    <cellStyle name="Normal 5 4 3 6 4" xfId="6896" xr:uid="{00000000-0005-0000-0000-0000582A0000}"/>
    <cellStyle name="Normal 5 4 3 7" xfId="3407" xr:uid="{00000000-0005-0000-0000-0000592A0000}"/>
    <cellStyle name="Normal 5 4 3 7 2" xfId="16907" xr:uid="{00000000-0005-0000-0000-00005A2A0000}"/>
    <cellStyle name="Normal 5 4 3 7 3" xfId="13328" xr:uid="{00000000-0005-0000-0000-00005B2A0000}"/>
    <cellStyle name="Normal 5 4 3 7 4" xfId="8071" xr:uid="{00000000-0005-0000-0000-00005C2A0000}"/>
    <cellStyle name="Normal 5 4 3 8" xfId="5632" xr:uid="{00000000-0005-0000-0000-00005D2A0000}"/>
    <cellStyle name="Normal 5 4 3 8 2" xfId="14718" xr:uid="{00000000-0005-0000-0000-00005E2A0000}"/>
    <cellStyle name="Normal 5 4 3 9" xfId="9525" xr:uid="{00000000-0005-0000-0000-00005F2A0000}"/>
    <cellStyle name="Normal 5 4 3 9 2" xfId="18352" xr:uid="{00000000-0005-0000-0000-0000602A0000}"/>
    <cellStyle name="Normal 5 4 3_Degree data" xfId="1321" xr:uid="{00000000-0005-0000-0000-0000612A0000}"/>
    <cellStyle name="Normal 5 4 4" xfId="326" xr:uid="{00000000-0005-0000-0000-0000622A0000}"/>
    <cellStyle name="Normal 5 4 4 2" xfId="691" xr:uid="{00000000-0005-0000-0000-0000632A0000}"/>
    <cellStyle name="Normal 5 4 4 2 2" xfId="2420" xr:uid="{00000000-0005-0000-0000-0000642A0000}"/>
    <cellStyle name="Normal 5 4 4 2 2 2" xfId="16308" xr:uid="{00000000-0005-0000-0000-0000652A0000}"/>
    <cellStyle name="Normal 5 4 4 2 2 3" xfId="12730" xr:uid="{00000000-0005-0000-0000-0000662A0000}"/>
    <cellStyle name="Normal 5 4 4 2 2 4" xfId="7440" xr:uid="{00000000-0005-0000-0000-0000672A0000}"/>
    <cellStyle name="Normal 5 4 4 2 3" xfId="3687" xr:uid="{00000000-0005-0000-0000-0000682A0000}"/>
    <cellStyle name="Normal 5 4 4 2 3 2" xfId="17333" xr:uid="{00000000-0005-0000-0000-0000692A0000}"/>
    <cellStyle name="Normal 5 4 4 2 3 3" xfId="13754" xr:uid="{00000000-0005-0000-0000-00006A2A0000}"/>
    <cellStyle name="Normal 5 4 4 2 3 4" xfId="8497" xr:uid="{00000000-0005-0000-0000-00006B2A0000}"/>
    <cellStyle name="Normal 5 4 4 2 4" xfId="6556" xr:uid="{00000000-0005-0000-0000-00006C2A0000}"/>
    <cellStyle name="Normal 5 4 4 2 4 2" xfId="15640" xr:uid="{00000000-0005-0000-0000-00006D2A0000}"/>
    <cellStyle name="Normal 5 4 4 2 5" xfId="9951" xr:uid="{00000000-0005-0000-0000-00006E2A0000}"/>
    <cellStyle name="Normal 5 4 4 2 5 2" xfId="18778" xr:uid="{00000000-0005-0000-0000-00006F2A0000}"/>
    <cellStyle name="Normal 5 4 4 2 6" xfId="11396" xr:uid="{00000000-0005-0000-0000-0000702A0000}"/>
    <cellStyle name="Normal 5 4 4 2 7" xfId="5034" xr:uid="{00000000-0005-0000-0000-0000712A0000}"/>
    <cellStyle name="Normal 5 4 4 3" xfId="1048" xr:uid="{00000000-0005-0000-0000-0000722A0000}"/>
    <cellStyle name="Normal 5 4 4 3 2" xfId="2768" xr:uid="{00000000-0005-0000-0000-0000732A0000}"/>
    <cellStyle name="Normal 5 4 4 3 2 2" xfId="16686" xr:uid="{00000000-0005-0000-0000-0000742A0000}"/>
    <cellStyle name="Normal 5 4 4 3 2 3" xfId="13107" xr:uid="{00000000-0005-0000-0000-0000752A0000}"/>
    <cellStyle name="Normal 5 4 4 3 2 4" xfId="7818" xr:uid="{00000000-0005-0000-0000-0000762A0000}"/>
    <cellStyle name="Normal 5 4 4 3 3" xfId="4036" xr:uid="{00000000-0005-0000-0000-0000772A0000}"/>
    <cellStyle name="Normal 5 4 4 3 3 2" xfId="17681" xr:uid="{00000000-0005-0000-0000-0000782A0000}"/>
    <cellStyle name="Normal 5 4 4 3 3 3" xfId="14102" xr:uid="{00000000-0005-0000-0000-0000792A0000}"/>
    <cellStyle name="Normal 5 4 4 3 3 4" xfId="8845" xr:uid="{00000000-0005-0000-0000-00007A2A0000}"/>
    <cellStyle name="Normal 5 4 4 3 4" xfId="6225" xr:uid="{00000000-0005-0000-0000-00007B2A0000}"/>
    <cellStyle name="Normal 5 4 4 3 4 2" xfId="15309" xr:uid="{00000000-0005-0000-0000-00007C2A0000}"/>
    <cellStyle name="Normal 5 4 4 3 5" xfId="10299" xr:uid="{00000000-0005-0000-0000-00007D2A0000}"/>
    <cellStyle name="Normal 5 4 4 3 5 2" xfId="19126" xr:uid="{00000000-0005-0000-0000-00007E2A0000}"/>
    <cellStyle name="Normal 5 4 4 3 6" xfId="11745" xr:uid="{00000000-0005-0000-0000-00007F2A0000}"/>
    <cellStyle name="Normal 5 4 4 3 7" xfId="5412" xr:uid="{00000000-0005-0000-0000-0000802A0000}"/>
    <cellStyle name="Normal 5 4 4 4" xfId="1538" xr:uid="{00000000-0005-0000-0000-0000812A0000}"/>
    <cellStyle name="Normal 5 4 4 4 2" xfId="3137" xr:uid="{00000000-0005-0000-0000-0000822A0000}"/>
    <cellStyle name="Normal 5 4 4 4 2 2" xfId="18050" xr:uid="{00000000-0005-0000-0000-0000832A0000}"/>
    <cellStyle name="Normal 5 4 4 4 2 3" xfId="14471" xr:uid="{00000000-0005-0000-0000-0000842A0000}"/>
    <cellStyle name="Normal 5 4 4 4 2 4" xfId="9214" xr:uid="{00000000-0005-0000-0000-0000852A0000}"/>
    <cellStyle name="Normal 5 4 4 4 3" xfId="10668" xr:uid="{00000000-0005-0000-0000-0000862A0000}"/>
    <cellStyle name="Normal 5 4 4 4 3 2" xfId="19495" xr:uid="{00000000-0005-0000-0000-0000872A0000}"/>
    <cellStyle name="Normal 5 4 4 4 4" xfId="12114" xr:uid="{00000000-0005-0000-0000-0000882A0000}"/>
    <cellStyle name="Normal 5 4 4 4 5" xfId="7109" xr:uid="{00000000-0005-0000-0000-0000892A0000}"/>
    <cellStyle name="Normal 5 4 4 5" xfId="2094" xr:uid="{00000000-0005-0000-0000-00008A2A0000}"/>
    <cellStyle name="Normal 5 4 4 5 2" xfId="17007" xr:uid="{00000000-0005-0000-0000-00008B2A0000}"/>
    <cellStyle name="Normal 5 4 4 5 3" xfId="13428" xr:uid="{00000000-0005-0000-0000-00008C2A0000}"/>
    <cellStyle name="Normal 5 4 4 5 4" xfId="8171" xr:uid="{00000000-0005-0000-0000-00008D2A0000}"/>
    <cellStyle name="Normal 5 4 4 6" xfId="5732" xr:uid="{00000000-0005-0000-0000-00008E2A0000}"/>
    <cellStyle name="Normal 5 4 4 6 2" xfId="14818" xr:uid="{00000000-0005-0000-0000-00008F2A0000}"/>
    <cellStyle name="Normal 5 4 4 7" xfId="9625" xr:uid="{00000000-0005-0000-0000-0000902A0000}"/>
    <cellStyle name="Normal 5 4 4 7 2" xfId="18452" xr:uid="{00000000-0005-0000-0000-0000912A0000}"/>
    <cellStyle name="Normal 5 4 4 8" xfId="11069" xr:uid="{00000000-0005-0000-0000-0000922A0000}"/>
    <cellStyle name="Normal 5 4 4 9" xfId="4703" xr:uid="{00000000-0005-0000-0000-0000932A0000}"/>
    <cellStyle name="Normal 5 4 4_Degree data" xfId="1313" xr:uid="{00000000-0005-0000-0000-0000942A0000}"/>
    <cellStyle name="Normal 5 4 5" xfId="478" xr:uid="{00000000-0005-0000-0000-0000952A0000}"/>
    <cellStyle name="Normal 5 4 5 2" xfId="692" xr:uid="{00000000-0005-0000-0000-0000962A0000}"/>
    <cellStyle name="Normal 5 4 5 2 2" xfId="2421" xr:uid="{00000000-0005-0000-0000-0000972A0000}"/>
    <cellStyle name="Normal 5 4 5 2 2 2" xfId="16309" xr:uid="{00000000-0005-0000-0000-0000982A0000}"/>
    <cellStyle name="Normal 5 4 5 2 2 3" xfId="12731" xr:uid="{00000000-0005-0000-0000-0000992A0000}"/>
    <cellStyle name="Normal 5 4 5 2 2 4" xfId="7441" xr:uid="{00000000-0005-0000-0000-00009A2A0000}"/>
    <cellStyle name="Normal 5 4 5 2 3" xfId="3688" xr:uid="{00000000-0005-0000-0000-00009B2A0000}"/>
    <cellStyle name="Normal 5 4 5 2 3 2" xfId="17334" xr:uid="{00000000-0005-0000-0000-00009C2A0000}"/>
    <cellStyle name="Normal 5 4 5 2 3 3" xfId="13755" xr:uid="{00000000-0005-0000-0000-00009D2A0000}"/>
    <cellStyle name="Normal 5 4 5 2 3 4" xfId="8498" xr:uid="{00000000-0005-0000-0000-00009E2A0000}"/>
    <cellStyle name="Normal 5 4 5 2 4" xfId="6557" xr:uid="{00000000-0005-0000-0000-00009F2A0000}"/>
    <cellStyle name="Normal 5 4 5 2 4 2" xfId="15641" xr:uid="{00000000-0005-0000-0000-0000A02A0000}"/>
    <cellStyle name="Normal 5 4 5 2 5" xfId="9952" xr:uid="{00000000-0005-0000-0000-0000A12A0000}"/>
    <cellStyle name="Normal 5 4 5 2 5 2" xfId="18779" xr:uid="{00000000-0005-0000-0000-0000A22A0000}"/>
    <cellStyle name="Normal 5 4 5 2 6" xfId="11397" xr:uid="{00000000-0005-0000-0000-0000A32A0000}"/>
    <cellStyle name="Normal 5 4 5 2 7" xfId="5035" xr:uid="{00000000-0005-0000-0000-0000A42A0000}"/>
    <cellStyle name="Normal 5 4 5 3" xfId="1049" xr:uid="{00000000-0005-0000-0000-0000A52A0000}"/>
    <cellStyle name="Normal 5 4 5 3 2" xfId="2769" xr:uid="{00000000-0005-0000-0000-0000A62A0000}"/>
    <cellStyle name="Normal 5 4 5 3 2 2" xfId="16527" xr:uid="{00000000-0005-0000-0000-0000A72A0000}"/>
    <cellStyle name="Normal 5 4 5 3 2 3" xfId="12949" xr:uid="{00000000-0005-0000-0000-0000A82A0000}"/>
    <cellStyle name="Normal 5 4 5 3 2 4" xfId="7659" xr:uid="{00000000-0005-0000-0000-0000A92A0000}"/>
    <cellStyle name="Normal 5 4 5 3 3" xfId="4037" xr:uid="{00000000-0005-0000-0000-0000AA2A0000}"/>
    <cellStyle name="Normal 5 4 5 3 3 2" xfId="17682" xr:uid="{00000000-0005-0000-0000-0000AB2A0000}"/>
    <cellStyle name="Normal 5 4 5 3 3 3" xfId="14103" xr:uid="{00000000-0005-0000-0000-0000AC2A0000}"/>
    <cellStyle name="Normal 5 4 5 3 3 4" xfId="8846" xr:uid="{00000000-0005-0000-0000-0000AD2A0000}"/>
    <cellStyle name="Normal 5 4 5 3 4" xfId="6725" xr:uid="{00000000-0005-0000-0000-0000AE2A0000}"/>
    <cellStyle name="Normal 5 4 5 3 4 2" xfId="15808" xr:uid="{00000000-0005-0000-0000-0000AF2A0000}"/>
    <cellStyle name="Normal 5 4 5 3 5" xfId="10300" xr:uid="{00000000-0005-0000-0000-0000B02A0000}"/>
    <cellStyle name="Normal 5 4 5 3 5 2" xfId="19127" xr:uid="{00000000-0005-0000-0000-0000B12A0000}"/>
    <cellStyle name="Normal 5 4 5 3 6" xfId="11746" xr:uid="{00000000-0005-0000-0000-0000B22A0000}"/>
    <cellStyle name="Normal 5 4 5 3 7" xfId="5253" xr:uid="{00000000-0005-0000-0000-0000B32A0000}"/>
    <cellStyle name="Normal 5 4 5 4" xfId="1367" xr:uid="{00000000-0005-0000-0000-0000B42A0000}"/>
    <cellStyle name="Normal 5 4 5 4 2" xfId="2978" xr:uid="{00000000-0005-0000-0000-0000B52A0000}"/>
    <cellStyle name="Normal 5 4 5 4 2 2" xfId="17891" xr:uid="{00000000-0005-0000-0000-0000B62A0000}"/>
    <cellStyle name="Normal 5 4 5 4 2 3" xfId="14312" xr:uid="{00000000-0005-0000-0000-0000B72A0000}"/>
    <cellStyle name="Normal 5 4 5 4 2 4" xfId="9055" xr:uid="{00000000-0005-0000-0000-0000B82A0000}"/>
    <cellStyle name="Normal 5 4 5 4 3" xfId="10509" xr:uid="{00000000-0005-0000-0000-0000B92A0000}"/>
    <cellStyle name="Normal 5 4 5 4 3 2" xfId="19336" xr:uid="{00000000-0005-0000-0000-0000BA2A0000}"/>
    <cellStyle name="Normal 5 4 5 4 4" xfId="11955" xr:uid="{00000000-0005-0000-0000-0000BB2A0000}"/>
    <cellStyle name="Normal 5 4 5 4 5" xfId="6950" xr:uid="{00000000-0005-0000-0000-0000BC2A0000}"/>
    <cellStyle name="Normal 5 4 5 5" xfId="1935" xr:uid="{00000000-0005-0000-0000-0000BD2A0000}"/>
    <cellStyle name="Normal 5 4 5 5 2" xfId="16846" xr:uid="{00000000-0005-0000-0000-0000BE2A0000}"/>
    <cellStyle name="Normal 5 4 5 5 3" xfId="13267" xr:uid="{00000000-0005-0000-0000-0000BF2A0000}"/>
    <cellStyle name="Normal 5 4 5 5 4" xfId="8010" xr:uid="{00000000-0005-0000-0000-0000C02A0000}"/>
    <cellStyle name="Normal 5 4 5 6" xfId="6066" xr:uid="{00000000-0005-0000-0000-0000C12A0000}"/>
    <cellStyle name="Normal 5 4 5 6 2" xfId="15150" xr:uid="{00000000-0005-0000-0000-0000C22A0000}"/>
    <cellStyle name="Normal 5 4 5 7" xfId="9466" xr:uid="{00000000-0005-0000-0000-0000C32A0000}"/>
    <cellStyle name="Normal 5 4 5 7 2" xfId="18293" xr:uid="{00000000-0005-0000-0000-0000C42A0000}"/>
    <cellStyle name="Normal 5 4 5 8" xfId="10910" xr:uid="{00000000-0005-0000-0000-0000C52A0000}"/>
    <cellStyle name="Normal 5 4 5 9" xfId="4544" xr:uid="{00000000-0005-0000-0000-0000C62A0000}"/>
    <cellStyle name="Normal 5 4 5_Degree data" xfId="1436" xr:uid="{00000000-0005-0000-0000-0000C72A0000}"/>
    <cellStyle name="Normal 5 4 6" xfId="686" xr:uid="{00000000-0005-0000-0000-0000C82A0000}"/>
    <cellStyle name="Normal 5 4 6 2" xfId="2415" xr:uid="{00000000-0005-0000-0000-0000C92A0000}"/>
    <cellStyle name="Normal 5 4 6 2 2" xfId="16303" xr:uid="{00000000-0005-0000-0000-0000CA2A0000}"/>
    <cellStyle name="Normal 5 4 6 2 3" xfId="12725" xr:uid="{00000000-0005-0000-0000-0000CB2A0000}"/>
    <cellStyle name="Normal 5 4 6 2 4" xfId="7435" xr:uid="{00000000-0005-0000-0000-0000CC2A0000}"/>
    <cellStyle name="Normal 5 4 6 3" xfId="3682" xr:uid="{00000000-0005-0000-0000-0000CD2A0000}"/>
    <cellStyle name="Normal 5 4 6 3 2" xfId="17328" xr:uid="{00000000-0005-0000-0000-0000CE2A0000}"/>
    <cellStyle name="Normal 5 4 6 3 3" xfId="13749" xr:uid="{00000000-0005-0000-0000-0000CF2A0000}"/>
    <cellStyle name="Normal 5 4 6 3 4" xfId="8492" xr:uid="{00000000-0005-0000-0000-0000D02A0000}"/>
    <cellStyle name="Normal 5 4 6 4" xfId="6551" xr:uid="{00000000-0005-0000-0000-0000D12A0000}"/>
    <cellStyle name="Normal 5 4 6 4 2" xfId="15635" xr:uid="{00000000-0005-0000-0000-0000D22A0000}"/>
    <cellStyle name="Normal 5 4 6 5" xfId="9946" xr:uid="{00000000-0005-0000-0000-0000D32A0000}"/>
    <cellStyle name="Normal 5 4 6 5 2" xfId="18773" xr:uid="{00000000-0005-0000-0000-0000D42A0000}"/>
    <cellStyle name="Normal 5 4 6 6" xfId="11391" xr:uid="{00000000-0005-0000-0000-0000D52A0000}"/>
    <cellStyle name="Normal 5 4 6 7" xfId="5029" xr:uid="{00000000-0005-0000-0000-0000D62A0000}"/>
    <cellStyle name="Normal 5 4 7" xfId="1043" xr:uid="{00000000-0005-0000-0000-0000D72A0000}"/>
    <cellStyle name="Normal 5 4 7 2" xfId="2763" xr:uid="{00000000-0005-0000-0000-0000D82A0000}"/>
    <cellStyle name="Normal 5 4 7 2 2" xfId="16484" xr:uid="{00000000-0005-0000-0000-0000D92A0000}"/>
    <cellStyle name="Normal 5 4 7 2 3" xfId="12906" xr:uid="{00000000-0005-0000-0000-0000DA2A0000}"/>
    <cellStyle name="Normal 5 4 7 2 4" xfId="7616" xr:uid="{00000000-0005-0000-0000-0000DB2A0000}"/>
    <cellStyle name="Normal 5 4 7 3" xfId="4031" xr:uid="{00000000-0005-0000-0000-0000DC2A0000}"/>
    <cellStyle name="Normal 5 4 7 3 2" xfId="17676" xr:uid="{00000000-0005-0000-0000-0000DD2A0000}"/>
    <cellStyle name="Normal 5 4 7 3 3" xfId="14097" xr:uid="{00000000-0005-0000-0000-0000DE2A0000}"/>
    <cellStyle name="Normal 5 4 7 3 4" xfId="8840" xr:uid="{00000000-0005-0000-0000-0000DF2A0000}"/>
    <cellStyle name="Normal 5 4 7 4" xfId="5905" xr:uid="{00000000-0005-0000-0000-0000E02A0000}"/>
    <cellStyle name="Normal 5 4 7 4 2" xfId="14991" xr:uid="{00000000-0005-0000-0000-0000E12A0000}"/>
    <cellStyle name="Normal 5 4 7 5" xfId="10294" xr:uid="{00000000-0005-0000-0000-0000E22A0000}"/>
    <cellStyle name="Normal 5 4 7 5 2" xfId="19121" xr:uid="{00000000-0005-0000-0000-0000E32A0000}"/>
    <cellStyle name="Normal 5 4 7 6" xfId="11740" xr:uid="{00000000-0005-0000-0000-0000E42A0000}"/>
    <cellStyle name="Normal 5 4 7 7" xfId="5210" xr:uid="{00000000-0005-0000-0000-0000E52A0000}"/>
    <cellStyle name="Normal 5 4 8" xfId="1296" xr:uid="{00000000-0005-0000-0000-0000E62A0000}"/>
    <cellStyle name="Normal 5 4 8 2" xfId="2935" xr:uid="{00000000-0005-0000-0000-0000E72A0000}"/>
    <cellStyle name="Normal 5 4 8 2 2" xfId="17848" xr:uid="{00000000-0005-0000-0000-0000E82A0000}"/>
    <cellStyle name="Normal 5 4 8 2 3" xfId="14269" xr:uid="{00000000-0005-0000-0000-0000E92A0000}"/>
    <cellStyle name="Normal 5 4 8 2 4" xfId="9012" xr:uid="{00000000-0005-0000-0000-0000EA2A0000}"/>
    <cellStyle name="Normal 5 4 8 3" xfId="10466" xr:uid="{00000000-0005-0000-0000-0000EB2A0000}"/>
    <cellStyle name="Normal 5 4 8 3 2" xfId="19293" xr:uid="{00000000-0005-0000-0000-0000EC2A0000}"/>
    <cellStyle name="Normal 5 4 8 4" xfId="11912" xr:uid="{00000000-0005-0000-0000-0000ED2A0000}"/>
    <cellStyle name="Normal 5 4 8 5" xfId="6792" xr:uid="{00000000-0005-0000-0000-0000EE2A0000}"/>
    <cellStyle name="Normal 5 4 9" xfId="1892" xr:uid="{00000000-0005-0000-0000-0000EF2A0000}"/>
    <cellStyle name="Normal 5 4 9 2" xfId="9423" xr:uid="{00000000-0005-0000-0000-0000F02A0000}"/>
    <cellStyle name="Normal 5 4 9 2 2" xfId="18250" xr:uid="{00000000-0005-0000-0000-0000F12A0000}"/>
    <cellStyle name="Normal 5 4 9 3" xfId="10867" xr:uid="{00000000-0005-0000-0000-0000F22A0000}"/>
    <cellStyle name="Normal 5 4 9 4" xfId="7967" xr:uid="{00000000-0005-0000-0000-0000F32A0000}"/>
    <cellStyle name="Normal 5 4_Degree data" xfId="1267" xr:uid="{00000000-0005-0000-0000-0000F42A0000}"/>
    <cellStyle name="Normal 5 5" xfId="137" xr:uid="{00000000-0005-0000-0000-0000F52A0000}"/>
    <cellStyle name="Normal 5 5 10" xfId="5561" xr:uid="{00000000-0005-0000-0000-0000F62A0000}"/>
    <cellStyle name="Normal 5 5 10 2" xfId="14647" xr:uid="{00000000-0005-0000-0000-0000F72A0000}"/>
    <cellStyle name="Normal 5 5 11" xfId="9381" xr:uid="{00000000-0005-0000-0000-0000F82A0000}"/>
    <cellStyle name="Normal 5 5 11 2" xfId="18208" xr:uid="{00000000-0005-0000-0000-0000F92A0000}"/>
    <cellStyle name="Normal 5 5 12" xfId="10821" xr:uid="{00000000-0005-0000-0000-0000FA2A0000}"/>
    <cellStyle name="Normal 5 5 13" xfId="4374" xr:uid="{00000000-0005-0000-0000-0000FB2A0000}"/>
    <cellStyle name="Normal 5 5 2" xfId="249" xr:uid="{00000000-0005-0000-0000-0000FC2A0000}"/>
    <cellStyle name="Normal 5 5 2 10" xfId="11000" xr:uid="{00000000-0005-0000-0000-0000FD2A0000}"/>
    <cellStyle name="Normal 5 5 2 11" xfId="4417" xr:uid="{00000000-0005-0000-0000-0000FE2A0000}"/>
    <cellStyle name="Normal 5 5 2 2" xfId="357" xr:uid="{00000000-0005-0000-0000-0000FF2A0000}"/>
    <cellStyle name="Normal 5 5 2 2 2" xfId="695" xr:uid="{00000000-0005-0000-0000-0000002B0000}"/>
    <cellStyle name="Normal 5 5 2 2 2 2" xfId="2424" xr:uid="{00000000-0005-0000-0000-0000012B0000}"/>
    <cellStyle name="Normal 5 5 2 2 2 2 2" xfId="16312" xr:uid="{00000000-0005-0000-0000-0000022B0000}"/>
    <cellStyle name="Normal 5 5 2 2 2 2 3" xfId="12734" xr:uid="{00000000-0005-0000-0000-0000032B0000}"/>
    <cellStyle name="Normal 5 5 2 2 2 2 4" xfId="7444" xr:uid="{00000000-0005-0000-0000-0000042B0000}"/>
    <cellStyle name="Normal 5 5 2 2 2 3" xfId="3691" xr:uid="{00000000-0005-0000-0000-0000052B0000}"/>
    <cellStyle name="Normal 5 5 2 2 2 3 2" xfId="17337" xr:uid="{00000000-0005-0000-0000-0000062B0000}"/>
    <cellStyle name="Normal 5 5 2 2 2 3 3" xfId="13758" xr:uid="{00000000-0005-0000-0000-0000072B0000}"/>
    <cellStyle name="Normal 5 5 2 2 2 3 4" xfId="8501" xr:uid="{00000000-0005-0000-0000-0000082B0000}"/>
    <cellStyle name="Normal 5 5 2 2 2 4" xfId="6560" xr:uid="{00000000-0005-0000-0000-0000092B0000}"/>
    <cellStyle name="Normal 5 5 2 2 2 4 2" xfId="15644" xr:uid="{00000000-0005-0000-0000-00000A2B0000}"/>
    <cellStyle name="Normal 5 5 2 2 2 5" xfId="9955" xr:uid="{00000000-0005-0000-0000-00000B2B0000}"/>
    <cellStyle name="Normal 5 5 2 2 2 5 2" xfId="18782" xr:uid="{00000000-0005-0000-0000-00000C2B0000}"/>
    <cellStyle name="Normal 5 5 2 2 2 6" xfId="11400" xr:uid="{00000000-0005-0000-0000-00000D2B0000}"/>
    <cellStyle name="Normal 5 5 2 2 2 7" xfId="5038" xr:uid="{00000000-0005-0000-0000-00000E2B0000}"/>
    <cellStyle name="Normal 5 5 2 2 3" xfId="1052" xr:uid="{00000000-0005-0000-0000-00000F2B0000}"/>
    <cellStyle name="Normal 5 5 2 2 3 2" xfId="2772" xr:uid="{00000000-0005-0000-0000-0000102B0000}"/>
    <cellStyle name="Normal 5 5 2 2 3 2 2" xfId="16717" xr:uid="{00000000-0005-0000-0000-0000112B0000}"/>
    <cellStyle name="Normal 5 5 2 2 3 2 3" xfId="13138" xr:uid="{00000000-0005-0000-0000-0000122B0000}"/>
    <cellStyle name="Normal 5 5 2 2 3 2 4" xfId="7849" xr:uid="{00000000-0005-0000-0000-0000132B0000}"/>
    <cellStyle name="Normal 5 5 2 2 3 3" xfId="4040" xr:uid="{00000000-0005-0000-0000-0000142B0000}"/>
    <cellStyle name="Normal 5 5 2 2 3 3 2" xfId="17685" xr:uid="{00000000-0005-0000-0000-0000152B0000}"/>
    <cellStyle name="Normal 5 5 2 2 3 3 3" xfId="14106" xr:uid="{00000000-0005-0000-0000-0000162B0000}"/>
    <cellStyle name="Normal 5 5 2 2 3 3 4" xfId="8849" xr:uid="{00000000-0005-0000-0000-0000172B0000}"/>
    <cellStyle name="Normal 5 5 2 2 3 4" xfId="6256" xr:uid="{00000000-0005-0000-0000-0000182B0000}"/>
    <cellStyle name="Normal 5 5 2 2 3 4 2" xfId="15340" xr:uid="{00000000-0005-0000-0000-0000192B0000}"/>
    <cellStyle name="Normal 5 5 2 2 3 5" xfId="10303" xr:uid="{00000000-0005-0000-0000-00001A2B0000}"/>
    <cellStyle name="Normal 5 5 2 2 3 5 2" xfId="19130" xr:uid="{00000000-0005-0000-0000-00001B2B0000}"/>
    <cellStyle name="Normal 5 5 2 2 3 6" xfId="11749" xr:uid="{00000000-0005-0000-0000-00001C2B0000}"/>
    <cellStyle name="Normal 5 5 2 2 3 7" xfId="5443" xr:uid="{00000000-0005-0000-0000-00001D2B0000}"/>
    <cellStyle name="Normal 5 5 2 2 4" xfId="1570" xr:uid="{00000000-0005-0000-0000-00001E2B0000}"/>
    <cellStyle name="Normal 5 5 2 2 4 2" xfId="3168" xr:uid="{00000000-0005-0000-0000-00001F2B0000}"/>
    <cellStyle name="Normal 5 5 2 2 4 2 2" xfId="18081" xr:uid="{00000000-0005-0000-0000-0000202B0000}"/>
    <cellStyle name="Normal 5 5 2 2 4 2 3" xfId="14502" xr:uid="{00000000-0005-0000-0000-0000212B0000}"/>
    <cellStyle name="Normal 5 5 2 2 4 2 4" xfId="9245" xr:uid="{00000000-0005-0000-0000-0000222B0000}"/>
    <cellStyle name="Normal 5 5 2 2 4 3" xfId="10699" xr:uid="{00000000-0005-0000-0000-0000232B0000}"/>
    <cellStyle name="Normal 5 5 2 2 4 3 2" xfId="19526" xr:uid="{00000000-0005-0000-0000-0000242B0000}"/>
    <cellStyle name="Normal 5 5 2 2 4 4" xfId="12145" xr:uid="{00000000-0005-0000-0000-0000252B0000}"/>
    <cellStyle name="Normal 5 5 2 2 4 5" xfId="7140" xr:uid="{00000000-0005-0000-0000-0000262B0000}"/>
    <cellStyle name="Normal 5 5 2 2 5" xfId="2125" xr:uid="{00000000-0005-0000-0000-0000272B0000}"/>
    <cellStyle name="Normal 5 5 2 2 5 2" xfId="17038" xr:uid="{00000000-0005-0000-0000-0000282B0000}"/>
    <cellStyle name="Normal 5 5 2 2 5 3" xfId="13459" xr:uid="{00000000-0005-0000-0000-0000292B0000}"/>
    <cellStyle name="Normal 5 5 2 2 5 4" xfId="8202" xr:uid="{00000000-0005-0000-0000-00002A2B0000}"/>
    <cellStyle name="Normal 5 5 2 2 6" xfId="5763" xr:uid="{00000000-0005-0000-0000-00002B2B0000}"/>
    <cellStyle name="Normal 5 5 2 2 6 2" xfId="14849" xr:uid="{00000000-0005-0000-0000-00002C2B0000}"/>
    <cellStyle name="Normal 5 5 2 2 7" xfId="9656" xr:uid="{00000000-0005-0000-0000-00002D2B0000}"/>
    <cellStyle name="Normal 5 5 2 2 7 2" xfId="18483" xr:uid="{00000000-0005-0000-0000-00002E2B0000}"/>
    <cellStyle name="Normal 5 5 2 2 8" xfId="11100" xr:uid="{00000000-0005-0000-0000-00002F2B0000}"/>
    <cellStyle name="Normal 5 5 2 2 9" xfId="4734" xr:uid="{00000000-0005-0000-0000-0000302B0000}"/>
    <cellStyle name="Normal 5 5 2 2_Degree data" xfId="1298" xr:uid="{00000000-0005-0000-0000-0000312B0000}"/>
    <cellStyle name="Normal 5 5 2 3" xfId="694" xr:uid="{00000000-0005-0000-0000-0000322B0000}"/>
    <cellStyle name="Normal 5 5 2 3 2" xfId="2423" xr:uid="{00000000-0005-0000-0000-0000332B0000}"/>
    <cellStyle name="Normal 5 5 2 3 2 2" xfId="16054" xr:uid="{00000000-0005-0000-0000-0000342B0000}"/>
    <cellStyle name="Normal 5 5 2 3 2 3" xfId="12310" xr:uid="{00000000-0005-0000-0000-0000352B0000}"/>
    <cellStyle name="Normal 5 5 2 3 2 4" xfId="7040" xr:uid="{00000000-0005-0000-0000-0000362B0000}"/>
    <cellStyle name="Normal 5 5 2 3 3" xfId="3690" xr:uid="{00000000-0005-0000-0000-0000372B0000}"/>
    <cellStyle name="Normal 5 5 2 3 3 2" xfId="17336" xr:uid="{00000000-0005-0000-0000-0000382B0000}"/>
    <cellStyle name="Normal 5 5 2 3 3 3" xfId="13757" xr:uid="{00000000-0005-0000-0000-0000392B0000}"/>
    <cellStyle name="Normal 5 5 2 3 3 4" xfId="8500" xr:uid="{00000000-0005-0000-0000-00003A2B0000}"/>
    <cellStyle name="Normal 5 5 2 3 4" xfId="6156" xr:uid="{00000000-0005-0000-0000-00003B2B0000}"/>
    <cellStyle name="Normal 5 5 2 3 4 2" xfId="15240" xr:uid="{00000000-0005-0000-0000-00003C2B0000}"/>
    <cellStyle name="Normal 5 5 2 3 5" xfId="9954" xr:uid="{00000000-0005-0000-0000-00003D2B0000}"/>
    <cellStyle name="Normal 5 5 2 3 5 2" xfId="18781" xr:uid="{00000000-0005-0000-0000-00003E2B0000}"/>
    <cellStyle name="Normal 5 5 2 3 6" xfId="11399" xr:uid="{00000000-0005-0000-0000-00003F2B0000}"/>
    <cellStyle name="Normal 5 5 2 3 7" xfId="4634" xr:uid="{00000000-0005-0000-0000-0000402B0000}"/>
    <cellStyle name="Normal 5 5 2 4" xfId="1051" xr:uid="{00000000-0005-0000-0000-0000412B0000}"/>
    <cellStyle name="Normal 5 5 2 4 2" xfId="2771" xr:uid="{00000000-0005-0000-0000-0000422B0000}"/>
    <cellStyle name="Normal 5 5 2 4 2 2" xfId="16311" xr:uid="{00000000-0005-0000-0000-0000432B0000}"/>
    <cellStyle name="Normal 5 5 2 4 2 3" xfId="12733" xr:uid="{00000000-0005-0000-0000-0000442B0000}"/>
    <cellStyle name="Normal 5 5 2 4 2 4" xfId="7443" xr:uid="{00000000-0005-0000-0000-0000452B0000}"/>
    <cellStyle name="Normal 5 5 2 4 3" xfId="4039" xr:uid="{00000000-0005-0000-0000-0000462B0000}"/>
    <cellStyle name="Normal 5 5 2 4 3 2" xfId="17684" xr:uid="{00000000-0005-0000-0000-0000472B0000}"/>
    <cellStyle name="Normal 5 5 2 4 3 3" xfId="14105" xr:uid="{00000000-0005-0000-0000-0000482B0000}"/>
    <cellStyle name="Normal 5 5 2 4 3 4" xfId="8848" xr:uid="{00000000-0005-0000-0000-0000492B0000}"/>
    <cellStyle name="Normal 5 5 2 4 4" xfId="6559" xr:uid="{00000000-0005-0000-0000-00004A2B0000}"/>
    <cellStyle name="Normal 5 5 2 4 4 2" xfId="15643" xr:uid="{00000000-0005-0000-0000-00004B2B0000}"/>
    <cellStyle name="Normal 5 5 2 4 5" xfId="10302" xr:uid="{00000000-0005-0000-0000-00004C2B0000}"/>
    <cellStyle name="Normal 5 5 2 4 5 2" xfId="19129" xr:uid="{00000000-0005-0000-0000-00004D2B0000}"/>
    <cellStyle name="Normal 5 5 2 4 6" xfId="11748" xr:uid="{00000000-0005-0000-0000-00004E2B0000}"/>
    <cellStyle name="Normal 5 5 2 4 7" xfId="5037" xr:uid="{00000000-0005-0000-0000-00004F2B0000}"/>
    <cellStyle name="Normal 5 5 2 5" xfId="1468" xr:uid="{00000000-0005-0000-0000-0000502B0000}"/>
    <cellStyle name="Normal 5 5 2 5 2" xfId="3068" xr:uid="{00000000-0005-0000-0000-0000512B0000}"/>
    <cellStyle name="Normal 5 5 2 5 2 2" xfId="16617" xr:uid="{00000000-0005-0000-0000-0000522B0000}"/>
    <cellStyle name="Normal 5 5 2 5 2 3" xfId="13038" xr:uid="{00000000-0005-0000-0000-0000532B0000}"/>
    <cellStyle name="Normal 5 5 2 5 2 4" xfId="7749" xr:uid="{00000000-0005-0000-0000-0000542B0000}"/>
    <cellStyle name="Normal 5 5 2 5 3" xfId="4276" xr:uid="{00000000-0005-0000-0000-0000552B0000}"/>
    <cellStyle name="Normal 5 5 2 5 3 2" xfId="17981" xr:uid="{00000000-0005-0000-0000-0000562B0000}"/>
    <cellStyle name="Normal 5 5 2 5 3 3" xfId="14402" xr:uid="{00000000-0005-0000-0000-0000572B0000}"/>
    <cellStyle name="Normal 5 5 2 5 3 4" xfId="9145" xr:uid="{00000000-0005-0000-0000-0000582B0000}"/>
    <cellStyle name="Normal 5 5 2 5 4" xfId="5937" xr:uid="{00000000-0005-0000-0000-0000592B0000}"/>
    <cellStyle name="Normal 5 5 2 5 4 2" xfId="15023" xr:uid="{00000000-0005-0000-0000-00005A2B0000}"/>
    <cellStyle name="Normal 5 5 2 5 5" xfId="10599" xr:uid="{00000000-0005-0000-0000-00005B2B0000}"/>
    <cellStyle name="Normal 5 5 2 5 5 2" xfId="19426" xr:uid="{00000000-0005-0000-0000-00005C2B0000}"/>
    <cellStyle name="Normal 5 5 2 5 6" xfId="12045" xr:uid="{00000000-0005-0000-0000-00005D2B0000}"/>
    <cellStyle name="Normal 5 5 2 5 7" xfId="5343" xr:uid="{00000000-0005-0000-0000-00005E2B0000}"/>
    <cellStyle name="Normal 5 5 2 6" xfId="2025" xr:uid="{00000000-0005-0000-0000-00005F2B0000}"/>
    <cellStyle name="Normal 5 5 2 6 2" xfId="15866" xr:uid="{00000000-0005-0000-0000-0000602B0000}"/>
    <cellStyle name="Normal 5 5 2 6 3" xfId="12286" xr:uid="{00000000-0005-0000-0000-0000612B0000}"/>
    <cellStyle name="Normal 5 5 2 6 4" xfId="6823" xr:uid="{00000000-0005-0000-0000-0000622B0000}"/>
    <cellStyle name="Normal 5 5 2 7" xfId="3438" xr:uid="{00000000-0005-0000-0000-0000632B0000}"/>
    <cellStyle name="Normal 5 5 2 7 2" xfId="16938" xr:uid="{00000000-0005-0000-0000-0000642B0000}"/>
    <cellStyle name="Normal 5 5 2 7 3" xfId="13359" xr:uid="{00000000-0005-0000-0000-0000652B0000}"/>
    <cellStyle name="Normal 5 5 2 7 4" xfId="8102" xr:uid="{00000000-0005-0000-0000-0000662B0000}"/>
    <cellStyle name="Normal 5 5 2 8" xfId="5663" xr:uid="{00000000-0005-0000-0000-0000672B0000}"/>
    <cellStyle name="Normal 5 5 2 8 2" xfId="14749" xr:uid="{00000000-0005-0000-0000-0000682B0000}"/>
    <cellStyle name="Normal 5 5 2 9" xfId="9556" xr:uid="{00000000-0005-0000-0000-0000692B0000}"/>
    <cellStyle name="Normal 5 5 2 9 2" xfId="18383" xr:uid="{00000000-0005-0000-0000-00006A2B0000}"/>
    <cellStyle name="Normal 5 5 2_Degree data" xfId="1201" xr:uid="{00000000-0005-0000-0000-00006B2B0000}"/>
    <cellStyle name="Normal 5 5 3" xfId="206" xr:uid="{00000000-0005-0000-0000-00006C2B0000}"/>
    <cellStyle name="Normal 5 5 3 10" xfId="10957" xr:uid="{00000000-0005-0000-0000-00006D2B0000}"/>
    <cellStyle name="Normal 5 5 3 11" xfId="4479" xr:uid="{00000000-0005-0000-0000-00006E2B0000}"/>
    <cellStyle name="Normal 5 5 3 2" xfId="420" xr:uid="{00000000-0005-0000-0000-00006F2B0000}"/>
    <cellStyle name="Normal 5 5 3 2 2" xfId="697" xr:uid="{00000000-0005-0000-0000-0000702B0000}"/>
    <cellStyle name="Normal 5 5 3 2 2 2" xfId="2426" xr:uid="{00000000-0005-0000-0000-0000712B0000}"/>
    <cellStyle name="Normal 5 5 3 2 2 2 2" xfId="16314" xr:uid="{00000000-0005-0000-0000-0000722B0000}"/>
    <cellStyle name="Normal 5 5 3 2 2 2 3" xfId="12736" xr:uid="{00000000-0005-0000-0000-0000732B0000}"/>
    <cellStyle name="Normal 5 5 3 2 2 2 4" xfId="7446" xr:uid="{00000000-0005-0000-0000-0000742B0000}"/>
    <cellStyle name="Normal 5 5 3 2 2 3" xfId="3693" xr:uid="{00000000-0005-0000-0000-0000752B0000}"/>
    <cellStyle name="Normal 5 5 3 2 2 3 2" xfId="17339" xr:uid="{00000000-0005-0000-0000-0000762B0000}"/>
    <cellStyle name="Normal 5 5 3 2 2 3 3" xfId="13760" xr:uid="{00000000-0005-0000-0000-0000772B0000}"/>
    <cellStyle name="Normal 5 5 3 2 2 3 4" xfId="8503" xr:uid="{00000000-0005-0000-0000-0000782B0000}"/>
    <cellStyle name="Normal 5 5 3 2 2 4" xfId="6562" xr:uid="{00000000-0005-0000-0000-0000792B0000}"/>
    <cellStyle name="Normal 5 5 3 2 2 4 2" xfId="15646" xr:uid="{00000000-0005-0000-0000-00007A2B0000}"/>
    <cellStyle name="Normal 5 5 3 2 2 5" xfId="9957" xr:uid="{00000000-0005-0000-0000-00007B2B0000}"/>
    <cellStyle name="Normal 5 5 3 2 2 5 2" xfId="18784" xr:uid="{00000000-0005-0000-0000-00007C2B0000}"/>
    <cellStyle name="Normal 5 5 3 2 2 6" xfId="11402" xr:uid="{00000000-0005-0000-0000-00007D2B0000}"/>
    <cellStyle name="Normal 5 5 3 2 2 7" xfId="5040" xr:uid="{00000000-0005-0000-0000-00007E2B0000}"/>
    <cellStyle name="Normal 5 5 3 2 3" xfId="1054" xr:uid="{00000000-0005-0000-0000-00007F2B0000}"/>
    <cellStyle name="Normal 5 5 3 2 3 2" xfId="2774" xr:uid="{00000000-0005-0000-0000-0000802B0000}"/>
    <cellStyle name="Normal 5 5 3 2 3 2 2" xfId="16779" xr:uid="{00000000-0005-0000-0000-0000812B0000}"/>
    <cellStyle name="Normal 5 5 3 2 3 2 3" xfId="13200" xr:uid="{00000000-0005-0000-0000-0000822B0000}"/>
    <cellStyle name="Normal 5 5 3 2 3 2 4" xfId="7911" xr:uid="{00000000-0005-0000-0000-0000832B0000}"/>
    <cellStyle name="Normal 5 5 3 2 3 3" xfId="4042" xr:uid="{00000000-0005-0000-0000-0000842B0000}"/>
    <cellStyle name="Normal 5 5 3 2 3 3 2" xfId="17687" xr:uid="{00000000-0005-0000-0000-0000852B0000}"/>
    <cellStyle name="Normal 5 5 3 2 3 3 3" xfId="14108" xr:uid="{00000000-0005-0000-0000-0000862B0000}"/>
    <cellStyle name="Normal 5 5 3 2 3 3 4" xfId="8851" xr:uid="{00000000-0005-0000-0000-0000872B0000}"/>
    <cellStyle name="Normal 5 5 3 2 3 4" xfId="6318" xr:uid="{00000000-0005-0000-0000-0000882B0000}"/>
    <cellStyle name="Normal 5 5 3 2 3 4 2" xfId="15402" xr:uid="{00000000-0005-0000-0000-0000892B0000}"/>
    <cellStyle name="Normal 5 5 3 2 3 5" xfId="10305" xr:uid="{00000000-0005-0000-0000-00008A2B0000}"/>
    <cellStyle name="Normal 5 5 3 2 3 5 2" xfId="19132" xr:uid="{00000000-0005-0000-0000-00008B2B0000}"/>
    <cellStyle name="Normal 5 5 3 2 3 6" xfId="11751" xr:uid="{00000000-0005-0000-0000-00008C2B0000}"/>
    <cellStyle name="Normal 5 5 3 2 3 7" xfId="5505" xr:uid="{00000000-0005-0000-0000-00008D2B0000}"/>
    <cellStyle name="Normal 5 5 3 2 4" xfId="1634" xr:uid="{00000000-0005-0000-0000-00008E2B0000}"/>
    <cellStyle name="Normal 5 5 3 2 4 2" xfId="3230" xr:uid="{00000000-0005-0000-0000-00008F2B0000}"/>
    <cellStyle name="Normal 5 5 3 2 4 2 2" xfId="18143" xr:uid="{00000000-0005-0000-0000-0000902B0000}"/>
    <cellStyle name="Normal 5 5 3 2 4 2 3" xfId="14564" xr:uid="{00000000-0005-0000-0000-0000912B0000}"/>
    <cellStyle name="Normal 5 5 3 2 4 2 4" xfId="9307" xr:uid="{00000000-0005-0000-0000-0000922B0000}"/>
    <cellStyle name="Normal 5 5 3 2 4 3" xfId="10761" xr:uid="{00000000-0005-0000-0000-0000932B0000}"/>
    <cellStyle name="Normal 5 5 3 2 4 3 2" xfId="19588" xr:uid="{00000000-0005-0000-0000-0000942B0000}"/>
    <cellStyle name="Normal 5 5 3 2 4 4" xfId="12207" xr:uid="{00000000-0005-0000-0000-0000952B0000}"/>
    <cellStyle name="Normal 5 5 3 2 4 5" xfId="7202" xr:uid="{00000000-0005-0000-0000-0000962B0000}"/>
    <cellStyle name="Normal 5 5 3 2 5" xfId="2187" xr:uid="{00000000-0005-0000-0000-0000972B0000}"/>
    <cellStyle name="Normal 5 5 3 2 5 2" xfId="17100" xr:uid="{00000000-0005-0000-0000-0000982B0000}"/>
    <cellStyle name="Normal 5 5 3 2 5 3" xfId="13521" xr:uid="{00000000-0005-0000-0000-0000992B0000}"/>
    <cellStyle name="Normal 5 5 3 2 5 4" xfId="8264" xr:uid="{00000000-0005-0000-0000-00009A2B0000}"/>
    <cellStyle name="Normal 5 5 3 2 6" xfId="5825" xr:uid="{00000000-0005-0000-0000-00009B2B0000}"/>
    <cellStyle name="Normal 5 5 3 2 6 2" xfId="14911" xr:uid="{00000000-0005-0000-0000-00009C2B0000}"/>
    <cellStyle name="Normal 5 5 3 2 7" xfId="9718" xr:uid="{00000000-0005-0000-0000-00009D2B0000}"/>
    <cellStyle name="Normal 5 5 3 2 7 2" xfId="18545" xr:uid="{00000000-0005-0000-0000-00009E2B0000}"/>
    <cellStyle name="Normal 5 5 3 2 8" xfId="11162" xr:uid="{00000000-0005-0000-0000-00009F2B0000}"/>
    <cellStyle name="Normal 5 5 3 2 9" xfId="4796" xr:uid="{00000000-0005-0000-0000-0000A02B0000}"/>
    <cellStyle name="Normal 5 5 3 2_Degree data" xfId="1246" xr:uid="{00000000-0005-0000-0000-0000A12B0000}"/>
    <cellStyle name="Normal 5 5 3 3" xfId="696" xr:uid="{00000000-0005-0000-0000-0000A22B0000}"/>
    <cellStyle name="Normal 5 5 3 3 2" xfId="2425" xr:uid="{00000000-0005-0000-0000-0000A32B0000}"/>
    <cellStyle name="Normal 5 5 3 3 2 2" xfId="16011" xr:uid="{00000000-0005-0000-0000-0000A42B0000}"/>
    <cellStyle name="Normal 5 5 3 3 2 3" xfId="12330" xr:uid="{00000000-0005-0000-0000-0000A52B0000}"/>
    <cellStyle name="Normal 5 5 3 3 2 4" xfId="6997" xr:uid="{00000000-0005-0000-0000-0000A62B0000}"/>
    <cellStyle name="Normal 5 5 3 3 3" xfId="3692" xr:uid="{00000000-0005-0000-0000-0000A72B0000}"/>
    <cellStyle name="Normal 5 5 3 3 3 2" xfId="17338" xr:uid="{00000000-0005-0000-0000-0000A82B0000}"/>
    <cellStyle name="Normal 5 5 3 3 3 3" xfId="13759" xr:uid="{00000000-0005-0000-0000-0000A92B0000}"/>
    <cellStyle name="Normal 5 5 3 3 3 4" xfId="8502" xr:uid="{00000000-0005-0000-0000-0000AA2B0000}"/>
    <cellStyle name="Normal 5 5 3 3 4" xfId="6113" xr:uid="{00000000-0005-0000-0000-0000AB2B0000}"/>
    <cellStyle name="Normal 5 5 3 3 4 2" xfId="15197" xr:uid="{00000000-0005-0000-0000-0000AC2B0000}"/>
    <cellStyle name="Normal 5 5 3 3 5" xfId="9956" xr:uid="{00000000-0005-0000-0000-0000AD2B0000}"/>
    <cellStyle name="Normal 5 5 3 3 5 2" xfId="18783" xr:uid="{00000000-0005-0000-0000-0000AE2B0000}"/>
    <cellStyle name="Normal 5 5 3 3 6" xfId="11401" xr:uid="{00000000-0005-0000-0000-0000AF2B0000}"/>
    <cellStyle name="Normal 5 5 3 3 7" xfId="4591" xr:uid="{00000000-0005-0000-0000-0000B02B0000}"/>
    <cellStyle name="Normal 5 5 3 4" xfId="1053" xr:uid="{00000000-0005-0000-0000-0000B12B0000}"/>
    <cellStyle name="Normal 5 5 3 4 2" xfId="2773" xr:uid="{00000000-0005-0000-0000-0000B22B0000}"/>
    <cellStyle name="Normal 5 5 3 4 2 2" xfId="16313" xr:uid="{00000000-0005-0000-0000-0000B32B0000}"/>
    <cellStyle name="Normal 5 5 3 4 2 3" xfId="12735" xr:uid="{00000000-0005-0000-0000-0000B42B0000}"/>
    <cellStyle name="Normal 5 5 3 4 2 4" xfId="7445" xr:uid="{00000000-0005-0000-0000-0000B52B0000}"/>
    <cellStyle name="Normal 5 5 3 4 3" xfId="4041" xr:uid="{00000000-0005-0000-0000-0000B62B0000}"/>
    <cellStyle name="Normal 5 5 3 4 3 2" xfId="17686" xr:uid="{00000000-0005-0000-0000-0000B72B0000}"/>
    <cellStyle name="Normal 5 5 3 4 3 3" xfId="14107" xr:uid="{00000000-0005-0000-0000-0000B82B0000}"/>
    <cellStyle name="Normal 5 5 3 4 3 4" xfId="8850" xr:uid="{00000000-0005-0000-0000-0000B92B0000}"/>
    <cellStyle name="Normal 5 5 3 4 4" xfId="6561" xr:uid="{00000000-0005-0000-0000-0000BA2B0000}"/>
    <cellStyle name="Normal 5 5 3 4 4 2" xfId="15645" xr:uid="{00000000-0005-0000-0000-0000BB2B0000}"/>
    <cellStyle name="Normal 5 5 3 4 5" xfId="10304" xr:uid="{00000000-0005-0000-0000-0000BC2B0000}"/>
    <cellStyle name="Normal 5 5 3 4 5 2" xfId="19131" xr:uid="{00000000-0005-0000-0000-0000BD2B0000}"/>
    <cellStyle name="Normal 5 5 3 4 6" xfId="11750" xr:uid="{00000000-0005-0000-0000-0000BE2B0000}"/>
    <cellStyle name="Normal 5 5 3 4 7" xfId="5039" xr:uid="{00000000-0005-0000-0000-0000BF2B0000}"/>
    <cellStyle name="Normal 5 5 3 5" xfId="1423" xr:uid="{00000000-0005-0000-0000-0000C02B0000}"/>
    <cellStyle name="Normal 5 5 3 5 2" xfId="3025" xr:uid="{00000000-0005-0000-0000-0000C12B0000}"/>
    <cellStyle name="Normal 5 5 3 5 2 2" xfId="16574" xr:uid="{00000000-0005-0000-0000-0000C22B0000}"/>
    <cellStyle name="Normal 5 5 3 5 2 3" xfId="12995" xr:uid="{00000000-0005-0000-0000-0000C32B0000}"/>
    <cellStyle name="Normal 5 5 3 5 2 4" xfId="7706" xr:uid="{00000000-0005-0000-0000-0000C42B0000}"/>
    <cellStyle name="Normal 5 5 3 5 3" xfId="4233" xr:uid="{00000000-0005-0000-0000-0000C52B0000}"/>
    <cellStyle name="Normal 5 5 3 5 3 2" xfId="17938" xr:uid="{00000000-0005-0000-0000-0000C62B0000}"/>
    <cellStyle name="Normal 5 5 3 5 3 3" xfId="14359" xr:uid="{00000000-0005-0000-0000-0000C72B0000}"/>
    <cellStyle name="Normal 5 5 3 5 3 4" xfId="9102" xr:uid="{00000000-0005-0000-0000-0000C82B0000}"/>
    <cellStyle name="Normal 5 5 3 5 4" xfId="5999" xr:uid="{00000000-0005-0000-0000-0000C92B0000}"/>
    <cellStyle name="Normal 5 5 3 5 4 2" xfId="15085" xr:uid="{00000000-0005-0000-0000-0000CA2B0000}"/>
    <cellStyle name="Normal 5 5 3 5 5" xfId="10556" xr:uid="{00000000-0005-0000-0000-0000CB2B0000}"/>
    <cellStyle name="Normal 5 5 3 5 5 2" xfId="19383" xr:uid="{00000000-0005-0000-0000-0000CC2B0000}"/>
    <cellStyle name="Normal 5 5 3 5 6" xfId="12002" xr:uid="{00000000-0005-0000-0000-0000CD2B0000}"/>
    <cellStyle name="Normal 5 5 3 5 7" xfId="5300" xr:uid="{00000000-0005-0000-0000-0000CE2B0000}"/>
    <cellStyle name="Normal 5 5 3 6" xfId="1982" xr:uid="{00000000-0005-0000-0000-0000CF2B0000}"/>
    <cellStyle name="Normal 5 5 3 6 2" xfId="15928" xr:uid="{00000000-0005-0000-0000-0000D02B0000}"/>
    <cellStyle name="Normal 5 5 3 6 3" xfId="12351" xr:uid="{00000000-0005-0000-0000-0000D12B0000}"/>
    <cellStyle name="Normal 5 5 3 6 4" xfId="6885" xr:uid="{00000000-0005-0000-0000-0000D22B0000}"/>
    <cellStyle name="Normal 5 5 3 7" xfId="3396" xr:uid="{00000000-0005-0000-0000-0000D32B0000}"/>
    <cellStyle name="Normal 5 5 3 7 2" xfId="16895" xr:uid="{00000000-0005-0000-0000-0000D42B0000}"/>
    <cellStyle name="Normal 5 5 3 7 3" xfId="13316" xr:uid="{00000000-0005-0000-0000-0000D52B0000}"/>
    <cellStyle name="Normal 5 5 3 7 4" xfId="8059" xr:uid="{00000000-0005-0000-0000-0000D62B0000}"/>
    <cellStyle name="Normal 5 5 3 8" xfId="5620" xr:uid="{00000000-0005-0000-0000-0000D72B0000}"/>
    <cellStyle name="Normal 5 5 3 8 2" xfId="14706" xr:uid="{00000000-0005-0000-0000-0000D82B0000}"/>
    <cellStyle name="Normal 5 5 3 9" xfId="9513" xr:uid="{00000000-0005-0000-0000-0000D92B0000}"/>
    <cellStyle name="Normal 5 5 3 9 2" xfId="18340" xr:uid="{00000000-0005-0000-0000-0000DA2B0000}"/>
    <cellStyle name="Normal 5 5 3_Degree data" xfId="1263" xr:uid="{00000000-0005-0000-0000-0000DB2B0000}"/>
    <cellStyle name="Normal 5 5 4" xfId="314" xr:uid="{00000000-0005-0000-0000-0000DC2B0000}"/>
    <cellStyle name="Normal 5 5 4 2" xfId="698" xr:uid="{00000000-0005-0000-0000-0000DD2B0000}"/>
    <cellStyle name="Normal 5 5 4 2 2" xfId="2427" xr:uid="{00000000-0005-0000-0000-0000DE2B0000}"/>
    <cellStyle name="Normal 5 5 4 2 2 2" xfId="16315" xr:uid="{00000000-0005-0000-0000-0000DF2B0000}"/>
    <cellStyle name="Normal 5 5 4 2 2 3" xfId="12737" xr:uid="{00000000-0005-0000-0000-0000E02B0000}"/>
    <cellStyle name="Normal 5 5 4 2 2 4" xfId="7447" xr:uid="{00000000-0005-0000-0000-0000E12B0000}"/>
    <cellStyle name="Normal 5 5 4 2 3" xfId="3694" xr:uid="{00000000-0005-0000-0000-0000E22B0000}"/>
    <cellStyle name="Normal 5 5 4 2 3 2" xfId="17340" xr:uid="{00000000-0005-0000-0000-0000E32B0000}"/>
    <cellStyle name="Normal 5 5 4 2 3 3" xfId="13761" xr:uid="{00000000-0005-0000-0000-0000E42B0000}"/>
    <cellStyle name="Normal 5 5 4 2 3 4" xfId="8504" xr:uid="{00000000-0005-0000-0000-0000E52B0000}"/>
    <cellStyle name="Normal 5 5 4 2 4" xfId="6563" xr:uid="{00000000-0005-0000-0000-0000E62B0000}"/>
    <cellStyle name="Normal 5 5 4 2 4 2" xfId="15647" xr:uid="{00000000-0005-0000-0000-0000E72B0000}"/>
    <cellStyle name="Normal 5 5 4 2 5" xfId="9958" xr:uid="{00000000-0005-0000-0000-0000E82B0000}"/>
    <cellStyle name="Normal 5 5 4 2 5 2" xfId="18785" xr:uid="{00000000-0005-0000-0000-0000E92B0000}"/>
    <cellStyle name="Normal 5 5 4 2 6" xfId="11403" xr:uid="{00000000-0005-0000-0000-0000EA2B0000}"/>
    <cellStyle name="Normal 5 5 4 2 7" xfId="5041" xr:uid="{00000000-0005-0000-0000-0000EB2B0000}"/>
    <cellStyle name="Normal 5 5 4 3" xfId="1055" xr:uid="{00000000-0005-0000-0000-0000EC2B0000}"/>
    <cellStyle name="Normal 5 5 4 3 2" xfId="2775" xr:uid="{00000000-0005-0000-0000-0000ED2B0000}"/>
    <cellStyle name="Normal 5 5 4 3 2 2" xfId="16674" xr:uid="{00000000-0005-0000-0000-0000EE2B0000}"/>
    <cellStyle name="Normal 5 5 4 3 2 3" xfId="13095" xr:uid="{00000000-0005-0000-0000-0000EF2B0000}"/>
    <cellStyle name="Normal 5 5 4 3 2 4" xfId="7806" xr:uid="{00000000-0005-0000-0000-0000F02B0000}"/>
    <cellStyle name="Normal 5 5 4 3 3" xfId="4043" xr:uid="{00000000-0005-0000-0000-0000F12B0000}"/>
    <cellStyle name="Normal 5 5 4 3 3 2" xfId="17688" xr:uid="{00000000-0005-0000-0000-0000F22B0000}"/>
    <cellStyle name="Normal 5 5 4 3 3 3" xfId="14109" xr:uid="{00000000-0005-0000-0000-0000F32B0000}"/>
    <cellStyle name="Normal 5 5 4 3 3 4" xfId="8852" xr:uid="{00000000-0005-0000-0000-0000F42B0000}"/>
    <cellStyle name="Normal 5 5 4 3 4" xfId="6213" xr:uid="{00000000-0005-0000-0000-0000F52B0000}"/>
    <cellStyle name="Normal 5 5 4 3 4 2" xfId="15297" xr:uid="{00000000-0005-0000-0000-0000F62B0000}"/>
    <cellStyle name="Normal 5 5 4 3 5" xfId="10306" xr:uid="{00000000-0005-0000-0000-0000F72B0000}"/>
    <cellStyle name="Normal 5 5 4 3 5 2" xfId="19133" xr:uid="{00000000-0005-0000-0000-0000F82B0000}"/>
    <cellStyle name="Normal 5 5 4 3 6" xfId="11752" xr:uid="{00000000-0005-0000-0000-0000F92B0000}"/>
    <cellStyle name="Normal 5 5 4 3 7" xfId="5400" xr:uid="{00000000-0005-0000-0000-0000FA2B0000}"/>
    <cellStyle name="Normal 5 5 4 4" xfId="1526" xr:uid="{00000000-0005-0000-0000-0000FB2B0000}"/>
    <cellStyle name="Normal 5 5 4 4 2" xfId="3125" xr:uid="{00000000-0005-0000-0000-0000FC2B0000}"/>
    <cellStyle name="Normal 5 5 4 4 2 2" xfId="18038" xr:uid="{00000000-0005-0000-0000-0000FD2B0000}"/>
    <cellStyle name="Normal 5 5 4 4 2 3" xfId="14459" xr:uid="{00000000-0005-0000-0000-0000FE2B0000}"/>
    <cellStyle name="Normal 5 5 4 4 2 4" xfId="9202" xr:uid="{00000000-0005-0000-0000-0000FF2B0000}"/>
    <cellStyle name="Normal 5 5 4 4 3" xfId="10656" xr:uid="{00000000-0005-0000-0000-0000002C0000}"/>
    <cellStyle name="Normal 5 5 4 4 3 2" xfId="19483" xr:uid="{00000000-0005-0000-0000-0000012C0000}"/>
    <cellStyle name="Normal 5 5 4 4 4" xfId="12102" xr:uid="{00000000-0005-0000-0000-0000022C0000}"/>
    <cellStyle name="Normal 5 5 4 4 5" xfId="7097" xr:uid="{00000000-0005-0000-0000-0000032C0000}"/>
    <cellStyle name="Normal 5 5 4 5" xfId="2082" xr:uid="{00000000-0005-0000-0000-0000042C0000}"/>
    <cellStyle name="Normal 5 5 4 5 2" xfId="16995" xr:uid="{00000000-0005-0000-0000-0000052C0000}"/>
    <cellStyle name="Normal 5 5 4 5 3" xfId="13416" xr:uid="{00000000-0005-0000-0000-0000062C0000}"/>
    <cellStyle name="Normal 5 5 4 5 4" xfId="8159" xr:uid="{00000000-0005-0000-0000-0000072C0000}"/>
    <cellStyle name="Normal 5 5 4 6" xfId="5720" xr:uid="{00000000-0005-0000-0000-0000082C0000}"/>
    <cellStyle name="Normal 5 5 4 6 2" xfId="14806" xr:uid="{00000000-0005-0000-0000-0000092C0000}"/>
    <cellStyle name="Normal 5 5 4 7" xfId="9613" xr:uid="{00000000-0005-0000-0000-00000A2C0000}"/>
    <cellStyle name="Normal 5 5 4 7 2" xfId="18440" xr:uid="{00000000-0005-0000-0000-00000B2C0000}"/>
    <cellStyle name="Normal 5 5 4 8" xfId="11057" xr:uid="{00000000-0005-0000-0000-00000C2C0000}"/>
    <cellStyle name="Normal 5 5 4 9" xfId="4691" xr:uid="{00000000-0005-0000-0000-00000D2C0000}"/>
    <cellStyle name="Normal 5 5 4_Degree data" xfId="1274" xr:uid="{00000000-0005-0000-0000-00000E2C0000}"/>
    <cellStyle name="Normal 5 5 5" xfId="693" xr:uid="{00000000-0005-0000-0000-00000F2C0000}"/>
    <cellStyle name="Normal 5 5 5 2" xfId="2422" xr:uid="{00000000-0005-0000-0000-0000102C0000}"/>
    <cellStyle name="Normal 5 5 5 2 2" xfId="15968" xr:uid="{00000000-0005-0000-0000-0000112C0000}"/>
    <cellStyle name="Normal 5 5 5 2 3" xfId="12472" xr:uid="{00000000-0005-0000-0000-0000122C0000}"/>
    <cellStyle name="Normal 5 5 5 2 4" xfId="6938" xr:uid="{00000000-0005-0000-0000-0000132C0000}"/>
    <cellStyle name="Normal 5 5 5 3" xfId="3689" xr:uid="{00000000-0005-0000-0000-0000142C0000}"/>
    <cellStyle name="Normal 5 5 5 3 2" xfId="17335" xr:uid="{00000000-0005-0000-0000-0000152C0000}"/>
    <cellStyle name="Normal 5 5 5 3 3" xfId="13756" xr:uid="{00000000-0005-0000-0000-0000162C0000}"/>
    <cellStyle name="Normal 5 5 5 3 4" xfId="8499" xr:uid="{00000000-0005-0000-0000-0000172C0000}"/>
    <cellStyle name="Normal 5 5 5 4" xfId="6054" xr:uid="{00000000-0005-0000-0000-0000182C0000}"/>
    <cellStyle name="Normal 5 5 5 4 2" xfId="15138" xr:uid="{00000000-0005-0000-0000-0000192C0000}"/>
    <cellStyle name="Normal 5 5 5 5" xfId="9953" xr:uid="{00000000-0005-0000-0000-00001A2C0000}"/>
    <cellStyle name="Normal 5 5 5 5 2" xfId="18780" xr:uid="{00000000-0005-0000-0000-00001B2C0000}"/>
    <cellStyle name="Normal 5 5 5 6" xfId="11398" xr:uid="{00000000-0005-0000-0000-00001C2C0000}"/>
    <cellStyle name="Normal 5 5 5 7" xfId="4532" xr:uid="{00000000-0005-0000-0000-00001D2C0000}"/>
    <cellStyle name="Normal 5 5 6" xfId="1050" xr:uid="{00000000-0005-0000-0000-00001E2C0000}"/>
    <cellStyle name="Normal 5 5 6 2" xfId="2770" xr:uid="{00000000-0005-0000-0000-00001F2C0000}"/>
    <cellStyle name="Normal 5 5 6 2 2" xfId="16310" xr:uid="{00000000-0005-0000-0000-0000202C0000}"/>
    <cellStyle name="Normal 5 5 6 2 3" xfId="12732" xr:uid="{00000000-0005-0000-0000-0000212C0000}"/>
    <cellStyle name="Normal 5 5 6 2 4" xfId="7442" xr:uid="{00000000-0005-0000-0000-0000222C0000}"/>
    <cellStyle name="Normal 5 5 6 3" xfId="4038" xr:uid="{00000000-0005-0000-0000-0000232C0000}"/>
    <cellStyle name="Normal 5 5 6 3 2" xfId="17683" xr:uid="{00000000-0005-0000-0000-0000242C0000}"/>
    <cellStyle name="Normal 5 5 6 3 3" xfId="14104" xr:uid="{00000000-0005-0000-0000-0000252C0000}"/>
    <cellStyle name="Normal 5 5 6 3 4" xfId="8847" xr:uid="{00000000-0005-0000-0000-0000262C0000}"/>
    <cellStyle name="Normal 5 5 6 4" xfId="6558" xr:uid="{00000000-0005-0000-0000-0000272C0000}"/>
    <cellStyle name="Normal 5 5 6 4 2" xfId="15642" xr:uid="{00000000-0005-0000-0000-0000282C0000}"/>
    <cellStyle name="Normal 5 5 6 5" xfId="10301" xr:uid="{00000000-0005-0000-0000-0000292C0000}"/>
    <cellStyle name="Normal 5 5 6 5 2" xfId="19128" xr:uid="{00000000-0005-0000-0000-00002A2C0000}"/>
    <cellStyle name="Normal 5 5 6 6" xfId="11747" xr:uid="{00000000-0005-0000-0000-00002B2C0000}"/>
    <cellStyle name="Normal 5 5 6 7" xfId="5036" xr:uid="{00000000-0005-0000-0000-00002C2C0000}"/>
    <cellStyle name="Normal 5 5 7" xfId="1355" xr:uid="{00000000-0005-0000-0000-00002D2C0000}"/>
    <cellStyle name="Normal 5 5 7 2" xfId="2966" xr:uid="{00000000-0005-0000-0000-00002E2C0000}"/>
    <cellStyle name="Normal 5 5 7 2 2" xfId="16515" xr:uid="{00000000-0005-0000-0000-00002F2C0000}"/>
    <cellStyle name="Normal 5 5 7 2 3" xfId="12937" xr:uid="{00000000-0005-0000-0000-0000302C0000}"/>
    <cellStyle name="Normal 5 5 7 2 4" xfId="7647" xr:uid="{00000000-0005-0000-0000-0000312C0000}"/>
    <cellStyle name="Normal 5 5 7 3" xfId="4191" xr:uid="{00000000-0005-0000-0000-0000322C0000}"/>
    <cellStyle name="Normal 5 5 7 3 2" xfId="17879" xr:uid="{00000000-0005-0000-0000-0000332C0000}"/>
    <cellStyle name="Normal 5 5 7 3 3" xfId="14300" xr:uid="{00000000-0005-0000-0000-0000342C0000}"/>
    <cellStyle name="Normal 5 5 7 3 4" xfId="9043" xr:uid="{00000000-0005-0000-0000-0000352C0000}"/>
    <cellStyle name="Normal 5 5 7 4" xfId="5893" xr:uid="{00000000-0005-0000-0000-0000362C0000}"/>
    <cellStyle name="Normal 5 5 7 4 2" xfId="14979" xr:uid="{00000000-0005-0000-0000-0000372C0000}"/>
    <cellStyle name="Normal 5 5 7 5" xfId="10497" xr:uid="{00000000-0005-0000-0000-0000382C0000}"/>
    <cellStyle name="Normal 5 5 7 5 2" xfId="19324" xr:uid="{00000000-0005-0000-0000-0000392C0000}"/>
    <cellStyle name="Normal 5 5 7 6" xfId="11943" xr:uid="{00000000-0005-0000-0000-00003A2C0000}"/>
    <cellStyle name="Normal 5 5 7 7" xfId="5241" xr:uid="{00000000-0005-0000-0000-00003B2C0000}"/>
    <cellStyle name="Normal 5 5 8" xfId="1923" xr:uid="{00000000-0005-0000-0000-00003C2C0000}"/>
    <cellStyle name="Normal 5 5 8 2" xfId="9454" xr:uid="{00000000-0005-0000-0000-00003D2C0000}"/>
    <cellStyle name="Normal 5 5 8 2 2" xfId="18281" xr:uid="{00000000-0005-0000-0000-00003E2C0000}"/>
    <cellStyle name="Normal 5 5 8 3" xfId="10898" xr:uid="{00000000-0005-0000-0000-00003F2C0000}"/>
    <cellStyle name="Normal 5 5 8 4" xfId="6780" xr:uid="{00000000-0005-0000-0000-0000402C0000}"/>
    <cellStyle name="Normal 5 5 9" xfId="1847" xr:uid="{00000000-0005-0000-0000-0000412C0000}"/>
    <cellStyle name="Normal 5 5 9 2" xfId="16834" xr:uid="{00000000-0005-0000-0000-0000422C0000}"/>
    <cellStyle name="Normal 5 5 9 3" xfId="13255" xr:uid="{00000000-0005-0000-0000-0000432C0000}"/>
    <cellStyle name="Normal 5 5 9 4" xfId="7998" xr:uid="{00000000-0005-0000-0000-0000442C0000}"/>
    <cellStyle name="Normal 5 5_Degree data" xfId="1312" xr:uid="{00000000-0005-0000-0000-0000452C0000}"/>
    <cellStyle name="Normal 5 6" xfId="240" xr:uid="{00000000-0005-0000-0000-0000462C0000}"/>
    <cellStyle name="Normal 5 6 10" xfId="10991" xr:uid="{00000000-0005-0000-0000-0000472C0000}"/>
    <cellStyle name="Normal 5 6 11" xfId="4408" xr:uid="{00000000-0005-0000-0000-0000482C0000}"/>
    <cellStyle name="Normal 5 6 2" xfId="348" xr:uid="{00000000-0005-0000-0000-0000492C0000}"/>
    <cellStyle name="Normal 5 6 2 2" xfId="700" xr:uid="{00000000-0005-0000-0000-00004A2C0000}"/>
    <cellStyle name="Normal 5 6 2 2 2" xfId="2429" xr:uid="{00000000-0005-0000-0000-00004B2C0000}"/>
    <cellStyle name="Normal 5 6 2 2 2 2" xfId="16317" xr:uid="{00000000-0005-0000-0000-00004C2C0000}"/>
    <cellStyle name="Normal 5 6 2 2 2 3" xfId="12739" xr:uid="{00000000-0005-0000-0000-00004D2C0000}"/>
    <cellStyle name="Normal 5 6 2 2 2 4" xfId="7449" xr:uid="{00000000-0005-0000-0000-00004E2C0000}"/>
    <cellStyle name="Normal 5 6 2 2 3" xfId="3696" xr:uid="{00000000-0005-0000-0000-00004F2C0000}"/>
    <cellStyle name="Normal 5 6 2 2 3 2" xfId="17342" xr:uid="{00000000-0005-0000-0000-0000502C0000}"/>
    <cellStyle name="Normal 5 6 2 2 3 3" xfId="13763" xr:uid="{00000000-0005-0000-0000-0000512C0000}"/>
    <cellStyle name="Normal 5 6 2 2 3 4" xfId="8506" xr:uid="{00000000-0005-0000-0000-0000522C0000}"/>
    <cellStyle name="Normal 5 6 2 2 4" xfId="6565" xr:uid="{00000000-0005-0000-0000-0000532C0000}"/>
    <cellStyle name="Normal 5 6 2 2 4 2" xfId="15649" xr:uid="{00000000-0005-0000-0000-0000542C0000}"/>
    <cellStyle name="Normal 5 6 2 2 5" xfId="9960" xr:uid="{00000000-0005-0000-0000-0000552C0000}"/>
    <cellStyle name="Normal 5 6 2 2 5 2" xfId="18787" xr:uid="{00000000-0005-0000-0000-0000562C0000}"/>
    <cellStyle name="Normal 5 6 2 2 6" xfId="11405" xr:uid="{00000000-0005-0000-0000-0000572C0000}"/>
    <cellStyle name="Normal 5 6 2 2 7" xfId="5043" xr:uid="{00000000-0005-0000-0000-0000582C0000}"/>
    <cellStyle name="Normal 5 6 2 3" xfId="1057" xr:uid="{00000000-0005-0000-0000-0000592C0000}"/>
    <cellStyle name="Normal 5 6 2 3 2" xfId="2777" xr:uid="{00000000-0005-0000-0000-00005A2C0000}"/>
    <cellStyle name="Normal 5 6 2 3 2 2" xfId="16708" xr:uid="{00000000-0005-0000-0000-00005B2C0000}"/>
    <cellStyle name="Normal 5 6 2 3 2 3" xfId="13129" xr:uid="{00000000-0005-0000-0000-00005C2C0000}"/>
    <cellStyle name="Normal 5 6 2 3 2 4" xfId="7840" xr:uid="{00000000-0005-0000-0000-00005D2C0000}"/>
    <cellStyle name="Normal 5 6 2 3 3" xfId="4045" xr:uid="{00000000-0005-0000-0000-00005E2C0000}"/>
    <cellStyle name="Normal 5 6 2 3 3 2" xfId="17690" xr:uid="{00000000-0005-0000-0000-00005F2C0000}"/>
    <cellStyle name="Normal 5 6 2 3 3 3" xfId="14111" xr:uid="{00000000-0005-0000-0000-0000602C0000}"/>
    <cellStyle name="Normal 5 6 2 3 3 4" xfId="8854" xr:uid="{00000000-0005-0000-0000-0000612C0000}"/>
    <cellStyle name="Normal 5 6 2 3 4" xfId="6247" xr:uid="{00000000-0005-0000-0000-0000622C0000}"/>
    <cellStyle name="Normal 5 6 2 3 4 2" xfId="15331" xr:uid="{00000000-0005-0000-0000-0000632C0000}"/>
    <cellStyle name="Normal 5 6 2 3 5" xfId="10308" xr:uid="{00000000-0005-0000-0000-0000642C0000}"/>
    <cellStyle name="Normal 5 6 2 3 5 2" xfId="19135" xr:uid="{00000000-0005-0000-0000-0000652C0000}"/>
    <cellStyle name="Normal 5 6 2 3 6" xfId="11754" xr:uid="{00000000-0005-0000-0000-0000662C0000}"/>
    <cellStyle name="Normal 5 6 2 3 7" xfId="5434" xr:uid="{00000000-0005-0000-0000-0000672C0000}"/>
    <cellStyle name="Normal 5 6 2 4" xfId="1561" xr:uid="{00000000-0005-0000-0000-0000682C0000}"/>
    <cellStyle name="Normal 5 6 2 4 2" xfId="3159" xr:uid="{00000000-0005-0000-0000-0000692C0000}"/>
    <cellStyle name="Normal 5 6 2 4 2 2" xfId="18072" xr:uid="{00000000-0005-0000-0000-00006A2C0000}"/>
    <cellStyle name="Normal 5 6 2 4 2 3" xfId="14493" xr:uid="{00000000-0005-0000-0000-00006B2C0000}"/>
    <cellStyle name="Normal 5 6 2 4 2 4" xfId="9236" xr:uid="{00000000-0005-0000-0000-00006C2C0000}"/>
    <cellStyle name="Normal 5 6 2 4 3" xfId="10690" xr:uid="{00000000-0005-0000-0000-00006D2C0000}"/>
    <cellStyle name="Normal 5 6 2 4 3 2" xfId="19517" xr:uid="{00000000-0005-0000-0000-00006E2C0000}"/>
    <cellStyle name="Normal 5 6 2 4 4" xfId="12136" xr:uid="{00000000-0005-0000-0000-00006F2C0000}"/>
    <cellStyle name="Normal 5 6 2 4 5" xfId="7131" xr:uid="{00000000-0005-0000-0000-0000702C0000}"/>
    <cellStyle name="Normal 5 6 2 5" xfId="2116" xr:uid="{00000000-0005-0000-0000-0000712C0000}"/>
    <cellStyle name="Normal 5 6 2 5 2" xfId="17029" xr:uid="{00000000-0005-0000-0000-0000722C0000}"/>
    <cellStyle name="Normal 5 6 2 5 3" xfId="13450" xr:uid="{00000000-0005-0000-0000-0000732C0000}"/>
    <cellStyle name="Normal 5 6 2 5 4" xfId="8193" xr:uid="{00000000-0005-0000-0000-0000742C0000}"/>
    <cellStyle name="Normal 5 6 2 6" xfId="5754" xr:uid="{00000000-0005-0000-0000-0000752C0000}"/>
    <cellStyle name="Normal 5 6 2 6 2" xfId="14840" xr:uid="{00000000-0005-0000-0000-0000762C0000}"/>
    <cellStyle name="Normal 5 6 2 7" xfId="9647" xr:uid="{00000000-0005-0000-0000-0000772C0000}"/>
    <cellStyle name="Normal 5 6 2 7 2" xfId="18474" xr:uid="{00000000-0005-0000-0000-0000782C0000}"/>
    <cellStyle name="Normal 5 6 2 8" xfId="11091" xr:uid="{00000000-0005-0000-0000-0000792C0000}"/>
    <cellStyle name="Normal 5 6 2 9" xfId="4725" xr:uid="{00000000-0005-0000-0000-00007A2C0000}"/>
    <cellStyle name="Normal 5 6 2_Degree data" xfId="1314" xr:uid="{00000000-0005-0000-0000-00007B2C0000}"/>
    <cellStyle name="Normal 5 6 3" xfId="699" xr:uid="{00000000-0005-0000-0000-00007C2C0000}"/>
    <cellStyle name="Normal 5 6 3 2" xfId="2428" xr:uid="{00000000-0005-0000-0000-00007D2C0000}"/>
    <cellStyle name="Normal 5 6 3 2 2" xfId="16045" xr:uid="{00000000-0005-0000-0000-00007E2C0000}"/>
    <cellStyle name="Normal 5 6 3 2 3" xfId="12321" xr:uid="{00000000-0005-0000-0000-00007F2C0000}"/>
    <cellStyle name="Normal 5 6 3 2 4" xfId="7031" xr:uid="{00000000-0005-0000-0000-0000802C0000}"/>
    <cellStyle name="Normal 5 6 3 3" xfId="3695" xr:uid="{00000000-0005-0000-0000-0000812C0000}"/>
    <cellStyle name="Normal 5 6 3 3 2" xfId="17341" xr:uid="{00000000-0005-0000-0000-0000822C0000}"/>
    <cellStyle name="Normal 5 6 3 3 3" xfId="13762" xr:uid="{00000000-0005-0000-0000-0000832C0000}"/>
    <cellStyle name="Normal 5 6 3 3 4" xfId="8505" xr:uid="{00000000-0005-0000-0000-0000842C0000}"/>
    <cellStyle name="Normal 5 6 3 4" xfId="6147" xr:uid="{00000000-0005-0000-0000-0000852C0000}"/>
    <cellStyle name="Normal 5 6 3 4 2" xfId="15231" xr:uid="{00000000-0005-0000-0000-0000862C0000}"/>
    <cellStyle name="Normal 5 6 3 5" xfId="9959" xr:uid="{00000000-0005-0000-0000-0000872C0000}"/>
    <cellStyle name="Normal 5 6 3 5 2" xfId="18786" xr:uid="{00000000-0005-0000-0000-0000882C0000}"/>
    <cellStyle name="Normal 5 6 3 6" xfId="11404" xr:uid="{00000000-0005-0000-0000-0000892C0000}"/>
    <cellStyle name="Normal 5 6 3 7" xfId="4625" xr:uid="{00000000-0005-0000-0000-00008A2C0000}"/>
    <cellStyle name="Normal 5 6 4" xfId="1056" xr:uid="{00000000-0005-0000-0000-00008B2C0000}"/>
    <cellStyle name="Normal 5 6 4 2" xfId="2776" xr:uid="{00000000-0005-0000-0000-00008C2C0000}"/>
    <cellStyle name="Normal 5 6 4 2 2" xfId="16316" xr:uid="{00000000-0005-0000-0000-00008D2C0000}"/>
    <cellStyle name="Normal 5 6 4 2 3" xfId="12738" xr:uid="{00000000-0005-0000-0000-00008E2C0000}"/>
    <cellStyle name="Normal 5 6 4 2 4" xfId="7448" xr:uid="{00000000-0005-0000-0000-00008F2C0000}"/>
    <cellStyle name="Normal 5 6 4 3" xfId="4044" xr:uid="{00000000-0005-0000-0000-0000902C0000}"/>
    <cellStyle name="Normal 5 6 4 3 2" xfId="17689" xr:uid="{00000000-0005-0000-0000-0000912C0000}"/>
    <cellStyle name="Normal 5 6 4 3 3" xfId="14110" xr:uid="{00000000-0005-0000-0000-0000922C0000}"/>
    <cellStyle name="Normal 5 6 4 3 4" xfId="8853" xr:uid="{00000000-0005-0000-0000-0000932C0000}"/>
    <cellStyle name="Normal 5 6 4 4" xfId="6564" xr:uid="{00000000-0005-0000-0000-0000942C0000}"/>
    <cellStyle name="Normal 5 6 4 4 2" xfId="15648" xr:uid="{00000000-0005-0000-0000-0000952C0000}"/>
    <cellStyle name="Normal 5 6 4 5" xfId="10307" xr:uid="{00000000-0005-0000-0000-0000962C0000}"/>
    <cellStyle name="Normal 5 6 4 5 2" xfId="19134" xr:uid="{00000000-0005-0000-0000-0000972C0000}"/>
    <cellStyle name="Normal 5 6 4 6" xfId="11753" xr:uid="{00000000-0005-0000-0000-0000982C0000}"/>
    <cellStyle name="Normal 5 6 4 7" xfId="5042" xr:uid="{00000000-0005-0000-0000-0000992C0000}"/>
    <cellStyle name="Normal 5 6 5" xfId="1459" xr:uid="{00000000-0005-0000-0000-00009A2C0000}"/>
    <cellStyle name="Normal 5 6 5 2" xfId="3059" xr:uid="{00000000-0005-0000-0000-00009B2C0000}"/>
    <cellStyle name="Normal 5 6 5 2 2" xfId="16608" xr:uid="{00000000-0005-0000-0000-00009C2C0000}"/>
    <cellStyle name="Normal 5 6 5 2 3" xfId="13029" xr:uid="{00000000-0005-0000-0000-00009D2C0000}"/>
    <cellStyle name="Normal 5 6 5 2 4" xfId="7740" xr:uid="{00000000-0005-0000-0000-00009E2C0000}"/>
    <cellStyle name="Normal 5 6 5 3" xfId="4267" xr:uid="{00000000-0005-0000-0000-00009F2C0000}"/>
    <cellStyle name="Normal 5 6 5 3 2" xfId="17972" xr:uid="{00000000-0005-0000-0000-0000A02C0000}"/>
    <cellStyle name="Normal 5 6 5 3 3" xfId="14393" xr:uid="{00000000-0005-0000-0000-0000A12C0000}"/>
    <cellStyle name="Normal 5 6 5 3 4" xfId="9136" xr:uid="{00000000-0005-0000-0000-0000A22C0000}"/>
    <cellStyle name="Normal 5 6 5 4" xfId="5928" xr:uid="{00000000-0005-0000-0000-0000A32C0000}"/>
    <cellStyle name="Normal 5 6 5 4 2" xfId="15014" xr:uid="{00000000-0005-0000-0000-0000A42C0000}"/>
    <cellStyle name="Normal 5 6 5 5" xfId="10590" xr:uid="{00000000-0005-0000-0000-0000A52C0000}"/>
    <cellStyle name="Normal 5 6 5 5 2" xfId="19417" xr:uid="{00000000-0005-0000-0000-0000A62C0000}"/>
    <cellStyle name="Normal 5 6 5 6" xfId="12036" xr:uid="{00000000-0005-0000-0000-0000A72C0000}"/>
    <cellStyle name="Normal 5 6 5 7" xfId="5334" xr:uid="{00000000-0005-0000-0000-0000A82C0000}"/>
    <cellStyle name="Normal 5 6 6" xfId="2016" xr:uid="{00000000-0005-0000-0000-0000A92C0000}"/>
    <cellStyle name="Normal 5 6 6 2" xfId="15857" xr:uid="{00000000-0005-0000-0000-0000AA2C0000}"/>
    <cellStyle name="Normal 5 6 6 3" xfId="12434" xr:uid="{00000000-0005-0000-0000-0000AB2C0000}"/>
    <cellStyle name="Normal 5 6 6 4" xfId="6814" xr:uid="{00000000-0005-0000-0000-0000AC2C0000}"/>
    <cellStyle name="Normal 5 6 7" xfId="3429" xr:uid="{00000000-0005-0000-0000-0000AD2C0000}"/>
    <cellStyle name="Normal 5 6 7 2" xfId="16929" xr:uid="{00000000-0005-0000-0000-0000AE2C0000}"/>
    <cellStyle name="Normal 5 6 7 3" xfId="13350" xr:uid="{00000000-0005-0000-0000-0000AF2C0000}"/>
    <cellStyle name="Normal 5 6 7 4" xfId="8093" xr:uid="{00000000-0005-0000-0000-0000B02C0000}"/>
    <cellStyle name="Normal 5 6 8" xfId="5654" xr:uid="{00000000-0005-0000-0000-0000B12C0000}"/>
    <cellStyle name="Normal 5 6 8 2" xfId="14740" xr:uid="{00000000-0005-0000-0000-0000B22C0000}"/>
    <cellStyle name="Normal 5 6 9" xfId="9547" xr:uid="{00000000-0005-0000-0000-0000B32C0000}"/>
    <cellStyle name="Normal 5 6 9 2" xfId="18374" xr:uid="{00000000-0005-0000-0000-0000B42C0000}"/>
    <cellStyle name="Normal 5 6_Degree data" xfId="1291" xr:uid="{00000000-0005-0000-0000-0000B52C0000}"/>
    <cellStyle name="Normal 5 7" xfId="453" xr:uid="{00000000-0005-0000-0000-0000B62C0000}"/>
    <cellStyle name="Normal 5 7 10" xfId="4513" xr:uid="{00000000-0005-0000-0000-0000B72C0000}"/>
    <cellStyle name="Normal 5 7 2" xfId="701" xr:uid="{00000000-0005-0000-0000-0000B82C0000}"/>
    <cellStyle name="Normal 5 7 2 2" xfId="2430" xr:uid="{00000000-0005-0000-0000-0000B92C0000}"/>
    <cellStyle name="Normal 5 7 2 2 2" xfId="16105" xr:uid="{00000000-0005-0000-0000-0000BA2C0000}"/>
    <cellStyle name="Normal 5 7 2 2 3" xfId="12527" xr:uid="{00000000-0005-0000-0000-0000BB2C0000}"/>
    <cellStyle name="Normal 5 7 2 2 4" xfId="7236" xr:uid="{00000000-0005-0000-0000-0000BC2C0000}"/>
    <cellStyle name="Normal 5 7 2 3" xfId="3697" xr:uid="{00000000-0005-0000-0000-0000BD2C0000}"/>
    <cellStyle name="Normal 5 7 2 3 2" xfId="17343" xr:uid="{00000000-0005-0000-0000-0000BE2C0000}"/>
    <cellStyle name="Normal 5 7 2 3 3" xfId="13764" xr:uid="{00000000-0005-0000-0000-0000BF2C0000}"/>
    <cellStyle name="Normal 5 7 2 3 4" xfId="8507" xr:uid="{00000000-0005-0000-0000-0000C02C0000}"/>
    <cellStyle name="Normal 5 7 2 4" xfId="6352" xr:uid="{00000000-0005-0000-0000-0000C12C0000}"/>
    <cellStyle name="Normal 5 7 2 4 2" xfId="15436" xr:uid="{00000000-0005-0000-0000-0000C22C0000}"/>
    <cellStyle name="Normal 5 7 2 5" xfId="9961" xr:uid="{00000000-0005-0000-0000-0000C32C0000}"/>
    <cellStyle name="Normal 5 7 2 5 2" xfId="18788" xr:uid="{00000000-0005-0000-0000-0000C42C0000}"/>
    <cellStyle name="Normal 5 7 2 6" xfId="11406" xr:uid="{00000000-0005-0000-0000-0000C52C0000}"/>
    <cellStyle name="Normal 5 7 2 7" xfId="4830" xr:uid="{00000000-0005-0000-0000-0000C62C0000}"/>
    <cellStyle name="Normal 5 7 3" xfId="1058" xr:uid="{00000000-0005-0000-0000-0000C72C0000}"/>
    <cellStyle name="Normal 5 7 3 2" xfId="2778" xr:uid="{00000000-0005-0000-0000-0000C82C0000}"/>
    <cellStyle name="Normal 5 7 3 2 2" xfId="16318" xr:uid="{00000000-0005-0000-0000-0000C92C0000}"/>
    <cellStyle name="Normal 5 7 3 2 3" xfId="12740" xr:uid="{00000000-0005-0000-0000-0000CA2C0000}"/>
    <cellStyle name="Normal 5 7 3 2 4" xfId="7450" xr:uid="{00000000-0005-0000-0000-0000CB2C0000}"/>
    <cellStyle name="Normal 5 7 3 3" xfId="4046" xr:uid="{00000000-0005-0000-0000-0000CC2C0000}"/>
    <cellStyle name="Normal 5 7 3 3 2" xfId="17691" xr:uid="{00000000-0005-0000-0000-0000CD2C0000}"/>
    <cellStyle name="Normal 5 7 3 3 3" xfId="14112" xr:uid="{00000000-0005-0000-0000-0000CE2C0000}"/>
    <cellStyle name="Normal 5 7 3 3 4" xfId="8855" xr:uid="{00000000-0005-0000-0000-0000CF2C0000}"/>
    <cellStyle name="Normal 5 7 3 4" xfId="6566" xr:uid="{00000000-0005-0000-0000-0000D02C0000}"/>
    <cellStyle name="Normal 5 7 3 4 2" xfId="15650" xr:uid="{00000000-0005-0000-0000-0000D12C0000}"/>
    <cellStyle name="Normal 5 7 3 5" xfId="10309" xr:uid="{00000000-0005-0000-0000-0000D22C0000}"/>
    <cellStyle name="Normal 5 7 3 5 2" xfId="19136" xr:uid="{00000000-0005-0000-0000-0000D32C0000}"/>
    <cellStyle name="Normal 5 7 3 6" xfId="11755" xr:uid="{00000000-0005-0000-0000-0000D42C0000}"/>
    <cellStyle name="Normal 5 7 3 7" xfId="5044" xr:uid="{00000000-0005-0000-0000-0000D52C0000}"/>
    <cellStyle name="Normal 5 7 4" xfId="1669" xr:uid="{00000000-0005-0000-0000-0000D62C0000}"/>
    <cellStyle name="Normal 5 7 4 2" xfId="3264" xr:uid="{00000000-0005-0000-0000-0000D72C0000}"/>
    <cellStyle name="Normal 5 7 4 2 2" xfId="16813" xr:uid="{00000000-0005-0000-0000-0000D82C0000}"/>
    <cellStyle name="Normal 5 7 4 2 3" xfId="13234" xr:uid="{00000000-0005-0000-0000-0000D92C0000}"/>
    <cellStyle name="Normal 5 7 4 2 4" xfId="7945" xr:uid="{00000000-0005-0000-0000-0000DA2C0000}"/>
    <cellStyle name="Normal 5 7 4 3" xfId="4327" xr:uid="{00000000-0005-0000-0000-0000DB2C0000}"/>
    <cellStyle name="Normal 5 7 4 3 2" xfId="18177" xr:uid="{00000000-0005-0000-0000-0000DC2C0000}"/>
    <cellStyle name="Normal 5 7 4 3 3" xfId="14598" xr:uid="{00000000-0005-0000-0000-0000DD2C0000}"/>
    <cellStyle name="Normal 5 7 4 3 4" xfId="9341" xr:uid="{00000000-0005-0000-0000-0000DE2C0000}"/>
    <cellStyle name="Normal 5 7 4 4" xfId="6033" xr:uid="{00000000-0005-0000-0000-0000DF2C0000}"/>
    <cellStyle name="Normal 5 7 4 4 2" xfId="15119" xr:uid="{00000000-0005-0000-0000-0000E02C0000}"/>
    <cellStyle name="Normal 5 7 4 5" xfId="10795" xr:uid="{00000000-0005-0000-0000-0000E12C0000}"/>
    <cellStyle name="Normal 5 7 4 5 2" xfId="19622" xr:uid="{00000000-0005-0000-0000-0000E22C0000}"/>
    <cellStyle name="Normal 5 7 4 6" xfId="12241" xr:uid="{00000000-0005-0000-0000-0000E32C0000}"/>
    <cellStyle name="Normal 5 7 4 7" xfId="5539" xr:uid="{00000000-0005-0000-0000-0000E42C0000}"/>
    <cellStyle name="Normal 5 7 5" xfId="2221" xr:uid="{00000000-0005-0000-0000-0000E52C0000}"/>
    <cellStyle name="Normal 5 7 5 2" xfId="15962" xr:uid="{00000000-0005-0000-0000-0000E62C0000}"/>
    <cellStyle name="Normal 5 7 5 3" xfId="12342" xr:uid="{00000000-0005-0000-0000-0000E72C0000}"/>
    <cellStyle name="Normal 5 7 5 4" xfId="6919" xr:uid="{00000000-0005-0000-0000-0000E82C0000}"/>
    <cellStyle name="Normal 5 7 6" xfId="3489" xr:uid="{00000000-0005-0000-0000-0000E92C0000}"/>
    <cellStyle name="Normal 5 7 6 2" xfId="17134" xr:uid="{00000000-0005-0000-0000-0000EA2C0000}"/>
    <cellStyle name="Normal 5 7 6 3" xfId="13555" xr:uid="{00000000-0005-0000-0000-0000EB2C0000}"/>
    <cellStyle name="Normal 5 7 6 4" xfId="8298" xr:uid="{00000000-0005-0000-0000-0000EC2C0000}"/>
    <cellStyle name="Normal 5 7 7" xfId="5859" xr:uid="{00000000-0005-0000-0000-0000ED2C0000}"/>
    <cellStyle name="Normal 5 7 7 2" xfId="14945" xr:uid="{00000000-0005-0000-0000-0000EE2C0000}"/>
    <cellStyle name="Normal 5 7 8" xfId="9752" xr:uid="{00000000-0005-0000-0000-0000EF2C0000}"/>
    <cellStyle name="Normal 5 7 8 2" xfId="18579" xr:uid="{00000000-0005-0000-0000-0000F02C0000}"/>
    <cellStyle name="Normal 5 7 9" xfId="11196" xr:uid="{00000000-0005-0000-0000-0000F12C0000}"/>
    <cellStyle name="Normal 5 7_Degree data" xfId="1245" xr:uid="{00000000-0005-0000-0000-0000F22C0000}"/>
    <cellStyle name="Normal 5 8" xfId="466" xr:uid="{00000000-0005-0000-0000-0000F32C0000}"/>
    <cellStyle name="Normal 5 8 2" xfId="702" xr:uid="{00000000-0005-0000-0000-0000F42C0000}"/>
    <cellStyle name="Normal 5 8 2 2" xfId="2431" xr:uid="{00000000-0005-0000-0000-0000F52C0000}"/>
    <cellStyle name="Normal 5 8 2 2 2" xfId="16319" xr:uid="{00000000-0005-0000-0000-0000F62C0000}"/>
    <cellStyle name="Normal 5 8 2 2 3" xfId="12741" xr:uid="{00000000-0005-0000-0000-0000F72C0000}"/>
    <cellStyle name="Normal 5 8 2 2 4" xfId="7451" xr:uid="{00000000-0005-0000-0000-0000F82C0000}"/>
    <cellStyle name="Normal 5 8 2 3" xfId="3698" xr:uid="{00000000-0005-0000-0000-0000F92C0000}"/>
    <cellStyle name="Normal 5 8 2 3 2" xfId="17344" xr:uid="{00000000-0005-0000-0000-0000FA2C0000}"/>
    <cellStyle name="Normal 5 8 2 3 3" xfId="13765" xr:uid="{00000000-0005-0000-0000-0000FB2C0000}"/>
    <cellStyle name="Normal 5 8 2 3 4" xfId="8508" xr:uid="{00000000-0005-0000-0000-0000FC2C0000}"/>
    <cellStyle name="Normal 5 8 2 4" xfId="6567" xr:uid="{00000000-0005-0000-0000-0000FD2C0000}"/>
    <cellStyle name="Normal 5 8 2 4 2" xfId="15651" xr:uid="{00000000-0005-0000-0000-0000FE2C0000}"/>
    <cellStyle name="Normal 5 8 2 5" xfId="9962" xr:uid="{00000000-0005-0000-0000-0000FF2C0000}"/>
    <cellStyle name="Normal 5 8 2 5 2" xfId="18789" xr:uid="{00000000-0005-0000-0000-0000002D0000}"/>
    <cellStyle name="Normal 5 8 2 6" xfId="11407" xr:uid="{00000000-0005-0000-0000-0000012D0000}"/>
    <cellStyle name="Normal 5 8 2 7" xfId="5045" xr:uid="{00000000-0005-0000-0000-0000022D0000}"/>
    <cellStyle name="Normal 5 8 3" xfId="1059" xr:uid="{00000000-0005-0000-0000-0000032D0000}"/>
    <cellStyle name="Normal 5 8 3 2" xfId="2779" xr:uid="{00000000-0005-0000-0000-0000042D0000}"/>
    <cellStyle name="Normal 5 8 3 2 2" xfId="16504" xr:uid="{00000000-0005-0000-0000-0000052D0000}"/>
    <cellStyle name="Normal 5 8 3 2 3" xfId="12926" xr:uid="{00000000-0005-0000-0000-0000062D0000}"/>
    <cellStyle name="Normal 5 8 3 2 4" xfId="7636" xr:uid="{00000000-0005-0000-0000-0000072D0000}"/>
    <cellStyle name="Normal 5 8 3 3" xfId="4047" xr:uid="{00000000-0005-0000-0000-0000082D0000}"/>
    <cellStyle name="Normal 5 8 3 3 2" xfId="17692" xr:uid="{00000000-0005-0000-0000-0000092D0000}"/>
    <cellStyle name="Normal 5 8 3 3 3" xfId="14113" xr:uid="{00000000-0005-0000-0000-00000A2D0000}"/>
    <cellStyle name="Normal 5 8 3 3 4" xfId="8856" xr:uid="{00000000-0005-0000-0000-00000B2D0000}"/>
    <cellStyle name="Normal 5 8 3 4" xfId="6729" xr:uid="{00000000-0005-0000-0000-00000C2D0000}"/>
    <cellStyle name="Normal 5 8 3 4 2" xfId="15812" xr:uid="{00000000-0005-0000-0000-00000D2D0000}"/>
    <cellStyle name="Normal 5 8 3 5" xfId="10310" xr:uid="{00000000-0005-0000-0000-00000E2D0000}"/>
    <cellStyle name="Normal 5 8 3 5 2" xfId="19137" xr:uid="{00000000-0005-0000-0000-00000F2D0000}"/>
    <cellStyle name="Normal 5 8 3 6" xfId="11756" xr:uid="{00000000-0005-0000-0000-0000102D0000}"/>
    <cellStyle name="Normal 5 8 3 7" xfId="5230" xr:uid="{00000000-0005-0000-0000-0000112D0000}"/>
    <cellStyle name="Normal 5 8 4" xfId="1342" xr:uid="{00000000-0005-0000-0000-0000122D0000}"/>
    <cellStyle name="Normal 5 8 4 2" xfId="2955" xr:uid="{00000000-0005-0000-0000-0000132D0000}"/>
    <cellStyle name="Normal 5 8 4 2 2" xfId="17868" xr:uid="{00000000-0005-0000-0000-0000142D0000}"/>
    <cellStyle name="Normal 5 8 4 2 3" xfId="14289" xr:uid="{00000000-0005-0000-0000-0000152D0000}"/>
    <cellStyle name="Normal 5 8 4 2 4" xfId="9032" xr:uid="{00000000-0005-0000-0000-0000162D0000}"/>
    <cellStyle name="Normal 5 8 4 3" xfId="10486" xr:uid="{00000000-0005-0000-0000-0000172D0000}"/>
    <cellStyle name="Normal 5 8 4 3 2" xfId="19313" xr:uid="{00000000-0005-0000-0000-0000182D0000}"/>
    <cellStyle name="Normal 5 8 4 4" xfId="11932" xr:uid="{00000000-0005-0000-0000-0000192D0000}"/>
    <cellStyle name="Normal 5 8 4 5" xfId="6927" xr:uid="{00000000-0005-0000-0000-00001A2D0000}"/>
    <cellStyle name="Normal 5 8 5" xfId="1912" xr:uid="{00000000-0005-0000-0000-00001B2D0000}"/>
    <cellStyle name="Normal 5 8 5 2" xfId="16823" xr:uid="{00000000-0005-0000-0000-00001C2D0000}"/>
    <cellStyle name="Normal 5 8 5 3" xfId="13244" xr:uid="{00000000-0005-0000-0000-00001D2D0000}"/>
    <cellStyle name="Normal 5 8 5 4" xfId="7987" xr:uid="{00000000-0005-0000-0000-00001E2D0000}"/>
    <cellStyle name="Normal 5 8 6" xfId="6043" xr:uid="{00000000-0005-0000-0000-00001F2D0000}"/>
    <cellStyle name="Normal 5 8 6 2" xfId="15127" xr:uid="{00000000-0005-0000-0000-0000202D0000}"/>
    <cellStyle name="Normal 5 8 7" xfId="9443" xr:uid="{00000000-0005-0000-0000-0000212D0000}"/>
    <cellStyle name="Normal 5 8 7 2" xfId="18270" xr:uid="{00000000-0005-0000-0000-0000222D0000}"/>
    <cellStyle name="Normal 5 8 8" xfId="10887" xr:uid="{00000000-0005-0000-0000-0000232D0000}"/>
    <cellStyle name="Normal 5 8 9" xfId="4521" xr:uid="{00000000-0005-0000-0000-0000242D0000}"/>
    <cellStyle name="Normal 5 8_Degree data" xfId="1676" xr:uid="{00000000-0005-0000-0000-0000252D0000}"/>
    <cellStyle name="Normal 5 9" xfId="660" xr:uid="{00000000-0005-0000-0000-0000262D0000}"/>
    <cellStyle name="Normal 5 9 2" xfId="2389" xr:uid="{00000000-0005-0000-0000-0000272D0000}"/>
    <cellStyle name="Normal 5 9 2 2" xfId="16277" xr:uid="{00000000-0005-0000-0000-0000282D0000}"/>
    <cellStyle name="Normal 5 9 2 3" xfId="12699" xr:uid="{00000000-0005-0000-0000-0000292D0000}"/>
    <cellStyle name="Normal 5 9 2 4" xfId="7409" xr:uid="{00000000-0005-0000-0000-00002A2D0000}"/>
    <cellStyle name="Normal 5 9 3" xfId="3656" xr:uid="{00000000-0005-0000-0000-00002B2D0000}"/>
    <cellStyle name="Normal 5 9 3 2" xfId="17302" xr:uid="{00000000-0005-0000-0000-00002C2D0000}"/>
    <cellStyle name="Normal 5 9 3 3" xfId="13723" xr:uid="{00000000-0005-0000-0000-00002D2D0000}"/>
    <cellStyle name="Normal 5 9 3 4" xfId="8466" xr:uid="{00000000-0005-0000-0000-00002E2D0000}"/>
    <cellStyle name="Normal 5 9 4" xfId="6525" xr:uid="{00000000-0005-0000-0000-00002F2D0000}"/>
    <cellStyle name="Normal 5 9 4 2" xfId="15609" xr:uid="{00000000-0005-0000-0000-0000302D0000}"/>
    <cellStyle name="Normal 5 9 5" xfId="9920" xr:uid="{00000000-0005-0000-0000-0000312D0000}"/>
    <cellStyle name="Normal 5 9 5 2" xfId="18747" xr:uid="{00000000-0005-0000-0000-0000322D0000}"/>
    <cellStyle name="Normal 5 9 6" xfId="11365" xr:uid="{00000000-0005-0000-0000-0000332D0000}"/>
    <cellStyle name="Normal 5 9 7" xfId="5003" xr:uid="{00000000-0005-0000-0000-0000342D0000}"/>
    <cellStyle name="Normal 5_Degree data" xfId="1308" xr:uid="{00000000-0005-0000-0000-0000352D0000}"/>
    <cellStyle name="Normal 50" xfId="81" xr:uid="{00000000-0005-0000-0000-0000362D0000}"/>
    <cellStyle name="Normal 51" xfId="82" xr:uid="{00000000-0005-0000-0000-0000372D0000}"/>
    <cellStyle name="Normal 52" xfId="72" xr:uid="{00000000-0005-0000-0000-0000382D0000}"/>
    <cellStyle name="Normal 53" xfId="104" xr:uid="{00000000-0005-0000-0000-0000392D0000}"/>
    <cellStyle name="Normal 54" xfId="105" xr:uid="{00000000-0005-0000-0000-00003A2D0000}"/>
    <cellStyle name="Normal 540" xfId="19685" xr:uid="{00000000-0005-0000-0000-00003B2D0000}"/>
    <cellStyle name="Normal 541" xfId="19686" xr:uid="{00000000-0005-0000-0000-00003C2D0000}"/>
    <cellStyle name="Normal 543" xfId="19687" xr:uid="{00000000-0005-0000-0000-00003D2D0000}"/>
    <cellStyle name="Normal 545" xfId="19688" xr:uid="{00000000-0005-0000-0000-00003E2D0000}"/>
    <cellStyle name="Normal 546" xfId="19684" xr:uid="{00000000-0005-0000-0000-00003F2D0000}"/>
    <cellStyle name="Normal 547" xfId="19692" xr:uid="{00000000-0005-0000-0000-0000402D0000}"/>
    <cellStyle name="Normal 549" xfId="19689" xr:uid="{00000000-0005-0000-0000-0000412D0000}"/>
    <cellStyle name="Normal 55" xfId="106" xr:uid="{00000000-0005-0000-0000-0000422D0000}"/>
    <cellStyle name="Normal 550" xfId="19690" xr:uid="{00000000-0005-0000-0000-0000432D0000}"/>
    <cellStyle name="Normal 552" xfId="19691" xr:uid="{00000000-0005-0000-0000-0000442D0000}"/>
    <cellStyle name="Normal 56" xfId="30" xr:uid="{00000000-0005-0000-0000-0000452D0000}"/>
    <cellStyle name="Normal 57" xfId="16" xr:uid="{00000000-0005-0000-0000-0000462D0000}"/>
    <cellStyle name="Normal 57 10" xfId="447" xr:uid="{00000000-0005-0000-0000-0000472D0000}"/>
    <cellStyle name="Normal 57 10 10" xfId="4506" xr:uid="{00000000-0005-0000-0000-0000482D0000}"/>
    <cellStyle name="Normal 57 10 2" xfId="704" xr:uid="{00000000-0005-0000-0000-0000492D0000}"/>
    <cellStyle name="Normal 57 10 2 2" xfId="2433" xr:uid="{00000000-0005-0000-0000-00004A2D0000}"/>
    <cellStyle name="Normal 57 10 2 2 2" xfId="16098" xr:uid="{00000000-0005-0000-0000-00004B2D0000}"/>
    <cellStyle name="Normal 57 10 2 2 3" xfId="12520" xr:uid="{00000000-0005-0000-0000-00004C2D0000}"/>
    <cellStyle name="Normal 57 10 2 2 4" xfId="7229" xr:uid="{00000000-0005-0000-0000-00004D2D0000}"/>
    <cellStyle name="Normal 57 10 2 3" xfId="3700" xr:uid="{00000000-0005-0000-0000-00004E2D0000}"/>
    <cellStyle name="Normal 57 10 2 3 2" xfId="17346" xr:uid="{00000000-0005-0000-0000-00004F2D0000}"/>
    <cellStyle name="Normal 57 10 2 3 3" xfId="13767" xr:uid="{00000000-0005-0000-0000-0000502D0000}"/>
    <cellStyle name="Normal 57 10 2 3 4" xfId="8510" xr:uid="{00000000-0005-0000-0000-0000512D0000}"/>
    <cellStyle name="Normal 57 10 2 4" xfId="6345" xr:uid="{00000000-0005-0000-0000-0000522D0000}"/>
    <cellStyle name="Normal 57 10 2 4 2" xfId="15429" xr:uid="{00000000-0005-0000-0000-0000532D0000}"/>
    <cellStyle name="Normal 57 10 2 5" xfId="9964" xr:uid="{00000000-0005-0000-0000-0000542D0000}"/>
    <cellStyle name="Normal 57 10 2 5 2" xfId="18791" xr:uid="{00000000-0005-0000-0000-0000552D0000}"/>
    <cellStyle name="Normal 57 10 2 6" xfId="11409" xr:uid="{00000000-0005-0000-0000-0000562D0000}"/>
    <cellStyle name="Normal 57 10 2 7" xfId="4823" xr:uid="{00000000-0005-0000-0000-0000572D0000}"/>
    <cellStyle name="Normal 57 10 3" xfId="1061" xr:uid="{00000000-0005-0000-0000-0000582D0000}"/>
    <cellStyle name="Normal 57 10 3 2" xfId="2781" xr:uid="{00000000-0005-0000-0000-0000592D0000}"/>
    <cellStyle name="Normal 57 10 3 2 2" xfId="16321" xr:uid="{00000000-0005-0000-0000-00005A2D0000}"/>
    <cellStyle name="Normal 57 10 3 2 3" xfId="12743" xr:uid="{00000000-0005-0000-0000-00005B2D0000}"/>
    <cellStyle name="Normal 57 10 3 2 4" xfId="7453" xr:uid="{00000000-0005-0000-0000-00005C2D0000}"/>
    <cellStyle name="Normal 57 10 3 3" xfId="4049" xr:uid="{00000000-0005-0000-0000-00005D2D0000}"/>
    <cellStyle name="Normal 57 10 3 3 2" xfId="17694" xr:uid="{00000000-0005-0000-0000-00005E2D0000}"/>
    <cellStyle name="Normal 57 10 3 3 3" xfId="14115" xr:uid="{00000000-0005-0000-0000-00005F2D0000}"/>
    <cellStyle name="Normal 57 10 3 3 4" xfId="8858" xr:uid="{00000000-0005-0000-0000-0000602D0000}"/>
    <cellStyle name="Normal 57 10 3 4" xfId="6569" xr:uid="{00000000-0005-0000-0000-0000612D0000}"/>
    <cellStyle name="Normal 57 10 3 4 2" xfId="15653" xr:uid="{00000000-0005-0000-0000-0000622D0000}"/>
    <cellStyle name="Normal 57 10 3 5" xfId="10312" xr:uid="{00000000-0005-0000-0000-0000632D0000}"/>
    <cellStyle name="Normal 57 10 3 5 2" xfId="19139" xr:uid="{00000000-0005-0000-0000-0000642D0000}"/>
    <cellStyle name="Normal 57 10 3 6" xfId="11758" xr:uid="{00000000-0005-0000-0000-0000652D0000}"/>
    <cellStyle name="Normal 57 10 3 7" xfId="5047" xr:uid="{00000000-0005-0000-0000-0000662D0000}"/>
    <cellStyle name="Normal 57 10 4" xfId="1661" xr:uid="{00000000-0005-0000-0000-0000672D0000}"/>
    <cellStyle name="Normal 57 10 4 2" xfId="3257" xr:uid="{00000000-0005-0000-0000-0000682D0000}"/>
    <cellStyle name="Normal 57 10 4 2 2" xfId="16806" xr:uid="{00000000-0005-0000-0000-0000692D0000}"/>
    <cellStyle name="Normal 57 10 4 2 3" xfId="13227" xr:uid="{00000000-0005-0000-0000-00006A2D0000}"/>
    <cellStyle name="Normal 57 10 4 2 4" xfId="7938" xr:uid="{00000000-0005-0000-0000-00006B2D0000}"/>
    <cellStyle name="Normal 57 10 4 3" xfId="4320" xr:uid="{00000000-0005-0000-0000-00006C2D0000}"/>
    <cellStyle name="Normal 57 10 4 3 2" xfId="18170" xr:uid="{00000000-0005-0000-0000-00006D2D0000}"/>
    <cellStyle name="Normal 57 10 4 3 3" xfId="14591" xr:uid="{00000000-0005-0000-0000-00006E2D0000}"/>
    <cellStyle name="Normal 57 10 4 3 4" xfId="9334" xr:uid="{00000000-0005-0000-0000-00006F2D0000}"/>
    <cellStyle name="Normal 57 10 4 4" xfId="6026" xr:uid="{00000000-0005-0000-0000-0000702D0000}"/>
    <cellStyle name="Normal 57 10 4 4 2" xfId="15112" xr:uid="{00000000-0005-0000-0000-0000712D0000}"/>
    <cellStyle name="Normal 57 10 4 5" xfId="10788" xr:uid="{00000000-0005-0000-0000-0000722D0000}"/>
    <cellStyle name="Normal 57 10 4 5 2" xfId="19615" xr:uid="{00000000-0005-0000-0000-0000732D0000}"/>
    <cellStyle name="Normal 57 10 4 6" xfId="12234" xr:uid="{00000000-0005-0000-0000-0000742D0000}"/>
    <cellStyle name="Normal 57 10 4 7" xfId="5532" xr:uid="{00000000-0005-0000-0000-0000752D0000}"/>
    <cellStyle name="Normal 57 10 5" xfId="2214" xr:uid="{00000000-0005-0000-0000-0000762D0000}"/>
    <cellStyle name="Normal 57 10 5 2" xfId="15955" xr:uid="{00000000-0005-0000-0000-0000772D0000}"/>
    <cellStyle name="Normal 57 10 5 3" xfId="12297" xr:uid="{00000000-0005-0000-0000-0000782D0000}"/>
    <cellStyle name="Normal 57 10 5 4" xfId="6912" xr:uid="{00000000-0005-0000-0000-0000792D0000}"/>
    <cellStyle name="Normal 57 10 6" xfId="3482" xr:uid="{00000000-0005-0000-0000-00007A2D0000}"/>
    <cellStyle name="Normal 57 10 6 2" xfId="17127" xr:uid="{00000000-0005-0000-0000-00007B2D0000}"/>
    <cellStyle name="Normal 57 10 6 3" xfId="13548" xr:uid="{00000000-0005-0000-0000-00007C2D0000}"/>
    <cellStyle name="Normal 57 10 6 4" xfId="8291" xr:uid="{00000000-0005-0000-0000-00007D2D0000}"/>
    <cellStyle name="Normal 57 10 7" xfId="5852" xr:uid="{00000000-0005-0000-0000-00007E2D0000}"/>
    <cellStyle name="Normal 57 10 7 2" xfId="14938" xr:uid="{00000000-0005-0000-0000-00007F2D0000}"/>
    <cellStyle name="Normal 57 10 8" xfId="9745" xr:uid="{00000000-0005-0000-0000-0000802D0000}"/>
    <cellStyle name="Normal 57 10 8 2" xfId="18572" xr:uid="{00000000-0005-0000-0000-0000812D0000}"/>
    <cellStyle name="Normal 57 10 9" xfId="11189" xr:uid="{00000000-0005-0000-0000-0000822D0000}"/>
    <cellStyle name="Normal 57 10_Degree data" xfId="1678" xr:uid="{00000000-0005-0000-0000-0000832D0000}"/>
    <cellStyle name="Normal 57 11" xfId="285" xr:uid="{00000000-0005-0000-0000-0000842D0000}"/>
    <cellStyle name="Normal 57 11 2" xfId="705" xr:uid="{00000000-0005-0000-0000-0000852D0000}"/>
    <cellStyle name="Normal 57 11 2 2" xfId="2434" xr:uid="{00000000-0005-0000-0000-0000862D0000}"/>
    <cellStyle name="Normal 57 11 2 2 2" xfId="16322" xr:uid="{00000000-0005-0000-0000-0000872D0000}"/>
    <cellStyle name="Normal 57 11 2 2 3" xfId="12744" xr:uid="{00000000-0005-0000-0000-0000882D0000}"/>
    <cellStyle name="Normal 57 11 2 2 4" xfId="7454" xr:uid="{00000000-0005-0000-0000-0000892D0000}"/>
    <cellStyle name="Normal 57 11 2 3" xfId="3701" xr:uid="{00000000-0005-0000-0000-00008A2D0000}"/>
    <cellStyle name="Normal 57 11 2 3 2" xfId="17347" xr:uid="{00000000-0005-0000-0000-00008B2D0000}"/>
    <cellStyle name="Normal 57 11 2 3 3" xfId="13768" xr:uid="{00000000-0005-0000-0000-00008C2D0000}"/>
    <cellStyle name="Normal 57 11 2 3 4" xfId="8511" xr:uid="{00000000-0005-0000-0000-00008D2D0000}"/>
    <cellStyle name="Normal 57 11 2 4" xfId="6570" xr:uid="{00000000-0005-0000-0000-00008E2D0000}"/>
    <cellStyle name="Normal 57 11 2 4 2" xfId="15654" xr:uid="{00000000-0005-0000-0000-00008F2D0000}"/>
    <cellStyle name="Normal 57 11 2 5" xfId="9965" xr:uid="{00000000-0005-0000-0000-0000902D0000}"/>
    <cellStyle name="Normal 57 11 2 5 2" xfId="18792" xr:uid="{00000000-0005-0000-0000-0000912D0000}"/>
    <cellStyle name="Normal 57 11 2 6" xfId="11410" xr:uid="{00000000-0005-0000-0000-0000922D0000}"/>
    <cellStyle name="Normal 57 11 2 7" xfId="5048" xr:uid="{00000000-0005-0000-0000-0000932D0000}"/>
    <cellStyle name="Normal 57 11 3" xfId="1062" xr:uid="{00000000-0005-0000-0000-0000942D0000}"/>
    <cellStyle name="Normal 57 11 3 2" xfId="2782" xr:uid="{00000000-0005-0000-0000-0000952D0000}"/>
    <cellStyle name="Normal 57 11 3 2 2" xfId="16645" xr:uid="{00000000-0005-0000-0000-0000962D0000}"/>
    <cellStyle name="Normal 57 11 3 2 3" xfId="13066" xr:uid="{00000000-0005-0000-0000-0000972D0000}"/>
    <cellStyle name="Normal 57 11 3 2 4" xfId="7777" xr:uid="{00000000-0005-0000-0000-0000982D0000}"/>
    <cellStyle name="Normal 57 11 3 3" xfId="4050" xr:uid="{00000000-0005-0000-0000-0000992D0000}"/>
    <cellStyle name="Normal 57 11 3 3 2" xfId="17695" xr:uid="{00000000-0005-0000-0000-00009A2D0000}"/>
    <cellStyle name="Normal 57 11 3 3 3" xfId="14116" xr:uid="{00000000-0005-0000-0000-00009B2D0000}"/>
    <cellStyle name="Normal 57 11 3 3 4" xfId="8859" xr:uid="{00000000-0005-0000-0000-00009C2D0000}"/>
    <cellStyle name="Normal 57 11 3 4" xfId="6184" xr:uid="{00000000-0005-0000-0000-00009D2D0000}"/>
    <cellStyle name="Normal 57 11 3 4 2" xfId="15268" xr:uid="{00000000-0005-0000-0000-00009E2D0000}"/>
    <cellStyle name="Normal 57 11 3 5" xfId="10313" xr:uid="{00000000-0005-0000-0000-00009F2D0000}"/>
    <cellStyle name="Normal 57 11 3 5 2" xfId="19140" xr:uid="{00000000-0005-0000-0000-0000A02D0000}"/>
    <cellStyle name="Normal 57 11 3 6" xfId="11759" xr:uid="{00000000-0005-0000-0000-0000A12D0000}"/>
    <cellStyle name="Normal 57 11 3 7" xfId="5371" xr:uid="{00000000-0005-0000-0000-0000A22D0000}"/>
    <cellStyle name="Normal 57 11 4" xfId="1497" xr:uid="{00000000-0005-0000-0000-0000A32D0000}"/>
    <cellStyle name="Normal 57 11 4 2" xfId="3096" xr:uid="{00000000-0005-0000-0000-0000A42D0000}"/>
    <cellStyle name="Normal 57 11 4 2 2" xfId="18009" xr:uid="{00000000-0005-0000-0000-0000A52D0000}"/>
    <cellStyle name="Normal 57 11 4 2 3" xfId="14430" xr:uid="{00000000-0005-0000-0000-0000A62D0000}"/>
    <cellStyle name="Normal 57 11 4 2 4" xfId="9173" xr:uid="{00000000-0005-0000-0000-0000A72D0000}"/>
    <cellStyle name="Normal 57 11 4 3" xfId="10627" xr:uid="{00000000-0005-0000-0000-0000A82D0000}"/>
    <cellStyle name="Normal 57 11 4 3 2" xfId="19454" xr:uid="{00000000-0005-0000-0000-0000A92D0000}"/>
    <cellStyle name="Normal 57 11 4 4" xfId="12073" xr:uid="{00000000-0005-0000-0000-0000AA2D0000}"/>
    <cellStyle name="Normal 57 11 4 5" xfId="7068" xr:uid="{00000000-0005-0000-0000-0000AB2D0000}"/>
    <cellStyle name="Normal 57 11 5" xfId="2053" xr:uid="{00000000-0005-0000-0000-0000AC2D0000}"/>
    <cellStyle name="Normal 57 11 5 2" xfId="16966" xr:uid="{00000000-0005-0000-0000-0000AD2D0000}"/>
    <cellStyle name="Normal 57 11 5 3" xfId="13387" xr:uid="{00000000-0005-0000-0000-0000AE2D0000}"/>
    <cellStyle name="Normal 57 11 5 4" xfId="8130" xr:uid="{00000000-0005-0000-0000-0000AF2D0000}"/>
    <cellStyle name="Normal 57 11 6" xfId="5691" xr:uid="{00000000-0005-0000-0000-0000B02D0000}"/>
    <cellStyle name="Normal 57 11 6 2" xfId="14777" xr:uid="{00000000-0005-0000-0000-0000B12D0000}"/>
    <cellStyle name="Normal 57 11 7" xfId="9584" xr:uid="{00000000-0005-0000-0000-0000B22D0000}"/>
    <cellStyle name="Normal 57 11 7 2" xfId="18411" xr:uid="{00000000-0005-0000-0000-0000B32D0000}"/>
    <cellStyle name="Normal 57 11 8" xfId="11028" xr:uid="{00000000-0005-0000-0000-0000B42D0000}"/>
    <cellStyle name="Normal 57 11 9" xfId="4662" xr:uid="{00000000-0005-0000-0000-0000B52D0000}"/>
    <cellStyle name="Normal 57 11_Degree data" xfId="1679" xr:uid="{00000000-0005-0000-0000-0000B62D0000}"/>
    <cellStyle name="Normal 57 12" xfId="462" xr:uid="{00000000-0005-0000-0000-0000B72D0000}"/>
    <cellStyle name="Normal 57 12 2" xfId="706" xr:uid="{00000000-0005-0000-0000-0000B82D0000}"/>
    <cellStyle name="Normal 57 12 2 2" xfId="2435" xr:uid="{00000000-0005-0000-0000-0000B92D0000}"/>
    <cellStyle name="Normal 57 12 2 2 2" xfId="16323" xr:uid="{00000000-0005-0000-0000-0000BA2D0000}"/>
    <cellStyle name="Normal 57 12 2 2 3" xfId="12745" xr:uid="{00000000-0005-0000-0000-0000BB2D0000}"/>
    <cellStyle name="Normal 57 12 2 2 4" xfId="7455" xr:uid="{00000000-0005-0000-0000-0000BC2D0000}"/>
    <cellStyle name="Normal 57 12 2 3" xfId="3702" xr:uid="{00000000-0005-0000-0000-0000BD2D0000}"/>
    <cellStyle name="Normal 57 12 2 3 2" xfId="17348" xr:uid="{00000000-0005-0000-0000-0000BE2D0000}"/>
    <cellStyle name="Normal 57 12 2 3 3" xfId="13769" xr:uid="{00000000-0005-0000-0000-0000BF2D0000}"/>
    <cellStyle name="Normal 57 12 2 3 4" xfId="8512" xr:uid="{00000000-0005-0000-0000-0000C02D0000}"/>
    <cellStyle name="Normal 57 12 2 4" xfId="6571" xr:uid="{00000000-0005-0000-0000-0000C12D0000}"/>
    <cellStyle name="Normal 57 12 2 4 2" xfId="15655" xr:uid="{00000000-0005-0000-0000-0000C22D0000}"/>
    <cellStyle name="Normal 57 12 2 5" xfId="9966" xr:uid="{00000000-0005-0000-0000-0000C32D0000}"/>
    <cellStyle name="Normal 57 12 2 5 2" xfId="18793" xr:uid="{00000000-0005-0000-0000-0000C42D0000}"/>
    <cellStyle name="Normal 57 12 2 6" xfId="11411" xr:uid="{00000000-0005-0000-0000-0000C52D0000}"/>
    <cellStyle name="Normal 57 12 2 7" xfId="5049" xr:uid="{00000000-0005-0000-0000-0000C62D0000}"/>
    <cellStyle name="Normal 57 12 3" xfId="1063" xr:uid="{00000000-0005-0000-0000-0000C72D0000}"/>
    <cellStyle name="Normal 57 12 3 2" xfId="2783" xr:uid="{00000000-0005-0000-0000-0000C82D0000}"/>
    <cellStyle name="Normal 57 12 3 2 2" xfId="16500" xr:uid="{00000000-0005-0000-0000-0000C92D0000}"/>
    <cellStyle name="Normal 57 12 3 2 3" xfId="12922" xr:uid="{00000000-0005-0000-0000-0000CA2D0000}"/>
    <cellStyle name="Normal 57 12 3 2 4" xfId="7632" xr:uid="{00000000-0005-0000-0000-0000CB2D0000}"/>
    <cellStyle name="Normal 57 12 3 3" xfId="4051" xr:uid="{00000000-0005-0000-0000-0000CC2D0000}"/>
    <cellStyle name="Normal 57 12 3 3 2" xfId="17696" xr:uid="{00000000-0005-0000-0000-0000CD2D0000}"/>
    <cellStyle name="Normal 57 12 3 3 3" xfId="14117" xr:uid="{00000000-0005-0000-0000-0000CE2D0000}"/>
    <cellStyle name="Normal 57 12 3 3 4" xfId="8860" xr:uid="{00000000-0005-0000-0000-0000CF2D0000}"/>
    <cellStyle name="Normal 57 12 3 4" xfId="6723" xr:uid="{00000000-0005-0000-0000-0000D02D0000}"/>
    <cellStyle name="Normal 57 12 3 4 2" xfId="15806" xr:uid="{00000000-0005-0000-0000-0000D12D0000}"/>
    <cellStyle name="Normal 57 12 3 5" xfId="10314" xr:uid="{00000000-0005-0000-0000-0000D22D0000}"/>
    <cellStyle name="Normal 57 12 3 5 2" xfId="19141" xr:uid="{00000000-0005-0000-0000-0000D32D0000}"/>
    <cellStyle name="Normal 57 12 3 6" xfId="11760" xr:uid="{00000000-0005-0000-0000-0000D42D0000}"/>
    <cellStyle name="Normal 57 12 3 7" xfId="5226" xr:uid="{00000000-0005-0000-0000-0000D52D0000}"/>
    <cellStyle name="Normal 57 12 4" xfId="1338" xr:uid="{00000000-0005-0000-0000-0000D62D0000}"/>
    <cellStyle name="Normal 57 12 4 2" xfId="2951" xr:uid="{00000000-0005-0000-0000-0000D72D0000}"/>
    <cellStyle name="Normal 57 12 4 2 2" xfId="17864" xr:uid="{00000000-0005-0000-0000-0000D82D0000}"/>
    <cellStyle name="Normal 57 12 4 2 3" xfId="14285" xr:uid="{00000000-0005-0000-0000-0000D92D0000}"/>
    <cellStyle name="Normal 57 12 4 2 4" xfId="9028" xr:uid="{00000000-0005-0000-0000-0000DA2D0000}"/>
    <cellStyle name="Normal 57 12 4 3" xfId="10482" xr:uid="{00000000-0005-0000-0000-0000DB2D0000}"/>
    <cellStyle name="Normal 57 12 4 3 2" xfId="19309" xr:uid="{00000000-0005-0000-0000-0000DC2D0000}"/>
    <cellStyle name="Normal 57 12 4 4" xfId="11928" xr:uid="{00000000-0005-0000-0000-0000DD2D0000}"/>
    <cellStyle name="Normal 57 12 4 5" xfId="6923" xr:uid="{00000000-0005-0000-0000-0000DE2D0000}"/>
    <cellStyle name="Normal 57 12 5" xfId="1908" xr:uid="{00000000-0005-0000-0000-0000DF2D0000}"/>
    <cellStyle name="Normal 57 12 5 2" xfId="16819" xr:uid="{00000000-0005-0000-0000-0000E02D0000}"/>
    <cellStyle name="Normal 57 12 5 3" xfId="13240" xr:uid="{00000000-0005-0000-0000-0000E12D0000}"/>
    <cellStyle name="Normal 57 12 5 4" xfId="7983" xr:uid="{00000000-0005-0000-0000-0000E22D0000}"/>
    <cellStyle name="Normal 57 12 6" xfId="6039" xr:uid="{00000000-0005-0000-0000-0000E32D0000}"/>
    <cellStyle name="Normal 57 12 6 2" xfId="15123" xr:uid="{00000000-0005-0000-0000-0000E42D0000}"/>
    <cellStyle name="Normal 57 12 7" xfId="9439" xr:uid="{00000000-0005-0000-0000-0000E52D0000}"/>
    <cellStyle name="Normal 57 12 7 2" xfId="18266" xr:uid="{00000000-0005-0000-0000-0000E62D0000}"/>
    <cellStyle name="Normal 57 12 8" xfId="10883" xr:uid="{00000000-0005-0000-0000-0000E72D0000}"/>
    <cellStyle name="Normal 57 12 9" xfId="4517" xr:uid="{00000000-0005-0000-0000-0000E82D0000}"/>
    <cellStyle name="Normal 57 12_Degree data" xfId="1680" xr:uid="{00000000-0005-0000-0000-0000E92D0000}"/>
    <cellStyle name="Normal 57 13" xfId="703" xr:uid="{00000000-0005-0000-0000-0000EA2D0000}"/>
    <cellStyle name="Normal 57 13 2" xfId="2432" xr:uid="{00000000-0005-0000-0000-0000EB2D0000}"/>
    <cellStyle name="Normal 57 13 2 2" xfId="16320" xr:uid="{00000000-0005-0000-0000-0000EC2D0000}"/>
    <cellStyle name="Normal 57 13 2 3" xfId="12742" xr:uid="{00000000-0005-0000-0000-0000ED2D0000}"/>
    <cellStyle name="Normal 57 13 2 4" xfId="7452" xr:uid="{00000000-0005-0000-0000-0000EE2D0000}"/>
    <cellStyle name="Normal 57 13 3" xfId="3699" xr:uid="{00000000-0005-0000-0000-0000EF2D0000}"/>
    <cellStyle name="Normal 57 13 3 2" xfId="17345" xr:uid="{00000000-0005-0000-0000-0000F02D0000}"/>
    <cellStyle name="Normal 57 13 3 3" xfId="13766" xr:uid="{00000000-0005-0000-0000-0000F12D0000}"/>
    <cellStyle name="Normal 57 13 3 4" xfId="8509" xr:uid="{00000000-0005-0000-0000-0000F22D0000}"/>
    <cellStyle name="Normal 57 13 4" xfId="6568" xr:uid="{00000000-0005-0000-0000-0000F32D0000}"/>
    <cellStyle name="Normal 57 13 4 2" xfId="15652" xr:uid="{00000000-0005-0000-0000-0000F42D0000}"/>
    <cellStyle name="Normal 57 13 5" xfId="9963" xr:uid="{00000000-0005-0000-0000-0000F52D0000}"/>
    <cellStyle name="Normal 57 13 5 2" xfId="18790" xr:uid="{00000000-0005-0000-0000-0000F62D0000}"/>
    <cellStyle name="Normal 57 13 6" xfId="11408" xr:uid="{00000000-0005-0000-0000-0000F72D0000}"/>
    <cellStyle name="Normal 57 13 7" xfId="5046" xr:uid="{00000000-0005-0000-0000-0000F82D0000}"/>
    <cellStyle name="Normal 57 14" xfId="1060" xr:uid="{00000000-0005-0000-0000-0000F92D0000}"/>
    <cellStyle name="Normal 57 14 2" xfId="2780" xr:uid="{00000000-0005-0000-0000-0000FA2D0000}"/>
    <cellStyle name="Normal 57 14 2 2" xfId="16470" xr:uid="{00000000-0005-0000-0000-0000FB2D0000}"/>
    <cellStyle name="Normal 57 14 2 3" xfId="12892" xr:uid="{00000000-0005-0000-0000-0000FC2D0000}"/>
    <cellStyle name="Normal 57 14 2 4" xfId="7602" xr:uid="{00000000-0005-0000-0000-0000FD2D0000}"/>
    <cellStyle name="Normal 57 14 3" xfId="4048" xr:uid="{00000000-0005-0000-0000-0000FE2D0000}"/>
    <cellStyle name="Normal 57 14 3 2" xfId="17693" xr:uid="{00000000-0005-0000-0000-0000FF2D0000}"/>
    <cellStyle name="Normal 57 14 3 3" xfId="14114" xr:uid="{00000000-0005-0000-0000-0000002E0000}"/>
    <cellStyle name="Normal 57 14 3 4" xfId="8857" xr:uid="{00000000-0005-0000-0000-0000012E0000}"/>
    <cellStyle name="Normal 57 14 4" xfId="5863" xr:uid="{00000000-0005-0000-0000-0000022E0000}"/>
    <cellStyle name="Normal 57 14 4 2" xfId="14949" xr:uid="{00000000-0005-0000-0000-0000032E0000}"/>
    <cellStyle name="Normal 57 14 5" xfId="10311" xr:uid="{00000000-0005-0000-0000-0000042E0000}"/>
    <cellStyle name="Normal 57 14 5 2" xfId="19138" xr:uid="{00000000-0005-0000-0000-0000052E0000}"/>
    <cellStyle name="Normal 57 14 6" xfId="11757" xr:uid="{00000000-0005-0000-0000-0000062E0000}"/>
    <cellStyle name="Normal 57 14 7" xfId="5196" xr:uid="{00000000-0005-0000-0000-0000072E0000}"/>
    <cellStyle name="Normal 57 15" xfId="1250" xr:uid="{00000000-0005-0000-0000-0000082E0000}"/>
    <cellStyle name="Normal 57 15 2" xfId="2921" xr:uid="{00000000-0005-0000-0000-0000092E0000}"/>
    <cellStyle name="Normal 57 15 2 2" xfId="17834" xr:uid="{00000000-0005-0000-0000-00000A2E0000}"/>
    <cellStyle name="Normal 57 15 2 3" xfId="14255" xr:uid="{00000000-0005-0000-0000-00000B2E0000}"/>
    <cellStyle name="Normal 57 15 2 4" xfId="8998" xr:uid="{00000000-0005-0000-0000-00000C2E0000}"/>
    <cellStyle name="Normal 57 15 3" xfId="10452" xr:uid="{00000000-0005-0000-0000-00000D2E0000}"/>
    <cellStyle name="Normal 57 15 3 2" xfId="19279" xr:uid="{00000000-0005-0000-0000-00000E2E0000}"/>
    <cellStyle name="Normal 57 15 4" xfId="11898" xr:uid="{00000000-0005-0000-0000-00000F2E0000}"/>
    <cellStyle name="Normal 57 15 5" xfId="6750" xr:uid="{00000000-0005-0000-0000-0000102E0000}"/>
    <cellStyle name="Normal 57 16" xfId="1878" xr:uid="{00000000-0005-0000-0000-0000112E0000}"/>
    <cellStyle name="Normal 57 16 2" xfId="9409" xr:uid="{00000000-0005-0000-0000-0000122E0000}"/>
    <cellStyle name="Normal 57 16 2 2" xfId="18236" xr:uid="{00000000-0005-0000-0000-0000132E0000}"/>
    <cellStyle name="Normal 57 16 3" xfId="10853" xr:uid="{00000000-0005-0000-0000-0000142E0000}"/>
    <cellStyle name="Normal 57 16 4" xfId="7952" xr:uid="{00000000-0005-0000-0000-0000152E0000}"/>
    <cellStyle name="Normal 57 17" xfId="1830" xr:uid="{00000000-0005-0000-0000-0000162E0000}"/>
    <cellStyle name="Normal 57 17 2" xfId="14632" xr:uid="{00000000-0005-0000-0000-0000172E0000}"/>
    <cellStyle name="Normal 57 17 3" xfId="5546" xr:uid="{00000000-0005-0000-0000-0000182E0000}"/>
    <cellStyle name="Normal 57 18" xfId="9366" xr:uid="{00000000-0005-0000-0000-0000192E0000}"/>
    <cellStyle name="Normal 57 18 2" xfId="18193" xr:uid="{00000000-0005-0000-0000-00001A2E0000}"/>
    <cellStyle name="Normal 57 19" xfId="10804" xr:uid="{00000000-0005-0000-0000-00001B2E0000}"/>
    <cellStyle name="Normal 57 2" xfId="26" xr:uid="{00000000-0005-0000-0000-00001C2E0000}"/>
    <cellStyle name="Normal 57 20" xfId="4345" xr:uid="{00000000-0005-0000-0000-00001D2E0000}"/>
    <cellStyle name="Normal 57 3" xfId="87" xr:uid="{00000000-0005-0000-0000-00001E2E0000}"/>
    <cellStyle name="Normal 57 3 10" xfId="1260" xr:uid="{00000000-0005-0000-0000-00001F2E0000}"/>
    <cellStyle name="Normal 57 3 10 2" xfId="2925" xr:uid="{00000000-0005-0000-0000-0000202E0000}"/>
    <cellStyle name="Normal 57 3 10 2 2" xfId="17838" xr:uid="{00000000-0005-0000-0000-0000212E0000}"/>
    <cellStyle name="Normal 57 3 10 2 3" xfId="14259" xr:uid="{00000000-0005-0000-0000-0000222E0000}"/>
    <cellStyle name="Normal 57 3 10 2 4" xfId="9002" xr:uid="{00000000-0005-0000-0000-0000232E0000}"/>
    <cellStyle name="Normal 57 3 10 3" xfId="10456" xr:uid="{00000000-0005-0000-0000-0000242E0000}"/>
    <cellStyle name="Normal 57 3 10 3 2" xfId="19283" xr:uid="{00000000-0005-0000-0000-0000252E0000}"/>
    <cellStyle name="Normal 57 3 10 4" xfId="11902" xr:uid="{00000000-0005-0000-0000-0000262E0000}"/>
    <cellStyle name="Normal 57 3 10 5" xfId="6763" xr:uid="{00000000-0005-0000-0000-0000272E0000}"/>
    <cellStyle name="Normal 57 3 11" xfId="1882" xr:uid="{00000000-0005-0000-0000-0000282E0000}"/>
    <cellStyle name="Normal 57 3 11 2" xfId="9413" xr:uid="{00000000-0005-0000-0000-0000292E0000}"/>
    <cellStyle name="Normal 57 3 11 2 2" xfId="18240" xr:uid="{00000000-0005-0000-0000-00002A2E0000}"/>
    <cellStyle name="Normal 57 3 11 3" xfId="10857" xr:uid="{00000000-0005-0000-0000-00002B2E0000}"/>
    <cellStyle name="Normal 57 3 11 4" xfId="7956" xr:uid="{00000000-0005-0000-0000-00002C2E0000}"/>
    <cellStyle name="Normal 57 3 12" xfId="1837" xr:uid="{00000000-0005-0000-0000-00002D2E0000}"/>
    <cellStyle name="Normal 57 3 12 2" xfId="14638" xr:uid="{00000000-0005-0000-0000-00002E2E0000}"/>
    <cellStyle name="Normal 57 3 12 3" xfId="5552" xr:uid="{00000000-0005-0000-0000-00002F2E0000}"/>
    <cellStyle name="Normal 57 3 13" xfId="9373" xr:uid="{00000000-0005-0000-0000-0000302E0000}"/>
    <cellStyle name="Normal 57 3 13 2" xfId="18200" xr:uid="{00000000-0005-0000-0000-0000312E0000}"/>
    <cellStyle name="Normal 57 3 14" xfId="10812" xr:uid="{00000000-0005-0000-0000-0000322E0000}"/>
    <cellStyle name="Normal 57 3 15" xfId="4358" xr:uid="{00000000-0005-0000-0000-0000332E0000}"/>
    <cellStyle name="Normal 57 3 2" xfId="117" xr:uid="{00000000-0005-0000-0000-0000342E0000}"/>
    <cellStyle name="Normal 57 3 2 10" xfId="1864" xr:uid="{00000000-0005-0000-0000-0000352E0000}"/>
    <cellStyle name="Normal 57 3 2 10 2" xfId="14663" xr:uid="{00000000-0005-0000-0000-0000362E0000}"/>
    <cellStyle name="Normal 57 3 2 10 3" xfId="5577" xr:uid="{00000000-0005-0000-0000-0000372E0000}"/>
    <cellStyle name="Normal 57 3 2 11" xfId="9395" xr:uid="{00000000-0005-0000-0000-0000382E0000}"/>
    <cellStyle name="Normal 57 3 2 11 2" xfId="18222" xr:uid="{00000000-0005-0000-0000-0000392E0000}"/>
    <cellStyle name="Normal 57 3 2 12" xfId="10839" xr:uid="{00000000-0005-0000-0000-00003A2E0000}"/>
    <cellStyle name="Normal 57 3 2 13" xfId="4388" xr:uid="{00000000-0005-0000-0000-00003B2E0000}"/>
    <cellStyle name="Normal 57 3 2 2" xfId="263" xr:uid="{00000000-0005-0000-0000-00003C2E0000}"/>
    <cellStyle name="Normal 57 3 2 2 10" xfId="11014" xr:uid="{00000000-0005-0000-0000-00003D2E0000}"/>
    <cellStyle name="Normal 57 3 2 2 11" xfId="4431" xr:uid="{00000000-0005-0000-0000-00003E2E0000}"/>
    <cellStyle name="Normal 57 3 2 2 2" xfId="371" xr:uid="{00000000-0005-0000-0000-00003F2E0000}"/>
    <cellStyle name="Normal 57 3 2 2 2 2" xfId="710" xr:uid="{00000000-0005-0000-0000-0000402E0000}"/>
    <cellStyle name="Normal 57 3 2 2 2 2 2" xfId="2439" xr:uid="{00000000-0005-0000-0000-0000412E0000}"/>
    <cellStyle name="Normal 57 3 2 2 2 2 2 2" xfId="16327" xr:uid="{00000000-0005-0000-0000-0000422E0000}"/>
    <cellStyle name="Normal 57 3 2 2 2 2 2 3" xfId="12749" xr:uid="{00000000-0005-0000-0000-0000432E0000}"/>
    <cellStyle name="Normal 57 3 2 2 2 2 2 4" xfId="7459" xr:uid="{00000000-0005-0000-0000-0000442E0000}"/>
    <cellStyle name="Normal 57 3 2 2 2 2 3" xfId="3706" xr:uid="{00000000-0005-0000-0000-0000452E0000}"/>
    <cellStyle name="Normal 57 3 2 2 2 2 3 2" xfId="17352" xr:uid="{00000000-0005-0000-0000-0000462E0000}"/>
    <cellStyle name="Normal 57 3 2 2 2 2 3 3" xfId="13773" xr:uid="{00000000-0005-0000-0000-0000472E0000}"/>
    <cellStyle name="Normal 57 3 2 2 2 2 3 4" xfId="8516" xr:uid="{00000000-0005-0000-0000-0000482E0000}"/>
    <cellStyle name="Normal 57 3 2 2 2 2 4" xfId="6575" xr:uid="{00000000-0005-0000-0000-0000492E0000}"/>
    <cellStyle name="Normal 57 3 2 2 2 2 4 2" xfId="15659" xr:uid="{00000000-0005-0000-0000-00004A2E0000}"/>
    <cellStyle name="Normal 57 3 2 2 2 2 5" xfId="9970" xr:uid="{00000000-0005-0000-0000-00004B2E0000}"/>
    <cellStyle name="Normal 57 3 2 2 2 2 5 2" xfId="18797" xr:uid="{00000000-0005-0000-0000-00004C2E0000}"/>
    <cellStyle name="Normal 57 3 2 2 2 2 6" xfId="11415" xr:uid="{00000000-0005-0000-0000-00004D2E0000}"/>
    <cellStyle name="Normal 57 3 2 2 2 2 7" xfId="5053" xr:uid="{00000000-0005-0000-0000-00004E2E0000}"/>
    <cellStyle name="Normal 57 3 2 2 2 3" xfId="1067" xr:uid="{00000000-0005-0000-0000-00004F2E0000}"/>
    <cellStyle name="Normal 57 3 2 2 2 3 2" xfId="2787" xr:uid="{00000000-0005-0000-0000-0000502E0000}"/>
    <cellStyle name="Normal 57 3 2 2 2 3 2 2" xfId="16731" xr:uid="{00000000-0005-0000-0000-0000512E0000}"/>
    <cellStyle name="Normal 57 3 2 2 2 3 2 3" xfId="13152" xr:uid="{00000000-0005-0000-0000-0000522E0000}"/>
    <cellStyle name="Normal 57 3 2 2 2 3 2 4" xfId="7863" xr:uid="{00000000-0005-0000-0000-0000532E0000}"/>
    <cellStyle name="Normal 57 3 2 2 2 3 3" xfId="4055" xr:uid="{00000000-0005-0000-0000-0000542E0000}"/>
    <cellStyle name="Normal 57 3 2 2 2 3 3 2" xfId="17700" xr:uid="{00000000-0005-0000-0000-0000552E0000}"/>
    <cellStyle name="Normal 57 3 2 2 2 3 3 3" xfId="14121" xr:uid="{00000000-0005-0000-0000-0000562E0000}"/>
    <cellStyle name="Normal 57 3 2 2 2 3 3 4" xfId="8864" xr:uid="{00000000-0005-0000-0000-0000572E0000}"/>
    <cellStyle name="Normal 57 3 2 2 2 3 4" xfId="6270" xr:uid="{00000000-0005-0000-0000-0000582E0000}"/>
    <cellStyle name="Normal 57 3 2 2 2 3 4 2" xfId="15354" xr:uid="{00000000-0005-0000-0000-0000592E0000}"/>
    <cellStyle name="Normal 57 3 2 2 2 3 5" xfId="10318" xr:uid="{00000000-0005-0000-0000-00005A2E0000}"/>
    <cellStyle name="Normal 57 3 2 2 2 3 5 2" xfId="19145" xr:uid="{00000000-0005-0000-0000-00005B2E0000}"/>
    <cellStyle name="Normal 57 3 2 2 2 3 6" xfId="11764" xr:uid="{00000000-0005-0000-0000-00005C2E0000}"/>
    <cellStyle name="Normal 57 3 2 2 2 3 7" xfId="5457" xr:uid="{00000000-0005-0000-0000-00005D2E0000}"/>
    <cellStyle name="Normal 57 3 2 2 2 4" xfId="1585" xr:uid="{00000000-0005-0000-0000-00005E2E0000}"/>
    <cellStyle name="Normal 57 3 2 2 2 4 2" xfId="3182" xr:uid="{00000000-0005-0000-0000-00005F2E0000}"/>
    <cellStyle name="Normal 57 3 2 2 2 4 2 2" xfId="18095" xr:uid="{00000000-0005-0000-0000-0000602E0000}"/>
    <cellStyle name="Normal 57 3 2 2 2 4 2 3" xfId="14516" xr:uid="{00000000-0005-0000-0000-0000612E0000}"/>
    <cellStyle name="Normal 57 3 2 2 2 4 2 4" xfId="9259" xr:uid="{00000000-0005-0000-0000-0000622E0000}"/>
    <cellStyle name="Normal 57 3 2 2 2 4 3" xfId="10713" xr:uid="{00000000-0005-0000-0000-0000632E0000}"/>
    <cellStyle name="Normal 57 3 2 2 2 4 3 2" xfId="19540" xr:uid="{00000000-0005-0000-0000-0000642E0000}"/>
    <cellStyle name="Normal 57 3 2 2 2 4 4" xfId="12159" xr:uid="{00000000-0005-0000-0000-0000652E0000}"/>
    <cellStyle name="Normal 57 3 2 2 2 4 5" xfId="7154" xr:uid="{00000000-0005-0000-0000-0000662E0000}"/>
    <cellStyle name="Normal 57 3 2 2 2 5" xfId="2139" xr:uid="{00000000-0005-0000-0000-0000672E0000}"/>
    <cellStyle name="Normal 57 3 2 2 2 5 2" xfId="17052" xr:uid="{00000000-0005-0000-0000-0000682E0000}"/>
    <cellStyle name="Normal 57 3 2 2 2 5 3" xfId="13473" xr:uid="{00000000-0005-0000-0000-0000692E0000}"/>
    <cellStyle name="Normal 57 3 2 2 2 5 4" xfId="8216" xr:uid="{00000000-0005-0000-0000-00006A2E0000}"/>
    <cellStyle name="Normal 57 3 2 2 2 6" xfId="5777" xr:uid="{00000000-0005-0000-0000-00006B2E0000}"/>
    <cellStyle name="Normal 57 3 2 2 2 6 2" xfId="14863" xr:uid="{00000000-0005-0000-0000-00006C2E0000}"/>
    <cellStyle name="Normal 57 3 2 2 2 7" xfId="9670" xr:uid="{00000000-0005-0000-0000-00006D2E0000}"/>
    <cellStyle name="Normal 57 3 2 2 2 7 2" xfId="18497" xr:uid="{00000000-0005-0000-0000-00006E2E0000}"/>
    <cellStyle name="Normal 57 3 2 2 2 8" xfId="11114" xr:uid="{00000000-0005-0000-0000-00006F2E0000}"/>
    <cellStyle name="Normal 57 3 2 2 2 9" xfId="4748" xr:uid="{00000000-0005-0000-0000-0000702E0000}"/>
    <cellStyle name="Normal 57 3 2 2 2_Degree data" xfId="1684" xr:uid="{00000000-0005-0000-0000-0000712E0000}"/>
    <cellStyle name="Normal 57 3 2 2 3" xfId="709" xr:uid="{00000000-0005-0000-0000-0000722E0000}"/>
    <cellStyle name="Normal 57 3 2 2 3 2" xfId="2438" xr:uid="{00000000-0005-0000-0000-0000732E0000}"/>
    <cellStyle name="Normal 57 3 2 2 3 2 2" xfId="16068" xr:uid="{00000000-0005-0000-0000-0000742E0000}"/>
    <cellStyle name="Normal 57 3 2 2 3 2 3" xfId="12316" xr:uid="{00000000-0005-0000-0000-0000752E0000}"/>
    <cellStyle name="Normal 57 3 2 2 3 2 4" xfId="7054" xr:uid="{00000000-0005-0000-0000-0000762E0000}"/>
    <cellStyle name="Normal 57 3 2 2 3 3" xfId="3705" xr:uid="{00000000-0005-0000-0000-0000772E0000}"/>
    <cellStyle name="Normal 57 3 2 2 3 3 2" xfId="17351" xr:uid="{00000000-0005-0000-0000-0000782E0000}"/>
    <cellStyle name="Normal 57 3 2 2 3 3 3" xfId="13772" xr:uid="{00000000-0005-0000-0000-0000792E0000}"/>
    <cellStyle name="Normal 57 3 2 2 3 3 4" xfId="8515" xr:uid="{00000000-0005-0000-0000-00007A2E0000}"/>
    <cellStyle name="Normal 57 3 2 2 3 4" xfId="6170" xr:uid="{00000000-0005-0000-0000-00007B2E0000}"/>
    <cellStyle name="Normal 57 3 2 2 3 4 2" xfId="15254" xr:uid="{00000000-0005-0000-0000-00007C2E0000}"/>
    <cellStyle name="Normal 57 3 2 2 3 5" xfId="9969" xr:uid="{00000000-0005-0000-0000-00007D2E0000}"/>
    <cellStyle name="Normal 57 3 2 2 3 5 2" xfId="18796" xr:uid="{00000000-0005-0000-0000-00007E2E0000}"/>
    <cellStyle name="Normal 57 3 2 2 3 6" xfId="11414" xr:uid="{00000000-0005-0000-0000-00007F2E0000}"/>
    <cellStyle name="Normal 57 3 2 2 3 7" xfId="4648" xr:uid="{00000000-0005-0000-0000-0000802E0000}"/>
    <cellStyle name="Normal 57 3 2 2 4" xfId="1066" xr:uid="{00000000-0005-0000-0000-0000812E0000}"/>
    <cellStyle name="Normal 57 3 2 2 4 2" xfId="2786" xr:uid="{00000000-0005-0000-0000-0000822E0000}"/>
    <cellStyle name="Normal 57 3 2 2 4 2 2" xfId="16326" xr:uid="{00000000-0005-0000-0000-0000832E0000}"/>
    <cellStyle name="Normal 57 3 2 2 4 2 3" xfId="12748" xr:uid="{00000000-0005-0000-0000-0000842E0000}"/>
    <cellStyle name="Normal 57 3 2 2 4 2 4" xfId="7458" xr:uid="{00000000-0005-0000-0000-0000852E0000}"/>
    <cellStyle name="Normal 57 3 2 2 4 3" xfId="4054" xr:uid="{00000000-0005-0000-0000-0000862E0000}"/>
    <cellStyle name="Normal 57 3 2 2 4 3 2" xfId="17699" xr:uid="{00000000-0005-0000-0000-0000872E0000}"/>
    <cellStyle name="Normal 57 3 2 2 4 3 3" xfId="14120" xr:uid="{00000000-0005-0000-0000-0000882E0000}"/>
    <cellStyle name="Normal 57 3 2 2 4 3 4" xfId="8863" xr:uid="{00000000-0005-0000-0000-0000892E0000}"/>
    <cellStyle name="Normal 57 3 2 2 4 4" xfId="6574" xr:uid="{00000000-0005-0000-0000-00008A2E0000}"/>
    <cellStyle name="Normal 57 3 2 2 4 4 2" xfId="15658" xr:uid="{00000000-0005-0000-0000-00008B2E0000}"/>
    <cellStyle name="Normal 57 3 2 2 4 5" xfId="10317" xr:uid="{00000000-0005-0000-0000-00008C2E0000}"/>
    <cellStyle name="Normal 57 3 2 2 4 5 2" xfId="19144" xr:uid="{00000000-0005-0000-0000-00008D2E0000}"/>
    <cellStyle name="Normal 57 3 2 2 4 6" xfId="11763" xr:uid="{00000000-0005-0000-0000-00008E2E0000}"/>
    <cellStyle name="Normal 57 3 2 2 4 7" xfId="5052" xr:uid="{00000000-0005-0000-0000-00008F2E0000}"/>
    <cellStyle name="Normal 57 3 2 2 5" xfId="1483" xr:uid="{00000000-0005-0000-0000-0000902E0000}"/>
    <cellStyle name="Normal 57 3 2 2 5 2" xfId="3082" xr:uid="{00000000-0005-0000-0000-0000912E0000}"/>
    <cellStyle name="Normal 57 3 2 2 5 2 2" xfId="16631" xr:uid="{00000000-0005-0000-0000-0000922E0000}"/>
    <cellStyle name="Normal 57 3 2 2 5 2 3" xfId="13052" xr:uid="{00000000-0005-0000-0000-0000932E0000}"/>
    <cellStyle name="Normal 57 3 2 2 5 2 4" xfId="7763" xr:uid="{00000000-0005-0000-0000-0000942E0000}"/>
    <cellStyle name="Normal 57 3 2 2 5 3" xfId="4290" xr:uid="{00000000-0005-0000-0000-0000952E0000}"/>
    <cellStyle name="Normal 57 3 2 2 5 3 2" xfId="17995" xr:uid="{00000000-0005-0000-0000-0000962E0000}"/>
    <cellStyle name="Normal 57 3 2 2 5 3 3" xfId="14416" xr:uid="{00000000-0005-0000-0000-0000972E0000}"/>
    <cellStyle name="Normal 57 3 2 2 5 3 4" xfId="9159" xr:uid="{00000000-0005-0000-0000-0000982E0000}"/>
    <cellStyle name="Normal 57 3 2 2 5 4" xfId="5951" xr:uid="{00000000-0005-0000-0000-0000992E0000}"/>
    <cellStyle name="Normal 57 3 2 2 5 4 2" xfId="15037" xr:uid="{00000000-0005-0000-0000-00009A2E0000}"/>
    <cellStyle name="Normal 57 3 2 2 5 5" xfId="10613" xr:uid="{00000000-0005-0000-0000-00009B2E0000}"/>
    <cellStyle name="Normal 57 3 2 2 5 5 2" xfId="19440" xr:uid="{00000000-0005-0000-0000-00009C2E0000}"/>
    <cellStyle name="Normal 57 3 2 2 5 6" xfId="12059" xr:uid="{00000000-0005-0000-0000-00009D2E0000}"/>
    <cellStyle name="Normal 57 3 2 2 5 7" xfId="5357" xr:uid="{00000000-0005-0000-0000-00009E2E0000}"/>
    <cellStyle name="Normal 57 3 2 2 6" xfId="2039" xr:uid="{00000000-0005-0000-0000-00009F2E0000}"/>
    <cellStyle name="Normal 57 3 2 2 6 2" xfId="15880" xr:uid="{00000000-0005-0000-0000-0000A02E0000}"/>
    <cellStyle name="Normal 57 3 2 2 6 3" xfId="12360" xr:uid="{00000000-0005-0000-0000-0000A12E0000}"/>
    <cellStyle name="Normal 57 3 2 2 6 4" xfId="6837" xr:uid="{00000000-0005-0000-0000-0000A22E0000}"/>
    <cellStyle name="Normal 57 3 2 2 7" xfId="3452" xr:uid="{00000000-0005-0000-0000-0000A32E0000}"/>
    <cellStyle name="Normal 57 3 2 2 7 2" xfId="16952" xr:uid="{00000000-0005-0000-0000-0000A42E0000}"/>
    <cellStyle name="Normal 57 3 2 2 7 3" xfId="13373" xr:uid="{00000000-0005-0000-0000-0000A52E0000}"/>
    <cellStyle name="Normal 57 3 2 2 7 4" xfId="8116" xr:uid="{00000000-0005-0000-0000-0000A62E0000}"/>
    <cellStyle name="Normal 57 3 2 2 8" xfId="5677" xr:uid="{00000000-0005-0000-0000-0000A72E0000}"/>
    <cellStyle name="Normal 57 3 2 2 8 2" xfId="14763" xr:uid="{00000000-0005-0000-0000-0000A82E0000}"/>
    <cellStyle name="Normal 57 3 2 2 9" xfId="9570" xr:uid="{00000000-0005-0000-0000-0000A92E0000}"/>
    <cellStyle name="Normal 57 3 2 2 9 2" xfId="18397" xr:uid="{00000000-0005-0000-0000-0000AA2E0000}"/>
    <cellStyle name="Normal 57 3 2 2_Degree data" xfId="1683" xr:uid="{00000000-0005-0000-0000-0000AB2E0000}"/>
    <cellStyle name="Normal 57 3 2 3" xfId="220" xr:uid="{00000000-0005-0000-0000-0000AC2E0000}"/>
    <cellStyle name="Normal 57 3 2 3 10" xfId="10971" xr:uid="{00000000-0005-0000-0000-0000AD2E0000}"/>
    <cellStyle name="Normal 57 3 2 3 11" xfId="4492" xr:uid="{00000000-0005-0000-0000-0000AE2E0000}"/>
    <cellStyle name="Normal 57 3 2 3 2" xfId="433" xr:uid="{00000000-0005-0000-0000-0000AF2E0000}"/>
    <cellStyle name="Normal 57 3 2 3 2 2" xfId="712" xr:uid="{00000000-0005-0000-0000-0000B02E0000}"/>
    <cellStyle name="Normal 57 3 2 3 2 2 2" xfId="2441" xr:uid="{00000000-0005-0000-0000-0000B12E0000}"/>
    <cellStyle name="Normal 57 3 2 3 2 2 2 2" xfId="16329" xr:uid="{00000000-0005-0000-0000-0000B22E0000}"/>
    <cellStyle name="Normal 57 3 2 3 2 2 2 3" xfId="12751" xr:uid="{00000000-0005-0000-0000-0000B32E0000}"/>
    <cellStyle name="Normal 57 3 2 3 2 2 2 4" xfId="7461" xr:uid="{00000000-0005-0000-0000-0000B42E0000}"/>
    <cellStyle name="Normal 57 3 2 3 2 2 3" xfId="3708" xr:uid="{00000000-0005-0000-0000-0000B52E0000}"/>
    <cellStyle name="Normal 57 3 2 3 2 2 3 2" xfId="17354" xr:uid="{00000000-0005-0000-0000-0000B62E0000}"/>
    <cellStyle name="Normal 57 3 2 3 2 2 3 3" xfId="13775" xr:uid="{00000000-0005-0000-0000-0000B72E0000}"/>
    <cellStyle name="Normal 57 3 2 3 2 2 3 4" xfId="8518" xr:uid="{00000000-0005-0000-0000-0000B82E0000}"/>
    <cellStyle name="Normal 57 3 2 3 2 2 4" xfId="6577" xr:uid="{00000000-0005-0000-0000-0000B92E0000}"/>
    <cellStyle name="Normal 57 3 2 3 2 2 4 2" xfId="15661" xr:uid="{00000000-0005-0000-0000-0000BA2E0000}"/>
    <cellStyle name="Normal 57 3 2 3 2 2 5" xfId="9972" xr:uid="{00000000-0005-0000-0000-0000BB2E0000}"/>
    <cellStyle name="Normal 57 3 2 3 2 2 5 2" xfId="18799" xr:uid="{00000000-0005-0000-0000-0000BC2E0000}"/>
    <cellStyle name="Normal 57 3 2 3 2 2 6" xfId="11417" xr:uid="{00000000-0005-0000-0000-0000BD2E0000}"/>
    <cellStyle name="Normal 57 3 2 3 2 2 7" xfId="5055" xr:uid="{00000000-0005-0000-0000-0000BE2E0000}"/>
    <cellStyle name="Normal 57 3 2 3 2 3" xfId="1069" xr:uid="{00000000-0005-0000-0000-0000BF2E0000}"/>
    <cellStyle name="Normal 57 3 2 3 2 3 2" xfId="2789" xr:uid="{00000000-0005-0000-0000-0000C02E0000}"/>
    <cellStyle name="Normal 57 3 2 3 2 3 2 2" xfId="16792" xr:uid="{00000000-0005-0000-0000-0000C12E0000}"/>
    <cellStyle name="Normal 57 3 2 3 2 3 2 3" xfId="13213" xr:uid="{00000000-0005-0000-0000-0000C22E0000}"/>
    <cellStyle name="Normal 57 3 2 3 2 3 2 4" xfId="7924" xr:uid="{00000000-0005-0000-0000-0000C32E0000}"/>
    <cellStyle name="Normal 57 3 2 3 2 3 3" xfId="4057" xr:uid="{00000000-0005-0000-0000-0000C42E0000}"/>
    <cellStyle name="Normal 57 3 2 3 2 3 3 2" xfId="17702" xr:uid="{00000000-0005-0000-0000-0000C52E0000}"/>
    <cellStyle name="Normal 57 3 2 3 2 3 3 3" xfId="14123" xr:uid="{00000000-0005-0000-0000-0000C62E0000}"/>
    <cellStyle name="Normal 57 3 2 3 2 3 3 4" xfId="8866" xr:uid="{00000000-0005-0000-0000-0000C72E0000}"/>
    <cellStyle name="Normal 57 3 2 3 2 3 4" xfId="6331" xr:uid="{00000000-0005-0000-0000-0000C82E0000}"/>
    <cellStyle name="Normal 57 3 2 3 2 3 4 2" xfId="15415" xr:uid="{00000000-0005-0000-0000-0000C92E0000}"/>
    <cellStyle name="Normal 57 3 2 3 2 3 5" xfId="10320" xr:uid="{00000000-0005-0000-0000-0000CA2E0000}"/>
    <cellStyle name="Normal 57 3 2 3 2 3 5 2" xfId="19147" xr:uid="{00000000-0005-0000-0000-0000CB2E0000}"/>
    <cellStyle name="Normal 57 3 2 3 2 3 6" xfId="11766" xr:uid="{00000000-0005-0000-0000-0000CC2E0000}"/>
    <cellStyle name="Normal 57 3 2 3 2 3 7" xfId="5518" xr:uid="{00000000-0005-0000-0000-0000CD2E0000}"/>
    <cellStyle name="Normal 57 3 2 3 2 4" xfId="1647" xr:uid="{00000000-0005-0000-0000-0000CE2E0000}"/>
    <cellStyle name="Normal 57 3 2 3 2 4 2" xfId="3243" xr:uid="{00000000-0005-0000-0000-0000CF2E0000}"/>
    <cellStyle name="Normal 57 3 2 3 2 4 2 2" xfId="18156" xr:uid="{00000000-0005-0000-0000-0000D02E0000}"/>
    <cellStyle name="Normal 57 3 2 3 2 4 2 3" xfId="14577" xr:uid="{00000000-0005-0000-0000-0000D12E0000}"/>
    <cellStyle name="Normal 57 3 2 3 2 4 2 4" xfId="9320" xr:uid="{00000000-0005-0000-0000-0000D22E0000}"/>
    <cellStyle name="Normal 57 3 2 3 2 4 3" xfId="10774" xr:uid="{00000000-0005-0000-0000-0000D32E0000}"/>
    <cellStyle name="Normal 57 3 2 3 2 4 3 2" xfId="19601" xr:uid="{00000000-0005-0000-0000-0000D42E0000}"/>
    <cellStyle name="Normal 57 3 2 3 2 4 4" xfId="12220" xr:uid="{00000000-0005-0000-0000-0000D52E0000}"/>
    <cellStyle name="Normal 57 3 2 3 2 4 5" xfId="7215" xr:uid="{00000000-0005-0000-0000-0000D62E0000}"/>
    <cellStyle name="Normal 57 3 2 3 2 5" xfId="2200" xr:uid="{00000000-0005-0000-0000-0000D72E0000}"/>
    <cellStyle name="Normal 57 3 2 3 2 5 2" xfId="17113" xr:uid="{00000000-0005-0000-0000-0000D82E0000}"/>
    <cellStyle name="Normal 57 3 2 3 2 5 3" xfId="13534" xr:uid="{00000000-0005-0000-0000-0000D92E0000}"/>
    <cellStyle name="Normal 57 3 2 3 2 5 4" xfId="8277" xr:uid="{00000000-0005-0000-0000-0000DA2E0000}"/>
    <cellStyle name="Normal 57 3 2 3 2 6" xfId="5838" xr:uid="{00000000-0005-0000-0000-0000DB2E0000}"/>
    <cellStyle name="Normal 57 3 2 3 2 6 2" xfId="14924" xr:uid="{00000000-0005-0000-0000-0000DC2E0000}"/>
    <cellStyle name="Normal 57 3 2 3 2 7" xfId="9731" xr:uid="{00000000-0005-0000-0000-0000DD2E0000}"/>
    <cellStyle name="Normal 57 3 2 3 2 7 2" xfId="18558" xr:uid="{00000000-0005-0000-0000-0000DE2E0000}"/>
    <cellStyle name="Normal 57 3 2 3 2 8" xfId="11175" xr:uid="{00000000-0005-0000-0000-0000DF2E0000}"/>
    <cellStyle name="Normal 57 3 2 3 2 9" xfId="4809" xr:uid="{00000000-0005-0000-0000-0000E02E0000}"/>
    <cellStyle name="Normal 57 3 2 3 2_Degree data" xfId="1686" xr:uid="{00000000-0005-0000-0000-0000E12E0000}"/>
    <cellStyle name="Normal 57 3 2 3 3" xfId="711" xr:uid="{00000000-0005-0000-0000-0000E22E0000}"/>
    <cellStyle name="Normal 57 3 2 3 3 2" xfId="2440" xr:uid="{00000000-0005-0000-0000-0000E32E0000}"/>
    <cellStyle name="Normal 57 3 2 3 3 2 2" xfId="16025" xr:uid="{00000000-0005-0000-0000-0000E42E0000}"/>
    <cellStyle name="Normal 57 3 2 3 3 2 3" xfId="12389" xr:uid="{00000000-0005-0000-0000-0000E52E0000}"/>
    <cellStyle name="Normal 57 3 2 3 3 2 4" xfId="7011" xr:uid="{00000000-0005-0000-0000-0000E62E0000}"/>
    <cellStyle name="Normal 57 3 2 3 3 3" xfId="3707" xr:uid="{00000000-0005-0000-0000-0000E72E0000}"/>
    <cellStyle name="Normal 57 3 2 3 3 3 2" xfId="17353" xr:uid="{00000000-0005-0000-0000-0000E82E0000}"/>
    <cellStyle name="Normal 57 3 2 3 3 3 3" xfId="13774" xr:uid="{00000000-0005-0000-0000-0000E92E0000}"/>
    <cellStyle name="Normal 57 3 2 3 3 3 4" xfId="8517" xr:uid="{00000000-0005-0000-0000-0000EA2E0000}"/>
    <cellStyle name="Normal 57 3 2 3 3 4" xfId="6127" xr:uid="{00000000-0005-0000-0000-0000EB2E0000}"/>
    <cellStyle name="Normal 57 3 2 3 3 4 2" xfId="15211" xr:uid="{00000000-0005-0000-0000-0000EC2E0000}"/>
    <cellStyle name="Normal 57 3 2 3 3 5" xfId="9971" xr:uid="{00000000-0005-0000-0000-0000ED2E0000}"/>
    <cellStyle name="Normal 57 3 2 3 3 5 2" xfId="18798" xr:uid="{00000000-0005-0000-0000-0000EE2E0000}"/>
    <cellStyle name="Normal 57 3 2 3 3 6" xfId="11416" xr:uid="{00000000-0005-0000-0000-0000EF2E0000}"/>
    <cellStyle name="Normal 57 3 2 3 3 7" xfId="4605" xr:uid="{00000000-0005-0000-0000-0000F02E0000}"/>
    <cellStyle name="Normal 57 3 2 3 4" xfId="1068" xr:uid="{00000000-0005-0000-0000-0000F12E0000}"/>
    <cellStyle name="Normal 57 3 2 3 4 2" xfId="2788" xr:uid="{00000000-0005-0000-0000-0000F22E0000}"/>
    <cellStyle name="Normal 57 3 2 3 4 2 2" xfId="16328" xr:uid="{00000000-0005-0000-0000-0000F32E0000}"/>
    <cellStyle name="Normal 57 3 2 3 4 2 3" xfId="12750" xr:uid="{00000000-0005-0000-0000-0000F42E0000}"/>
    <cellStyle name="Normal 57 3 2 3 4 2 4" xfId="7460" xr:uid="{00000000-0005-0000-0000-0000F52E0000}"/>
    <cellStyle name="Normal 57 3 2 3 4 3" xfId="4056" xr:uid="{00000000-0005-0000-0000-0000F62E0000}"/>
    <cellStyle name="Normal 57 3 2 3 4 3 2" xfId="17701" xr:uid="{00000000-0005-0000-0000-0000F72E0000}"/>
    <cellStyle name="Normal 57 3 2 3 4 3 3" xfId="14122" xr:uid="{00000000-0005-0000-0000-0000F82E0000}"/>
    <cellStyle name="Normal 57 3 2 3 4 3 4" xfId="8865" xr:uid="{00000000-0005-0000-0000-0000F92E0000}"/>
    <cellStyle name="Normal 57 3 2 3 4 4" xfId="6576" xr:uid="{00000000-0005-0000-0000-0000FA2E0000}"/>
    <cellStyle name="Normal 57 3 2 3 4 4 2" xfId="15660" xr:uid="{00000000-0005-0000-0000-0000FB2E0000}"/>
    <cellStyle name="Normal 57 3 2 3 4 5" xfId="10319" xr:uid="{00000000-0005-0000-0000-0000FC2E0000}"/>
    <cellStyle name="Normal 57 3 2 3 4 5 2" xfId="19146" xr:uid="{00000000-0005-0000-0000-0000FD2E0000}"/>
    <cellStyle name="Normal 57 3 2 3 4 6" xfId="11765" xr:uid="{00000000-0005-0000-0000-0000FE2E0000}"/>
    <cellStyle name="Normal 57 3 2 3 4 7" xfId="5054" xr:uid="{00000000-0005-0000-0000-0000FF2E0000}"/>
    <cellStyle name="Normal 57 3 2 3 5" xfId="1438" xr:uid="{00000000-0005-0000-0000-0000002F0000}"/>
    <cellStyle name="Normal 57 3 2 3 5 2" xfId="3039" xr:uid="{00000000-0005-0000-0000-0000012F0000}"/>
    <cellStyle name="Normal 57 3 2 3 5 2 2" xfId="16588" xr:uid="{00000000-0005-0000-0000-0000022F0000}"/>
    <cellStyle name="Normal 57 3 2 3 5 2 3" xfId="13009" xr:uid="{00000000-0005-0000-0000-0000032F0000}"/>
    <cellStyle name="Normal 57 3 2 3 5 2 4" xfId="7720" xr:uid="{00000000-0005-0000-0000-0000042F0000}"/>
    <cellStyle name="Normal 57 3 2 3 5 3" xfId="4247" xr:uid="{00000000-0005-0000-0000-0000052F0000}"/>
    <cellStyle name="Normal 57 3 2 3 5 3 2" xfId="17952" xr:uid="{00000000-0005-0000-0000-0000062F0000}"/>
    <cellStyle name="Normal 57 3 2 3 5 3 3" xfId="14373" xr:uid="{00000000-0005-0000-0000-0000072F0000}"/>
    <cellStyle name="Normal 57 3 2 3 5 3 4" xfId="9116" xr:uid="{00000000-0005-0000-0000-0000082F0000}"/>
    <cellStyle name="Normal 57 3 2 3 5 4" xfId="6012" xr:uid="{00000000-0005-0000-0000-0000092F0000}"/>
    <cellStyle name="Normal 57 3 2 3 5 4 2" xfId="15098" xr:uid="{00000000-0005-0000-0000-00000A2F0000}"/>
    <cellStyle name="Normal 57 3 2 3 5 5" xfId="10570" xr:uid="{00000000-0005-0000-0000-00000B2F0000}"/>
    <cellStyle name="Normal 57 3 2 3 5 5 2" xfId="19397" xr:uid="{00000000-0005-0000-0000-00000C2F0000}"/>
    <cellStyle name="Normal 57 3 2 3 5 6" xfId="12016" xr:uid="{00000000-0005-0000-0000-00000D2F0000}"/>
    <cellStyle name="Normal 57 3 2 3 5 7" xfId="5314" xr:uid="{00000000-0005-0000-0000-00000E2F0000}"/>
    <cellStyle name="Normal 57 3 2 3 6" xfId="1996" xr:uid="{00000000-0005-0000-0000-00000F2F0000}"/>
    <cellStyle name="Normal 57 3 2 3 6 2" xfId="15941" xr:uid="{00000000-0005-0000-0000-0000102F0000}"/>
    <cellStyle name="Normal 57 3 2 3 6 3" xfId="12477" xr:uid="{00000000-0005-0000-0000-0000112F0000}"/>
    <cellStyle name="Normal 57 3 2 3 6 4" xfId="6898" xr:uid="{00000000-0005-0000-0000-0000122F0000}"/>
    <cellStyle name="Normal 57 3 2 3 7" xfId="3409" xr:uid="{00000000-0005-0000-0000-0000132F0000}"/>
    <cellStyle name="Normal 57 3 2 3 7 2" xfId="16909" xr:uid="{00000000-0005-0000-0000-0000142F0000}"/>
    <cellStyle name="Normal 57 3 2 3 7 3" xfId="13330" xr:uid="{00000000-0005-0000-0000-0000152F0000}"/>
    <cellStyle name="Normal 57 3 2 3 7 4" xfId="8073" xr:uid="{00000000-0005-0000-0000-0000162F0000}"/>
    <cellStyle name="Normal 57 3 2 3 8" xfId="5634" xr:uid="{00000000-0005-0000-0000-0000172F0000}"/>
    <cellStyle name="Normal 57 3 2 3 8 2" xfId="14720" xr:uid="{00000000-0005-0000-0000-0000182F0000}"/>
    <cellStyle name="Normal 57 3 2 3 9" xfId="9527" xr:uid="{00000000-0005-0000-0000-0000192F0000}"/>
    <cellStyle name="Normal 57 3 2 3 9 2" xfId="18354" xr:uid="{00000000-0005-0000-0000-00001A2F0000}"/>
    <cellStyle name="Normal 57 3 2 3_Degree data" xfId="1685" xr:uid="{00000000-0005-0000-0000-00001B2F0000}"/>
    <cellStyle name="Normal 57 3 2 4" xfId="328" xr:uid="{00000000-0005-0000-0000-00001C2F0000}"/>
    <cellStyle name="Normal 57 3 2 4 2" xfId="713" xr:uid="{00000000-0005-0000-0000-00001D2F0000}"/>
    <cellStyle name="Normal 57 3 2 4 2 2" xfId="2442" xr:uid="{00000000-0005-0000-0000-00001E2F0000}"/>
    <cellStyle name="Normal 57 3 2 4 2 2 2" xfId="16330" xr:uid="{00000000-0005-0000-0000-00001F2F0000}"/>
    <cellStyle name="Normal 57 3 2 4 2 2 3" xfId="12752" xr:uid="{00000000-0005-0000-0000-0000202F0000}"/>
    <cellStyle name="Normal 57 3 2 4 2 2 4" xfId="7462" xr:uid="{00000000-0005-0000-0000-0000212F0000}"/>
    <cellStyle name="Normal 57 3 2 4 2 3" xfId="3709" xr:uid="{00000000-0005-0000-0000-0000222F0000}"/>
    <cellStyle name="Normal 57 3 2 4 2 3 2" xfId="17355" xr:uid="{00000000-0005-0000-0000-0000232F0000}"/>
    <cellStyle name="Normal 57 3 2 4 2 3 3" xfId="13776" xr:uid="{00000000-0005-0000-0000-0000242F0000}"/>
    <cellStyle name="Normal 57 3 2 4 2 3 4" xfId="8519" xr:uid="{00000000-0005-0000-0000-0000252F0000}"/>
    <cellStyle name="Normal 57 3 2 4 2 4" xfId="6578" xr:uid="{00000000-0005-0000-0000-0000262F0000}"/>
    <cellStyle name="Normal 57 3 2 4 2 4 2" xfId="15662" xr:uid="{00000000-0005-0000-0000-0000272F0000}"/>
    <cellStyle name="Normal 57 3 2 4 2 5" xfId="9973" xr:uid="{00000000-0005-0000-0000-0000282F0000}"/>
    <cellStyle name="Normal 57 3 2 4 2 5 2" xfId="18800" xr:uid="{00000000-0005-0000-0000-0000292F0000}"/>
    <cellStyle name="Normal 57 3 2 4 2 6" xfId="11418" xr:uid="{00000000-0005-0000-0000-00002A2F0000}"/>
    <cellStyle name="Normal 57 3 2 4 2 7" xfId="5056" xr:uid="{00000000-0005-0000-0000-00002B2F0000}"/>
    <cellStyle name="Normal 57 3 2 4 3" xfId="1070" xr:uid="{00000000-0005-0000-0000-00002C2F0000}"/>
    <cellStyle name="Normal 57 3 2 4 3 2" xfId="2790" xr:uid="{00000000-0005-0000-0000-00002D2F0000}"/>
    <cellStyle name="Normal 57 3 2 4 3 2 2" xfId="16688" xr:uid="{00000000-0005-0000-0000-00002E2F0000}"/>
    <cellStyle name="Normal 57 3 2 4 3 2 3" xfId="13109" xr:uid="{00000000-0005-0000-0000-00002F2F0000}"/>
    <cellStyle name="Normal 57 3 2 4 3 2 4" xfId="7820" xr:uid="{00000000-0005-0000-0000-0000302F0000}"/>
    <cellStyle name="Normal 57 3 2 4 3 3" xfId="4058" xr:uid="{00000000-0005-0000-0000-0000312F0000}"/>
    <cellStyle name="Normal 57 3 2 4 3 3 2" xfId="17703" xr:uid="{00000000-0005-0000-0000-0000322F0000}"/>
    <cellStyle name="Normal 57 3 2 4 3 3 3" xfId="14124" xr:uid="{00000000-0005-0000-0000-0000332F0000}"/>
    <cellStyle name="Normal 57 3 2 4 3 3 4" xfId="8867" xr:uid="{00000000-0005-0000-0000-0000342F0000}"/>
    <cellStyle name="Normal 57 3 2 4 3 4" xfId="6227" xr:uid="{00000000-0005-0000-0000-0000352F0000}"/>
    <cellStyle name="Normal 57 3 2 4 3 4 2" xfId="15311" xr:uid="{00000000-0005-0000-0000-0000362F0000}"/>
    <cellStyle name="Normal 57 3 2 4 3 5" xfId="10321" xr:uid="{00000000-0005-0000-0000-0000372F0000}"/>
    <cellStyle name="Normal 57 3 2 4 3 5 2" xfId="19148" xr:uid="{00000000-0005-0000-0000-0000382F0000}"/>
    <cellStyle name="Normal 57 3 2 4 3 6" xfId="11767" xr:uid="{00000000-0005-0000-0000-0000392F0000}"/>
    <cellStyle name="Normal 57 3 2 4 3 7" xfId="5414" xr:uid="{00000000-0005-0000-0000-00003A2F0000}"/>
    <cellStyle name="Normal 57 3 2 4 4" xfId="1540" xr:uid="{00000000-0005-0000-0000-00003B2F0000}"/>
    <cellStyle name="Normal 57 3 2 4 4 2" xfId="3139" xr:uid="{00000000-0005-0000-0000-00003C2F0000}"/>
    <cellStyle name="Normal 57 3 2 4 4 2 2" xfId="18052" xr:uid="{00000000-0005-0000-0000-00003D2F0000}"/>
    <cellStyle name="Normal 57 3 2 4 4 2 3" xfId="14473" xr:uid="{00000000-0005-0000-0000-00003E2F0000}"/>
    <cellStyle name="Normal 57 3 2 4 4 2 4" xfId="9216" xr:uid="{00000000-0005-0000-0000-00003F2F0000}"/>
    <cellStyle name="Normal 57 3 2 4 4 3" xfId="10670" xr:uid="{00000000-0005-0000-0000-0000402F0000}"/>
    <cellStyle name="Normal 57 3 2 4 4 3 2" xfId="19497" xr:uid="{00000000-0005-0000-0000-0000412F0000}"/>
    <cellStyle name="Normal 57 3 2 4 4 4" xfId="12116" xr:uid="{00000000-0005-0000-0000-0000422F0000}"/>
    <cellStyle name="Normal 57 3 2 4 4 5" xfId="7111" xr:uid="{00000000-0005-0000-0000-0000432F0000}"/>
    <cellStyle name="Normal 57 3 2 4 5" xfId="2096" xr:uid="{00000000-0005-0000-0000-0000442F0000}"/>
    <cellStyle name="Normal 57 3 2 4 5 2" xfId="17009" xr:uid="{00000000-0005-0000-0000-0000452F0000}"/>
    <cellStyle name="Normal 57 3 2 4 5 3" xfId="13430" xr:uid="{00000000-0005-0000-0000-0000462F0000}"/>
    <cellStyle name="Normal 57 3 2 4 5 4" xfId="8173" xr:uid="{00000000-0005-0000-0000-0000472F0000}"/>
    <cellStyle name="Normal 57 3 2 4 6" xfId="5734" xr:uid="{00000000-0005-0000-0000-0000482F0000}"/>
    <cellStyle name="Normal 57 3 2 4 6 2" xfId="14820" xr:uid="{00000000-0005-0000-0000-0000492F0000}"/>
    <cellStyle name="Normal 57 3 2 4 7" xfId="9627" xr:uid="{00000000-0005-0000-0000-00004A2F0000}"/>
    <cellStyle name="Normal 57 3 2 4 7 2" xfId="18454" xr:uid="{00000000-0005-0000-0000-00004B2F0000}"/>
    <cellStyle name="Normal 57 3 2 4 8" xfId="11071" xr:uid="{00000000-0005-0000-0000-00004C2F0000}"/>
    <cellStyle name="Normal 57 3 2 4 9" xfId="4705" xr:uid="{00000000-0005-0000-0000-00004D2F0000}"/>
    <cellStyle name="Normal 57 3 2 4_Degree data" xfId="1687" xr:uid="{00000000-0005-0000-0000-00004E2F0000}"/>
    <cellStyle name="Normal 57 3 2 5" xfId="479" xr:uid="{00000000-0005-0000-0000-00004F2F0000}"/>
    <cellStyle name="Normal 57 3 2 5 2" xfId="714" xr:uid="{00000000-0005-0000-0000-0000502F0000}"/>
    <cellStyle name="Normal 57 3 2 5 2 2" xfId="2443" xr:uid="{00000000-0005-0000-0000-0000512F0000}"/>
    <cellStyle name="Normal 57 3 2 5 2 2 2" xfId="16331" xr:uid="{00000000-0005-0000-0000-0000522F0000}"/>
    <cellStyle name="Normal 57 3 2 5 2 2 3" xfId="12753" xr:uid="{00000000-0005-0000-0000-0000532F0000}"/>
    <cellStyle name="Normal 57 3 2 5 2 2 4" xfId="7463" xr:uid="{00000000-0005-0000-0000-0000542F0000}"/>
    <cellStyle name="Normal 57 3 2 5 2 3" xfId="3710" xr:uid="{00000000-0005-0000-0000-0000552F0000}"/>
    <cellStyle name="Normal 57 3 2 5 2 3 2" xfId="17356" xr:uid="{00000000-0005-0000-0000-0000562F0000}"/>
    <cellStyle name="Normal 57 3 2 5 2 3 3" xfId="13777" xr:uid="{00000000-0005-0000-0000-0000572F0000}"/>
    <cellStyle name="Normal 57 3 2 5 2 3 4" xfId="8520" xr:uid="{00000000-0005-0000-0000-0000582F0000}"/>
    <cellStyle name="Normal 57 3 2 5 2 4" xfId="6579" xr:uid="{00000000-0005-0000-0000-0000592F0000}"/>
    <cellStyle name="Normal 57 3 2 5 2 4 2" xfId="15663" xr:uid="{00000000-0005-0000-0000-00005A2F0000}"/>
    <cellStyle name="Normal 57 3 2 5 2 5" xfId="9974" xr:uid="{00000000-0005-0000-0000-00005B2F0000}"/>
    <cellStyle name="Normal 57 3 2 5 2 5 2" xfId="18801" xr:uid="{00000000-0005-0000-0000-00005C2F0000}"/>
    <cellStyle name="Normal 57 3 2 5 2 6" xfId="11419" xr:uid="{00000000-0005-0000-0000-00005D2F0000}"/>
    <cellStyle name="Normal 57 3 2 5 2 7" xfId="5057" xr:uid="{00000000-0005-0000-0000-00005E2F0000}"/>
    <cellStyle name="Normal 57 3 2 5 3" xfId="1071" xr:uid="{00000000-0005-0000-0000-00005F2F0000}"/>
    <cellStyle name="Normal 57 3 2 5 3 2" xfId="2791" xr:uid="{00000000-0005-0000-0000-0000602F0000}"/>
    <cellStyle name="Normal 57 3 2 5 3 2 2" xfId="16531" xr:uid="{00000000-0005-0000-0000-0000612F0000}"/>
    <cellStyle name="Normal 57 3 2 5 3 2 3" xfId="12952" xr:uid="{00000000-0005-0000-0000-0000622F0000}"/>
    <cellStyle name="Normal 57 3 2 5 3 2 4" xfId="7663" xr:uid="{00000000-0005-0000-0000-0000632F0000}"/>
    <cellStyle name="Normal 57 3 2 5 3 3" xfId="4059" xr:uid="{00000000-0005-0000-0000-0000642F0000}"/>
    <cellStyle name="Normal 57 3 2 5 3 3 2" xfId="17704" xr:uid="{00000000-0005-0000-0000-0000652F0000}"/>
    <cellStyle name="Normal 57 3 2 5 3 3 3" xfId="14125" xr:uid="{00000000-0005-0000-0000-0000662F0000}"/>
    <cellStyle name="Normal 57 3 2 5 3 3 4" xfId="8868" xr:uid="{00000000-0005-0000-0000-0000672F0000}"/>
    <cellStyle name="Normal 57 3 2 5 3 4" xfId="6739" xr:uid="{00000000-0005-0000-0000-0000682F0000}"/>
    <cellStyle name="Normal 57 3 2 5 3 4 2" xfId="15822" xr:uid="{00000000-0005-0000-0000-0000692F0000}"/>
    <cellStyle name="Normal 57 3 2 5 3 5" xfId="10322" xr:uid="{00000000-0005-0000-0000-00006A2F0000}"/>
    <cellStyle name="Normal 57 3 2 5 3 5 2" xfId="19149" xr:uid="{00000000-0005-0000-0000-00006B2F0000}"/>
    <cellStyle name="Normal 57 3 2 5 3 6" xfId="11768" xr:uid="{00000000-0005-0000-0000-00006C2F0000}"/>
    <cellStyle name="Normal 57 3 2 5 3 7" xfId="5257" xr:uid="{00000000-0005-0000-0000-00006D2F0000}"/>
    <cellStyle name="Normal 57 3 2 5 4" xfId="1372" xr:uid="{00000000-0005-0000-0000-00006E2F0000}"/>
    <cellStyle name="Normal 57 3 2 5 4 2" xfId="2982" xr:uid="{00000000-0005-0000-0000-00006F2F0000}"/>
    <cellStyle name="Normal 57 3 2 5 4 2 2" xfId="17895" xr:uid="{00000000-0005-0000-0000-0000702F0000}"/>
    <cellStyle name="Normal 57 3 2 5 4 2 3" xfId="14316" xr:uid="{00000000-0005-0000-0000-0000712F0000}"/>
    <cellStyle name="Normal 57 3 2 5 4 2 4" xfId="9059" xr:uid="{00000000-0005-0000-0000-0000722F0000}"/>
    <cellStyle name="Normal 57 3 2 5 4 3" xfId="10513" xr:uid="{00000000-0005-0000-0000-0000732F0000}"/>
    <cellStyle name="Normal 57 3 2 5 4 3 2" xfId="19340" xr:uid="{00000000-0005-0000-0000-0000742F0000}"/>
    <cellStyle name="Normal 57 3 2 5 4 4" xfId="11959" xr:uid="{00000000-0005-0000-0000-0000752F0000}"/>
    <cellStyle name="Normal 57 3 2 5 4 5" xfId="6954" xr:uid="{00000000-0005-0000-0000-0000762F0000}"/>
    <cellStyle name="Normal 57 3 2 5 5" xfId="1939" xr:uid="{00000000-0005-0000-0000-0000772F0000}"/>
    <cellStyle name="Normal 57 3 2 5 5 2" xfId="16850" xr:uid="{00000000-0005-0000-0000-0000782F0000}"/>
    <cellStyle name="Normal 57 3 2 5 5 3" xfId="13271" xr:uid="{00000000-0005-0000-0000-0000792F0000}"/>
    <cellStyle name="Normal 57 3 2 5 5 4" xfId="8014" xr:uid="{00000000-0005-0000-0000-00007A2F0000}"/>
    <cellStyle name="Normal 57 3 2 5 6" xfId="6070" xr:uid="{00000000-0005-0000-0000-00007B2F0000}"/>
    <cellStyle name="Normal 57 3 2 5 6 2" xfId="15154" xr:uid="{00000000-0005-0000-0000-00007C2F0000}"/>
    <cellStyle name="Normal 57 3 2 5 7" xfId="9470" xr:uid="{00000000-0005-0000-0000-00007D2F0000}"/>
    <cellStyle name="Normal 57 3 2 5 7 2" xfId="18297" xr:uid="{00000000-0005-0000-0000-00007E2F0000}"/>
    <cellStyle name="Normal 57 3 2 5 8" xfId="10914" xr:uid="{00000000-0005-0000-0000-00007F2F0000}"/>
    <cellStyle name="Normal 57 3 2 5 9" xfId="4548" xr:uid="{00000000-0005-0000-0000-0000802F0000}"/>
    <cellStyle name="Normal 57 3 2 5_Degree data" xfId="1688" xr:uid="{00000000-0005-0000-0000-0000812F0000}"/>
    <cellStyle name="Normal 57 3 2 6" xfId="708" xr:uid="{00000000-0005-0000-0000-0000822F0000}"/>
    <cellStyle name="Normal 57 3 2 6 2" xfId="2437" xr:uid="{00000000-0005-0000-0000-0000832F0000}"/>
    <cellStyle name="Normal 57 3 2 6 2 2" xfId="16325" xr:uid="{00000000-0005-0000-0000-0000842F0000}"/>
    <cellStyle name="Normal 57 3 2 6 2 3" xfId="12747" xr:uid="{00000000-0005-0000-0000-0000852F0000}"/>
    <cellStyle name="Normal 57 3 2 6 2 4" xfId="7457" xr:uid="{00000000-0005-0000-0000-0000862F0000}"/>
    <cellStyle name="Normal 57 3 2 6 3" xfId="3704" xr:uid="{00000000-0005-0000-0000-0000872F0000}"/>
    <cellStyle name="Normal 57 3 2 6 3 2" xfId="17350" xr:uid="{00000000-0005-0000-0000-0000882F0000}"/>
    <cellStyle name="Normal 57 3 2 6 3 3" xfId="13771" xr:uid="{00000000-0005-0000-0000-0000892F0000}"/>
    <cellStyle name="Normal 57 3 2 6 3 4" xfId="8514" xr:uid="{00000000-0005-0000-0000-00008A2F0000}"/>
    <cellStyle name="Normal 57 3 2 6 4" xfId="6573" xr:uid="{00000000-0005-0000-0000-00008B2F0000}"/>
    <cellStyle name="Normal 57 3 2 6 4 2" xfId="15657" xr:uid="{00000000-0005-0000-0000-00008C2F0000}"/>
    <cellStyle name="Normal 57 3 2 6 5" xfId="9968" xr:uid="{00000000-0005-0000-0000-00008D2F0000}"/>
    <cellStyle name="Normal 57 3 2 6 5 2" xfId="18795" xr:uid="{00000000-0005-0000-0000-00008E2F0000}"/>
    <cellStyle name="Normal 57 3 2 6 6" xfId="11413" xr:uid="{00000000-0005-0000-0000-00008F2F0000}"/>
    <cellStyle name="Normal 57 3 2 6 7" xfId="5051" xr:uid="{00000000-0005-0000-0000-0000902F0000}"/>
    <cellStyle name="Normal 57 3 2 7" xfId="1065" xr:uid="{00000000-0005-0000-0000-0000912F0000}"/>
    <cellStyle name="Normal 57 3 2 7 2" xfId="2785" xr:uid="{00000000-0005-0000-0000-0000922F0000}"/>
    <cellStyle name="Normal 57 3 2 7 2 2" xfId="16486" xr:uid="{00000000-0005-0000-0000-0000932F0000}"/>
    <cellStyle name="Normal 57 3 2 7 2 3" xfId="12908" xr:uid="{00000000-0005-0000-0000-0000942F0000}"/>
    <cellStyle name="Normal 57 3 2 7 2 4" xfId="7618" xr:uid="{00000000-0005-0000-0000-0000952F0000}"/>
    <cellStyle name="Normal 57 3 2 7 3" xfId="4053" xr:uid="{00000000-0005-0000-0000-0000962F0000}"/>
    <cellStyle name="Normal 57 3 2 7 3 2" xfId="17698" xr:uid="{00000000-0005-0000-0000-0000972F0000}"/>
    <cellStyle name="Normal 57 3 2 7 3 3" xfId="14119" xr:uid="{00000000-0005-0000-0000-0000982F0000}"/>
    <cellStyle name="Normal 57 3 2 7 3 4" xfId="8862" xr:uid="{00000000-0005-0000-0000-0000992F0000}"/>
    <cellStyle name="Normal 57 3 2 7 4" xfId="5908" xr:uid="{00000000-0005-0000-0000-00009A2F0000}"/>
    <cellStyle name="Normal 57 3 2 7 4 2" xfId="14994" xr:uid="{00000000-0005-0000-0000-00009B2F0000}"/>
    <cellStyle name="Normal 57 3 2 7 5" xfId="10316" xr:uid="{00000000-0005-0000-0000-00009C2F0000}"/>
    <cellStyle name="Normal 57 3 2 7 5 2" xfId="19143" xr:uid="{00000000-0005-0000-0000-00009D2F0000}"/>
    <cellStyle name="Normal 57 3 2 7 6" xfId="11762" xr:uid="{00000000-0005-0000-0000-00009E2F0000}"/>
    <cellStyle name="Normal 57 3 2 7 7" xfId="5212" xr:uid="{00000000-0005-0000-0000-00009F2F0000}"/>
    <cellStyle name="Normal 57 3 2 8" xfId="1318" xr:uid="{00000000-0005-0000-0000-0000A02F0000}"/>
    <cellStyle name="Normal 57 3 2 8 2" xfId="2937" xr:uid="{00000000-0005-0000-0000-0000A12F0000}"/>
    <cellStyle name="Normal 57 3 2 8 2 2" xfId="17850" xr:uid="{00000000-0005-0000-0000-0000A22F0000}"/>
    <cellStyle name="Normal 57 3 2 8 2 3" xfId="14271" xr:uid="{00000000-0005-0000-0000-0000A32F0000}"/>
    <cellStyle name="Normal 57 3 2 8 2 4" xfId="9014" xr:uid="{00000000-0005-0000-0000-0000A42F0000}"/>
    <cellStyle name="Normal 57 3 2 8 3" xfId="10468" xr:uid="{00000000-0005-0000-0000-0000A52F0000}"/>
    <cellStyle name="Normal 57 3 2 8 3 2" xfId="19295" xr:uid="{00000000-0005-0000-0000-0000A62F0000}"/>
    <cellStyle name="Normal 57 3 2 8 4" xfId="11914" xr:uid="{00000000-0005-0000-0000-0000A72F0000}"/>
    <cellStyle name="Normal 57 3 2 8 5" xfId="6794" xr:uid="{00000000-0005-0000-0000-0000A82F0000}"/>
    <cellStyle name="Normal 57 3 2 9" xfId="1894" xr:uid="{00000000-0005-0000-0000-0000A92F0000}"/>
    <cellStyle name="Normal 57 3 2 9 2" xfId="9425" xr:uid="{00000000-0005-0000-0000-0000AA2F0000}"/>
    <cellStyle name="Normal 57 3 2 9 2 2" xfId="18252" xr:uid="{00000000-0005-0000-0000-0000AB2F0000}"/>
    <cellStyle name="Normal 57 3 2 9 3" xfId="10869" xr:uid="{00000000-0005-0000-0000-0000AC2F0000}"/>
    <cellStyle name="Normal 57 3 2 9 4" xfId="7969" xr:uid="{00000000-0005-0000-0000-0000AD2F0000}"/>
    <cellStyle name="Normal 57 3 2_Degree data" xfId="1682" xr:uid="{00000000-0005-0000-0000-0000AE2F0000}"/>
    <cellStyle name="Normal 57 3 3" xfId="139" xr:uid="{00000000-0005-0000-0000-0000AF2F0000}"/>
    <cellStyle name="Normal 57 3 3 10" xfId="5563" xr:uid="{00000000-0005-0000-0000-0000B02F0000}"/>
    <cellStyle name="Normal 57 3 3 10 2" xfId="14649" xr:uid="{00000000-0005-0000-0000-0000B12F0000}"/>
    <cellStyle name="Normal 57 3 3 11" xfId="9383" xr:uid="{00000000-0005-0000-0000-0000B22F0000}"/>
    <cellStyle name="Normal 57 3 3 11 2" xfId="18210" xr:uid="{00000000-0005-0000-0000-0000B32F0000}"/>
    <cellStyle name="Normal 57 3 3 12" xfId="10823" xr:uid="{00000000-0005-0000-0000-0000B42F0000}"/>
    <cellStyle name="Normal 57 3 3 13" xfId="4376" xr:uid="{00000000-0005-0000-0000-0000B52F0000}"/>
    <cellStyle name="Normal 57 3 3 2" xfId="251" xr:uid="{00000000-0005-0000-0000-0000B62F0000}"/>
    <cellStyle name="Normal 57 3 3 2 10" xfId="11002" xr:uid="{00000000-0005-0000-0000-0000B72F0000}"/>
    <cellStyle name="Normal 57 3 3 2 11" xfId="4419" xr:uid="{00000000-0005-0000-0000-0000B82F0000}"/>
    <cellStyle name="Normal 57 3 3 2 2" xfId="359" xr:uid="{00000000-0005-0000-0000-0000B92F0000}"/>
    <cellStyle name="Normal 57 3 3 2 2 2" xfId="717" xr:uid="{00000000-0005-0000-0000-0000BA2F0000}"/>
    <cellStyle name="Normal 57 3 3 2 2 2 2" xfId="2446" xr:uid="{00000000-0005-0000-0000-0000BB2F0000}"/>
    <cellStyle name="Normal 57 3 3 2 2 2 2 2" xfId="16334" xr:uid="{00000000-0005-0000-0000-0000BC2F0000}"/>
    <cellStyle name="Normal 57 3 3 2 2 2 2 3" xfId="12756" xr:uid="{00000000-0005-0000-0000-0000BD2F0000}"/>
    <cellStyle name="Normal 57 3 3 2 2 2 2 4" xfId="7466" xr:uid="{00000000-0005-0000-0000-0000BE2F0000}"/>
    <cellStyle name="Normal 57 3 3 2 2 2 3" xfId="3713" xr:uid="{00000000-0005-0000-0000-0000BF2F0000}"/>
    <cellStyle name="Normal 57 3 3 2 2 2 3 2" xfId="17359" xr:uid="{00000000-0005-0000-0000-0000C02F0000}"/>
    <cellStyle name="Normal 57 3 3 2 2 2 3 3" xfId="13780" xr:uid="{00000000-0005-0000-0000-0000C12F0000}"/>
    <cellStyle name="Normal 57 3 3 2 2 2 3 4" xfId="8523" xr:uid="{00000000-0005-0000-0000-0000C22F0000}"/>
    <cellStyle name="Normal 57 3 3 2 2 2 4" xfId="6582" xr:uid="{00000000-0005-0000-0000-0000C32F0000}"/>
    <cellStyle name="Normal 57 3 3 2 2 2 4 2" xfId="15666" xr:uid="{00000000-0005-0000-0000-0000C42F0000}"/>
    <cellStyle name="Normal 57 3 3 2 2 2 5" xfId="9977" xr:uid="{00000000-0005-0000-0000-0000C52F0000}"/>
    <cellStyle name="Normal 57 3 3 2 2 2 5 2" xfId="18804" xr:uid="{00000000-0005-0000-0000-0000C62F0000}"/>
    <cellStyle name="Normal 57 3 3 2 2 2 6" xfId="11422" xr:uid="{00000000-0005-0000-0000-0000C72F0000}"/>
    <cellStyle name="Normal 57 3 3 2 2 2 7" xfId="5060" xr:uid="{00000000-0005-0000-0000-0000C82F0000}"/>
    <cellStyle name="Normal 57 3 3 2 2 3" xfId="1074" xr:uid="{00000000-0005-0000-0000-0000C92F0000}"/>
    <cellStyle name="Normal 57 3 3 2 2 3 2" xfId="2794" xr:uid="{00000000-0005-0000-0000-0000CA2F0000}"/>
    <cellStyle name="Normal 57 3 3 2 2 3 2 2" xfId="16719" xr:uid="{00000000-0005-0000-0000-0000CB2F0000}"/>
    <cellStyle name="Normal 57 3 3 2 2 3 2 3" xfId="13140" xr:uid="{00000000-0005-0000-0000-0000CC2F0000}"/>
    <cellStyle name="Normal 57 3 3 2 2 3 2 4" xfId="7851" xr:uid="{00000000-0005-0000-0000-0000CD2F0000}"/>
    <cellStyle name="Normal 57 3 3 2 2 3 3" xfId="4062" xr:uid="{00000000-0005-0000-0000-0000CE2F0000}"/>
    <cellStyle name="Normal 57 3 3 2 2 3 3 2" xfId="17707" xr:uid="{00000000-0005-0000-0000-0000CF2F0000}"/>
    <cellStyle name="Normal 57 3 3 2 2 3 3 3" xfId="14128" xr:uid="{00000000-0005-0000-0000-0000D02F0000}"/>
    <cellStyle name="Normal 57 3 3 2 2 3 3 4" xfId="8871" xr:uid="{00000000-0005-0000-0000-0000D12F0000}"/>
    <cellStyle name="Normal 57 3 3 2 2 3 4" xfId="6258" xr:uid="{00000000-0005-0000-0000-0000D22F0000}"/>
    <cellStyle name="Normal 57 3 3 2 2 3 4 2" xfId="15342" xr:uid="{00000000-0005-0000-0000-0000D32F0000}"/>
    <cellStyle name="Normal 57 3 3 2 2 3 5" xfId="10325" xr:uid="{00000000-0005-0000-0000-0000D42F0000}"/>
    <cellStyle name="Normal 57 3 3 2 2 3 5 2" xfId="19152" xr:uid="{00000000-0005-0000-0000-0000D52F0000}"/>
    <cellStyle name="Normal 57 3 3 2 2 3 6" xfId="11771" xr:uid="{00000000-0005-0000-0000-0000D62F0000}"/>
    <cellStyle name="Normal 57 3 3 2 2 3 7" xfId="5445" xr:uid="{00000000-0005-0000-0000-0000D72F0000}"/>
    <cellStyle name="Normal 57 3 3 2 2 4" xfId="1572" xr:uid="{00000000-0005-0000-0000-0000D82F0000}"/>
    <cellStyle name="Normal 57 3 3 2 2 4 2" xfId="3170" xr:uid="{00000000-0005-0000-0000-0000D92F0000}"/>
    <cellStyle name="Normal 57 3 3 2 2 4 2 2" xfId="18083" xr:uid="{00000000-0005-0000-0000-0000DA2F0000}"/>
    <cellStyle name="Normal 57 3 3 2 2 4 2 3" xfId="14504" xr:uid="{00000000-0005-0000-0000-0000DB2F0000}"/>
    <cellStyle name="Normal 57 3 3 2 2 4 2 4" xfId="9247" xr:uid="{00000000-0005-0000-0000-0000DC2F0000}"/>
    <cellStyle name="Normal 57 3 3 2 2 4 3" xfId="10701" xr:uid="{00000000-0005-0000-0000-0000DD2F0000}"/>
    <cellStyle name="Normal 57 3 3 2 2 4 3 2" xfId="19528" xr:uid="{00000000-0005-0000-0000-0000DE2F0000}"/>
    <cellStyle name="Normal 57 3 3 2 2 4 4" xfId="12147" xr:uid="{00000000-0005-0000-0000-0000DF2F0000}"/>
    <cellStyle name="Normal 57 3 3 2 2 4 5" xfId="7142" xr:uid="{00000000-0005-0000-0000-0000E02F0000}"/>
    <cellStyle name="Normal 57 3 3 2 2 5" xfId="2127" xr:uid="{00000000-0005-0000-0000-0000E12F0000}"/>
    <cellStyle name="Normal 57 3 3 2 2 5 2" xfId="17040" xr:uid="{00000000-0005-0000-0000-0000E22F0000}"/>
    <cellStyle name="Normal 57 3 3 2 2 5 3" xfId="13461" xr:uid="{00000000-0005-0000-0000-0000E32F0000}"/>
    <cellStyle name="Normal 57 3 3 2 2 5 4" xfId="8204" xr:uid="{00000000-0005-0000-0000-0000E42F0000}"/>
    <cellStyle name="Normal 57 3 3 2 2 6" xfId="5765" xr:uid="{00000000-0005-0000-0000-0000E52F0000}"/>
    <cellStyle name="Normal 57 3 3 2 2 6 2" xfId="14851" xr:uid="{00000000-0005-0000-0000-0000E62F0000}"/>
    <cellStyle name="Normal 57 3 3 2 2 7" xfId="9658" xr:uid="{00000000-0005-0000-0000-0000E72F0000}"/>
    <cellStyle name="Normal 57 3 3 2 2 7 2" xfId="18485" xr:uid="{00000000-0005-0000-0000-0000E82F0000}"/>
    <cellStyle name="Normal 57 3 3 2 2 8" xfId="11102" xr:uid="{00000000-0005-0000-0000-0000E92F0000}"/>
    <cellStyle name="Normal 57 3 3 2 2 9" xfId="4736" xr:uid="{00000000-0005-0000-0000-0000EA2F0000}"/>
    <cellStyle name="Normal 57 3 3 2 2_Degree data" xfId="1691" xr:uid="{00000000-0005-0000-0000-0000EB2F0000}"/>
    <cellStyle name="Normal 57 3 3 2 3" xfId="716" xr:uid="{00000000-0005-0000-0000-0000EC2F0000}"/>
    <cellStyle name="Normal 57 3 3 2 3 2" xfId="2445" xr:uid="{00000000-0005-0000-0000-0000ED2F0000}"/>
    <cellStyle name="Normal 57 3 3 2 3 2 2" xfId="16056" xr:uid="{00000000-0005-0000-0000-0000EE2F0000}"/>
    <cellStyle name="Normal 57 3 3 2 3 2 3" xfId="12379" xr:uid="{00000000-0005-0000-0000-0000EF2F0000}"/>
    <cellStyle name="Normal 57 3 3 2 3 2 4" xfId="7042" xr:uid="{00000000-0005-0000-0000-0000F02F0000}"/>
    <cellStyle name="Normal 57 3 3 2 3 3" xfId="3712" xr:uid="{00000000-0005-0000-0000-0000F12F0000}"/>
    <cellStyle name="Normal 57 3 3 2 3 3 2" xfId="17358" xr:uid="{00000000-0005-0000-0000-0000F22F0000}"/>
    <cellStyle name="Normal 57 3 3 2 3 3 3" xfId="13779" xr:uid="{00000000-0005-0000-0000-0000F32F0000}"/>
    <cellStyle name="Normal 57 3 3 2 3 3 4" xfId="8522" xr:uid="{00000000-0005-0000-0000-0000F42F0000}"/>
    <cellStyle name="Normal 57 3 3 2 3 4" xfId="6158" xr:uid="{00000000-0005-0000-0000-0000F52F0000}"/>
    <cellStyle name="Normal 57 3 3 2 3 4 2" xfId="15242" xr:uid="{00000000-0005-0000-0000-0000F62F0000}"/>
    <cellStyle name="Normal 57 3 3 2 3 5" xfId="9976" xr:uid="{00000000-0005-0000-0000-0000F72F0000}"/>
    <cellStyle name="Normal 57 3 3 2 3 5 2" xfId="18803" xr:uid="{00000000-0005-0000-0000-0000F82F0000}"/>
    <cellStyle name="Normal 57 3 3 2 3 6" xfId="11421" xr:uid="{00000000-0005-0000-0000-0000F92F0000}"/>
    <cellStyle name="Normal 57 3 3 2 3 7" xfId="4636" xr:uid="{00000000-0005-0000-0000-0000FA2F0000}"/>
    <cellStyle name="Normal 57 3 3 2 4" xfId="1073" xr:uid="{00000000-0005-0000-0000-0000FB2F0000}"/>
    <cellStyle name="Normal 57 3 3 2 4 2" xfId="2793" xr:uid="{00000000-0005-0000-0000-0000FC2F0000}"/>
    <cellStyle name="Normal 57 3 3 2 4 2 2" xfId="16333" xr:uid="{00000000-0005-0000-0000-0000FD2F0000}"/>
    <cellStyle name="Normal 57 3 3 2 4 2 3" xfId="12755" xr:uid="{00000000-0005-0000-0000-0000FE2F0000}"/>
    <cellStyle name="Normal 57 3 3 2 4 2 4" xfId="7465" xr:uid="{00000000-0005-0000-0000-0000FF2F0000}"/>
    <cellStyle name="Normal 57 3 3 2 4 3" xfId="4061" xr:uid="{00000000-0005-0000-0000-000000300000}"/>
    <cellStyle name="Normal 57 3 3 2 4 3 2" xfId="17706" xr:uid="{00000000-0005-0000-0000-000001300000}"/>
    <cellStyle name="Normal 57 3 3 2 4 3 3" xfId="14127" xr:uid="{00000000-0005-0000-0000-000002300000}"/>
    <cellStyle name="Normal 57 3 3 2 4 3 4" xfId="8870" xr:uid="{00000000-0005-0000-0000-000003300000}"/>
    <cellStyle name="Normal 57 3 3 2 4 4" xfId="6581" xr:uid="{00000000-0005-0000-0000-000004300000}"/>
    <cellStyle name="Normal 57 3 3 2 4 4 2" xfId="15665" xr:uid="{00000000-0005-0000-0000-000005300000}"/>
    <cellStyle name="Normal 57 3 3 2 4 5" xfId="10324" xr:uid="{00000000-0005-0000-0000-000006300000}"/>
    <cellStyle name="Normal 57 3 3 2 4 5 2" xfId="19151" xr:uid="{00000000-0005-0000-0000-000007300000}"/>
    <cellStyle name="Normal 57 3 3 2 4 6" xfId="11770" xr:uid="{00000000-0005-0000-0000-000008300000}"/>
    <cellStyle name="Normal 57 3 3 2 4 7" xfId="5059" xr:uid="{00000000-0005-0000-0000-000009300000}"/>
    <cellStyle name="Normal 57 3 3 2 5" xfId="1470" xr:uid="{00000000-0005-0000-0000-00000A300000}"/>
    <cellStyle name="Normal 57 3 3 2 5 2" xfId="3070" xr:uid="{00000000-0005-0000-0000-00000B300000}"/>
    <cellStyle name="Normal 57 3 3 2 5 2 2" xfId="16619" xr:uid="{00000000-0005-0000-0000-00000C300000}"/>
    <cellStyle name="Normal 57 3 3 2 5 2 3" xfId="13040" xr:uid="{00000000-0005-0000-0000-00000D300000}"/>
    <cellStyle name="Normal 57 3 3 2 5 2 4" xfId="7751" xr:uid="{00000000-0005-0000-0000-00000E300000}"/>
    <cellStyle name="Normal 57 3 3 2 5 3" xfId="4278" xr:uid="{00000000-0005-0000-0000-00000F300000}"/>
    <cellStyle name="Normal 57 3 3 2 5 3 2" xfId="17983" xr:uid="{00000000-0005-0000-0000-000010300000}"/>
    <cellStyle name="Normal 57 3 3 2 5 3 3" xfId="14404" xr:uid="{00000000-0005-0000-0000-000011300000}"/>
    <cellStyle name="Normal 57 3 3 2 5 3 4" xfId="9147" xr:uid="{00000000-0005-0000-0000-000012300000}"/>
    <cellStyle name="Normal 57 3 3 2 5 4" xfId="5939" xr:uid="{00000000-0005-0000-0000-000013300000}"/>
    <cellStyle name="Normal 57 3 3 2 5 4 2" xfId="15025" xr:uid="{00000000-0005-0000-0000-000014300000}"/>
    <cellStyle name="Normal 57 3 3 2 5 5" xfId="10601" xr:uid="{00000000-0005-0000-0000-000015300000}"/>
    <cellStyle name="Normal 57 3 3 2 5 5 2" xfId="19428" xr:uid="{00000000-0005-0000-0000-000016300000}"/>
    <cellStyle name="Normal 57 3 3 2 5 6" xfId="12047" xr:uid="{00000000-0005-0000-0000-000017300000}"/>
    <cellStyle name="Normal 57 3 3 2 5 7" xfId="5345" xr:uid="{00000000-0005-0000-0000-000018300000}"/>
    <cellStyle name="Normal 57 3 3 2 6" xfId="2027" xr:uid="{00000000-0005-0000-0000-000019300000}"/>
    <cellStyle name="Normal 57 3 3 2 6 2" xfId="15868" xr:uid="{00000000-0005-0000-0000-00001A300000}"/>
    <cellStyle name="Normal 57 3 3 2 6 3" xfId="12467" xr:uid="{00000000-0005-0000-0000-00001B300000}"/>
    <cellStyle name="Normal 57 3 3 2 6 4" xfId="6825" xr:uid="{00000000-0005-0000-0000-00001C300000}"/>
    <cellStyle name="Normal 57 3 3 2 7" xfId="3440" xr:uid="{00000000-0005-0000-0000-00001D300000}"/>
    <cellStyle name="Normal 57 3 3 2 7 2" xfId="16940" xr:uid="{00000000-0005-0000-0000-00001E300000}"/>
    <cellStyle name="Normal 57 3 3 2 7 3" xfId="13361" xr:uid="{00000000-0005-0000-0000-00001F300000}"/>
    <cellStyle name="Normal 57 3 3 2 7 4" xfId="8104" xr:uid="{00000000-0005-0000-0000-000020300000}"/>
    <cellStyle name="Normal 57 3 3 2 8" xfId="5665" xr:uid="{00000000-0005-0000-0000-000021300000}"/>
    <cellStyle name="Normal 57 3 3 2 8 2" xfId="14751" xr:uid="{00000000-0005-0000-0000-000022300000}"/>
    <cellStyle name="Normal 57 3 3 2 9" xfId="9558" xr:uid="{00000000-0005-0000-0000-000023300000}"/>
    <cellStyle name="Normal 57 3 3 2 9 2" xfId="18385" xr:uid="{00000000-0005-0000-0000-000024300000}"/>
    <cellStyle name="Normal 57 3 3 2_Degree data" xfId="1690" xr:uid="{00000000-0005-0000-0000-000025300000}"/>
    <cellStyle name="Normal 57 3 3 3" xfId="208" xr:uid="{00000000-0005-0000-0000-000026300000}"/>
    <cellStyle name="Normal 57 3 3 3 10" xfId="10959" xr:uid="{00000000-0005-0000-0000-000027300000}"/>
    <cellStyle name="Normal 57 3 3 3 11" xfId="4481" xr:uid="{00000000-0005-0000-0000-000028300000}"/>
    <cellStyle name="Normal 57 3 3 3 2" xfId="422" xr:uid="{00000000-0005-0000-0000-000029300000}"/>
    <cellStyle name="Normal 57 3 3 3 2 2" xfId="719" xr:uid="{00000000-0005-0000-0000-00002A300000}"/>
    <cellStyle name="Normal 57 3 3 3 2 2 2" xfId="2448" xr:uid="{00000000-0005-0000-0000-00002B300000}"/>
    <cellStyle name="Normal 57 3 3 3 2 2 2 2" xfId="16336" xr:uid="{00000000-0005-0000-0000-00002C300000}"/>
    <cellStyle name="Normal 57 3 3 3 2 2 2 3" xfId="12758" xr:uid="{00000000-0005-0000-0000-00002D300000}"/>
    <cellStyle name="Normal 57 3 3 3 2 2 2 4" xfId="7468" xr:uid="{00000000-0005-0000-0000-00002E300000}"/>
    <cellStyle name="Normal 57 3 3 3 2 2 3" xfId="3715" xr:uid="{00000000-0005-0000-0000-00002F300000}"/>
    <cellStyle name="Normal 57 3 3 3 2 2 3 2" xfId="17361" xr:uid="{00000000-0005-0000-0000-000030300000}"/>
    <cellStyle name="Normal 57 3 3 3 2 2 3 3" xfId="13782" xr:uid="{00000000-0005-0000-0000-000031300000}"/>
    <cellStyle name="Normal 57 3 3 3 2 2 3 4" xfId="8525" xr:uid="{00000000-0005-0000-0000-000032300000}"/>
    <cellStyle name="Normal 57 3 3 3 2 2 4" xfId="6584" xr:uid="{00000000-0005-0000-0000-000033300000}"/>
    <cellStyle name="Normal 57 3 3 3 2 2 4 2" xfId="15668" xr:uid="{00000000-0005-0000-0000-000034300000}"/>
    <cellStyle name="Normal 57 3 3 3 2 2 5" xfId="9979" xr:uid="{00000000-0005-0000-0000-000035300000}"/>
    <cellStyle name="Normal 57 3 3 3 2 2 5 2" xfId="18806" xr:uid="{00000000-0005-0000-0000-000036300000}"/>
    <cellStyle name="Normal 57 3 3 3 2 2 6" xfId="11424" xr:uid="{00000000-0005-0000-0000-000037300000}"/>
    <cellStyle name="Normal 57 3 3 3 2 2 7" xfId="5062" xr:uid="{00000000-0005-0000-0000-000038300000}"/>
    <cellStyle name="Normal 57 3 3 3 2 3" xfId="1076" xr:uid="{00000000-0005-0000-0000-000039300000}"/>
    <cellStyle name="Normal 57 3 3 3 2 3 2" xfId="2796" xr:uid="{00000000-0005-0000-0000-00003A300000}"/>
    <cellStyle name="Normal 57 3 3 3 2 3 2 2" xfId="16781" xr:uid="{00000000-0005-0000-0000-00003B300000}"/>
    <cellStyle name="Normal 57 3 3 3 2 3 2 3" xfId="13202" xr:uid="{00000000-0005-0000-0000-00003C300000}"/>
    <cellStyle name="Normal 57 3 3 3 2 3 2 4" xfId="7913" xr:uid="{00000000-0005-0000-0000-00003D300000}"/>
    <cellStyle name="Normal 57 3 3 3 2 3 3" xfId="4064" xr:uid="{00000000-0005-0000-0000-00003E300000}"/>
    <cellStyle name="Normal 57 3 3 3 2 3 3 2" xfId="17709" xr:uid="{00000000-0005-0000-0000-00003F300000}"/>
    <cellStyle name="Normal 57 3 3 3 2 3 3 3" xfId="14130" xr:uid="{00000000-0005-0000-0000-000040300000}"/>
    <cellStyle name="Normal 57 3 3 3 2 3 3 4" xfId="8873" xr:uid="{00000000-0005-0000-0000-000041300000}"/>
    <cellStyle name="Normal 57 3 3 3 2 3 4" xfId="6320" xr:uid="{00000000-0005-0000-0000-000042300000}"/>
    <cellStyle name="Normal 57 3 3 3 2 3 4 2" xfId="15404" xr:uid="{00000000-0005-0000-0000-000043300000}"/>
    <cellStyle name="Normal 57 3 3 3 2 3 5" xfId="10327" xr:uid="{00000000-0005-0000-0000-000044300000}"/>
    <cellStyle name="Normal 57 3 3 3 2 3 5 2" xfId="19154" xr:uid="{00000000-0005-0000-0000-000045300000}"/>
    <cellStyle name="Normal 57 3 3 3 2 3 6" xfId="11773" xr:uid="{00000000-0005-0000-0000-000046300000}"/>
    <cellStyle name="Normal 57 3 3 3 2 3 7" xfId="5507" xr:uid="{00000000-0005-0000-0000-000047300000}"/>
    <cellStyle name="Normal 57 3 3 3 2 4" xfId="1636" xr:uid="{00000000-0005-0000-0000-000048300000}"/>
    <cellStyle name="Normal 57 3 3 3 2 4 2" xfId="3232" xr:uid="{00000000-0005-0000-0000-000049300000}"/>
    <cellStyle name="Normal 57 3 3 3 2 4 2 2" xfId="18145" xr:uid="{00000000-0005-0000-0000-00004A300000}"/>
    <cellStyle name="Normal 57 3 3 3 2 4 2 3" xfId="14566" xr:uid="{00000000-0005-0000-0000-00004B300000}"/>
    <cellStyle name="Normal 57 3 3 3 2 4 2 4" xfId="9309" xr:uid="{00000000-0005-0000-0000-00004C300000}"/>
    <cellStyle name="Normal 57 3 3 3 2 4 3" xfId="10763" xr:uid="{00000000-0005-0000-0000-00004D300000}"/>
    <cellStyle name="Normal 57 3 3 3 2 4 3 2" xfId="19590" xr:uid="{00000000-0005-0000-0000-00004E300000}"/>
    <cellStyle name="Normal 57 3 3 3 2 4 4" xfId="12209" xr:uid="{00000000-0005-0000-0000-00004F300000}"/>
    <cellStyle name="Normal 57 3 3 3 2 4 5" xfId="7204" xr:uid="{00000000-0005-0000-0000-000050300000}"/>
    <cellStyle name="Normal 57 3 3 3 2 5" xfId="2189" xr:uid="{00000000-0005-0000-0000-000051300000}"/>
    <cellStyle name="Normal 57 3 3 3 2 5 2" xfId="17102" xr:uid="{00000000-0005-0000-0000-000052300000}"/>
    <cellStyle name="Normal 57 3 3 3 2 5 3" xfId="13523" xr:uid="{00000000-0005-0000-0000-000053300000}"/>
    <cellStyle name="Normal 57 3 3 3 2 5 4" xfId="8266" xr:uid="{00000000-0005-0000-0000-000054300000}"/>
    <cellStyle name="Normal 57 3 3 3 2 6" xfId="5827" xr:uid="{00000000-0005-0000-0000-000055300000}"/>
    <cellStyle name="Normal 57 3 3 3 2 6 2" xfId="14913" xr:uid="{00000000-0005-0000-0000-000056300000}"/>
    <cellStyle name="Normal 57 3 3 3 2 7" xfId="9720" xr:uid="{00000000-0005-0000-0000-000057300000}"/>
    <cellStyle name="Normal 57 3 3 3 2 7 2" xfId="18547" xr:uid="{00000000-0005-0000-0000-000058300000}"/>
    <cellStyle name="Normal 57 3 3 3 2 8" xfId="11164" xr:uid="{00000000-0005-0000-0000-000059300000}"/>
    <cellStyle name="Normal 57 3 3 3 2 9" xfId="4798" xr:uid="{00000000-0005-0000-0000-00005A300000}"/>
    <cellStyle name="Normal 57 3 3 3 2_Degree data" xfId="1693" xr:uid="{00000000-0005-0000-0000-00005B300000}"/>
    <cellStyle name="Normal 57 3 3 3 3" xfId="718" xr:uid="{00000000-0005-0000-0000-00005C300000}"/>
    <cellStyle name="Normal 57 3 3 3 3 2" xfId="2447" xr:uid="{00000000-0005-0000-0000-00005D300000}"/>
    <cellStyle name="Normal 57 3 3 3 3 2 2" xfId="16013" xr:uid="{00000000-0005-0000-0000-00005E300000}"/>
    <cellStyle name="Normal 57 3 3 3 3 2 3" xfId="12460" xr:uid="{00000000-0005-0000-0000-00005F300000}"/>
    <cellStyle name="Normal 57 3 3 3 3 2 4" xfId="6999" xr:uid="{00000000-0005-0000-0000-000060300000}"/>
    <cellStyle name="Normal 57 3 3 3 3 3" xfId="3714" xr:uid="{00000000-0005-0000-0000-000061300000}"/>
    <cellStyle name="Normal 57 3 3 3 3 3 2" xfId="17360" xr:uid="{00000000-0005-0000-0000-000062300000}"/>
    <cellStyle name="Normal 57 3 3 3 3 3 3" xfId="13781" xr:uid="{00000000-0005-0000-0000-000063300000}"/>
    <cellStyle name="Normal 57 3 3 3 3 3 4" xfId="8524" xr:uid="{00000000-0005-0000-0000-000064300000}"/>
    <cellStyle name="Normal 57 3 3 3 3 4" xfId="6115" xr:uid="{00000000-0005-0000-0000-000065300000}"/>
    <cellStyle name="Normal 57 3 3 3 3 4 2" xfId="15199" xr:uid="{00000000-0005-0000-0000-000066300000}"/>
    <cellStyle name="Normal 57 3 3 3 3 5" xfId="9978" xr:uid="{00000000-0005-0000-0000-000067300000}"/>
    <cellStyle name="Normal 57 3 3 3 3 5 2" xfId="18805" xr:uid="{00000000-0005-0000-0000-000068300000}"/>
    <cellStyle name="Normal 57 3 3 3 3 6" xfId="11423" xr:uid="{00000000-0005-0000-0000-000069300000}"/>
    <cellStyle name="Normal 57 3 3 3 3 7" xfId="4593" xr:uid="{00000000-0005-0000-0000-00006A300000}"/>
    <cellStyle name="Normal 57 3 3 3 4" xfId="1075" xr:uid="{00000000-0005-0000-0000-00006B300000}"/>
    <cellStyle name="Normal 57 3 3 3 4 2" xfId="2795" xr:uid="{00000000-0005-0000-0000-00006C300000}"/>
    <cellStyle name="Normal 57 3 3 3 4 2 2" xfId="16335" xr:uid="{00000000-0005-0000-0000-00006D300000}"/>
    <cellStyle name="Normal 57 3 3 3 4 2 3" xfId="12757" xr:uid="{00000000-0005-0000-0000-00006E300000}"/>
    <cellStyle name="Normal 57 3 3 3 4 2 4" xfId="7467" xr:uid="{00000000-0005-0000-0000-00006F300000}"/>
    <cellStyle name="Normal 57 3 3 3 4 3" xfId="4063" xr:uid="{00000000-0005-0000-0000-000070300000}"/>
    <cellStyle name="Normal 57 3 3 3 4 3 2" xfId="17708" xr:uid="{00000000-0005-0000-0000-000071300000}"/>
    <cellStyle name="Normal 57 3 3 3 4 3 3" xfId="14129" xr:uid="{00000000-0005-0000-0000-000072300000}"/>
    <cellStyle name="Normal 57 3 3 3 4 3 4" xfId="8872" xr:uid="{00000000-0005-0000-0000-000073300000}"/>
    <cellStyle name="Normal 57 3 3 3 4 4" xfId="6583" xr:uid="{00000000-0005-0000-0000-000074300000}"/>
    <cellStyle name="Normal 57 3 3 3 4 4 2" xfId="15667" xr:uid="{00000000-0005-0000-0000-000075300000}"/>
    <cellStyle name="Normal 57 3 3 3 4 5" xfId="10326" xr:uid="{00000000-0005-0000-0000-000076300000}"/>
    <cellStyle name="Normal 57 3 3 3 4 5 2" xfId="19153" xr:uid="{00000000-0005-0000-0000-000077300000}"/>
    <cellStyle name="Normal 57 3 3 3 4 6" xfId="11772" xr:uid="{00000000-0005-0000-0000-000078300000}"/>
    <cellStyle name="Normal 57 3 3 3 4 7" xfId="5061" xr:uid="{00000000-0005-0000-0000-000079300000}"/>
    <cellStyle name="Normal 57 3 3 3 5" xfId="1425" xr:uid="{00000000-0005-0000-0000-00007A300000}"/>
    <cellStyle name="Normal 57 3 3 3 5 2" xfId="3027" xr:uid="{00000000-0005-0000-0000-00007B300000}"/>
    <cellStyle name="Normal 57 3 3 3 5 2 2" xfId="16576" xr:uid="{00000000-0005-0000-0000-00007C300000}"/>
    <cellStyle name="Normal 57 3 3 3 5 2 3" xfId="12997" xr:uid="{00000000-0005-0000-0000-00007D300000}"/>
    <cellStyle name="Normal 57 3 3 3 5 2 4" xfId="7708" xr:uid="{00000000-0005-0000-0000-00007E300000}"/>
    <cellStyle name="Normal 57 3 3 3 5 3" xfId="4235" xr:uid="{00000000-0005-0000-0000-00007F300000}"/>
    <cellStyle name="Normal 57 3 3 3 5 3 2" xfId="17940" xr:uid="{00000000-0005-0000-0000-000080300000}"/>
    <cellStyle name="Normal 57 3 3 3 5 3 3" xfId="14361" xr:uid="{00000000-0005-0000-0000-000081300000}"/>
    <cellStyle name="Normal 57 3 3 3 5 3 4" xfId="9104" xr:uid="{00000000-0005-0000-0000-000082300000}"/>
    <cellStyle name="Normal 57 3 3 3 5 4" xfId="6001" xr:uid="{00000000-0005-0000-0000-000083300000}"/>
    <cellStyle name="Normal 57 3 3 3 5 4 2" xfId="15087" xr:uid="{00000000-0005-0000-0000-000084300000}"/>
    <cellStyle name="Normal 57 3 3 3 5 5" xfId="10558" xr:uid="{00000000-0005-0000-0000-000085300000}"/>
    <cellStyle name="Normal 57 3 3 3 5 5 2" xfId="19385" xr:uid="{00000000-0005-0000-0000-000086300000}"/>
    <cellStyle name="Normal 57 3 3 3 5 6" xfId="12004" xr:uid="{00000000-0005-0000-0000-000087300000}"/>
    <cellStyle name="Normal 57 3 3 3 5 7" xfId="5302" xr:uid="{00000000-0005-0000-0000-000088300000}"/>
    <cellStyle name="Normal 57 3 3 3 6" xfId="1984" xr:uid="{00000000-0005-0000-0000-000089300000}"/>
    <cellStyle name="Normal 57 3 3 3 6 2" xfId="15930" xr:uid="{00000000-0005-0000-0000-00008A300000}"/>
    <cellStyle name="Normal 57 3 3 3 6 3" xfId="12465" xr:uid="{00000000-0005-0000-0000-00008B300000}"/>
    <cellStyle name="Normal 57 3 3 3 6 4" xfId="6887" xr:uid="{00000000-0005-0000-0000-00008C300000}"/>
    <cellStyle name="Normal 57 3 3 3 7" xfId="3398" xr:uid="{00000000-0005-0000-0000-00008D300000}"/>
    <cellStyle name="Normal 57 3 3 3 7 2" xfId="16897" xr:uid="{00000000-0005-0000-0000-00008E300000}"/>
    <cellStyle name="Normal 57 3 3 3 7 3" xfId="13318" xr:uid="{00000000-0005-0000-0000-00008F300000}"/>
    <cellStyle name="Normal 57 3 3 3 7 4" xfId="8061" xr:uid="{00000000-0005-0000-0000-000090300000}"/>
    <cellStyle name="Normal 57 3 3 3 8" xfId="5622" xr:uid="{00000000-0005-0000-0000-000091300000}"/>
    <cellStyle name="Normal 57 3 3 3 8 2" xfId="14708" xr:uid="{00000000-0005-0000-0000-000092300000}"/>
    <cellStyle name="Normal 57 3 3 3 9" xfId="9515" xr:uid="{00000000-0005-0000-0000-000093300000}"/>
    <cellStyle name="Normal 57 3 3 3 9 2" xfId="18342" xr:uid="{00000000-0005-0000-0000-000094300000}"/>
    <cellStyle name="Normal 57 3 3 3_Degree data" xfId="1692" xr:uid="{00000000-0005-0000-0000-000095300000}"/>
    <cellStyle name="Normal 57 3 3 4" xfId="316" xr:uid="{00000000-0005-0000-0000-000096300000}"/>
    <cellStyle name="Normal 57 3 3 4 2" xfId="720" xr:uid="{00000000-0005-0000-0000-000097300000}"/>
    <cellStyle name="Normal 57 3 3 4 2 2" xfId="2449" xr:uid="{00000000-0005-0000-0000-000098300000}"/>
    <cellStyle name="Normal 57 3 3 4 2 2 2" xfId="16337" xr:uid="{00000000-0005-0000-0000-000099300000}"/>
    <cellStyle name="Normal 57 3 3 4 2 2 3" xfId="12759" xr:uid="{00000000-0005-0000-0000-00009A300000}"/>
    <cellStyle name="Normal 57 3 3 4 2 2 4" xfId="7469" xr:uid="{00000000-0005-0000-0000-00009B300000}"/>
    <cellStyle name="Normal 57 3 3 4 2 3" xfId="3716" xr:uid="{00000000-0005-0000-0000-00009C300000}"/>
    <cellStyle name="Normal 57 3 3 4 2 3 2" xfId="17362" xr:uid="{00000000-0005-0000-0000-00009D300000}"/>
    <cellStyle name="Normal 57 3 3 4 2 3 3" xfId="13783" xr:uid="{00000000-0005-0000-0000-00009E300000}"/>
    <cellStyle name="Normal 57 3 3 4 2 3 4" xfId="8526" xr:uid="{00000000-0005-0000-0000-00009F300000}"/>
    <cellStyle name="Normal 57 3 3 4 2 4" xfId="6585" xr:uid="{00000000-0005-0000-0000-0000A0300000}"/>
    <cellStyle name="Normal 57 3 3 4 2 4 2" xfId="15669" xr:uid="{00000000-0005-0000-0000-0000A1300000}"/>
    <cellStyle name="Normal 57 3 3 4 2 5" xfId="9980" xr:uid="{00000000-0005-0000-0000-0000A2300000}"/>
    <cellStyle name="Normal 57 3 3 4 2 5 2" xfId="18807" xr:uid="{00000000-0005-0000-0000-0000A3300000}"/>
    <cellStyle name="Normal 57 3 3 4 2 6" xfId="11425" xr:uid="{00000000-0005-0000-0000-0000A4300000}"/>
    <cellStyle name="Normal 57 3 3 4 2 7" xfId="5063" xr:uid="{00000000-0005-0000-0000-0000A5300000}"/>
    <cellStyle name="Normal 57 3 3 4 3" xfId="1077" xr:uid="{00000000-0005-0000-0000-0000A6300000}"/>
    <cellStyle name="Normal 57 3 3 4 3 2" xfId="2797" xr:uid="{00000000-0005-0000-0000-0000A7300000}"/>
    <cellStyle name="Normal 57 3 3 4 3 2 2" xfId="16676" xr:uid="{00000000-0005-0000-0000-0000A8300000}"/>
    <cellStyle name="Normal 57 3 3 4 3 2 3" xfId="13097" xr:uid="{00000000-0005-0000-0000-0000A9300000}"/>
    <cellStyle name="Normal 57 3 3 4 3 2 4" xfId="7808" xr:uid="{00000000-0005-0000-0000-0000AA300000}"/>
    <cellStyle name="Normal 57 3 3 4 3 3" xfId="4065" xr:uid="{00000000-0005-0000-0000-0000AB300000}"/>
    <cellStyle name="Normal 57 3 3 4 3 3 2" xfId="17710" xr:uid="{00000000-0005-0000-0000-0000AC300000}"/>
    <cellStyle name="Normal 57 3 3 4 3 3 3" xfId="14131" xr:uid="{00000000-0005-0000-0000-0000AD300000}"/>
    <cellStyle name="Normal 57 3 3 4 3 3 4" xfId="8874" xr:uid="{00000000-0005-0000-0000-0000AE300000}"/>
    <cellStyle name="Normal 57 3 3 4 3 4" xfId="6215" xr:uid="{00000000-0005-0000-0000-0000AF300000}"/>
    <cellStyle name="Normal 57 3 3 4 3 4 2" xfId="15299" xr:uid="{00000000-0005-0000-0000-0000B0300000}"/>
    <cellStyle name="Normal 57 3 3 4 3 5" xfId="10328" xr:uid="{00000000-0005-0000-0000-0000B1300000}"/>
    <cellStyle name="Normal 57 3 3 4 3 5 2" xfId="19155" xr:uid="{00000000-0005-0000-0000-0000B2300000}"/>
    <cellStyle name="Normal 57 3 3 4 3 6" xfId="11774" xr:uid="{00000000-0005-0000-0000-0000B3300000}"/>
    <cellStyle name="Normal 57 3 3 4 3 7" xfId="5402" xr:uid="{00000000-0005-0000-0000-0000B4300000}"/>
    <cellStyle name="Normal 57 3 3 4 4" xfId="1528" xr:uid="{00000000-0005-0000-0000-0000B5300000}"/>
    <cellStyle name="Normal 57 3 3 4 4 2" xfId="3127" xr:uid="{00000000-0005-0000-0000-0000B6300000}"/>
    <cellStyle name="Normal 57 3 3 4 4 2 2" xfId="18040" xr:uid="{00000000-0005-0000-0000-0000B7300000}"/>
    <cellStyle name="Normal 57 3 3 4 4 2 3" xfId="14461" xr:uid="{00000000-0005-0000-0000-0000B8300000}"/>
    <cellStyle name="Normal 57 3 3 4 4 2 4" xfId="9204" xr:uid="{00000000-0005-0000-0000-0000B9300000}"/>
    <cellStyle name="Normal 57 3 3 4 4 3" xfId="10658" xr:uid="{00000000-0005-0000-0000-0000BA300000}"/>
    <cellStyle name="Normal 57 3 3 4 4 3 2" xfId="19485" xr:uid="{00000000-0005-0000-0000-0000BB300000}"/>
    <cellStyle name="Normal 57 3 3 4 4 4" xfId="12104" xr:uid="{00000000-0005-0000-0000-0000BC300000}"/>
    <cellStyle name="Normal 57 3 3 4 4 5" xfId="7099" xr:uid="{00000000-0005-0000-0000-0000BD300000}"/>
    <cellStyle name="Normal 57 3 3 4 5" xfId="2084" xr:uid="{00000000-0005-0000-0000-0000BE300000}"/>
    <cellStyle name="Normal 57 3 3 4 5 2" xfId="16997" xr:uid="{00000000-0005-0000-0000-0000BF300000}"/>
    <cellStyle name="Normal 57 3 3 4 5 3" xfId="13418" xr:uid="{00000000-0005-0000-0000-0000C0300000}"/>
    <cellStyle name="Normal 57 3 3 4 5 4" xfId="8161" xr:uid="{00000000-0005-0000-0000-0000C1300000}"/>
    <cellStyle name="Normal 57 3 3 4 6" xfId="5722" xr:uid="{00000000-0005-0000-0000-0000C2300000}"/>
    <cellStyle name="Normal 57 3 3 4 6 2" xfId="14808" xr:uid="{00000000-0005-0000-0000-0000C3300000}"/>
    <cellStyle name="Normal 57 3 3 4 7" xfId="9615" xr:uid="{00000000-0005-0000-0000-0000C4300000}"/>
    <cellStyle name="Normal 57 3 3 4 7 2" xfId="18442" xr:uid="{00000000-0005-0000-0000-0000C5300000}"/>
    <cellStyle name="Normal 57 3 3 4 8" xfId="11059" xr:uid="{00000000-0005-0000-0000-0000C6300000}"/>
    <cellStyle name="Normal 57 3 3 4 9" xfId="4693" xr:uid="{00000000-0005-0000-0000-0000C7300000}"/>
    <cellStyle name="Normal 57 3 3 4_Degree data" xfId="1694" xr:uid="{00000000-0005-0000-0000-0000C8300000}"/>
    <cellStyle name="Normal 57 3 3 5" xfId="715" xr:uid="{00000000-0005-0000-0000-0000C9300000}"/>
    <cellStyle name="Normal 57 3 3 5 2" xfId="2444" xr:uid="{00000000-0005-0000-0000-0000CA300000}"/>
    <cellStyle name="Normal 57 3 3 5 2 2" xfId="15970" xr:uid="{00000000-0005-0000-0000-0000CB300000}"/>
    <cellStyle name="Normal 57 3 3 5 2 3" xfId="12339" xr:uid="{00000000-0005-0000-0000-0000CC300000}"/>
    <cellStyle name="Normal 57 3 3 5 2 4" xfId="6940" xr:uid="{00000000-0005-0000-0000-0000CD300000}"/>
    <cellStyle name="Normal 57 3 3 5 3" xfId="3711" xr:uid="{00000000-0005-0000-0000-0000CE300000}"/>
    <cellStyle name="Normal 57 3 3 5 3 2" xfId="17357" xr:uid="{00000000-0005-0000-0000-0000CF300000}"/>
    <cellStyle name="Normal 57 3 3 5 3 3" xfId="13778" xr:uid="{00000000-0005-0000-0000-0000D0300000}"/>
    <cellStyle name="Normal 57 3 3 5 3 4" xfId="8521" xr:uid="{00000000-0005-0000-0000-0000D1300000}"/>
    <cellStyle name="Normal 57 3 3 5 4" xfId="6056" xr:uid="{00000000-0005-0000-0000-0000D2300000}"/>
    <cellStyle name="Normal 57 3 3 5 4 2" xfId="15140" xr:uid="{00000000-0005-0000-0000-0000D3300000}"/>
    <cellStyle name="Normal 57 3 3 5 5" xfId="9975" xr:uid="{00000000-0005-0000-0000-0000D4300000}"/>
    <cellStyle name="Normal 57 3 3 5 5 2" xfId="18802" xr:uid="{00000000-0005-0000-0000-0000D5300000}"/>
    <cellStyle name="Normal 57 3 3 5 6" xfId="11420" xr:uid="{00000000-0005-0000-0000-0000D6300000}"/>
    <cellStyle name="Normal 57 3 3 5 7" xfId="4534" xr:uid="{00000000-0005-0000-0000-0000D7300000}"/>
    <cellStyle name="Normal 57 3 3 6" xfId="1072" xr:uid="{00000000-0005-0000-0000-0000D8300000}"/>
    <cellStyle name="Normal 57 3 3 6 2" xfId="2792" xr:uid="{00000000-0005-0000-0000-0000D9300000}"/>
    <cellStyle name="Normal 57 3 3 6 2 2" xfId="16332" xr:uid="{00000000-0005-0000-0000-0000DA300000}"/>
    <cellStyle name="Normal 57 3 3 6 2 3" xfId="12754" xr:uid="{00000000-0005-0000-0000-0000DB300000}"/>
    <cellStyle name="Normal 57 3 3 6 2 4" xfId="7464" xr:uid="{00000000-0005-0000-0000-0000DC300000}"/>
    <cellStyle name="Normal 57 3 3 6 3" xfId="4060" xr:uid="{00000000-0005-0000-0000-0000DD300000}"/>
    <cellStyle name="Normal 57 3 3 6 3 2" xfId="17705" xr:uid="{00000000-0005-0000-0000-0000DE300000}"/>
    <cellStyle name="Normal 57 3 3 6 3 3" xfId="14126" xr:uid="{00000000-0005-0000-0000-0000DF300000}"/>
    <cellStyle name="Normal 57 3 3 6 3 4" xfId="8869" xr:uid="{00000000-0005-0000-0000-0000E0300000}"/>
    <cellStyle name="Normal 57 3 3 6 4" xfId="6580" xr:uid="{00000000-0005-0000-0000-0000E1300000}"/>
    <cellStyle name="Normal 57 3 3 6 4 2" xfId="15664" xr:uid="{00000000-0005-0000-0000-0000E2300000}"/>
    <cellStyle name="Normal 57 3 3 6 5" xfId="10323" xr:uid="{00000000-0005-0000-0000-0000E3300000}"/>
    <cellStyle name="Normal 57 3 3 6 5 2" xfId="19150" xr:uid="{00000000-0005-0000-0000-0000E4300000}"/>
    <cellStyle name="Normal 57 3 3 6 6" xfId="11769" xr:uid="{00000000-0005-0000-0000-0000E5300000}"/>
    <cellStyle name="Normal 57 3 3 6 7" xfId="5058" xr:uid="{00000000-0005-0000-0000-0000E6300000}"/>
    <cellStyle name="Normal 57 3 3 7" xfId="1357" xr:uid="{00000000-0005-0000-0000-0000E7300000}"/>
    <cellStyle name="Normal 57 3 3 7 2" xfId="2968" xr:uid="{00000000-0005-0000-0000-0000E8300000}"/>
    <cellStyle name="Normal 57 3 3 7 2 2" xfId="16517" xr:uid="{00000000-0005-0000-0000-0000E9300000}"/>
    <cellStyle name="Normal 57 3 3 7 2 3" xfId="12939" xr:uid="{00000000-0005-0000-0000-0000EA300000}"/>
    <cellStyle name="Normal 57 3 3 7 2 4" xfId="7649" xr:uid="{00000000-0005-0000-0000-0000EB300000}"/>
    <cellStyle name="Normal 57 3 3 7 3" xfId="4193" xr:uid="{00000000-0005-0000-0000-0000EC300000}"/>
    <cellStyle name="Normal 57 3 3 7 3 2" xfId="17881" xr:uid="{00000000-0005-0000-0000-0000ED300000}"/>
    <cellStyle name="Normal 57 3 3 7 3 3" xfId="14302" xr:uid="{00000000-0005-0000-0000-0000EE300000}"/>
    <cellStyle name="Normal 57 3 3 7 3 4" xfId="9045" xr:uid="{00000000-0005-0000-0000-0000EF300000}"/>
    <cellStyle name="Normal 57 3 3 7 4" xfId="5895" xr:uid="{00000000-0005-0000-0000-0000F0300000}"/>
    <cellStyle name="Normal 57 3 3 7 4 2" xfId="14981" xr:uid="{00000000-0005-0000-0000-0000F1300000}"/>
    <cellStyle name="Normal 57 3 3 7 5" xfId="10499" xr:uid="{00000000-0005-0000-0000-0000F2300000}"/>
    <cellStyle name="Normal 57 3 3 7 5 2" xfId="19326" xr:uid="{00000000-0005-0000-0000-0000F3300000}"/>
    <cellStyle name="Normal 57 3 3 7 6" xfId="11945" xr:uid="{00000000-0005-0000-0000-0000F4300000}"/>
    <cellStyle name="Normal 57 3 3 7 7" xfId="5243" xr:uid="{00000000-0005-0000-0000-0000F5300000}"/>
    <cellStyle name="Normal 57 3 3 8" xfId="1925" xr:uid="{00000000-0005-0000-0000-0000F6300000}"/>
    <cellStyle name="Normal 57 3 3 8 2" xfId="9456" xr:uid="{00000000-0005-0000-0000-0000F7300000}"/>
    <cellStyle name="Normal 57 3 3 8 2 2" xfId="18283" xr:uid="{00000000-0005-0000-0000-0000F8300000}"/>
    <cellStyle name="Normal 57 3 3 8 3" xfId="10900" xr:uid="{00000000-0005-0000-0000-0000F9300000}"/>
    <cellStyle name="Normal 57 3 3 8 4" xfId="6782" xr:uid="{00000000-0005-0000-0000-0000FA300000}"/>
    <cellStyle name="Normal 57 3 3 9" xfId="1849" xr:uid="{00000000-0005-0000-0000-0000FB300000}"/>
    <cellStyle name="Normal 57 3 3 9 2" xfId="16836" xr:uid="{00000000-0005-0000-0000-0000FC300000}"/>
    <cellStyle name="Normal 57 3 3 9 3" xfId="13257" xr:uid="{00000000-0005-0000-0000-0000FD300000}"/>
    <cellStyle name="Normal 57 3 3 9 4" xfId="8000" xr:uid="{00000000-0005-0000-0000-0000FE300000}"/>
    <cellStyle name="Normal 57 3 3_Degree data" xfId="1689" xr:uid="{00000000-0005-0000-0000-0000FF300000}"/>
    <cellStyle name="Normal 57 3 4" xfId="245" xr:uid="{00000000-0005-0000-0000-000000310000}"/>
    <cellStyle name="Normal 57 3 4 10" xfId="10996" xr:uid="{00000000-0005-0000-0000-000001310000}"/>
    <cellStyle name="Normal 57 3 4 11" xfId="4413" xr:uid="{00000000-0005-0000-0000-000002310000}"/>
    <cellStyle name="Normal 57 3 4 2" xfId="353" xr:uid="{00000000-0005-0000-0000-000003310000}"/>
    <cellStyle name="Normal 57 3 4 2 2" xfId="722" xr:uid="{00000000-0005-0000-0000-000004310000}"/>
    <cellStyle name="Normal 57 3 4 2 2 2" xfId="2451" xr:uid="{00000000-0005-0000-0000-000005310000}"/>
    <cellStyle name="Normal 57 3 4 2 2 2 2" xfId="16339" xr:uid="{00000000-0005-0000-0000-000006310000}"/>
    <cellStyle name="Normal 57 3 4 2 2 2 3" xfId="12761" xr:uid="{00000000-0005-0000-0000-000007310000}"/>
    <cellStyle name="Normal 57 3 4 2 2 2 4" xfId="7471" xr:uid="{00000000-0005-0000-0000-000008310000}"/>
    <cellStyle name="Normal 57 3 4 2 2 3" xfId="3718" xr:uid="{00000000-0005-0000-0000-000009310000}"/>
    <cellStyle name="Normal 57 3 4 2 2 3 2" xfId="17364" xr:uid="{00000000-0005-0000-0000-00000A310000}"/>
    <cellStyle name="Normal 57 3 4 2 2 3 3" xfId="13785" xr:uid="{00000000-0005-0000-0000-00000B310000}"/>
    <cellStyle name="Normal 57 3 4 2 2 3 4" xfId="8528" xr:uid="{00000000-0005-0000-0000-00000C310000}"/>
    <cellStyle name="Normal 57 3 4 2 2 4" xfId="6587" xr:uid="{00000000-0005-0000-0000-00000D310000}"/>
    <cellStyle name="Normal 57 3 4 2 2 4 2" xfId="15671" xr:uid="{00000000-0005-0000-0000-00000E310000}"/>
    <cellStyle name="Normal 57 3 4 2 2 5" xfId="9982" xr:uid="{00000000-0005-0000-0000-00000F310000}"/>
    <cellStyle name="Normal 57 3 4 2 2 5 2" xfId="18809" xr:uid="{00000000-0005-0000-0000-000010310000}"/>
    <cellStyle name="Normal 57 3 4 2 2 6" xfId="11427" xr:uid="{00000000-0005-0000-0000-000011310000}"/>
    <cellStyle name="Normal 57 3 4 2 2 7" xfId="5065" xr:uid="{00000000-0005-0000-0000-000012310000}"/>
    <cellStyle name="Normal 57 3 4 2 3" xfId="1079" xr:uid="{00000000-0005-0000-0000-000013310000}"/>
    <cellStyle name="Normal 57 3 4 2 3 2" xfId="2799" xr:uid="{00000000-0005-0000-0000-000014310000}"/>
    <cellStyle name="Normal 57 3 4 2 3 2 2" xfId="16713" xr:uid="{00000000-0005-0000-0000-000015310000}"/>
    <cellStyle name="Normal 57 3 4 2 3 2 3" xfId="13134" xr:uid="{00000000-0005-0000-0000-000016310000}"/>
    <cellStyle name="Normal 57 3 4 2 3 2 4" xfId="7845" xr:uid="{00000000-0005-0000-0000-000017310000}"/>
    <cellStyle name="Normal 57 3 4 2 3 3" xfId="4067" xr:uid="{00000000-0005-0000-0000-000018310000}"/>
    <cellStyle name="Normal 57 3 4 2 3 3 2" xfId="17712" xr:uid="{00000000-0005-0000-0000-000019310000}"/>
    <cellStyle name="Normal 57 3 4 2 3 3 3" xfId="14133" xr:uid="{00000000-0005-0000-0000-00001A310000}"/>
    <cellStyle name="Normal 57 3 4 2 3 3 4" xfId="8876" xr:uid="{00000000-0005-0000-0000-00001B310000}"/>
    <cellStyle name="Normal 57 3 4 2 3 4" xfId="6252" xr:uid="{00000000-0005-0000-0000-00001C310000}"/>
    <cellStyle name="Normal 57 3 4 2 3 4 2" xfId="15336" xr:uid="{00000000-0005-0000-0000-00001D310000}"/>
    <cellStyle name="Normal 57 3 4 2 3 5" xfId="10330" xr:uid="{00000000-0005-0000-0000-00001E310000}"/>
    <cellStyle name="Normal 57 3 4 2 3 5 2" xfId="19157" xr:uid="{00000000-0005-0000-0000-00001F310000}"/>
    <cellStyle name="Normal 57 3 4 2 3 6" xfId="11776" xr:uid="{00000000-0005-0000-0000-000020310000}"/>
    <cellStyle name="Normal 57 3 4 2 3 7" xfId="5439" xr:uid="{00000000-0005-0000-0000-000021310000}"/>
    <cellStyle name="Normal 57 3 4 2 4" xfId="1566" xr:uid="{00000000-0005-0000-0000-000022310000}"/>
    <cellStyle name="Normal 57 3 4 2 4 2" xfId="3164" xr:uid="{00000000-0005-0000-0000-000023310000}"/>
    <cellStyle name="Normal 57 3 4 2 4 2 2" xfId="18077" xr:uid="{00000000-0005-0000-0000-000024310000}"/>
    <cellStyle name="Normal 57 3 4 2 4 2 3" xfId="14498" xr:uid="{00000000-0005-0000-0000-000025310000}"/>
    <cellStyle name="Normal 57 3 4 2 4 2 4" xfId="9241" xr:uid="{00000000-0005-0000-0000-000026310000}"/>
    <cellStyle name="Normal 57 3 4 2 4 3" xfId="10695" xr:uid="{00000000-0005-0000-0000-000027310000}"/>
    <cellStyle name="Normal 57 3 4 2 4 3 2" xfId="19522" xr:uid="{00000000-0005-0000-0000-000028310000}"/>
    <cellStyle name="Normal 57 3 4 2 4 4" xfId="12141" xr:uid="{00000000-0005-0000-0000-000029310000}"/>
    <cellStyle name="Normal 57 3 4 2 4 5" xfId="7136" xr:uid="{00000000-0005-0000-0000-00002A310000}"/>
    <cellStyle name="Normal 57 3 4 2 5" xfId="2121" xr:uid="{00000000-0005-0000-0000-00002B310000}"/>
    <cellStyle name="Normal 57 3 4 2 5 2" xfId="17034" xr:uid="{00000000-0005-0000-0000-00002C310000}"/>
    <cellStyle name="Normal 57 3 4 2 5 3" xfId="13455" xr:uid="{00000000-0005-0000-0000-00002D310000}"/>
    <cellStyle name="Normal 57 3 4 2 5 4" xfId="8198" xr:uid="{00000000-0005-0000-0000-00002E310000}"/>
    <cellStyle name="Normal 57 3 4 2 6" xfId="5759" xr:uid="{00000000-0005-0000-0000-00002F310000}"/>
    <cellStyle name="Normal 57 3 4 2 6 2" xfId="14845" xr:uid="{00000000-0005-0000-0000-000030310000}"/>
    <cellStyle name="Normal 57 3 4 2 7" xfId="9652" xr:uid="{00000000-0005-0000-0000-000031310000}"/>
    <cellStyle name="Normal 57 3 4 2 7 2" xfId="18479" xr:uid="{00000000-0005-0000-0000-000032310000}"/>
    <cellStyle name="Normal 57 3 4 2 8" xfId="11096" xr:uid="{00000000-0005-0000-0000-000033310000}"/>
    <cellStyle name="Normal 57 3 4 2 9" xfId="4730" xr:uid="{00000000-0005-0000-0000-000034310000}"/>
    <cellStyle name="Normal 57 3 4 2_Degree data" xfId="1696" xr:uid="{00000000-0005-0000-0000-000035310000}"/>
    <cellStyle name="Normal 57 3 4 3" xfId="721" xr:uid="{00000000-0005-0000-0000-000036310000}"/>
    <cellStyle name="Normal 57 3 4 3 2" xfId="2450" xr:uid="{00000000-0005-0000-0000-000037310000}"/>
    <cellStyle name="Normal 57 3 4 3 2 2" xfId="16050" xr:uid="{00000000-0005-0000-0000-000038310000}"/>
    <cellStyle name="Normal 57 3 4 3 2 3" xfId="12279" xr:uid="{00000000-0005-0000-0000-000039310000}"/>
    <cellStyle name="Normal 57 3 4 3 2 4" xfId="7036" xr:uid="{00000000-0005-0000-0000-00003A310000}"/>
    <cellStyle name="Normal 57 3 4 3 3" xfId="3717" xr:uid="{00000000-0005-0000-0000-00003B310000}"/>
    <cellStyle name="Normal 57 3 4 3 3 2" xfId="17363" xr:uid="{00000000-0005-0000-0000-00003C310000}"/>
    <cellStyle name="Normal 57 3 4 3 3 3" xfId="13784" xr:uid="{00000000-0005-0000-0000-00003D310000}"/>
    <cellStyle name="Normal 57 3 4 3 3 4" xfId="8527" xr:uid="{00000000-0005-0000-0000-00003E310000}"/>
    <cellStyle name="Normal 57 3 4 3 4" xfId="6152" xr:uid="{00000000-0005-0000-0000-00003F310000}"/>
    <cellStyle name="Normal 57 3 4 3 4 2" xfId="15236" xr:uid="{00000000-0005-0000-0000-000040310000}"/>
    <cellStyle name="Normal 57 3 4 3 5" xfId="9981" xr:uid="{00000000-0005-0000-0000-000041310000}"/>
    <cellStyle name="Normal 57 3 4 3 5 2" xfId="18808" xr:uid="{00000000-0005-0000-0000-000042310000}"/>
    <cellStyle name="Normal 57 3 4 3 6" xfId="11426" xr:uid="{00000000-0005-0000-0000-000043310000}"/>
    <cellStyle name="Normal 57 3 4 3 7" xfId="4630" xr:uid="{00000000-0005-0000-0000-000044310000}"/>
    <cellStyle name="Normal 57 3 4 4" xfId="1078" xr:uid="{00000000-0005-0000-0000-000045310000}"/>
    <cellStyle name="Normal 57 3 4 4 2" xfId="2798" xr:uid="{00000000-0005-0000-0000-000046310000}"/>
    <cellStyle name="Normal 57 3 4 4 2 2" xfId="16338" xr:uid="{00000000-0005-0000-0000-000047310000}"/>
    <cellStyle name="Normal 57 3 4 4 2 3" xfId="12760" xr:uid="{00000000-0005-0000-0000-000048310000}"/>
    <cellStyle name="Normal 57 3 4 4 2 4" xfId="7470" xr:uid="{00000000-0005-0000-0000-000049310000}"/>
    <cellStyle name="Normal 57 3 4 4 3" xfId="4066" xr:uid="{00000000-0005-0000-0000-00004A310000}"/>
    <cellStyle name="Normal 57 3 4 4 3 2" xfId="17711" xr:uid="{00000000-0005-0000-0000-00004B310000}"/>
    <cellStyle name="Normal 57 3 4 4 3 3" xfId="14132" xr:uid="{00000000-0005-0000-0000-00004C310000}"/>
    <cellStyle name="Normal 57 3 4 4 3 4" xfId="8875" xr:uid="{00000000-0005-0000-0000-00004D310000}"/>
    <cellStyle name="Normal 57 3 4 4 4" xfId="6586" xr:uid="{00000000-0005-0000-0000-00004E310000}"/>
    <cellStyle name="Normal 57 3 4 4 4 2" xfId="15670" xr:uid="{00000000-0005-0000-0000-00004F310000}"/>
    <cellStyle name="Normal 57 3 4 4 5" xfId="10329" xr:uid="{00000000-0005-0000-0000-000050310000}"/>
    <cellStyle name="Normal 57 3 4 4 5 2" xfId="19156" xr:uid="{00000000-0005-0000-0000-000051310000}"/>
    <cellStyle name="Normal 57 3 4 4 6" xfId="11775" xr:uid="{00000000-0005-0000-0000-000052310000}"/>
    <cellStyle name="Normal 57 3 4 4 7" xfId="5064" xr:uid="{00000000-0005-0000-0000-000053310000}"/>
    <cellStyle name="Normal 57 3 4 5" xfId="1464" xr:uid="{00000000-0005-0000-0000-000054310000}"/>
    <cellStyle name="Normal 57 3 4 5 2" xfId="3064" xr:uid="{00000000-0005-0000-0000-000055310000}"/>
    <cellStyle name="Normal 57 3 4 5 2 2" xfId="16613" xr:uid="{00000000-0005-0000-0000-000056310000}"/>
    <cellStyle name="Normal 57 3 4 5 2 3" xfId="13034" xr:uid="{00000000-0005-0000-0000-000057310000}"/>
    <cellStyle name="Normal 57 3 4 5 2 4" xfId="7745" xr:uid="{00000000-0005-0000-0000-000058310000}"/>
    <cellStyle name="Normal 57 3 4 5 3" xfId="4272" xr:uid="{00000000-0005-0000-0000-000059310000}"/>
    <cellStyle name="Normal 57 3 4 5 3 2" xfId="17977" xr:uid="{00000000-0005-0000-0000-00005A310000}"/>
    <cellStyle name="Normal 57 3 4 5 3 3" xfId="14398" xr:uid="{00000000-0005-0000-0000-00005B310000}"/>
    <cellStyle name="Normal 57 3 4 5 3 4" xfId="9141" xr:uid="{00000000-0005-0000-0000-00005C310000}"/>
    <cellStyle name="Normal 57 3 4 5 4" xfId="5933" xr:uid="{00000000-0005-0000-0000-00005D310000}"/>
    <cellStyle name="Normal 57 3 4 5 4 2" xfId="15019" xr:uid="{00000000-0005-0000-0000-00005E310000}"/>
    <cellStyle name="Normal 57 3 4 5 5" xfId="10595" xr:uid="{00000000-0005-0000-0000-00005F310000}"/>
    <cellStyle name="Normal 57 3 4 5 5 2" xfId="19422" xr:uid="{00000000-0005-0000-0000-000060310000}"/>
    <cellStyle name="Normal 57 3 4 5 6" xfId="12041" xr:uid="{00000000-0005-0000-0000-000061310000}"/>
    <cellStyle name="Normal 57 3 4 5 7" xfId="5339" xr:uid="{00000000-0005-0000-0000-000062310000}"/>
    <cellStyle name="Normal 57 3 4 6" xfId="2021" xr:uid="{00000000-0005-0000-0000-000063310000}"/>
    <cellStyle name="Normal 57 3 4 6 2" xfId="15862" xr:uid="{00000000-0005-0000-0000-000064310000}"/>
    <cellStyle name="Normal 57 3 4 6 3" xfId="12454" xr:uid="{00000000-0005-0000-0000-000065310000}"/>
    <cellStyle name="Normal 57 3 4 6 4" xfId="6819" xr:uid="{00000000-0005-0000-0000-000066310000}"/>
    <cellStyle name="Normal 57 3 4 7" xfId="3434" xr:uid="{00000000-0005-0000-0000-000067310000}"/>
    <cellStyle name="Normal 57 3 4 7 2" xfId="16934" xr:uid="{00000000-0005-0000-0000-000068310000}"/>
    <cellStyle name="Normal 57 3 4 7 3" xfId="13355" xr:uid="{00000000-0005-0000-0000-000069310000}"/>
    <cellStyle name="Normal 57 3 4 7 4" xfId="8098" xr:uid="{00000000-0005-0000-0000-00006A310000}"/>
    <cellStyle name="Normal 57 3 4 8" xfId="5659" xr:uid="{00000000-0005-0000-0000-00006B310000}"/>
    <cellStyle name="Normal 57 3 4 8 2" xfId="14745" xr:uid="{00000000-0005-0000-0000-00006C310000}"/>
    <cellStyle name="Normal 57 3 4 9" xfId="9552" xr:uid="{00000000-0005-0000-0000-00006D310000}"/>
    <cellStyle name="Normal 57 3 4 9 2" xfId="18379" xr:uid="{00000000-0005-0000-0000-00006E310000}"/>
    <cellStyle name="Normal 57 3 4_Degree data" xfId="1695" xr:uid="{00000000-0005-0000-0000-00006F310000}"/>
    <cellStyle name="Normal 57 3 5" xfId="187" xr:uid="{00000000-0005-0000-0000-000070310000}"/>
    <cellStyle name="Normal 57 3 5 10" xfId="10941" xr:uid="{00000000-0005-0000-0000-000071310000}"/>
    <cellStyle name="Normal 57 3 5 11" xfId="4463" xr:uid="{00000000-0005-0000-0000-000072310000}"/>
    <cellStyle name="Normal 57 3 5 2" xfId="404" xr:uid="{00000000-0005-0000-0000-000073310000}"/>
    <cellStyle name="Normal 57 3 5 2 2" xfId="724" xr:uid="{00000000-0005-0000-0000-000074310000}"/>
    <cellStyle name="Normal 57 3 5 2 2 2" xfId="2453" xr:uid="{00000000-0005-0000-0000-000075310000}"/>
    <cellStyle name="Normal 57 3 5 2 2 2 2" xfId="16341" xr:uid="{00000000-0005-0000-0000-000076310000}"/>
    <cellStyle name="Normal 57 3 5 2 2 2 3" xfId="12763" xr:uid="{00000000-0005-0000-0000-000077310000}"/>
    <cellStyle name="Normal 57 3 5 2 2 2 4" xfId="7473" xr:uid="{00000000-0005-0000-0000-000078310000}"/>
    <cellStyle name="Normal 57 3 5 2 2 3" xfId="3720" xr:uid="{00000000-0005-0000-0000-000079310000}"/>
    <cellStyle name="Normal 57 3 5 2 2 3 2" xfId="17366" xr:uid="{00000000-0005-0000-0000-00007A310000}"/>
    <cellStyle name="Normal 57 3 5 2 2 3 3" xfId="13787" xr:uid="{00000000-0005-0000-0000-00007B310000}"/>
    <cellStyle name="Normal 57 3 5 2 2 3 4" xfId="8530" xr:uid="{00000000-0005-0000-0000-00007C310000}"/>
    <cellStyle name="Normal 57 3 5 2 2 4" xfId="6589" xr:uid="{00000000-0005-0000-0000-00007D310000}"/>
    <cellStyle name="Normal 57 3 5 2 2 4 2" xfId="15673" xr:uid="{00000000-0005-0000-0000-00007E310000}"/>
    <cellStyle name="Normal 57 3 5 2 2 5" xfId="9984" xr:uid="{00000000-0005-0000-0000-00007F310000}"/>
    <cellStyle name="Normal 57 3 5 2 2 5 2" xfId="18811" xr:uid="{00000000-0005-0000-0000-000080310000}"/>
    <cellStyle name="Normal 57 3 5 2 2 6" xfId="11429" xr:uid="{00000000-0005-0000-0000-000081310000}"/>
    <cellStyle name="Normal 57 3 5 2 2 7" xfId="5067" xr:uid="{00000000-0005-0000-0000-000082310000}"/>
    <cellStyle name="Normal 57 3 5 2 3" xfId="1081" xr:uid="{00000000-0005-0000-0000-000083310000}"/>
    <cellStyle name="Normal 57 3 5 2 3 2" xfId="2801" xr:uid="{00000000-0005-0000-0000-000084310000}"/>
    <cellStyle name="Normal 57 3 5 2 3 2 2" xfId="16763" xr:uid="{00000000-0005-0000-0000-000085310000}"/>
    <cellStyle name="Normal 57 3 5 2 3 2 3" xfId="13184" xr:uid="{00000000-0005-0000-0000-000086310000}"/>
    <cellStyle name="Normal 57 3 5 2 3 2 4" xfId="7895" xr:uid="{00000000-0005-0000-0000-000087310000}"/>
    <cellStyle name="Normal 57 3 5 2 3 3" xfId="4069" xr:uid="{00000000-0005-0000-0000-000088310000}"/>
    <cellStyle name="Normal 57 3 5 2 3 3 2" xfId="17714" xr:uid="{00000000-0005-0000-0000-000089310000}"/>
    <cellStyle name="Normal 57 3 5 2 3 3 3" xfId="14135" xr:uid="{00000000-0005-0000-0000-00008A310000}"/>
    <cellStyle name="Normal 57 3 5 2 3 3 4" xfId="8878" xr:uid="{00000000-0005-0000-0000-00008B310000}"/>
    <cellStyle name="Normal 57 3 5 2 3 4" xfId="6302" xr:uid="{00000000-0005-0000-0000-00008C310000}"/>
    <cellStyle name="Normal 57 3 5 2 3 4 2" xfId="15386" xr:uid="{00000000-0005-0000-0000-00008D310000}"/>
    <cellStyle name="Normal 57 3 5 2 3 5" xfId="10332" xr:uid="{00000000-0005-0000-0000-00008E310000}"/>
    <cellStyle name="Normal 57 3 5 2 3 5 2" xfId="19159" xr:uid="{00000000-0005-0000-0000-00008F310000}"/>
    <cellStyle name="Normal 57 3 5 2 3 6" xfId="11778" xr:uid="{00000000-0005-0000-0000-000090310000}"/>
    <cellStyle name="Normal 57 3 5 2 3 7" xfId="5489" xr:uid="{00000000-0005-0000-0000-000091310000}"/>
    <cellStyle name="Normal 57 3 5 2 4" xfId="1618" xr:uid="{00000000-0005-0000-0000-000092310000}"/>
    <cellStyle name="Normal 57 3 5 2 4 2" xfId="3214" xr:uid="{00000000-0005-0000-0000-000093310000}"/>
    <cellStyle name="Normal 57 3 5 2 4 2 2" xfId="18127" xr:uid="{00000000-0005-0000-0000-000094310000}"/>
    <cellStyle name="Normal 57 3 5 2 4 2 3" xfId="14548" xr:uid="{00000000-0005-0000-0000-000095310000}"/>
    <cellStyle name="Normal 57 3 5 2 4 2 4" xfId="9291" xr:uid="{00000000-0005-0000-0000-000096310000}"/>
    <cellStyle name="Normal 57 3 5 2 4 3" xfId="10745" xr:uid="{00000000-0005-0000-0000-000097310000}"/>
    <cellStyle name="Normal 57 3 5 2 4 3 2" xfId="19572" xr:uid="{00000000-0005-0000-0000-000098310000}"/>
    <cellStyle name="Normal 57 3 5 2 4 4" xfId="12191" xr:uid="{00000000-0005-0000-0000-000099310000}"/>
    <cellStyle name="Normal 57 3 5 2 4 5" xfId="7186" xr:uid="{00000000-0005-0000-0000-00009A310000}"/>
    <cellStyle name="Normal 57 3 5 2 5" xfId="2171" xr:uid="{00000000-0005-0000-0000-00009B310000}"/>
    <cellStyle name="Normal 57 3 5 2 5 2" xfId="17084" xr:uid="{00000000-0005-0000-0000-00009C310000}"/>
    <cellStyle name="Normal 57 3 5 2 5 3" xfId="13505" xr:uid="{00000000-0005-0000-0000-00009D310000}"/>
    <cellStyle name="Normal 57 3 5 2 5 4" xfId="8248" xr:uid="{00000000-0005-0000-0000-00009E310000}"/>
    <cellStyle name="Normal 57 3 5 2 6" xfId="5809" xr:uid="{00000000-0005-0000-0000-00009F310000}"/>
    <cellStyle name="Normal 57 3 5 2 6 2" xfId="14895" xr:uid="{00000000-0005-0000-0000-0000A0310000}"/>
    <cellStyle name="Normal 57 3 5 2 7" xfId="9702" xr:uid="{00000000-0005-0000-0000-0000A1310000}"/>
    <cellStyle name="Normal 57 3 5 2 7 2" xfId="18529" xr:uid="{00000000-0005-0000-0000-0000A2310000}"/>
    <cellStyle name="Normal 57 3 5 2 8" xfId="11146" xr:uid="{00000000-0005-0000-0000-0000A3310000}"/>
    <cellStyle name="Normal 57 3 5 2 9" xfId="4780" xr:uid="{00000000-0005-0000-0000-0000A4310000}"/>
    <cellStyle name="Normal 57 3 5 2_Degree data" xfId="1698" xr:uid="{00000000-0005-0000-0000-0000A5310000}"/>
    <cellStyle name="Normal 57 3 5 3" xfId="723" xr:uid="{00000000-0005-0000-0000-0000A6310000}"/>
    <cellStyle name="Normal 57 3 5 3 2" xfId="2452" xr:uid="{00000000-0005-0000-0000-0000A7310000}"/>
    <cellStyle name="Normal 57 3 5 3 2 2" xfId="15995" xr:uid="{00000000-0005-0000-0000-0000A8310000}"/>
    <cellStyle name="Normal 57 3 5 3 2 3" xfId="12506" xr:uid="{00000000-0005-0000-0000-0000A9310000}"/>
    <cellStyle name="Normal 57 3 5 3 2 4" xfId="6981" xr:uid="{00000000-0005-0000-0000-0000AA310000}"/>
    <cellStyle name="Normal 57 3 5 3 3" xfId="3719" xr:uid="{00000000-0005-0000-0000-0000AB310000}"/>
    <cellStyle name="Normal 57 3 5 3 3 2" xfId="17365" xr:uid="{00000000-0005-0000-0000-0000AC310000}"/>
    <cellStyle name="Normal 57 3 5 3 3 3" xfId="13786" xr:uid="{00000000-0005-0000-0000-0000AD310000}"/>
    <cellStyle name="Normal 57 3 5 3 3 4" xfId="8529" xr:uid="{00000000-0005-0000-0000-0000AE310000}"/>
    <cellStyle name="Normal 57 3 5 3 4" xfId="6097" xr:uid="{00000000-0005-0000-0000-0000AF310000}"/>
    <cellStyle name="Normal 57 3 5 3 4 2" xfId="15181" xr:uid="{00000000-0005-0000-0000-0000B0310000}"/>
    <cellStyle name="Normal 57 3 5 3 5" xfId="9983" xr:uid="{00000000-0005-0000-0000-0000B1310000}"/>
    <cellStyle name="Normal 57 3 5 3 5 2" xfId="18810" xr:uid="{00000000-0005-0000-0000-0000B2310000}"/>
    <cellStyle name="Normal 57 3 5 3 6" xfId="11428" xr:uid="{00000000-0005-0000-0000-0000B3310000}"/>
    <cellStyle name="Normal 57 3 5 3 7" xfId="4575" xr:uid="{00000000-0005-0000-0000-0000B4310000}"/>
    <cellStyle name="Normal 57 3 5 4" xfId="1080" xr:uid="{00000000-0005-0000-0000-0000B5310000}"/>
    <cellStyle name="Normal 57 3 5 4 2" xfId="2800" xr:uid="{00000000-0005-0000-0000-0000B6310000}"/>
    <cellStyle name="Normal 57 3 5 4 2 2" xfId="16340" xr:uid="{00000000-0005-0000-0000-0000B7310000}"/>
    <cellStyle name="Normal 57 3 5 4 2 3" xfId="12762" xr:uid="{00000000-0005-0000-0000-0000B8310000}"/>
    <cellStyle name="Normal 57 3 5 4 2 4" xfId="7472" xr:uid="{00000000-0005-0000-0000-0000B9310000}"/>
    <cellStyle name="Normal 57 3 5 4 3" xfId="4068" xr:uid="{00000000-0005-0000-0000-0000BA310000}"/>
    <cellStyle name="Normal 57 3 5 4 3 2" xfId="17713" xr:uid="{00000000-0005-0000-0000-0000BB310000}"/>
    <cellStyle name="Normal 57 3 5 4 3 3" xfId="14134" xr:uid="{00000000-0005-0000-0000-0000BC310000}"/>
    <cellStyle name="Normal 57 3 5 4 3 4" xfId="8877" xr:uid="{00000000-0005-0000-0000-0000BD310000}"/>
    <cellStyle name="Normal 57 3 5 4 4" xfId="6588" xr:uid="{00000000-0005-0000-0000-0000BE310000}"/>
    <cellStyle name="Normal 57 3 5 4 4 2" xfId="15672" xr:uid="{00000000-0005-0000-0000-0000BF310000}"/>
    <cellStyle name="Normal 57 3 5 4 5" xfId="10331" xr:uid="{00000000-0005-0000-0000-0000C0310000}"/>
    <cellStyle name="Normal 57 3 5 4 5 2" xfId="19158" xr:uid="{00000000-0005-0000-0000-0000C1310000}"/>
    <cellStyle name="Normal 57 3 5 4 6" xfId="11777" xr:uid="{00000000-0005-0000-0000-0000C2310000}"/>
    <cellStyle name="Normal 57 3 5 4 7" xfId="5066" xr:uid="{00000000-0005-0000-0000-0000C3310000}"/>
    <cellStyle name="Normal 57 3 5 5" xfId="1404" xr:uid="{00000000-0005-0000-0000-0000C4310000}"/>
    <cellStyle name="Normal 57 3 5 5 2" xfId="3009" xr:uid="{00000000-0005-0000-0000-0000C5310000}"/>
    <cellStyle name="Normal 57 3 5 5 2 2" xfId="16558" xr:uid="{00000000-0005-0000-0000-0000C6310000}"/>
    <cellStyle name="Normal 57 3 5 5 2 3" xfId="12979" xr:uid="{00000000-0005-0000-0000-0000C7310000}"/>
    <cellStyle name="Normal 57 3 5 5 2 4" xfId="7690" xr:uid="{00000000-0005-0000-0000-0000C8310000}"/>
    <cellStyle name="Normal 57 3 5 5 3" xfId="4217" xr:uid="{00000000-0005-0000-0000-0000C9310000}"/>
    <cellStyle name="Normal 57 3 5 5 3 2" xfId="17922" xr:uid="{00000000-0005-0000-0000-0000CA310000}"/>
    <cellStyle name="Normal 57 3 5 5 3 3" xfId="14343" xr:uid="{00000000-0005-0000-0000-0000CB310000}"/>
    <cellStyle name="Normal 57 3 5 5 3 4" xfId="9086" xr:uid="{00000000-0005-0000-0000-0000CC310000}"/>
    <cellStyle name="Normal 57 3 5 5 4" xfId="5983" xr:uid="{00000000-0005-0000-0000-0000CD310000}"/>
    <cellStyle name="Normal 57 3 5 5 4 2" xfId="15069" xr:uid="{00000000-0005-0000-0000-0000CE310000}"/>
    <cellStyle name="Normal 57 3 5 5 5" xfId="10540" xr:uid="{00000000-0005-0000-0000-0000CF310000}"/>
    <cellStyle name="Normal 57 3 5 5 5 2" xfId="19367" xr:uid="{00000000-0005-0000-0000-0000D0310000}"/>
    <cellStyle name="Normal 57 3 5 5 6" xfId="11986" xr:uid="{00000000-0005-0000-0000-0000D1310000}"/>
    <cellStyle name="Normal 57 3 5 5 7" xfId="5284" xr:uid="{00000000-0005-0000-0000-0000D2310000}"/>
    <cellStyle name="Normal 57 3 5 6" xfId="1966" xr:uid="{00000000-0005-0000-0000-0000D3310000}"/>
    <cellStyle name="Normal 57 3 5 6 2" xfId="15912" xr:uid="{00000000-0005-0000-0000-0000D4310000}"/>
    <cellStyle name="Normal 57 3 5 6 3" xfId="12414" xr:uid="{00000000-0005-0000-0000-0000D5310000}"/>
    <cellStyle name="Normal 57 3 5 6 4" xfId="6869" xr:uid="{00000000-0005-0000-0000-0000D6310000}"/>
    <cellStyle name="Normal 57 3 5 7" xfId="3380" xr:uid="{00000000-0005-0000-0000-0000D7310000}"/>
    <cellStyle name="Normal 57 3 5 7 2" xfId="16879" xr:uid="{00000000-0005-0000-0000-0000D8310000}"/>
    <cellStyle name="Normal 57 3 5 7 3" xfId="13300" xr:uid="{00000000-0005-0000-0000-0000D9310000}"/>
    <cellStyle name="Normal 57 3 5 7 4" xfId="8043" xr:uid="{00000000-0005-0000-0000-0000DA310000}"/>
    <cellStyle name="Normal 57 3 5 8" xfId="5604" xr:uid="{00000000-0005-0000-0000-0000DB310000}"/>
    <cellStyle name="Normal 57 3 5 8 2" xfId="14690" xr:uid="{00000000-0005-0000-0000-0000DC310000}"/>
    <cellStyle name="Normal 57 3 5 9" xfId="9497" xr:uid="{00000000-0005-0000-0000-0000DD310000}"/>
    <cellStyle name="Normal 57 3 5 9 2" xfId="18324" xr:uid="{00000000-0005-0000-0000-0000DE310000}"/>
    <cellStyle name="Normal 57 3 5_Degree data" xfId="1697" xr:uid="{00000000-0005-0000-0000-0000DF310000}"/>
    <cellStyle name="Normal 57 3 6" xfId="298" xr:uid="{00000000-0005-0000-0000-0000E0310000}"/>
    <cellStyle name="Normal 57 3 6 2" xfId="725" xr:uid="{00000000-0005-0000-0000-0000E1310000}"/>
    <cellStyle name="Normal 57 3 6 2 2" xfId="2454" xr:uid="{00000000-0005-0000-0000-0000E2310000}"/>
    <cellStyle name="Normal 57 3 6 2 2 2" xfId="16342" xr:uid="{00000000-0005-0000-0000-0000E3310000}"/>
    <cellStyle name="Normal 57 3 6 2 2 3" xfId="12764" xr:uid="{00000000-0005-0000-0000-0000E4310000}"/>
    <cellStyle name="Normal 57 3 6 2 2 4" xfId="7474" xr:uid="{00000000-0005-0000-0000-0000E5310000}"/>
    <cellStyle name="Normal 57 3 6 2 3" xfId="3721" xr:uid="{00000000-0005-0000-0000-0000E6310000}"/>
    <cellStyle name="Normal 57 3 6 2 3 2" xfId="17367" xr:uid="{00000000-0005-0000-0000-0000E7310000}"/>
    <cellStyle name="Normal 57 3 6 2 3 3" xfId="13788" xr:uid="{00000000-0005-0000-0000-0000E8310000}"/>
    <cellStyle name="Normal 57 3 6 2 3 4" xfId="8531" xr:uid="{00000000-0005-0000-0000-0000E9310000}"/>
    <cellStyle name="Normal 57 3 6 2 4" xfId="6590" xr:uid="{00000000-0005-0000-0000-0000EA310000}"/>
    <cellStyle name="Normal 57 3 6 2 4 2" xfId="15674" xr:uid="{00000000-0005-0000-0000-0000EB310000}"/>
    <cellStyle name="Normal 57 3 6 2 5" xfId="9985" xr:uid="{00000000-0005-0000-0000-0000EC310000}"/>
    <cellStyle name="Normal 57 3 6 2 5 2" xfId="18812" xr:uid="{00000000-0005-0000-0000-0000ED310000}"/>
    <cellStyle name="Normal 57 3 6 2 6" xfId="11430" xr:uid="{00000000-0005-0000-0000-0000EE310000}"/>
    <cellStyle name="Normal 57 3 6 2 7" xfId="5068" xr:uid="{00000000-0005-0000-0000-0000EF310000}"/>
    <cellStyle name="Normal 57 3 6 3" xfId="1082" xr:uid="{00000000-0005-0000-0000-0000F0310000}"/>
    <cellStyle name="Normal 57 3 6 3 2" xfId="2802" xr:uid="{00000000-0005-0000-0000-0000F1310000}"/>
    <cellStyle name="Normal 57 3 6 3 2 2" xfId="16658" xr:uid="{00000000-0005-0000-0000-0000F2310000}"/>
    <cellStyle name="Normal 57 3 6 3 2 3" xfId="13079" xr:uid="{00000000-0005-0000-0000-0000F3310000}"/>
    <cellStyle name="Normal 57 3 6 3 2 4" xfId="7790" xr:uid="{00000000-0005-0000-0000-0000F4310000}"/>
    <cellStyle name="Normal 57 3 6 3 3" xfId="4070" xr:uid="{00000000-0005-0000-0000-0000F5310000}"/>
    <cellStyle name="Normal 57 3 6 3 3 2" xfId="17715" xr:uid="{00000000-0005-0000-0000-0000F6310000}"/>
    <cellStyle name="Normal 57 3 6 3 3 3" xfId="14136" xr:uid="{00000000-0005-0000-0000-0000F7310000}"/>
    <cellStyle name="Normal 57 3 6 3 3 4" xfId="8879" xr:uid="{00000000-0005-0000-0000-0000F8310000}"/>
    <cellStyle name="Normal 57 3 6 3 4" xfId="6197" xr:uid="{00000000-0005-0000-0000-0000F9310000}"/>
    <cellStyle name="Normal 57 3 6 3 4 2" xfId="15281" xr:uid="{00000000-0005-0000-0000-0000FA310000}"/>
    <cellStyle name="Normal 57 3 6 3 5" xfId="10333" xr:uid="{00000000-0005-0000-0000-0000FB310000}"/>
    <cellStyle name="Normal 57 3 6 3 5 2" xfId="19160" xr:uid="{00000000-0005-0000-0000-0000FC310000}"/>
    <cellStyle name="Normal 57 3 6 3 6" xfId="11779" xr:uid="{00000000-0005-0000-0000-0000FD310000}"/>
    <cellStyle name="Normal 57 3 6 3 7" xfId="5384" xr:uid="{00000000-0005-0000-0000-0000FE310000}"/>
    <cellStyle name="Normal 57 3 6 4" xfId="1510" xr:uid="{00000000-0005-0000-0000-0000FF310000}"/>
    <cellStyle name="Normal 57 3 6 4 2" xfId="3109" xr:uid="{00000000-0005-0000-0000-000000320000}"/>
    <cellStyle name="Normal 57 3 6 4 2 2" xfId="18022" xr:uid="{00000000-0005-0000-0000-000001320000}"/>
    <cellStyle name="Normal 57 3 6 4 2 3" xfId="14443" xr:uid="{00000000-0005-0000-0000-000002320000}"/>
    <cellStyle name="Normal 57 3 6 4 2 4" xfId="9186" xr:uid="{00000000-0005-0000-0000-000003320000}"/>
    <cellStyle name="Normal 57 3 6 4 3" xfId="10640" xr:uid="{00000000-0005-0000-0000-000004320000}"/>
    <cellStyle name="Normal 57 3 6 4 3 2" xfId="19467" xr:uid="{00000000-0005-0000-0000-000005320000}"/>
    <cellStyle name="Normal 57 3 6 4 4" xfId="12086" xr:uid="{00000000-0005-0000-0000-000006320000}"/>
    <cellStyle name="Normal 57 3 6 4 5" xfId="7081" xr:uid="{00000000-0005-0000-0000-000007320000}"/>
    <cellStyle name="Normal 57 3 6 5" xfId="2066" xr:uid="{00000000-0005-0000-0000-000008320000}"/>
    <cellStyle name="Normal 57 3 6 5 2" xfId="16979" xr:uid="{00000000-0005-0000-0000-000009320000}"/>
    <cellStyle name="Normal 57 3 6 5 3" xfId="13400" xr:uid="{00000000-0005-0000-0000-00000A320000}"/>
    <cellStyle name="Normal 57 3 6 5 4" xfId="8143" xr:uid="{00000000-0005-0000-0000-00000B320000}"/>
    <cellStyle name="Normal 57 3 6 6" xfId="5704" xr:uid="{00000000-0005-0000-0000-00000C320000}"/>
    <cellStyle name="Normal 57 3 6 6 2" xfId="14790" xr:uid="{00000000-0005-0000-0000-00000D320000}"/>
    <cellStyle name="Normal 57 3 6 7" xfId="9597" xr:uid="{00000000-0005-0000-0000-00000E320000}"/>
    <cellStyle name="Normal 57 3 6 7 2" xfId="18424" xr:uid="{00000000-0005-0000-0000-00000F320000}"/>
    <cellStyle name="Normal 57 3 6 8" xfId="11041" xr:uid="{00000000-0005-0000-0000-000010320000}"/>
    <cellStyle name="Normal 57 3 6 9" xfId="4675" xr:uid="{00000000-0005-0000-0000-000011320000}"/>
    <cellStyle name="Normal 57 3 6_Degree data" xfId="1699" xr:uid="{00000000-0005-0000-0000-000012320000}"/>
    <cellStyle name="Normal 57 3 7" xfId="468" xr:uid="{00000000-0005-0000-0000-000013320000}"/>
    <cellStyle name="Normal 57 3 7 2" xfId="726" xr:uid="{00000000-0005-0000-0000-000014320000}"/>
    <cellStyle name="Normal 57 3 7 2 2" xfId="2455" xr:uid="{00000000-0005-0000-0000-000015320000}"/>
    <cellStyle name="Normal 57 3 7 2 2 2" xfId="16343" xr:uid="{00000000-0005-0000-0000-000016320000}"/>
    <cellStyle name="Normal 57 3 7 2 2 3" xfId="12765" xr:uid="{00000000-0005-0000-0000-000017320000}"/>
    <cellStyle name="Normal 57 3 7 2 2 4" xfId="7475" xr:uid="{00000000-0005-0000-0000-000018320000}"/>
    <cellStyle name="Normal 57 3 7 2 3" xfId="3722" xr:uid="{00000000-0005-0000-0000-000019320000}"/>
    <cellStyle name="Normal 57 3 7 2 3 2" xfId="17368" xr:uid="{00000000-0005-0000-0000-00001A320000}"/>
    <cellStyle name="Normal 57 3 7 2 3 3" xfId="13789" xr:uid="{00000000-0005-0000-0000-00001B320000}"/>
    <cellStyle name="Normal 57 3 7 2 3 4" xfId="8532" xr:uid="{00000000-0005-0000-0000-00001C320000}"/>
    <cellStyle name="Normal 57 3 7 2 4" xfId="6591" xr:uid="{00000000-0005-0000-0000-00001D320000}"/>
    <cellStyle name="Normal 57 3 7 2 4 2" xfId="15675" xr:uid="{00000000-0005-0000-0000-00001E320000}"/>
    <cellStyle name="Normal 57 3 7 2 5" xfId="9986" xr:uid="{00000000-0005-0000-0000-00001F320000}"/>
    <cellStyle name="Normal 57 3 7 2 5 2" xfId="18813" xr:uid="{00000000-0005-0000-0000-000020320000}"/>
    <cellStyle name="Normal 57 3 7 2 6" xfId="11431" xr:uid="{00000000-0005-0000-0000-000021320000}"/>
    <cellStyle name="Normal 57 3 7 2 7" xfId="5069" xr:uid="{00000000-0005-0000-0000-000022320000}"/>
    <cellStyle name="Normal 57 3 7 3" xfId="1083" xr:uid="{00000000-0005-0000-0000-000023320000}"/>
    <cellStyle name="Normal 57 3 7 3 2" xfId="2803" xr:uid="{00000000-0005-0000-0000-000024320000}"/>
    <cellStyle name="Normal 57 3 7 3 2 2" xfId="16506" xr:uid="{00000000-0005-0000-0000-000025320000}"/>
    <cellStyle name="Normal 57 3 7 3 2 3" xfId="12928" xr:uid="{00000000-0005-0000-0000-000026320000}"/>
    <cellStyle name="Normal 57 3 7 3 2 4" xfId="7638" xr:uid="{00000000-0005-0000-0000-000027320000}"/>
    <cellStyle name="Normal 57 3 7 3 3" xfId="4071" xr:uid="{00000000-0005-0000-0000-000028320000}"/>
    <cellStyle name="Normal 57 3 7 3 3 2" xfId="17716" xr:uid="{00000000-0005-0000-0000-000029320000}"/>
    <cellStyle name="Normal 57 3 7 3 3 3" xfId="14137" xr:uid="{00000000-0005-0000-0000-00002A320000}"/>
    <cellStyle name="Normal 57 3 7 3 3 4" xfId="8880" xr:uid="{00000000-0005-0000-0000-00002B320000}"/>
    <cellStyle name="Normal 57 3 7 3 4" xfId="6740" xr:uid="{00000000-0005-0000-0000-00002C320000}"/>
    <cellStyle name="Normal 57 3 7 3 4 2" xfId="15823" xr:uid="{00000000-0005-0000-0000-00002D320000}"/>
    <cellStyle name="Normal 57 3 7 3 5" xfId="10334" xr:uid="{00000000-0005-0000-0000-00002E320000}"/>
    <cellStyle name="Normal 57 3 7 3 5 2" xfId="19161" xr:uid="{00000000-0005-0000-0000-00002F320000}"/>
    <cellStyle name="Normal 57 3 7 3 6" xfId="11780" xr:uid="{00000000-0005-0000-0000-000030320000}"/>
    <cellStyle name="Normal 57 3 7 3 7" xfId="5232" xr:uid="{00000000-0005-0000-0000-000031320000}"/>
    <cellStyle name="Normal 57 3 7 4" xfId="1344" xr:uid="{00000000-0005-0000-0000-000032320000}"/>
    <cellStyle name="Normal 57 3 7 4 2" xfId="2957" xr:uid="{00000000-0005-0000-0000-000033320000}"/>
    <cellStyle name="Normal 57 3 7 4 2 2" xfId="17870" xr:uid="{00000000-0005-0000-0000-000034320000}"/>
    <cellStyle name="Normal 57 3 7 4 2 3" xfId="14291" xr:uid="{00000000-0005-0000-0000-000035320000}"/>
    <cellStyle name="Normal 57 3 7 4 2 4" xfId="9034" xr:uid="{00000000-0005-0000-0000-000036320000}"/>
    <cellStyle name="Normal 57 3 7 4 3" xfId="10488" xr:uid="{00000000-0005-0000-0000-000037320000}"/>
    <cellStyle name="Normal 57 3 7 4 3 2" xfId="19315" xr:uid="{00000000-0005-0000-0000-000038320000}"/>
    <cellStyle name="Normal 57 3 7 4 4" xfId="11934" xr:uid="{00000000-0005-0000-0000-000039320000}"/>
    <cellStyle name="Normal 57 3 7 4 5" xfId="6929" xr:uid="{00000000-0005-0000-0000-00003A320000}"/>
    <cellStyle name="Normal 57 3 7 5" xfId="1914" xr:uid="{00000000-0005-0000-0000-00003B320000}"/>
    <cellStyle name="Normal 57 3 7 5 2" xfId="16825" xr:uid="{00000000-0005-0000-0000-00003C320000}"/>
    <cellStyle name="Normal 57 3 7 5 3" xfId="13246" xr:uid="{00000000-0005-0000-0000-00003D320000}"/>
    <cellStyle name="Normal 57 3 7 5 4" xfId="7989" xr:uid="{00000000-0005-0000-0000-00003E320000}"/>
    <cellStyle name="Normal 57 3 7 6" xfId="6045" xr:uid="{00000000-0005-0000-0000-00003F320000}"/>
    <cellStyle name="Normal 57 3 7 6 2" xfId="15129" xr:uid="{00000000-0005-0000-0000-000040320000}"/>
    <cellStyle name="Normal 57 3 7 7" xfId="9445" xr:uid="{00000000-0005-0000-0000-000041320000}"/>
    <cellStyle name="Normal 57 3 7 7 2" xfId="18272" xr:uid="{00000000-0005-0000-0000-000042320000}"/>
    <cellStyle name="Normal 57 3 7 8" xfId="10889" xr:uid="{00000000-0005-0000-0000-000043320000}"/>
    <cellStyle name="Normal 57 3 7 9" xfId="4523" xr:uid="{00000000-0005-0000-0000-000044320000}"/>
    <cellStyle name="Normal 57 3 7_Degree data" xfId="1700" xr:uid="{00000000-0005-0000-0000-000045320000}"/>
    <cellStyle name="Normal 57 3 8" xfId="707" xr:uid="{00000000-0005-0000-0000-000046320000}"/>
    <cellStyle name="Normal 57 3 8 2" xfId="2436" xr:uid="{00000000-0005-0000-0000-000047320000}"/>
    <cellStyle name="Normal 57 3 8 2 2" xfId="16324" xr:uid="{00000000-0005-0000-0000-000048320000}"/>
    <cellStyle name="Normal 57 3 8 2 3" xfId="12746" xr:uid="{00000000-0005-0000-0000-000049320000}"/>
    <cellStyle name="Normal 57 3 8 2 4" xfId="7456" xr:uid="{00000000-0005-0000-0000-00004A320000}"/>
    <cellStyle name="Normal 57 3 8 3" xfId="3703" xr:uid="{00000000-0005-0000-0000-00004B320000}"/>
    <cellStyle name="Normal 57 3 8 3 2" xfId="17349" xr:uid="{00000000-0005-0000-0000-00004C320000}"/>
    <cellStyle name="Normal 57 3 8 3 3" xfId="13770" xr:uid="{00000000-0005-0000-0000-00004D320000}"/>
    <cellStyle name="Normal 57 3 8 3 4" xfId="8513" xr:uid="{00000000-0005-0000-0000-00004E320000}"/>
    <cellStyle name="Normal 57 3 8 4" xfId="6572" xr:uid="{00000000-0005-0000-0000-00004F320000}"/>
    <cellStyle name="Normal 57 3 8 4 2" xfId="15656" xr:uid="{00000000-0005-0000-0000-000050320000}"/>
    <cellStyle name="Normal 57 3 8 5" xfId="9967" xr:uid="{00000000-0005-0000-0000-000051320000}"/>
    <cellStyle name="Normal 57 3 8 5 2" xfId="18794" xr:uid="{00000000-0005-0000-0000-000052320000}"/>
    <cellStyle name="Normal 57 3 8 6" xfId="11412" xr:uid="{00000000-0005-0000-0000-000053320000}"/>
    <cellStyle name="Normal 57 3 8 7" xfId="5050" xr:uid="{00000000-0005-0000-0000-000054320000}"/>
    <cellStyle name="Normal 57 3 9" xfId="1064" xr:uid="{00000000-0005-0000-0000-000055320000}"/>
    <cellStyle name="Normal 57 3 9 2" xfId="2784" xr:uid="{00000000-0005-0000-0000-000056320000}"/>
    <cellStyle name="Normal 57 3 9 2 2" xfId="16474" xr:uid="{00000000-0005-0000-0000-000057320000}"/>
    <cellStyle name="Normal 57 3 9 2 3" xfId="12896" xr:uid="{00000000-0005-0000-0000-000058320000}"/>
    <cellStyle name="Normal 57 3 9 2 4" xfId="7606" xr:uid="{00000000-0005-0000-0000-000059320000}"/>
    <cellStyle name="Normal 57 3 9 3" xfId="4052" xr:uid="{00000000-0005-0000-0000-00005A320000}"/>
    <cellStyle name="Normal 57 3 9 3 2" xfId="17697" xr:uid="{00000000-0005-0000-0000-00005B320000}"/>
    <cellStyle name="Normal 57 3 9 3 3" xfId="14118" xr:uid="{00000000-0005-0000-0000-00005C320000}"/>
    <cellStyle name="Normal 57 3 9 3 4" xfId="8861" xr:uid="{00000000-0005-0000-0000-00005D320000}"/>
    <cellStyle name="Normal 57 3 9 4" xfId="5877" xr:uid="{00000000-0005-0000-0000-00005E320000}"/>
    <cellStyle name="Normal 57 3 9 4 2" xfId="14963" xr:uid="{00000000-0005-0000-0000-00005F320000}"/>
    <cellStyle name="Normal 57 3 9 5" xfId="10315" xr:uid="{00000000-0005-0000-0000-000060320000}"/>
    <cellStyle name="Normal 57 3 9 5 2" xfId="19142" xr:uid="{00000000-0005-0000-0000-000061320000}"/>
    <cellStyle name="Normal 57 3 9 6" xfId="11761" xr:uid="{00000000-0005-0000-0000-000062320000}"/>
    <cellStyle name="Normal 57 3 9 7" xfId="5200" xr:uid="{00000000-0005-0000-0000-000063320000}"/>
    <cellStyle name="Normal 57 3_Degree data" xfId="1681" xr:uid="{00000000-0005-0000-0000-000064320000}"/>
    <cellStyle name="Normal 57 4" xfId="91" xr:uid="{00000000-0005-0000-0000-000065320000}"/>
    <cellStyle name="Normal 57 4 10" xfId="1888" xr:uid="{00000000-0005-0000-0000-000066320000}"/>
    <cellStyle name="Normal 57 4 10 2" xfId="9419" xr:uid="{00000000-0005-0000-0000-000067320000}"/>
    <cellStyle name="Normal 57 4 10 2 2" xfId="18246" xr:uid="{00000000-0005-0000-0000-000068320000}"/>
    <cellStyle name="Normal 57 4 10 3" xfId="10863" xr:uid="{00000000-0005-0000-0000-000069320000}"/>
    <cellStyle name="Normal 57 4 10 4" xfId="7963" xr:uid="{00000000-0005-0000-0000-00006A320000}"/>
    <cellStyle name="Normal 57 4 11" xfId="1833" xr:uid="{00000000-0005-0000-0000-00006B320000}"/>
    <cellStyle name="Normal 57 4 11 2" xfId="14655" xr:uid="{00000000-0005-0000-0000-00006C320000}"/>
    <cellStyle name="Normal 57 4 11 3" xfId="5569" xr:uid="{00000000-0005-0000-0000-00006D320000}"/>
    <cellStyle name="Normal 57 4 12" xfId="9369" xr:uid="{00000000-0005-0000-0000-00006E320000}"/>
    <cellStyle name="Normal 57 4 12 2" xfId="18196" xr:uid="{00000000-0005-0000-0000-00006F320000}"/>
    <cellStyle name="Normal 57 4 13" xfId="10808" xr:uid="{00000000-0005-0000-0000-000070320000}"/>
    <cellStyle name="Normal 57 4 14" xfId="4354" xr:uid="{00000000-0005-0000-0000-000071320000}"/>
    <cellStyle name="Normal 57 4 2" xfId="166" xr:uid="{00000000-0005-0000-0000-000072320000}"/>
    <cellStyle name="Normal 57 4 2 10" xfId="9389" xr:uid="{00000000-0005-0000-0000-000073320000}"/>
    <cellStyle name="Normal 57 4 2 10 2" xfId="18216" xr:uid="{00000000-0005-0000-0000-000074320000}"/>
    <cellStyle name="Normal 57 4 2 11" xfId="10830" xr:uid="{00000000-0005-0000-0000-000075320000}"/>
    <cellStyle name="Normal 57 4 2 12" xfId="4382" xr:uid="{00000000-0005-0000-0000-000076320000}"/>
    <cellStyle name="Normal 57 4 2 2" xfId="257" xr:uid="{00000000-0005-0000-0000-000077320000}"/>
    <cellStyle name="Normal 57 4 2 2 10" xfId="11008" xr:uid="{00000000-0005-0000-0000-000078320000}"/>
    <cellStyle name="Normal 57 4 2 2 11" xfId="4425" xr:uid="{00000000-0005-0000-0000-000079320000}"/>
    <cellStyle name="Normal 57 4 2 2 2" xfId="365" xr:uid="{00000000-0005-0000-0000-00007A320000}"/>
    <cellStyle name="Normal 57 4 2 2 2 2" xfId="730" xr:uid="{00000000-0005-0000-0000-00007B320000}"/>
    <cellStyle name="Normal 57 4 2 2 2 2 2" xfId="2459" xr:uid="{00000000-0005-0000-0000-00007C320000}"/>
    <cellStyle name="Normal 57 4 2 2 2 2 2 2" xfId="16347" xr:uid="{00000000-0005-0000-0000-00007D320000}"/>
    <cellStyle name="Normal 57 4 2 2 2 2 2 3" xfId="12769" xr:uid="{00000000-0005-0000-0000-00007E320000}"/>
    <cellStyle name="Normal 57 4 2 2 2 2 2 4" xfId="7479" xr:uid="{00000000-0005-0000-0000-00007F320000}"/>
    <cellStyle name="Normal 57 4 2 2 2 2 3" xfId="3726" xr:uid="{00000000-0005-0000-0000-000080320000}"/>
    <cellStyle name="Normal 57 4 2 2 2 2 3 2" xfId="17372" xr:uid="{00000000-0005-0000-0000-000081320000}"/>
    <cellStyle name="Normal 57 4 2 2 2 2 3 3" xfId="13793" xr:uid="{00000000-0005-0000-0000-000082320000}"/>
    <cellStyle name="Normal 57 4 2 2 2 2 3 4" xfId="8536" xr:uid="{00000000-0005-0000-0000-000083320000}"/>
    <cellStyle name="Normal 57 4 2 2 2 2 4" xfId="6595" xr:uid="{00000000-0005-0000-0000-000084320000}"/>
    <cellStyle name="Normal 57 4 2 2 2 2 4 2" xfId="15679" xr:uid="{00000000-0005-0000-0000-000085320000}"/>
    <cellStyle name="Normal 57 4 2 2 2 2 5" xfId="9990" xr:uid="{00000000-0005-0000-0000-000086320000}"/>
    <cellStyle name="Normal 57 4 2 2 2 2 5 2" xfId="18817" xr:uid="{00000000-0005-0000-0000-000087320000}"/>
    <cellStyle name="Normal 57 4 2 2 2 2 6" xfId="11435" xr:uid="{00000000-0005-0000-0000-000088320000}"/>
    <cellStyle name="Normal 57 4 2 2 2 2 7" xfId="5073" xr:uid="{00000000-0005-0000-0000-000089320000}"/>
    <cellStyle name="Normal 57 4 2 2 2 3" xfId="1087" xr:uid="{00000000-0005-0000-0000-00008A320000}"/>
    <cellStyle name="Normal 57 4 2 2 2 3 2" xfId="2807" xr:uid="{00000000-0005-0000-0000-00008B320000}"/>
    <cellStyle name="Normal 57 4 2 2 2 3 2 2" xfId="16725" xr:uid="{00000000-0005-0000-0000-00008C320000}"/>
    <cellStyle name="Normal 57 4 2 2 2 3 2 3" xfId="13146" xr:uid="{00000000-0005-0000-0000-00008D320000}"/>
    <cellStyle name="Normal 57 4 2 2 2 3 2 4" xfId="7857" xr:uid="{00000000-0005-0000-0000-00008E320000}"/>
    <cellStyle name="Normal 57 4 2 2 2 3 3" xfId="4075" xr:uid="{00000000-0005-0000-0000-00008F320000}"/>
    <cellStyle name="Normal 57 4 2 2 2 3 3 2" xfId="17720" xr:uid="{00000000-0005-0000-0000-000090320000}"/>
    <cellStyle name="Normal 57 4 2 2 2 3 3 3" xfId="14141" xr:uid="{00000000-0005-0000-0000-000091320000}"/>
    <cellStyle name="Normal 57 4 2 2 2 3 3 4" xfId="8884" xr:uid="{00000000-0005-0000-0000-000092320000}"/>
    <cellStyle name="Normal 57 4 2 2 2 3 4" xfId="6264" xr:uid="{00000000-0005-0000-0000-000093320000}"/>
    <cellStyle name="Normal 57 4 2 2 2 3 4 2" xfId="15348" xr:uid="{00000000-0005-0000-0000-000094320000}"/>
    <cellStyle name="Normal 57 4 2 2 2 3 5" xfId="10338" xr:uid="{00000000-0005-0000-0000-000095320000}"/>
    <cellStyle name="Normal 57 4 2 2 2 3 5 2" xfId="19165" xr:uid="{00000000-0005-0000-0000-000096320000}"/>
    <cellStyle name="Normal 57 4 2 2 2 3 6" xfId="11784" xr:uid="{00000000-0005-0000-0000-000097320000}"/>
    <cellStyle name="Normal 57 4 2 2 2 3 7" xfId="5451" xr:uid="{00000000-0005-0000-0000-000098320000}"/>
    <cellStyle name="Normal 57 4 2 2 2 4" xfId="1578" xr:uid="{00000000-0005-0000-0000-000099320000}"/>
    <cellStyle name="Normal 57 4 2 2 2 4 2" xfId="3176" xr:uid="{00000000-0005-0000-0000-00009A320000}"/>
    <cellStyle name="Normal 57 4 2 2 2 4 2 2" xfId="18089" xr:uid="{00000000-0005-0000-0000-00009B320000}"/>
    <cellStyle name="Normal 57 4 2 2 2 4 2 3" xfId="14510" xr:uid="{00000000-0005-0000-0000-00009C320000}"/>
    <cellStyle name="Normal 57 4 2 2 2 4 2 4" xfId="9253" xr:uid="{00000000-0005-0000-0000-00009D320000}"/>
    <cellStyle name="Normal 57 4 2 2 2 4 3" xfId="10707" xr:uid="{00000000-0005-0000-0000-00009E320000}"/>
    <cellStyle name="Normal 57 4 2 2 2 4 3 2" xfId="19534" xr:uid="{00000000-0005-0000-0000-00009F320000}"/>
    <cellStyle name="Normal 57 4 2 2 2 4 4" xfId="12153" xr:uid="{00000000-0005-0000-0000-0000A0320000}"/>
    <cellStyle name="Normal 57 4 2 2 2 4 5" xfId="7148" xr:uid="{00000000-0005-0000-0000-0000A1320000}"/>
    <cellStyle name="Normal 57 4 2 2 2 5" xfId="2133" xr:uid="{00000000-0005-0000-0000-0000A2320000}"/>
    <cellStyle name="Normal 57 4 2 2 2 5 2" xfId="17046" xr:uid="{00000000-0005-0000-0000-0000A3320000}"/>
    <cellStyle name="Normal 57 4 2 2 2 5 3" xfId="13467" xr:uid="{00000000-0005-0000-0000-0000A4320000}"/>
    <cellStyle name="Normal 57 4 2 2 2 5 4" xfId="8210" xr:uid="{00000000-0005-0000-0000-0000A5320000}"/>
    <cellStyle name="Normal 57 4 2 2 2 6" xfId="5771" xr:uid="{00000000-0005-0000-0000-0000A6320000}"/>
    <cellStyle name="Normal 57 4 2 2 2 6 2" xfId="14857" xr:uid="{00000000-0005-0000-0000-0000A7320000}"/>
    <cellStyle name="Normal 57 4 2 2 2 7" xfId="9664" xr:uid="{00000000-0005-0000-0000-0000A8320000}"/>
    <cellStyle name="Normal 57 4 2 2 2 7 2" xfId="18491" xr:uid="{00000000-0005-0000-0000-0000A9320000}"/>
    <cellStyle name="Normal 57 4 2 2 2 8" xfId="11108" xr:uid="{00000000-0005-0000-0000-0000AA320000}"/>
    <cellStyle name="Normal 57 4 2 2 2 9" xfId="4742" xr:uid="{00000000-0005-0000-0000-0000AB320000}"/>
    <cellStyle name="Normal 57 4 2 2 2_Degree data" xfId="1704" xr:uid="{00000000-0005-0000-0000-0000AC320000}"/>
    <cellStyle name="Normal 57 4 2 2 3" xfId="729" xr:uid="{00000000-0005-0000-0000-0000AD320000}"/>
    <cellStyle name="Normal 57 4 2 2 3 2" xfId="2458" xr:uid="{00000000-0005-0000-0000-0000AE320000}"/>
    <cellStyle name="Normal 57 4 2 2 3 2 2" xfId="16062" xr:uid="{00000000-0005-0000-0000-0000AF320000}"/>
    <cellStyle name="Normal 57 4 2 2 3 2 3" xfId="12261" xr:uid="{00000000-0005-0000-0000-0000B0320000}"/>
    <cellStyle name="Normal 57 4 2 2 3 2 4" xfId="7048" xr:uid="{00000000-0005-0000-0000-0000B1320000}"/>
    <cellStyle name="Normal 57 4 2 2 3 3" xfId="3725" xr:uid="{00000000-0005-0000-0000-0000B2320000}"/>
    <cellStyle name="Normal 57 4 2 2 3 3 2" xfId="17371" xr:uid="{00000000-0005-0000-0000-0000B3320000}"/>
    <cellStyle name="Normal 57 4 2 2 3 3 3" xfId="13792" xr:uid="{00000000-0005-0000-0000-0000B4320000}"/>
    <cellStyle name="Normal 57 4 2 2 3 3 4" xfId="8535" xr:uid="{00000000-0005-0000-0000-0000B5320000}"/>
    <cellStyle name="Normal 57 4 2 2 3 4" xfId="6164" xr:uid="{00000000-0005-0000-0000-0000B6320000}"/>
    <cellStyle name="Normal 57 4 2 2 3 4 2" xfId="15248" xr:uid="{00000000-0005-0000-0000-0000B7320000}"/>
    <cellStyle name="Normal 57 4 2 2 3 5" xfId="9989" xr:uid="{00000000-0005-0000-0000-0000B8320000}"/>
    <cellStyle name="Normal 57 4 2 2 3 5 2" xfId="18816" xr:uid="{00000000-0005-0000-0000-0000B9320000}"/>
    <cellStyle name="Normal 57 4 2 2 3 6" xfId="11434" xr:uid="{00000000-0005-0000-0000-0000BA320000}"/>
    <cellStyle name="Normal 57 4 2 2 3 7" xfId="4642" xr:uid="{00000000-0005-0000-0000-0000BB320000}"/>
    <cellStyle name="Normal 57 4 2 2 4" xfId="1086" xr:uid="{00000000-0005-0000-0000-0000BC320000}"/>
    <cellStyle name="Normal 57 4 2 2 4 2" xfId="2806" xr:uid="{00000000-0005-0000-0000-0000BD320000}"/>
    <cellStyle name="Normal 57 4 2 2 4 2 2" xfId="16346" xr:uid="{00000000-0005-0000-0000-0000BE320000}"/>
    <cellStyle name="Normal 57 4 2 2 4 2 3" xfId="12768" xr:uid="{00000000-0005-0000-0000-0000BF320000}"/>
    <cellStyle name="Normal 57 4 2 2 4 2 4" xfId="7478" xr:uid="{00000000-0005-0000-0000-0000C0320000}"/>
    <cellStyle name="Normal 57 4 2 2 4 3" xfId="4074" xr:uid="{00000000-0005-0000-0000-0000C1320000}"/>
    <cellStyle name="Normal 57 4 2 2 4 3 2" xfId="17719" xr:uid="{00000000-0005-0000-0000-0000C2320000}"/>
    <cellStyle name="Normal 57 4 2 2 4 3 3" xfId="14140" xr:uid="{00000000-0005-0000-0000-0000C3320000}"/>
    <cellStyle name="Normal 57 4 2 2 4 3 4" xfId="8883" xr:uid="{00000000-0005-0000-0000-0000C4320000}"/>
    <cellStyle name="Normal 57 4 2 2 4 4" xfId="6594" xr:uid="{00000000-0005-0000-0000-0000C5320000}"/>
    <cellStyle name="Normal 57 4 2 2 4 4 2" xfId="15678" xr:uid="{00000000-0005-0000-0000-0000C6320000}"/>
    <cellStyle name="Normal 57 4 2 2 4 5" xfId="10337" xr:uid="{00000000-0005-0000-0000-0000C7320000}"/>
    <cellStyle name="Normal 57 4 2 2 4 5 2" xfId="19164" xr:uid="{00000000-0005-0000-0000-0000C8320000}"/>
    <cellStyle name="Normal 57 4 2 2 4 6" xfId="11783" xr:uid="{00000000-0005-0000-0000-0000C9320000}"/>
    <cellStyle name="Normal 57 4 2 2 4 7" xfId="5072" xr:uid="{00000000-0005-0000-0000-0000CA320000}"/>
    <cellStyle name="Normal 57 4 2 2 5" xfId="1476" xr:uid="{00000000-0005-0000-0000-0000CB320000}"/>
    <cellStyle name="Normal 57 4 2 2 5 2" xfId="3076" xr:uid="{00000000-0005-0000-0000-0000CC320000}"/>
    <cellStyle name="Normal 57 4 2 2 5 2 2" xfId="16625" xr:uid="{00000000-0005-0000-0000-0000CD320000}"/>
    <cellStyle name="Normal 57 4 2 2 5 2 3" xfId="13046" xr:uid="{00000000-0005-0000-0000-0000CE320000}"/>
    <cellStyle name="Normal 57 4 2 2 5 2 4" xfId="7757" xr:uid="{00000000-0005-0000-0000-0000CF320000}"/>
    <cellStyle name="Normal 57 4 2 2 5 3" xfId="4284" xr:uid="{00000000-0005-0000-0000-0000D0320000}"/>
    <cellStyle name="Normal 57 4 2 2 5 3 2" xfId="17989" xr:uid="{00000000-0005-0000-0000-0000D1320000}"/>
    <cellStyle name="Normal 57 4 2 2 5 3 3" xfId="14410" xr:uid="{00000000-0005-0000-0000-0000D2320000}"/>
    <cellStyle name="Normal 57 4 2 2 5 3 4" xfId="9153" xr:uid="{00000000-0005-0000-0000-0000D3320000}"/>
    <cellStyle name="Normal 57 4 2 2 5 4" xfId="5945" xr:uid="{00000000-0005-0000-0000-0000D4320000}"/>
    <cellStyle name="Normal 57 4 2 2 5 4 2" xfId="15031" xr:uid="{00000000-0005-0000-0000-0000D5320000}"/>
    <cellStyle name="Normal 57 4 2 2 5 5" xfId="10607" xr:uid="{00000000-0005-0000-0000-0000D6320000}"/>
    <cellStyle name="Normal 57 4 2 2 5 5 2" xfId="19434" xr:uid="{00000000-0005-0000-0000-0000D7320000}"/>
    <cellStyle name="Normal 57 4 2 2 5 6" xfId="12053" xr:uid="{00000000-0005-0000-0000-0000D8320000}"/>
    <cellStyle name="Normal 57 4 2 2 5 7" xfId="5351" xr:uid="{00000000-0005-0000-0000-0000D9320000}"/>
    <cellStyle name="Normal 57 4 2 2 6" xfId="2033" xr:uid="{00000000-0005-0000-0000-0000DA320000}"/>
    <cellStyle name="Normal 57 4 2 2 6 2" xfId="15874" xr:uid="{00000000-0005-0000-0000-0000DB320000}"/>
    <cellStyle name="Normal 57 4 2 2 6 3" xfId="12363" xr:uid="{00000000-0005-0000-0000-0000DC320000}"/>
    <cellStyle name="Normal 57 4 2 2 6 4" xfId="6831" xr:uid="{00000000-0005-0000-0000-0000DD320000}"/>
    <cellStyle name="Normal 57 4 2 2 7" xfId="3446" xr:uid="{00000000-0005-0000-0000-0000DE320000}"/>
    <cellStyle name="Normal 57 4 2 2 7 2" xfId="16946" xr:uid="{00000000-0005-0000-0000-0000DF320000}"/>
    <cellStyle name="Normal 57 4 2 2 7 3" xfId="13367" xr:uid="{00000000-0005-0000-0000-0000E0320000}"/>
    <cellStyle name="Normal 57 4 2 2 7 4" xfId="8110" xr:uid="{00000000-0005-0000-0000-0000E1320000}"/>
    <cellStyle name="Normal 57 4 2 2 8" xfId="5671" xr:uid="{00000000-0005-0000-0000-0000E2320000}"/>
    <cellStyle name="Normal 57 4 2 2 8 2" xfId="14757" xr:uid="{00000000-0005-0000-0000-0000E3320000}"/>
    <cellStyle name="Normal 57 4 2 2 9" xfId="9564" xr:uid="{00000000-0005-0000-0000-0000E4320000}"/>
    <cellStyle name="Normal 57 4 2 2 9 2" xfId="18391" xr:uid="{00000000-0005-0000-0000-0000E5320000}"/>
    <cellStyle name="Normal 57 4 2 2_Degree data" xfId="1703" xr:uid="{00000000-0005-0000-0000-0000E6320000}"/>
    <cellStyle name="Normal 57 4 2 3" xfId="322" xr:uid="{00000000-0005-0000-0000-0000E7320000}"/>
    <cellStyle name="Normal 57 4 2 3 2" xfId="731" xr:uid="{00000000-0005-0000-0000-0000E8320000}"/>
    <cellStyle name="Normal 57 4 2 3 2 2" xfId="2460" xr:uid="{00000000-0005-0000-0000-0000E9320000}"/>
    <cellStyle name="Normal 57 4 2 3 2 2 2" xfId="16348" xr:uid="{00000000-0005-0000-0000-0000EA320000}"/>
    <cellStyle name="Normal 57 4 2 3 2 2 3" xfId="12770" xr:uid="{00000000-0005-0000-0000-0000EB320000}"/>
    <cellStyle name="Normal 57 4 2 3 2 2 4" xfId="7480" xr:uid="{00000000-0005-0000-0000-0000EC320000}"/>
    <cellStyle name="Normal 57 4 2 3 2 3" xfId="3727" xr:uid="{00000000-0005-0000-0000-0000ED320000}"/>
    <cellStyle name="Normal 57 4 2 3 2 3 2" xfId="17373" xr:uid="{00000000-0005-0000-0000-0000EE320000}"/>
    <cellStyle name="Normal 57 4 2 3 2 3 3" xfId="13794" xr:uid="{00000000-0005-0000-0000-0000EF320000}"/>
    <cellStyle name="Normal 57 4 2 3 2 3 4" xfId="8537" xr:uid="{00000000-0005-0000-0000-0000F0320000}"/>
    <cellStyle name="Normal 57 4 2 3 2 4" xfId="6596" xr:uid="{00000000-0005-0000-0000-0000F1320000}"/>
    <cellStyle name="Normal 57 4 2 3 2 4 2" xfId="15680" xr:uid="{00000000-0005-0000-0000-0000F2320000}"/>
    <cellStyle name="Normal 57 4 2 3 2 5" xfId="9991" xr:uid="{00000000-0005-0000-0000-0000F3320000}"/>
    <cellStyle name="Normal 57 4 2 3 2 5 2" xfId="18818" xr:uid="{00000000-0005-0000-0000-0000F4320000}"/>
    <cellStyle name="Normal 57 4 2 3 2 6" xfId="11436" xr:uid="{00000000-0005-0000-0000-0000F5320000}"/>
    <cellStyle name="Normal 57 4 2 3 2 7" xfId="5074" xr:uid="{00000000-0005-0000-0000-0000F6320000}"/>
    <cellStyle name="Normal 57 4 2 3 3" xfId="1088" xr:uid="{00000000-0005-0000-0000-0000F7320000}"/>
    <cellStyle name="Normal 57 4 2 3 3 2" xfId="2808" xr:uid="{00000000-0005-0000-0000-0000F8320000}"/>
    <cellStyle name="Normal 57 4 2 3 3 2 2" xfId="16682" xr:uid="{00000000-0005-0000-0000-0000F9320000}"/>
    <cellStyle name="Normal 57 4 2 3 3 2 3" xfId="13103" xr:uid="{00000000-0005-0000-0000-0000FA320000}"/>
    <cellStyle name="Normal 57 4 2 3 3 2 4" xfId="7814" xr:uid="{00000000-0005-0000-0000-0000FB320000}"/>
    <cellStyle name="Normal 57 4 2 3 3 3" xfId="4076" xr:uid="{00000000-0005-0000-0000-0000FC320000}"/>
    <cellStyle name="Normal 57 4 2 3 3 3 2" xfId="17721" xr:uid="{00000000-0005-0000-0000-0000FD320000}"/>
    <cellStyle name="Normal 57 4 2 3 3 3 3" xfId="14142" xr:uid="{00000000-0005-0000-0000-0000FE320000}"/>
    <cellStyle name="Normal 57 4 2 3 3 3 4" xfId="8885" xr:uid="{00000000-0005-0000-0000-0000FF320000}"/>
    <cellStyle name="Normal 57 4 2 3 3 4" xfId="6221" xr:uid="{00000000-0005-0000-0000-000000330000}"/>
    <cellStyle name="Normal 57 4 2 3 3 4 2" xfId="15305" xr:uid="{00000000-0005-0000-0000-000001330000}"/>
    <cellStyle name="Normal 57 4 2 3 3 5" xfId="10339" xr:uid="{00000000-0005-0000-0000-000002330000}"/>
    <cellStyle name="Normal 57 4 2 3 3 5 2" xfId="19166" xr:uid="{00000000-0005-0000-0000-000003330000}"/>
    <cellStyle name="Normal 57 4 2 3 3 6" xfId="11785" xr:uid="{00000000-0005-0000-0000-000004330000}"/>
    <cellStyle name="Normal 57 4 2 3 3 7" xfId="5408" xr:uid="{00000000-0005-0000-0000-000005330000}"/>
    <cellStyle name="Normal 57 4 2 3 4" xfId="1534" xr:uid="{00000000-0005-0000-0000-000006330000}"/>
    <cellStyle name="Normal 57 4 2 3 4 2" xfId="3133" xr:uid="{00000000-0005-0000-0000-000007330000}"/>
    <cellStyle name="Normal 57 4 2 3 4 2 2" xfId="18046" xr:uid="{00000000-0005-0000-0000-000008330000}"/>
    <cellStyle name="Normal 57 4 2 3 4 2 3" xfId="14467" xr:uid="{00000000-0005-0000-0000-000009330000}"/>
    <cellStyle name="Normal 57 4 2 3 4 2 4" xfId="9210" xr:uid="{00000000-0005-0000-0000-00000A330000}"/>
    <cellStyle name="Normal 57 4 2 3 4 3" xfId="10664" xr:uid="{00000000-0005-0000-0000-00000B330000}"/>
    <cellStyle name="Normal 57 4 2 3 4 3 2" xfId="19491" xr:uid="{00000000-0005-0000-0000-00000C330000}"/>
    <cellStyle name="Normal 57 4 2 3 4 4" xfId="12110" xr:uid="{00000000-0005-0000-0000-00000D330000}"/>
    <cellStyle name="Normal 57 4 2 3 4 5" xfId="7105" xr:uid="{00000000-0005-0000-0000-00000E330000}"/>
    <cellStyle name="Normal 57 4 2 3 5" xfId="2090" xr:uid="{00000000-0005-0000-0000-00000F330000}"/>
    <cellStyle name="Normal 57 4 2 3 5 2" xfId="17003" xr:uid="{00000000-0005-0000-0000-000010330000}"/>
    <cellStyle name="Normal 57 4 2 3 5 3" xfId="13424" xr:uid="{00000000-0005-0000-0000-000011330000}"/>
    <cellStyle name="Normal 57 4 2 3 5 4" xfId="8167" xr:uid="{00000000-0005-0000-0000-000012330000}"/>
    <cellStyle name="Normal 57 4 2 3 6" xfId="5728" xr:uid="{00000000-0005-0000-0000-000013330000}"/>
    <cellStyle name="Normal 57 4 2 3 6 2" xfId="14814" xr:uid="{00000000-0005-0000-0000-000014330000}"/>
    <cellStyle name="Normal 57 4 2 3 7" xfId="9621" xr:uid="{00000000-0005-0000-0000-000015330000}"/>
    <cellStyle name="Normal 57 4 2 3 7 2" xfId="18448" xr:uid="{00000000-0005-0000-0000-000016330000}"/>
    <cellStyle name="Normal 57 4 2 3 8" xfId="11065" xr:uid="{00000000-0005-0000-0000-000017330000}"/>
    <cellStyle name="Normal 57 4 2 3 9" xfId="4699" xr:uid="{00000000-0005-0000-0000-000018330000}"/>
    <cellStyle name="Normal 57 4 2 3_Degree data" xfId="1705" xr:uid="{00000000-0005-0000-0000-000019330000}"/>
    <cellStyle name="Normal 57 4 2 4" xfId="728" xr:uid="{00000000-0005-0000-0000-00001A330000}"/>
    <cellStyle name="Normal 57 4 2 4 2" xfId="2457" xr:uid="{00000000-0005-0000-0000-00001B330000}"/>
    <cellStyle name="Normal 57 4 2 4 2 2" xfId="16019" xr:uid="{00000000-0005-0000-0000-00001C330000}"/>
    <cellStyle name="Normal 57 4 2 4 2 3" xfId="12300" xr:uid="{00000000-0005-0000-0000-00001D330000}"/>
    <cellStyle name="Normal 57 4 2 4 2 4" xfId="7005" xr:uid="{00000000-0005-0000-0000-00001E330000}"/>
    <cellStyle name="Normal 57 4 2 4 3" xfId="3724" xr:uid="{00000000-0005-0000-0000-00001F330000}"/>
    <cellStyle name="Normal 57 4 2 4 3 2" xfId="17370" xr:uid="{00000000-0005-0000-0000-000020330000}"/>
    <cellStyle name="Normal 57 4 2 4 3 3" xfId="13791" xr:uid="{00000000-0005-0000-0000-000021330000}"/>
    <cellStyle name="Normal 57 4 2 4 3 4" xfId="8534" xr:uid="{00000000-0005-0000-0000-000022330000}"/>
    <cellStyle name="Normal 57 4 2 4 4" xfId="6121" xr:uid="{00000000-0005-0000-0000-000023330000}"/>
    <cellStyle name="Normal 57 4 2 4 4 2" xfId="15205" xr:uid="{00000000-0005-0000-0000-000024330000}"/>
    <cellStyle name="Normal 57 4 2 4 5" xfId="9988" xr:uid="{00000000-0005-0000-0000-000025330000}"/>
    <cellStyle name="Normal 57 4 2 4 5 2" xfId="18815" xr:uid="{00000000-0005-0000-0000-000026330000}"/>
    <cellStyle name="Normal 57 4 2 4 6" xfId="11433" xr:uid="{00000000-0005-0000-0000-000027330000}"/>
    <cellStyle name="Normal 57 4 2 4 7" xfId="4599" xr:uid="{00000000-0005-0000-0000-000028330000}"/>
    <cellStyle name="Normal 57 4 2 5" xfId="1085" xr:uid="{00000000-0005-0000-0000-000029330000}"/>
    <cellStyle name="Normal 57 4 2 5 2" xfId="2805" xr:uid="{00000000-0005-0000-0000-00002A330000}"/>
    <cellStyle name="Normal 57 4 2 5 2 2" xfId="16345" xr:uid="{00000000-0005-0000-0000-00002B330000}"/>
    <cellStyle name="Normal 57 4 2 5 2 3" xfId="12767" xr:uid="{00000000-0005-0000-0000-00002C330000}"/>
    <cellStyle name="Normal 57 4 2 5 2 4" xfId="7477" xr:uid="{00000000-0005-0000-0000-00002D330000}"/>
    <cellStyle name="Normal 57 4 2 5 3" xfId="4073" xr:uid="{00000000-0005-0000-0000-00002E330000}"/>
    <cellStyle name="Normal 57 4 2 5 3 2" xfId="17718" xr:uid="{00000000-0005-0000-0000-00002F330000}"/>
    <cellStyle name="Normal 57 4 2 5 3 3" xfId="14139" xr:uid="{00000000-0005-0000-0000-000030330000}"/>
    <cellStyle name="Normal 57 4 2 5 3 4" xfId="8882" xr:uid="{00000000-0005-0000-0000-000031330000}"/>
    <cellStyle name="Normal 57 4 2 5 4" xfId="6593" xr:uid="{00000000-0005-0000-0000-000032330000}"/>
    <cellStyle name="Normal 57 4 2 5 4 2" xfId="15677" xr:uid="{00000000-0005-0000-0000-000033330000}"/>
    <cellStyle name="Normal 57 4 2 5 5" xfId="10336" xr:uid="{00000000-0005-0000-0000-000034330000}"/>
    <cellStyle name="Normal 57 4 2 5 5 2" xfId="19163" xr:uid="{00000000-0005-0000-0000-000035330000}"/>
    <cellStyle name="Normal 57 4 2 5 6" xfId="11782" xr:uid="{00000000-0005-0000-0000-000036330000}"/>
    <cellStyle name="Normal 57 4 2 5 7" xfId="5071" xr:uid="{00000000-0005-0000-0000-000037330000}"/>
    <cellStyle name="Normal 57 4 2 6" xfId="1431" xr:uid="{00000000-0005-0000-0000-000038330000}"/>
    <cellStyle name="Normal 57 4 2 6 2" xfId="3033" xr:uid="{00000000-0005-0000-0000-000039330000}"/>
    <cellStyle name="Normal 57 4 2 6 2 2" xfId="16582" xr:uid="{00000000-0005-0000-0000-00003A330000}"/>
    <cellStyle name="Normal 57 4 2 6 2 3" xfId="13003" xr:uid="{00000000-0005-0000-0000-00003B330000}"/>
    <cellStyle name="Normal 57 4 2 6 2 4" xfId="7714" xr:uid="{00000000-0005-0000-0000-00003C330000}"/>
    <cellStyle name="Normal 57 4 2 6 3" xfId="4241" xr:uid="{00000000-0005-0000-0000-00003D330000}"/>
    <cellStyle name="Normal 57 4 2 6 3 2" xfId="17946" xr:uid="{00000000-0005-0000-0000-00003E330000}"/>
    <cellStyle name="Normal 57 4 2 6 3 3" xfId="14367" xr:uid="{00000000-0005-0000-0000-00003F330000}"/>
    <cellStyle name="Normal 57 4 2 6 3 4" xfId="9110" xr:uid="{00000000-0005-0000-0000-000040330000}"/>
    <cellStyle name="Normal 57 4 2 6 4" xfId="5901" xr:uid="{00000000-0005-0000-0000-000041330000}"/>
    <cellStyle name="Normal 57 4 2 6 4 2" xfId="14987" xr:uid="{00000000-0005-0000-0000-000042330000}"/>
    <cellStyle name="Normal 57 4 2 6 5" xfId="10564" xr:uid="{00000000-0005-0000-0000-000043330000}"/>
    <cellStyle name="Normal 57 4 2 6 5 2" xfId="19391" xr:uid="{00000000-0005-0000-0000-000044330000}"/>
    <cellStyle name="Normal 57 4 2 6 6" xfId="12010" xr:uid="{00000000-0005-0000-0000-000045330000}"/>
    <cellStyle name="Normal 57 4 2 6 7" xfId="5308" xr:uid="{00000000-0005-0000-0000-000046330000}"/>
    <cellStyle name="Normal 57 4 2 7" xfId="1990" xr:uid="{00000000-0005-0000-0000-000047330000}"/>
    <cellStyle name="Normal 57 4 2 7 2" xfId="9521" xr:uid="{00000000-0005-0000-0000-000048330000}"/>
    <cellStyle name="Normal 57 4 2 7 2 2" xfId="18348" xr:uid="{00000000-0005-0000-0000-000049330000}"/>
    <cellStyle name="Normal 57 4 2 7 3" xfId="10965" xr:uid="{00000000-0005-0000-0000-00004A330000}"/>
    <cellStyle name="Normal 57 4 2 7 4" xfId="6788" xr:uid="{00000000-0005-0000-0000-00004B330000}"/>
    <cellStyle name="Normal 57 4 2 8" xfId="1855" xr:uid="{00000000-0005-0000-0000-00004C330000}"/>
    <cellStyle name="Normal 57 4 2 8 2" xfId="16903" xr:uid="{00000000-0005-0000-0000-00004D330000}"/>
    <cellStyle name="Normal 57 4 2 8 3" xfId="13324" xr:uid="{00000000-0005-0000-0000-00004E330000}"/>
    <cellStyle name="Normal 57 4 2 8 4" xfId="8067" xr:uid="{00000000-0005-0000-0000-00004F330000}"/>
    <cellStyle name="Normal 57 4 2 9" xfId="5628" xr:uid="{00000000-0005-0000-0000-000050330000}"/>
    <cellStyle name="Normal 57 4 2 9 2" xfId="14714" xr:uid="{00000000-0005-0000-0000-000051330000}"/>
    <cellStyle name="Normal 57 4 2_Degree data" xfId="1702" xr:uid="{00000000-0005-0000-0000-000052330000}"/>
    <cellStyle name="Normal 57 4 3" xfId="242" xr:uid="{00000000-0005-0000-0000-000053330000}"/>
    <cellStyle name="Normal 57 4 3 10" xfId="10993" xr:uid="{00000000-0005-0000-0000-000054330000}"/>
    <cellStyle name="Normal 57 4 3 11" xfId="4410" xr:uid="{00000000-0005-0000-0000-000055330000}"/>
    <cellStyle name="Normal 57 4 3 2" xfId="350" xr:uid="{00000000-0005-0000-0000-000056330000}"/>
    <cellStyle name="Normal 57 4 3 2 2" xfId="733" xr:uid="{00000000-0005-0000-0000-000057330000}"/>
    <cellStyle name="Normal 57 4 3 2 2 2" xfId="2462" xr:uid="{00000000-0005-0000-0000-000058330000}"/>
    <cellStyle name="Normal 57 4 3 2 2 2 2" xfId="16350" xr:uid="{00000000-0005-0000-0000-000059330000}"/>
    <cellStyle name="Normal 57 4 3 2 2 2 3" xfId="12772" xr:uid="{00000000-0005-0000-0000-00005A330000}"/>
    <cellStyle name="Normal 57 4 3 2 2 2 4" xfId="7482" xr:uid="{00000000-0005-0000-0000-00005B330000}"/>
    <cellStyle name="Normal 57 4 3 2 2 3" xfId="3729" xr:uid="{00000000-0005-0000-0000-00005C330000}"/>
    <cellStyle name="Normal 57 4 3 2 2 3 2" xfId="17375" xr:uid="{00000000-0005-0000-0000-00005D330000}"/>
    <cellStyle name="Normal 57 4 3 2 2 3 3" xfId="13796" xr:uid="{00000000-0005-0000-0000-00005E330000}"/>
    <cellStyle name="Normal 57 4 3 2 2 3 4" xfId="8539" xr:uid="{00000000-0005-0000-0000-00005F330000}"/>
    <cellStyle name="Normal 57 4 3 2 2 4" xfId="6598" xr:uid="{00000000-0005-0000-0000-000060330000}"/>
    <cellStyle name="Normal 57 4 3 2 2 4 2" xfId="15682" xr:uid="{00000000-0005-0000-0000-000061330000}"/>
    <cellStyle name="Normal 57 4 3 2 2 5" xfId="9993" xr:uid="{00000000-0005-0000-0000-000062330000}"/>
    <cellStyle name="Normal 57 4 3 2 2 5 2" xfId="18820" xr:uid="{00000000-0005-0000-0000-000063330000}"/>
    <cellStyle name="Normal 57 4 3 2 2 6" xfId="11438" xr:uid="{00000000-0005-0000-0000-000064330000}"/>
    <cellStyle name="Normal 57 4 3 2 2 7" xfId="5076" xr:uid="{00000000-0005-0000-0000-000065330000}"/>
    <cellStyle name="Normal 57 4 3 2 3" xfId="1090" xr:uid="{00000000-0005-0000-0000-000066330000}"/>
    <cellStyle name="Normal 57 4 3 2 3 2" xfId="2810" xr:uid="{00000000-0005-0000-0000-000067330000}"/>
    <cellStyle name="Normal 57 4 3 2 3 2 2" xfId="16710" xr:uid="{00000000-0005-0000-0000-000068330000}"/>
    <cellStyle name="Normal 57 4 3 2 3 2 3" xfId="13131" xr:uid="{00000000-0005-0000-0000-000069330000}"/>
    <cellStyle name="Normal 57 4 3 2 3 2 4" xfId="7842" xr:uid="{00000000-0005-0000-0000-00006A330000}"/>
    <cellStyle name="Normal 57 4 3 2 3 3" xfId="4078" xr:uid="{00000000-0005-0000-0000-00006B330000}"/>
    <cellStyle name="Normal 57 4 3 2 3 3 2" xfId="17723" xr:uid="{00000000-0005-0000-0000-00006C330000}"/>
    <cellStyle name="Normal 57 4 3 2 3 3 3" xfId="14144" xr:uid="{00000000-0005-0000-0000-00006D330000}"/>
    <cellStyle name="Normal 57 4 3 2 3 3 4" xfId="8887" xr:uid="{00000000-0005-0000-0000-00006E330000}"/>
    <cellStyle name="Normal 57 4 3 2 3 4" xfId="6249" xr:uid="{00000000-0005-0000-0000-00006F330000}"/>
    <cellStyle name="Normal 57 4 3 2 3 4 2" xfId="15333" xr:uid="{00000000-0005-0000-0000-000070330000}"/>
    <cellStyle name="Normal 57 4 3 2 3 5" xfId="10341" xr:uid="{00000000-0005-0000-0000-000071330000}"/>
    <cellStyle name="Normal 57 4 3 2 3 5 2" xfId="19168" xr:uid="{00000000-0005-0000-0000-000072330000}"/>
    <cellStyle name="Normal 57 4 3 2 3 6" xfId="11787" xr:uid="{00000000-0005-0000-0000-000073330000}"/>
    <cellStyle name="Normal 57 4 3 2 3 7" xfId="5436" xr:uid="{00000000-0005-0000-0000-000074330000}"/>
    <cellStyle name="Normal 57 4 3 2 4" xfId="1563" xr:uid="{00000000-0005-0000-0000-000075330000}"/>
    <cellStyle name="Normal 57 4 3 2 4 2" xfId="3161" xr:uid="{00000000-0005-0000-0000-000076330000}"/>
    <cellStyle name="Normal 57 4 3 2 4 2 2" xfId="18074" xr:uid="{00000000-0005-0000-0000-000077330000}"/>
    <cellStyle name="Normal 57 4 3 2 4 2 3" xfId="14495" xr:uid="{00000000-0005-0000-0000-000078330000}"/>
    <cellStyle name="Normal 57 4 3 2 4 2 4" xfId="9238" xr:uid="{00000000-0005-0000-0000-000079330000}"/>
    <cellStyle name="Normal 57 4 3 2 4 3" xfId="10692" xr:uid="{00000000-0005-0000-0000-00007A330000}"/>
    <cellStyle name="Normal 57 4 3 2 4 3 2" xfId="19519" xr:uid="{00000000-0005-0000-0000-00007B330000}"/>
    <cellStyle name="Normal 57 4 3 2 4 4" xfId="12138" xr:uid="{00000000-0005-0000-0000-00007C330000}"/>
    <cellStyle name="Normal 57 4 3 2 4 5" xfId="7133" xr:uid="{00000000-0005-0000-0000-00007D330000}"/>
    <cellStyle name="Normal 57 4 3 2 5" xfId="2118" xr:uid="{00000000-0005-0000-0000-00007E330000}"/>
    <cellStyle name="Normal 57 4 3 2 5 2" xfId="17031" xr:uid="{00000000-0005-0000-0000-00007F330000}"/>
    <cellStyle name="Normal 57 4 3 2 5 3" xfId="13452" xr:uid="{00000000-0005-0000-0000-000080330000}"/>
    <cellStyle name="Normal 57 4 3 2 5 4" xfId="8195" xr:uid="{00000000-0005-0000-0000-000081330000}"/>
    <cellStyle name="Normal 57 4 3 2 6" xfId="5756" xr:uid="{00000000-0005-0000-0000-000082330000}"/>
    <cellStyle name="Normal 57 4 3 2 6 2" xfId="14842" xr:uid="{00000000-0005-0000-0000-000083330000}"/>
    <cellStyle name="Normal 57 4 3 2 7" xfId="9649" xr:uid="{00000000-0005-0000-0000-000084330000}"/>
    <cellStyle name="Normal 57 4 3 2 7 2" xfId="18476" xr:uid="{00000000-0005-0000-0000-000085330000}"/>
    <cellStyle name="Normal 57 4 3 2 8" xfId="11093" xr:uid="{00000000-0005-0000-0000-000086330000}"/>
    <cellStyle name="Normal 57 4 3 2 9" xfId="4727" xr:uid="{00000000-0005-0000-0000-000087330000}"/>
    <cellStyle name="Normal 57 4 3 2_Degree data" xfId="1707" xr:uid="{00000000-0005-0000-0000-000088330000}"/>
    <cellStyle name="Normal 57 4 3 3" xfId="732" xr:uid="{00000000-0005-0000-0000-000089330000}"/>
    <cellStyle name="Normal 57 4 3 3 2" xfId="2461" xr:uid="{00000000-0005-0000-0000-00008A330000}"/>
    <cellStyle name="Normal 57 4 3 3 2 2" xfId="16047" xr:uid="{00000000-0005-0000-0000-00008B330000}"/>
    <cellStyle name="Normal 57 4 3 3 2 3" xfId="12478" xr:uid="{00000000-0005-0000-0000-00008C330000}"/>
    <cellStyle name="Normal 57 4 3 3 2 4" xfId="7033" xr:uid="{00000000-0005-0000-0000-00008D330000}"/>
    <cellStyle name="Normal 57 4 3 3 3" xfId="3728" xr:uid="{00000000-0005-0000-0000-00008E330000}"/>
    <cellStyle name="Normal 57 4 3 3 3 2" xfId="17374" xr:uid="{00000000-0005-0000-0000-00008F330000}"/>
    <cellStyle name="Normal 57 4 3 3 3 3" xfId="13795" xr:uid="{00000000-0005-0000-0000-000090330000}"/>
    <cellStyle name="Normal 57 4 3 3 3 4" xfId="8538" xr:uid="{00000000-0005-0000-0000-000091330000}"/>
    <cellStyle name="Normal 57 4 3 3 4" xfId="6149" xr:uid="{00000000-0005-0000-0000-000092330000}"/>
    <cellStyle name="Normal 57 4 3 3 4 2" xfId="15233" xr:uid="{00000000-0005-0000-0000-000093330000}"/>
    <cellStyle name="Normal 57 4 3 3 5" xfId="9992" xr:uid="{00000000-0005-0000-0000-000094330000}"/>
    <cellStyle name="Normal 57 4 3 3 5 2" xfId="18819" xr:uid="{00000000-0005-0000-0000-000095330000}"/>
    <cellStyle name="Normal 57 4 3 3 6" xfId="11437" xr:uid="{00000000-0005-0000-0000-000096330000}"/>
    <cellStyle name="Normal 57 4 3 3 7" xfId="4627" xr:uid="{00000000-0005-0000-0000-000097330000}"/>
    <cellStyle name="Normal 57 4 3 4" xfId="1089" xr:uid="{00000000-0005-0000-0000-000098330000}"/>
    <cellStyle name="Normal 57 4 3 4 2" xfId="2809" xr:uid="{00000000-0005-0000-0000-000099330000}"/>
    <cellStyle name="Normal 57 4 3 4 2 2" xfId="16349" xr:uid="{00000000-0005-0000-0000-00009A330000}"/>
    <cellStyle name="Normal 57 4 3 4 2 3" xfId="12771" xr:uid="{00000000-0005-0000-0000-00009B330000}"/>
    <cellStyle name="Normal 57 4 3 4 2 4" xfId="7481" xr:uid="{00000000-0005-0000-0000-00009C330000}"/>
    <cellStyle name="Normal 57 4 3 4 3" xfId="4077" xr:uid="{00000000-0005-0000-0000-00009D330000}"/>
    <cellStyle name="Normal 57 4 3 4 3 2" xfId="17722" xr:uid="{00000000-0005-0000-0000-00009E330000}"/>
    <cellStyle name="Normal 57 4 3 4 3 3" xfId="14143" xr:uid="{00000000-0005-0000-0000-00009F330000}"/>
    <cellStyle name="Normal 57 4 3 4 3 4" xfId="8886" xr:uid="{00000000-0005-0000-0000-0000A0330000}"/>
    <cellStyle name="Normal 57 4 3 4 4" xfId="6597" xr:uid="{00000000-0005-0000-0000-0000A1330000}"/>
    <cellStyle name="Normal 57 4 3 4 4 2" xfId="15681" xr:uid="{00000000-0005-0000-0000-0000A2330000}"/>
    <cellStyle name="Normal 57 4 3 4 5" xfId="10340" xr:uid="{00000000-0005-0000-0000-0000A3330000}"/>
    <cellStyle name="Normal 57 4 3 4 5 2" xfId="19167" xr:uid="{00000000-0005-0000-0000-0000A4330000}"/>
    <cellStyle name="Normal 57 4 3 4 6" xfId="11786" xr:uid="{00000000-0005-0000-0000-0000A5330000}"/>
    <cellStyle name="Normal 57 4 3 4 7" xfId="5075" xr:uid="{00000000-0005-0000-0000-0000A6330000}"/>
    <cellStyle name="Normal 57 4 3 5" xfId="1461" xr:uid="{00000000-0005-0000-0000-0000A7330000}"/>
    <cellStyle name="Normal 57 4 3 5 2" xfId="3061" xr:uid="{00000000-0005-0000-0000-0000A8330000}"/>
    <cellStyle name="Normal 57 4 3 5 2 2" xfId="16610" xr:uid="{00000000-0005-0000-0000-0000A9330000}"/>
    <cellStyle name="Normal 57 4 3 5 2 3" xfId="13031" xr:uid="{00000000-0005-0000-0000-0000AA330000}"/>
    <cellStyle name="Normal 57 4 3 5 2 4" xfId="7742" xr:uid="{00000000-0005-0000-0000-0000AB330000}"/>
    <cellStyle name="Normal 57 4 3 5 3" xfId="4269" xr:uid="{00000000-0005-0000-0000-0000AC330000}"/>
    <cellStyle name="Normal 57 4 3 5 3 2" xfId="17974" xr:uid="{00000000-0005-0000-0000-0000AD330000}"/>
    <cellStyle name="Normal 57 4 3 5 3 3" xfId="14395" xr:uid="{00000000-0005-0000-0000-0000AE330000}"/>
    <cellStyle name="Normal 57 4 3 5 3 4" xfId="9138" xr:uid="{00000000-0005-0000-0000-0000AF330000}"/>
    <cellStyle name="Normal 57 4 3 5 4" xfId="5930" xr:uid="{00000000-0005-0000-0000-0000B0330000}"/>
    <cellStyle name="Normal 57 4 3 5 4 2" xfId="15016" xr:uid="{00000000-0005-0000-0000-0000B1330000}"/>
    <cellStyle name="Normal 57 4 3 5 5" xfId="10592" xr:uid="{00000000-0005-0000-0000-0000B2330000}"/>
    <cellStyle name="Normal 57 4 3 5 5 2" xfId="19419" xr:uid="{00000000-0005-0000-0000-0000B3330000}"/>
    <cellStyle name="Normal 57 4 3 5 6" xfId="12038" xr:uid="{00000000-0005-0000-0000-0000B4330000}"/>
    <cellStyle name="Normal 57 4 3 5 7" xfId="5336" xr:uid="{00000000-0005-0000-0000-0000B5330000}"/>
    <cellStyle name="Normal 57 4 3 6" xfId="2018" xr:uid="{00000000-0005-0000-0000-0000B6330000}"/>
    <cellStyle name="Normal 57 4 3 6 2" xfId="15859" xr:uid="{00000000-0005-0000-0000-0000B7330000}"/>
    <cellStyle name="Normal 57 4 3 6 3" xfId="12453" xr:uid="{00000000-0005-0000-0000-0000B8330000}"/>
    <cellStyle name="Normal 57 4 3 6 4" xfId="6816" xr:uid="{00000000-0005-0000-0000-0000B9330000}"/>
    <cellStyle name="Normal 57 4 3 7" xfId="3431" xr:uid="{00000000-0005-0000-0000-0000BA330000}"/>
    <cellStyle name="Normal 57 4 3 7 2" xfId="16931" xr:uid="{00000000-0005-0000-0000-0000BB330000}"/>
    <cellStyle name="Normal 57 4 3 7 3" xfId="13352" xr:uid="{00000000-0005-0000-0000-0000BC330000}"/>
    <cellStyle name="Normal 57 4 3 7 4" xfId="8095" xr:uid="{00000000-0005-0000-0000-0000BD330000}"/>
    <cellStyle name="Normal 57 4 3 8" xfId="5656" xr:uid="{00000000-0005-0000-0000-0000BE330000}"/>
    <cellStyle name="Normal 57 4 3 8 2" xfId="14742" xr:uid="{00000000-0005-0000-0000-0000BF330000}"/>
    <cellStyle name="Normal 57 4 3 9" xfId="9549" xr:uid="{00000000-0005-0000-0000-0000C0330000}"/>
    <cellStyle name="Normal 57 4 3 9 2" xfId="18376" xr:uid="{00000000-0005-0000-0000-0000C1330000}"/>
    <cellStyle name="Normal 57 4 3_Degree data" xfId="1706" xr:uid="{00000000-0005-0000-0000-0000C2330000}"/>
    <cellStyle name="Normal 57 4 4" xfId="183" xr:uid="{00000000-0005-0000-0000-0000C3330000}"/>
    <cellStyle name="Normal 57 4 4 10" xfId="10937" xr:uid="{00000000-0005-0000-0000-0000C4330000}"/>
    <cellStyle name="Normal 57 4 4 11" xfId="4459" xr:uid="{00000000-0005-0000-0000-0000C5330000}"/>
    <cellStyle name="Normal 57 4 4 2" xfId="400" xr:uid="{00000000-0005-0000-0000-0000C6330000}"/>
    <cellStyle name="Normal 57 4 4 2 2" xfId="735" xr:uid="{00000000-0005-0000-0000-0000C7330000}"/>
    <cellStyle name="Normal 57 4 4 2 2 2" xfId="2464" xr:uid="{00000000-0005-0000-0000-0000C8330000}"/>
    <cellStyle name="Normal 57 4 4 2 2 2 2" xfId="16352" xr:uid="{00000000-0005-0000-0000-0000C9330000}"/>
    <cellStyle name="Normal 57 4 4 2 2 2 3" xfId="12774" xr:uid="{00000000-0005-0000-0000-0000CA330000}"/>
    <cellStyle name="Normal 57 4 4 2 2 2 4" xfId="7484" xr:uid="{00000000-0005-0000-0000-0000CB330000}"/>
    <cellStyle name="Normal 57 4 4 2 2 3" xfId="3731" xr:uid="{00000000-0005-0000-0000-0000CC330000}"/>
    <cellStyle name="Normal 57 4 4 2 2 3 2" xfId="17377" xr:uid="{00000000-0005-0000-0000-0000CD330000}"/>
    <cellStyle name="Normal 57 4 4 2 2 3 3" xfId="13798" xr:uid="{00000000-0005-0000-0000-0000CE330000}"/>
    <cellStyle name="Normal 57 4 4 2 2 3 4" xfId="8541" xr:uid="{00000000-0005-0000-0000-0000CF330000}"/>
    <cellStyle name="Normal 57 4 4 2 2 4" xfId="6600" xr:uid="{00000000-0005-0000-0000-0000D0330000}"/>
    <cellStyle name="Normal 57 4 4 2 2 4 2" xfId="15684" xr:uid="{00000000-0005-0000-0000-0000D1330000}"/>
    <cellStyle name="Normal 57 4 4 2 2 5" xfId="9995" xr:uid="{00000000-0005-0000-0000-0000D2330000}"/>
    <cellStyle name="Normal 57 4 4 2 2 5 2" xfId="18822" xr:uid="{00000000-0005-0000-0000-0000D3330000}"/>
    <cellStyle name="Normal 57 4 4 2 2 6" xfId="11440" xr:uid="{00000000-0005-0000-0000-0000D4330000}"/>
    <cellStyle name="Normal 57 4 4 2 2 7" xfId="5078" xr:uid="{00000000-0005-0000-0000-0000D5330000}"/>
    <cellStyle name="Normal 57 4 4 2 3" xfId="1092" xr:uid="{00000000-0005-0000-0000-0000D6330000}"/>
    <cellStyle name="Normal 57 4 4 2 3 2" xfId="2812" xr:uid="{00000000-0005-0000-0000-0000D7330000}"/>
    <cellStyle name="Normal 57 4 4 2 3 2 2" xfId="16759" xr:uid="{00000000-0005-0000-0000-0000D8330000}"/>
    <cellStyle name="Normal 57 4 4 2 3 2 3" xfId="13180" xr:uid="{00000000-0005-0000-0000-0000D9330000}"/>
    <cellStyle name="Normal 57 4 4 2 3 2 4" xfId="7891" xr:uid="{00000000-0005-0000-0000-0000DA330000}"/>
    <cellStyle name="Normal 57 4 4 2 3 3" xfId="4080" xr:uid="{00000000-0005-0000-0000-0000DB330000}"/>
    <cellStyle name="Normal 57 4 4 2 3 3 2" xfId="17725" xr:uid="{00000000-0005-0000-0000-0000DC330000}"/>
    <cellStyle name="Normal 57 4 4 2 3 3 3" xfId="14146" xr:uid="{00000000-0005-0000-0000-0000DD330000}"/>
    <cellStyle name="Normal 57 4 4 2 3 3 4" xfId="8889" xr:uid="{00000000-0005-0000-0000-0000DE330000}"/>
    <cellStyle name="Normal 57 4 4 2 3 4" xfId="6298" xr:uid="{00000000-0005-0000-0000-0000DF330000}"/>
    <cellStyle name="Normal 57 4 4 2 3 4 2" xfId="15382" xr:uid="{00000000-0005-0000-0000-0000E0330000}"/>
    <cellStyle name="Normal 57 4 4 2 3 5" xfId="10343" xr:uid="{00000000-0005-0000-0000-0000E1330000}"/>
    <cellStyle name="Normal 57 4 4 2 3 5 2" xfId="19170" xr:uid="{00000000-0005-0000-0000-0000E2330000}"/>
    <cellStyle name="Normal 57 4 4 2 3 6" xfId="11789" xr:uid="{00000000-0005-0000-0000-0000E3330000}"/>
    <cellStyle name="Normal 57 4 4 2 3 7" xfId="5485" xr:uid="{00000000-0005-0000-0000-0000E4330000}"/>
    <cellStyle name="Normal 57 4 4 2 4" xfId="1614" xr:uid="{00000000-0005-0000-0000-0000E5330000}"/>
    <cellStyle name="Normal 57 4 4 2 4 2" xfId="3210" xr:uid="{00000000-0005-0000-0000-0000E6330000}"/>
    <cellStyle name="Normal 57 4 4 2 4 2 2" xfId="18123" xr:uid="{00000000-0005-0000-0000-0000E7330000}"/>
    <cellStyle name="Normal 57 4 4 2 4 2 3" xfId="14544" xr:uid="{00000000-0005-0000-0000-0000E8330000}"/>
    <cellStyle name="Normal 57 4 4 2 4 2 4" xfId="9287" xr:uid="{00000000-0005-0000-0000-0000E9330000}"/>
    <cellStyle name="Normal 57 4 4 2 4 3" xfId="10741" xr:uid="{00000000-0005-0000-0000-0000EA330000}"/>
    <cellStyle name="Normal 57 4 4 2 4 3 2" xfId="19568" xr:uid="{00000000-0005-0000-0000-0000EB330000}"/>
    <cellStyle name="Normal 57 4 4 2 4 4" xfId="12187" xr:uid="{00000000-0005-0000-0000-0000EC330000}"/>
    <cellStyle name="Normal 57 4 4 2 4 5" xfId="7182" xr:uid="{00000000-0005-0000-0000-0000ED330000}"/>
    <cellStyle name="Normal 57 4 4 2 5" xfId="2167" xr:uid="{00000000-0005-0000-0000-0000EE330000}"/>
    <cellStyle name="Normal 57 4 4 2 5 2" xfId="17080" xr:uid="{00000000-0005-0000-0000-0000EF330000}"/>
    <cellStyle name="Normal 57 4 4 2 5 3" xfId="13501" xr:uid="{00000000-0005-0000-0000-0000F0330000}"/>
    <cellStyle name="Normal 57 4 4 2 5 4" xfId="8244" xr:uid="{00000000-0005-0000-0000-0000F1330000}"/>
    <cellStyle name="Normal 57 4 4 2 6" xfId="5805" xr:uid="{00000000-0005-0000-0000-0000F2330000}"/>
    <cellStyle name="Normal 57 4 4 2 6 2" xfId="14891" xr:uid="{00000000-0005-0000-0000-0000F3330000}"/>
    <cellStyle name="Normal 57 4 4 2 7" xfId="9698" xr:uid="{00000000-0005-0000-0000-0000F4330000}"/>
    <cellStyle name="Normal 57 4 4 2 7 2" xfId="18525" xr:uid="{00000000-0005-0000-0000-0000F5330000}"/>
    <cellStyle name="Normal 57 4 4 2 8" xfId="11142" xr:uid="{00000000-0005-0000-0000-0000F6330000}"/>
    <cellStyle name="Normal 57 4 4 2 9" xfId="4776" xr:uid="{00000000-0005-0000-0000-0000F7330000}"/>
    <cellStyle name="Normal 57 4 4 2_Degree data" xfId="1709" xr:uid="{00000000-0005-0000-0000-0000F8330000}"/>
    <cellStyle name="Normal 57 4 4 3" xfId="734" xr:uid="{00000000-0005-0000-0000-0000F9330000}"/>
    <cellStyle name="Normal 57 4 4 3 2" xfId="2463" xr:uid="{00000000-0005-0000-0000-0000FA330000}"/>
    <cellStyle name="Normal 57 4 4 3 2 2" xfId="15991" xr:uid="{00000000-0005-0000-0000-0000FB330000}"/>
    <cellStyle name="Normal 57 4 4 3 2 3" xfId="12486" xr:uid="{00000000-0005-0000-0000-0000FC330000}"/>
    <cellStyle name="Normal 57 4 4 3 2 4" xfId="6977" xr:uid="{00000000-0005-0000-0000-0000FD330000}"/>
    <cellStyle name="Normal 57 4 4 3 3" xfId="3730" xr:uid="{00000000-0005-0000-0000-0000FE330000}"/>
    <cellStyle name="Normal 57 4 4 3 3 2" xfId="17376" xr:uid="{00000000-0005-0000-0000-0000FF330000}"/>
    <cellStyle name="Normal 57 4 4 3 3 3" xfId="13797" xr:uid="{00000000-0005-0000-0000-000000340000}"/>
    <cellStyle name="Normal 57 4 4 3 3 4" xfId="8540" xr:uid="{00000000-0005-0000-0000-000001340000}"/>
    <cellStyle name="Normal 57 4 4 3 4" xfId="6093" xr:uid="{00000000-0005-0000-0000-000002340000}"/>
    <cellStyle name="Normal 57 4 4 3 4 2" xfId="15177" xr:uid="{00000000-0005-0000-0000-000003340000}"/>
    <cellStyle name="Normal 57 4 4 3 5" xfId="9994" xr:uid="{00000000-0005-0000-0000-000004340000}"/>
    <cellStyle name="Normal 57 4 4 3 5 2" xfId="18821" xr:uid="{00000000-0005-0000-0000-000005340000}"/>
    <cellStyle name="Normal 57 4 4 3 6" xfId="11439" xr:uid="{00000000-0005-0000-0000-000006340000}"/>
    <cellStyle name="Normal 57 4 4 3 7" xfId="4571" xr:uid="{00000000-0005-0000-0000-000007340000}"/>
    <cellStyle name="Normal 57 4 4 4" xfId="1091" xr:uid="{00000000-0005-0000-0000-000008340000}"/>
    <cellStyle name="Normal 57 4 4 4 2" xfId="2811" xr:uid="{00000000-0005-0000-0000-000009340000}"/>
    <cellStyle name="Normal 57 4 4 4 2 2" xfId="16351" xr:uid="{00000000-0005-0000-0000-00000A340000}"/>
    <cellStyle name="Normal 57 4 4 4 2 3" xfId="12773" xr:uid="{00000000-0005-0000-0000-00000B340000}"/>
    <cellStyle name="Normal 57 4 4 4 2 4" xfId="7483" xr:uid="{00000000-0005-0000-0000-00000C340000}"/>
    <cellStyle name="Normal 57 4 4 4 3" xfId="4079" xr:uid="{00000000-0005-0000-0000-00000D340000}"/>
    <cellStyle name="Normal 57 4 4 4 3 2" xfId="17724" xr:uid="{00000000-0005-0000-0000-00000E340000}"/>
    <cellStyle name="Normal 57 4 4 4 3 3" xfId="14145" xr:uid="{00000000-0005-0000-0000-00000F340000}"/>
    <cellStyle name="Normal 57 4 4 4 3 4" xfId="8888" xr:uid="{00000000-0005-0000-0000-000010340000}"/>
    <cellStyle name="Normal 57 4 4 4 4" xfId="6599" xr:uid="{00000000-0005-0000-0000-000011340000}"/>
    <cellStyle name="Normal 57 4 4 4 4 2" xfId="15683" xr:uid="{00000000-0005-0000-0000-000012340000}"/>
    <cellStyle name="Normal 57 4 4 4 5" xfId="10342" xr:uid="{00000000-0005-0000-0000-000013340000}"/>
    <cellStyle name="Normal 57 4 4 4 5 2" xfId="19169" xr:uid="{00000000-0005-0000-0000-000014340000}"/>
    <cellStyle name="Normal 57 4 4 4 6" xfId="11788" xr:uid="{00000000-0005-0000-0000-000015340000}"/>
    <cellStyle name="Normal 57 4 4 4 7" xfId="5077" xr:uid="{00000000-0005-0000-0000-000016340000}"/>
    <cellStyle name="Normal 57 4 4 5" xfId="1400" xr:uid="{00000000-0005-0000-0000-000017340000}"/>
    <cellStyle name="Normal 57 4 4 5 2" xfId="3005" xr:uid="{00000000-0005-0000-0000-000018340000}"/>
    <cellStyle name="Normal 57 4 4 5 2 2" xfId="16554" xr:uid="{00000000-0005-0000-0000-000019340000}"/>
    <cellStyle name="Normal 57 4 4 5 2 3" xfId="12975" xr:uid="{00000000-0005-0000-0000-00001A340000}"/>
    <cellStyle name="Normal 57 4 4 5 2 4" xfId="7686" xr:uid="{00000000-0005-0000-0000-00001B340000}"/>
    <cellStyle name="Normal 57 4 4 5 3" xfId="4213" xr:uid="{00000000-0005-0000-0000-00001C340000}"/>
    <cellStyle name="Normal 57 4 4 5 3 2" xfId="17918" xr:uid="{00000000-0005-0000-0000-00001D340000}"/>
    <cellStyle name="Normal 57 4 4 5 3 3" xfId="14339" xr:uid="{00000000-0005-0000-0000-00001E340000}"/>
    <cellStyle name="Normal 57 4 4 5 3 4" xfId="9082" xr:uid="{00000000-0005-0000-0000-00001F340000}"/>
    <cellStyle name="Normal 57 4 4 5 4" xfId="5979" xr:uid="{00000000-0005-0000-0000-000020340000}"/>
    <cellStyle name="Normal 57 4 4 5 4 2" xfId="15065" xr:uid="{00000000-0005-0000-0000-000021340000}"/>
    <cellStyle name="Normal 57 4 4 5 5" xfId="10536" xr:uid="{00000000-0005-0000-0000-000022340000}"/>
    <cellStyle name="Normal 57 4 4 5 5 2" xfId="19363" xr:uid="{00000000-0005-0000-0000-000023340000}"/>
    <cellStyle name="Normal 57 4 4 5 6" xfId="11982" xr:uid="{00000000-0005-0000-0000-000024340000}"/>
    <cellStyle name="Normal 57 4 4 5 7" xfId="5280" xr:uid="{00000000-0005-0000-0000-000025340000}"/>
    <cellStyle name="Normal 57 4 4 6" xfId="1962" xr:uid="{00000000-0005-0000-0000-000026340000}"/>
    <cellStyle name="Normal 57 4 4 6 2" xfId="15908" xr:uid="{00000000-0005-0000-0000-000027340000}"/>
    <cellStyle name="Normal 57 4 4 6 3" xfId="12356" xr:uid="{00000000-0005-0000-0000-000028340000}"/>
    <cellStyle name="Normal 57 4 4 6 4" xfId="6865" xr:uid="{00000000-0005-0000-0000-000029340000}"/>
    <cellStyle name="Normal 57 4 4 7" xfId="3376" xr:uid="{00000000-0005-0000-0000-00002A340000}"/>
    <cellStyle name="Normal 57 4 4 7 2" xfId="16875" xr:uid="{00000000-0005-0000-0000-00002B340000}"/>
    <cellStyle name="Normal 57 4 4 7 3" xfId="13296" xr:uid="{00000000-0005-0000-0000-00002C340000}"/>
    <cellStyle name="Normal 57 4 4 7 4" xfId="8039" xr:uid="{00000000-0005-0000-0000-00002D340000}"/>
    <cellStyle name="Normal 57 4 4 8" xfId="5600" xr:uid="{00000000-0005-0000-0000-00002E340000}"/>
    <cellStyle name="Normal 57 4 4 8 2" xfId="14686" xr:uid="{00000000-0005-0000-0000-00002F340000}"/>
    <cellStyle name="Normal 57 4 4 9" xfId="9493" xr:uid="{00000000-0005-0000-0000-000030340000}"/>
    <cellStyle name="Normal 57 4 4 9 2" xfId="18320" xr:uid="{00000000-0005-0000-0000-000031340000}"/>
    <cellStyle name="Normal 57 4 4_Degree data" xfId="1708" xr:uid="{00000000-0005-0000-0000-000032340000}"/>
    <cellStyle name="Normal 57 4 5" xfId="294" xr:uid="{00000000-0005-0000-0000-000033340000}"/>
    <cellStyle name="Normal 57 4 5 2" xfId="736" xr:uid="{00000000-0005-0000-0000-000034340000}"/>
    <cellStyle name="Normal 57 4 5 2 2" xfId="2465" xr:uid="{00000000-0005-0000-0000-000035340000}"/>
    <cellStyle name="Normal 57 4 5 2 2 2" xfId="16353" xr:uid="{00000000-0005-0000-0000-000036340000}"/>
    <cellStyle name="Normal 57 4 5 2 2 3" xfId="12775" xr:uid="{00000000-0005-0000-0000-000037340000}"/>
    <cellStyle name="Normal 57 4 5 2 2 4" xfId="7485" xr:uid="{00000000-0005-0000-0000-000038340000}"/>
    <cellStyle name="Normal 57 4 5 2 3" xfId="3732" xr:uid="{00000000-0005-0000-0000-000039340000}"/>
    <cellStyle name="Normal 57 4 5 2 3 2" xfId="17378" xr:uid="{00000000-0005-0000-0000-00003A340000}"/>
    <cellStyle name="Normal 57 4 5 2 3 3" xfId="13799" xr:uid="{00000000-0005-0000-0000-00003B340000}"/>
    <cellStyle name="Normal 57 4 5 2 3 4" xfId="8542" xr:uid="{00000000-0005-0000-0000-00003C340000}"/>
    <cellStyle name="Normal 57 4 5 2 4" xfId="6601" xr:uid="{00000000-0005-0000-0000-00003D340000}"/>
    <cellStyle name="Normal 57 4 5 2 4 2" xfId="15685" xr:uid="{00000000-0005-0000-0000-00003E340000}"/>
    <cellStyle name="Normal 57 4 5 2 5" xfId="9996" xr:uid="{00000000-0005-0000-0000-00003F340000}"/>
    <cellStyle name="Normal 57 4 5 2 5 2" xfId="18823" xr:uid="{00000000-0005-0000-0000-000040340000}"/>
    <cellStyle name="Normal 57 4 5 2 6" xfId="11441" xr:uid="{00000000-0005-0000-0000-000041340000}"/>
    <cellStyle name="Normal 57 4 5 2 7" xfId="5079" xr:uid="{00000000-0005-0000-0000-000042340000}"/>
    <cellStyle name="Normal 57 4 5 3" xfId="1093" xr:uid="{00000000-0005-0000-0000-000043340000}"/>
    <cellStyle name="Normal 57 4 5 3 2" xfId="2813" xr:uid="{00000000-0005-0000-0000-000044340000}"/>
    <cellStyle name="Normal 57 4 5 3 2 2" xfId="16654" xr:uid="{00000000-0005-0000-0000-000045340000}"/>
    <cellStyle name="Normal 57 4 5 3 2 3" xfId="13075" xr:uid="{00000000-0005-0000-0000-000046340000}"/>
    <cellStyle name="Normal 57 4 5 3 2 4" xfId="7786" xr:uid="{00000000-0005-0000-0000-000047340000}"/>
    <cellStyle name="Normal 57 4 5 3 3" xfId="4081" xr:uid="{00000000-0005-0000-0000-000048340000}"/>
    <cellStyle name="Normal 57 4 5 3 3 2" xfId="17726" xr:uid="{00000000-0005-0000-0000-000049340000}"/>
    <cellStyle name="Normal 57 4 5 3 3 3" xfId="14147" xr:uid="{00000000-0005-0000-0000-00004A340000}"/>
    <cellStyle name="Normal 57 4 5 3 3 4" xfId="8890" xr:uid="{00000000-0005-0000-0000-00004B340000}"/>
    <cellStyle name="Normal 57 4 5 3 4" xfId="6193" xr:uid="{00000000-0005-0000-0000-00004C340000}"/>
    <cellStyle name="Normal 57 4 5 3 4 2" xfId="15277" xr:uid="{00000000-0005-0000-0000-00004D340000}"/>
    <cellStyle name="Normal 57 4 5 3 5" xfId="10344" xr:uid="{00000000-0005-0000-0000-00004E340000}"/>
    <cellStyle name="Normal 57 4 5 3 5 2" xfId="19171" xr:uid="{00000000-0005-0000-0000-00004F340000}"/>
    <cellStyle name="Normal 57 4 5 3 6" xfId="11790" xr:uid="{00000000-0005-0000-0000-000050340000}"/>
    <cellStyle name="Normal 57 4 5 3 7" xfId="5380" xr:uid="{00000000-0005-0000-0000-000051340000}"/>
    <cellStyle name="Normal 57 4 5 4" xfId="1506" xr:uid="{00000000-0005-0000-0000-000052340000}"/>
    <cellStyle name="Normal 57 4 5 4 2" xfId="3105" xr:uid="{00000000-0005-0000-0000-000053340000}"/>
    <cellStyle name="Normal 57 4 5 4 2 2" xfId="18018" xr:uid="{00000000-0005-0000-0000-000054340000}"/>
    <cellStyle name="Normal 57 4 5 4 2 3" xfId="14439" xr:uid="{00000000-0005-0000-0000-000055340000}"/>
    <cellStyle name="Normal 57 4 5 4 2 4" xfId="9182" xr:uid="{00000000-0005-0000-0000-000056340000}"/>
    <cellStyle name="Normal 57 4 5 4 3" xfId="10636" xr:uid="{00000000-0005-0000-0000-000057340000}"/>
    <cellStyle name="Normal 57 4 5 4 3 2" xfId="19463" xr:uid="{00000000-0005-0000-0000-000058340000}"/>
    <cellStyle name="Normal 57 4 5 4 4" xfId="12082" xr:uid="{00000000-0005-0000-0000-000059340000}"/>
    <cellStyle name="Normal 57 4 5 4 5" xfId="7077" xr:uid="{00000000-0005-0000-0000-00005A340000}"/>
    <cellStyle name="Normal 57 4 5 5" xfId="2062" xr:uid="{00000000-0005-0000-0000-00005B340000}"/>
    <cellStyle name="Normal 57 4 5 5 2" xfId="16975" xr:uid="{00000000-0005-0000-0000-00005C340000}"/>
    <cellStyle name="Normal 57 4 5 5 3" xfId="13396" xr:uid="{00000000-0005-0000-0000-00005D340000}"/>
    <cellStyle name="Normal 57 4 5 5 4" xfId="8139" xr:uid="{00000000-0005-0000-0000-00005E340000}"/>
    <cellStyle name="Normal 57 4 5 6" xfId="5700" xr:uid="{00000000-0005-0000-0000-00005F340000}"/>
    <cellStyle name="Normal 57 4 5 6 2" xfId="14786" xr:uid="{00000000-0005-0000-0000-000060340000}"/>
    <cellStyle name="Normal 57 4 5 7" xfId="9593" xr:uid="{00000000-0005-0000-0000-000061340000}"/>
    <cellStyle name="Normal 57 4 5 7 2" xfId="18420" xr:uid="{00000000-0005-0000-0000-000062340000}"/>
    <cellStyle name="Normal 57 4 5 8" xfId="11037" xr:uid="{00000000-0005-0000-0000-000063340000}"/>
    <cellStyle name="Normal 57 4 5 9" xfId="4671" xr:uid="{00000000-0005-0000-0000-000064340000}"/>
    <cellStyle name="Normal 57 4 5_Degree data" xfId="1710" xr:uid="{00000000-0005-0000-0000-000065340000}"/>
    <cellStyle name="Normal 57 4 6" xfId="475" xr:uid="{00000000-0005-0000-0000-000066340000}"/>
    <cellStyle name="Normal 57 4 6 2" xfId="737" xr:uid="{00000000-0005-0000-0000-000067340000}"/>
    <cellStyle name="Normal 57 4 6 2 2" xfId="2466" xr:uid="{00000000-0005-0000-0000-000068340000}"/>
    <cellStyle name="Normal 57 4 6 2 2 2" xfId="16354" xr:uid="{00000000-0005-0000-0000-000069340000}"/>
    <cellStyle name="Normal 57 4 6 2 2 3" xfId="12776" xr:uid="{00000000-0005-0000-0000-00006A340000}"/>
    <cellStyle name="Normal 57 4 6 2 2 4" xfId="7486" xr:uid="{00000000-0005-0000-0000-00006B340000}"/>
    <cellStyle name="Normal 57 4 6 2 3" xfId="3733" xr:uid="{00000000-0005-0000-0000-00006C340000}"/>
    <cellStyle name="Normal 57 4 6 2 3 2" xfId="17379" xr:uid="{00000000-0005-0000-0000-00006D340000}"/>
    <cellStyle name="Normal 57 4 6 2 3 3" xfId="13800" xr:uid="{00000000-0005-0000-0000-00006E340000}"/>
    <cellStyle name="Normal 57 4 6 2 3 4" xfId="8543" xr:uid="{00000000-0005-0000-0000-00006F340000}"/>
    <cellStyle name="Normal 57 4 6 2 4" xfId="6602" xr:uid="{00000000-0005-0000-0000-000070340000}"/>
    <cellStyle name="Normal 57 4 6 2 4 2" xfId="15686" xr:uid="{00000000-0005-0000-0000-000071340000}"/>
    <cellStyle name="Normal 57 4 6 2 5" xfId="9997" xr:uid="{00000000-0005-0000-0000-000072340000}"/>
    <cellStyle name="Normal 57 4 6 2 5 2" xfId="18824" xr:uid="{00000000-0005-0000-0000-000073340000}"/>
    <cellStyle name="Normal 57 4 6 2 6" xfId="11442" xr:uid="{00000000-0005-0000-0000-000074340000}"/>
    <cellStyle name="Normal 57 4 6 2 7" xfId="5080" xr:uid="{00000000-0005-0000-0000-000075340000}"/>
    <cellStyle name="Normal 57 4 6 3" xfId="1094" xr:uid="{00000000-0005-0000-0000-000076340000}"/>
    <cellStyle name="Normal 57 4 6 3 2" xfId="2814" xr:uid="{00000000-0005-0000-0000-000077340000}"/>
    <cellStyle name="Normal 57 4 6 3 2 2" xfId="16523" xr:uid="{00000000-0005-0000-0000-000078340000}"/>
    <cellStyle name="Normal 57 4 6 3 2 3" xfId="12945" xr:uid="{00000000-0005-0000-0000-000079340000}"/>
    <cellStyle name="Normal 57 4 6 3 2 4" xfId="7655" xr:uid="{00000000-0005-0000-0000-00007A340000}"/>
    <cellStyle name="Normal 57 4 6 3 3" xfId="4082" xr:uid="{00000000-0005-0000-0000-00007B340000}"/>
    <cellStyle name="Normal 57 4 6 3 3 2" xfId="17727" xr:uid="{00000000-0005-0000-0000-00007C340000}"/>
    <cellStyle name="Normal 57 4 6 3 3 3" xfId="14148" xr:uid="{00000000-0005-0000-0000-00007D340000}"/>
    <cellStyle name="Normal 57 4 6 3 3 4" xfId="8891" xr:uid="{00000000-0005-0000-0000-00007E340000}"/>
    <cellStyle name="Normal 57 4 6 3 4" xfId="6741" xr:uid="{00000000-0005-0000-0000-00007F340000}"/>
    <cellStyle name="Normal 57 4 6 3 4 2" xfId="15824" xr:uid="{00000000-0005-0000-0000-000080340000}"/>
    <cellStyle name="Normal 57 4 6 3 5" xfId="10345" xr:uid="{00000000-0005-0000-0000-000081340000}"/>
    <cellStyle name="Normal 57 4 6 3 5 2" xfId="19172" xr:uid="{00000000-0005-0000-0000-000082340000}"/>
    <cellStyle name="Normal 57 4 6 3 6" xfId="11791" xr:uid="{00000000-0005-0000-0000-000083340000}"/>
    <cellStyle name="Normal 57 4 6 3 7" xfId="5249" xr:uid="{00000000-0005-0000-0000-000084340000}"/>
    <cellStyle name="Normal 57 4 6 4" xfId="1363" xr:uid="{00000000-0005-0000-0000-000085340000}"/>
    <cellStyle name="Normal 57 4 6 4 2" xfId="2974" xr:uid="{00000000-0005-0000-0000-000086340000}"/>
    <cellStyle name="Normal 57 4 6 4 2 2" xfId="17887" xr:uid="{00000000-0005-0000-0000-000087340000}"/>
    <cellStyle name="Normal 57 4 6 4 2 3" xfId="14308" xr:uid="{00000000-0005-0000-0000-000088340000}"/>
    <cellStyle name="Normal 57 4 6 4 2 4" xfId="9051" xr:uid="{00000000-0005-0000-0000-000089340000}"/>
    <cellStyle name="Normal 57 4 6 4 3" xfId="10505" xr:uid="{00000000-0005-0000-0000-00008A340000}"/>
    <cellStyle name="Normal 57 4 6 4 3 2" xfId="19332" xr:uid="{00000000-0005-0000-0000-00008B340000}"/>
    <cellStyle name="Normal 57 4 6 4 4" xfId="11951" xr:uid="{00000000-0005-0000-0000-00008C340000}"/>
    <cellStyle name="Normal 57 4 6 4 5" xfId="6946" xr:uid="{00000000-0005-0000-0000-00008D340000}"/>
    <cellStyle name="Normal 57 4 6 5" xfId="1931" xr:uid="{00000000-0005-0000-0000-00008E340000}"/>
    <cellStyle name="Normal 57 4 6 5 2" xfId="16842" xr:uid="{00000000-0005-0000-0000-00008F340000}"/>
    <cellStyle name="Normal 57 4 6 5 3" xfId="13263" xr:uid="{00000000-0005-0000-0000-000090340000}"/>
    <cellStyle name="Normal 57 4 6 5 4" xfId="8006" xr:uid="{00000000-0005-0000-0000-000091340000}"/>
    <cellStyle name="Normal 57 4 6 6" xfId="6062" xr:uid="{00000000-0005-0000-0000-000092340000}"/>
    <cellStyle name="Normal 57 4 6 6 2" xfId="15146" xr:uid="{00000000-0005-0000-0000-000093340000}"/>
    <cellStyle name="Normal 57 4 6 7" xfId="9462" xr:uid="{00000000-0005-0000-0000-000094340000}"/>
    <cellStyle name="Normal 57 4 6 7 2" xfId="18289" xr:uid="{00000000-0005-0000-0000-000095340000}"/>
    <cellStyle name="Normal 57 4 6 8" xfId="10906" xr:uid="{00000000-0005-0000-0000-000096340000}"/>
    <cellStyle name="Normal 57 4 6 9" xfId="4540" xr:uid="{00000000-0005-0000-0000-000097340000}"/>
    <cellStyle name="Normal 57 4 6_Degree data" xfId="1711" xr:uid="{00000000-0005-0000-0000-000098340000}"/>
    <cellStyle name="Normal 57 4 7" xfId="727" xr:uid="{00000000-0005-0000-0000-000099340000}"/>
    <cellStyle name="Normal 57 4 7 2" xfId="2456" xr:uid="{00000000-0005-0000-0000-00009A340000}"/>
    <cellStyle name="Normal 57 4 7 2 2" xfId="16344" xr:uid="{00000000-0005-0000-0000-00009B340000}"/>
    <cellStyle name="Normal 57 4 7 2 3" xfId="12766" xr:uid="{00000000-0005-0000-0000-00009C340000}"/>
    <cellStyle name="Normal 57 4 7 2 4" xfId="7476" xr:uid="{00000000-0005-0000-0000-00009D340000}"/>
    <cellStyle name="Normal 57 4 7 3" xfId="3723" xr:uid="{00000000-0005-0000-0000-00009E340000}"/>
    <cellStyle name="Normal 57 4 7 3 2" xfId="17369" xr:uid="{00000000-0005-0000-0000-00009F340000}"/>
    <cellStyle name="Normal 57 4 7 3 3" xfId="13790" xr:uid="{00000000-0005-0000-0000-0000A0340000}"/>
    <cellStyle name="Normal 57 4 7 3 4" xfId="8533" xr:uid="{00000000-0005-0000-0000-0000A1340000}"/>
    <cellStyle name="Normal 57 4 7 4" xfId="6592" xr:uid="{00000000-0005-0000-0000-0000A2340000}"/>
    <cellStyle name="Normal 57 4 7 4 2" xfId="15676" xr:uid="{00000000-0005-0000-0000-0000A3340000}"/>
    <cellStyle name="Normal 57 4 7 5" xfId="9987" xr:uid="{00000000-0005-0000-0000-0000A4340000}"/>
    <cellStyle name="Normal 57 4 7 5 2" xfId="18814" xr:uid="{00000000-0005-0000-0000-0000A5340000}"/>
    <cellStyle name="Normal 57 4 7 6" xfId="11432" xr:uid="{00000000-0005-0000-0000-0000A6340000}"/>
    <cellStyle name="Normal 57 4 7 7" xfId="5070" xr:uid="{00000000-0005-0000-0000-0000A7340000}"/>
    <cellStyle name="Normal 57 4 8" xfId="1084" xr:uid="{00000000-0005-0000-0000-0000A8340000}"/>
    <cellStyle name="Normal 57 4 8 2" xfId="2804" xr:uid="{00000000-0005-0000-0000-0000A9340000}"/>
    <cellStyle name="Normal 57 4 8 2 2" xfId="16480" xr:uid="{00000000-0005-0000-0000-0000AA340000}"/>
    <cellStyle name="Normal 57 4 8 2 3" xfId="12902" xr:uid="{00000000-0005-0000-0000-0000AB340000}"/>
    <cellStyle name="Normal 57 4 8 2 4" xfId="7612" xr:uid="{00000000-0005-0000-0000-0000AC340000}"/>
    <cellStyle name="Normal 57 4 8 3" xfId="4072" xr:uid="{00000000-0005-0000-0000-0000AD340000}"/>
    <cellStyle name="Normal 57 4 8 3 2" xfId="17717" xr:uid="{00000000-0005-0000-0000-0000AE340000}"/>
    <cellStyle name="Normal 57 4 8 3 3" xfId="14138" xr:uid="{00000000-0005-0000-0000-0000AF340000}"/>
    <cellStyle name="Normal 57 4 8 3 4" xfId="8881" xr:uid="{00000000-0005-0000-0000-0000B0340000}"/>
    <cellStyle name="Normal 57 4 8 4" xfId="5873" xr:uid="{00000000-0005-0000-0000-0000B1340000}"/>
    <cellStyle name="Normal 57 4 8 4 2" xfId="14959" xr:uid="{00000000-0005-0000-0000-0000B2340000}"/>
    <cellStyle name="Normal 57 4 8 5" xfId="10335" xr:uid="{00000000-0005-0000-0000-0000B3340000}"/>
    <cellStyle name="Normal 57 4 8 5 2" xfId="19162" xr:uid="{00000000-0005-0000-0000-0000B4340000}"/>
    <cellStyle name="Normal 57 4 8 6" xfId="11781" xr:uid="{00000000-0005-0000-0000-0000B5340000}"/>
    <cellStyle name="Normal 57 4 8 7" xfId="5206" xr:uid="{00000000-0005-0000-0000-0000B6340000}"/>
    <cellStyle name="Normal 57 4 9" xfId="1292" xr:uid="{00000000-0005-0000-0000-0000B7340000}"/>
    <cellStyle name="Normal 57 4 9 2" xfId="2931" xr:uid="{00000000-0005-0000-0000-0000B8340000}"/>
    <cellStyle name="Normal 57 4 9 2 2" xfId="17844" xr:uid="{00000000-0005-0000-0000-0000B9340000}"/>
    <cellStyle name="Normal 57 4 9 2 3" xfId="14265" xr:uid="{00000000-0005-0000-0000-0000BA340000}"/>
    <cellStyle name="Normal 57 4 9 2 4" xfId="9008" xr:uid="{00000000-0005-0000-0000-0000BB340000}"/>
    <cellStyle name="Normal 57 4 9 3" xfId="10462" xr:uid="{00000000-0005-0000-0000-0000BC340000}"/>
    <cellStyle name="Normal 57 4 9 3 2" xfId="19289" xr:uid="{00000000-0005-0000-0000-0000BD340000}"/>
    <cellStyle name="Normal 57 4 9 4" xfId="11908" xr:uid="{00000000-0005-0000-0000-0000BE340000}"/>
    <cellStyle name="Normal 57 4 9 5" xfId="6759" xr:uid="{00000000-0005-0000-0000-0000BF340000}"/>
    <cellStyle name="Normal 57 4_Degree data" xfId="1701" xr:uid="{00000000-0005-0000-0000-0000C0340000}"/>
    <cellStyle name="Normal 57 5" xfId="153" xr:uid="{00000000-0005-0000-0000-0000C1340000}"/>
    <cellStyle name="Normal 57 5 10" xfId="1902" xr:uid="{00000000-0005-0000-0000-0000C2340000}"/>
    <cellStyle name="Normal 57 5 10 2" xfId="9433" xr:uid="{00000000-0005-0000-0000-0000C3340000}"/>
    <cellStyle name="Normal 57 5 10 2 2" xfId="18260" xr:uid="{00000000-0005-0000-0000-0000C4340000}"/>
    <cellStyle name="Normal 57 5 10 3" xfId="10877" xr:uid="{00000000-0005-0000-0000-0000C5340000}"/>
    <cellStyle name="Normal 57 5 10 4" xfId="7977" xr:uid="{00000000-0005-0000-0000-0000C6340000}"/>
    <cellStyle name="Normal 57 5 11" xfId="1872" xr:uid="{00000000-0005-0000-0000-0000C7340000}"/>
    <cellStyle name="Normal 57 5 11 2" xfId="14671" xr:uid="{00000000-0005-0000-0000-0000C8340000}"/>
    <cellStyle name="Normal 57 5 11 3" xfId="5585" xr:uid="{00000000-0005-0000-0000-0000C9340000}"/>
    <cellStyle name="Normal 57 5 12" xfId="9403" xr:uid="{00000000-0005-0000-0000-0000CA340000}"/>
    <cellStyle name="Normal 57 5 12 2" xfId="18230" xr:uid="{00000000-0005-0000-0000-0000CB340000}"/>
    <cellStyle name="Normal 57 5 13" xfId="10847" xr:uid="{00000000-0005-0000-0000-0000CC340000}"/>
    <cellStyle name="Normal 57 5 14" xfId="4351" xr:uid="{00000000-0005-0000-0000-0000CD340000}"/>
    <cellStyle name="Normal 57 5 2" xfId="228" xr:uid="{00000000-0005-0000-0000-0000CE340000}"/>
    <cellStyle name="Normal 57 5 2 10" xfId="9535" xr:uid="{00000000-0005-0000-0000-0000CF340000}"/>
    <cellStyle name="Normal 57 5 2 10 2" xfId="18362" xr:uid="{00000000-0005-0000-0000-0000D0340000}"/>
    <cellStyle name="Normal 57 5 2 11" xfId="10979" xr:uid="{00000000-0005-0000-0000-0000D1340000}"/>
    <cellStyle name="Normal 57 5 2 12" xfId="4396" xr:uid="{00000000-0005-0000-0000-0000D2340000}"/>
    <cellStyle name="Normal 57 5 2 2" xfId="441" xr:uid="{00000000-0005-0000-0000-0000D3340000}"/>
    <cellStyle name="Normal 57 5 2 2 10" xfId="4500" xr:uid="{00000000-0005-0000-0000-0000D4340000}"/>
    <cellStyle name="Normal 57 5 2 2 2" xfId="740" xr:uid="{00000000-0005-0000-0000-0000D5340000}"/>
    <cellStyle name="Normal 57 5 2 2 2 2" xfId="2469" xr:uid="{00000000-0005-0000-0000-0000D6340000}"/>
    <cellStyle name="Normal 57 5 2 2 2 2 2" xfId="16093" xr:uid="{00000000-0005-0000-0000-0000D7340000}"/>
    <cellStyle name="Normal 57 5 2 2 2 2 3" xfId="12515" xr:uid="{00000000-0005-0000-0000-0000D8340000}"/>
    <cellStyle name="Normal 57 5 2 2 2 2 4" xfId="7223" xr:uid="{00000000-0005-0000-0000-0000D9340000}"/>
    <cellStyle name="Normal 57 5 2 2 2 3" xfId="3736" xr:uid="{00000000-0005-0000-0000-0000DA340000}"/>
    <cellStyle name="Normal 57 5 2 2 2 3 2" xfId="17382" xr:uid="{00000000-0005-0000-0000-0000DB340000}"/>
    <cellStyle name="Normal 57 5 2 2 2 3 3" xfId="13803" xr:uid="{00000000-0005-0000-0000-0000DC340000}"/>
    <cellStyle name="Normal 57 5 2 2 2 3 4" xfId="8546" xr:uid="{00000000-0005-0000-0000-0000DD340000}"/>
    <cellStyle name="Normal 57 5 2 2 2 4" xfId="6339" xr:uid="{00000000-0005-0000-0000-0000DE340000}"/>
    <cellStyle name="Normal 57 5 2 2 2 4 2" xfId="15423" xr:uid="{00000000-0005-0000-0000-0000DF340000}"/>
    <cellStyle name="Normal 57 5 2 2 2 5" xfId="10000" xr:uid="{00000000-0005-0000-0000-0000E0340000}"/>
    <cellStyle name="Normal 57 5 2 2 2 5 2" xfId="18827" xr:uid="{00000000-0005-0000-0000-0000E1340000}"/>
    <cellStyle name="Normal 57 5 2 2 2 6" xfId="11445" xr:uid="{00000000-0005-0000-0000-0000E2340000}"/>
    <cellStyle name="Normal 57 5 2 2 2 7" xfId="4817" xr:uid="{00000000-0005-0000-0000-0000E3340000}"/>
    <cellStyle name="Normal 57 5 2 2 3" xfId="1097" xr:uid="{00000000-0005-0000-0000-0000E4340000}"/>
    <cellStyle name="Normal 57 5 2 2 3 2" xfId="2817" xr:uid="{00000000-0005-0000-0000-0000E5340000}"/>
    <cellStyle name="Normal 57 5 2 2 3 2 2" xfId="16357" xr:uid="{00000000-0005-0000-0000-0000E6340000}"/>
    <cellStyle name="Normal 57 5 2 2 3 2 3" xfId="12779" xr:uid="{00000000-0005-0000-0000-0000E7340000}"/>
    <cellStyle name="Normal 57 5 2 2 3 2 4" xfId="7489" xr:uid="{00000000-0005-0000-0000-0000E8340000}"/>
    <cellStyle name="Normal 57 5 2 2 3 3" xfId="4085" xr:uid="{00000000-0005-0000-0000-0000E9340000}"/>
    <cellStyle name="Normal 57 5 2 2 3 3 2" xfId="17730" xr:uid="{00000000-0005-0000-0000-0000EA340000}"/>
    <cellStyle name="Normal 57 5 2 2 3 3 3" xfId="14151" xr:uid="{00000000-0005-0000-0000-0000EB340000}"/>
    <cellStyle name="Normal 57 5 2 2 3 3 4" xfId="8894" xr:uid="{00000000-0005-0000-0000-0000EC340000}"/>
    <cellStyle name="Normal 57 5 2 2 3 4" xfId="6605" xr:uid="{00000000-0005-0000-0000-0000ED340000}"/>
    <cellStyle name="Normal 57 5 2 2 3 4 2" xfId="15689" xr:uid="{00000000-0005-0000-0000-0000EE340000}"/>
    <cellStyle name="Normal 57 5 2 2 3 5" xfId="10348" xr:uid="{00000000-0005-0000-0000-0000EF340000}"/>
    <cellStyle name="Normal 57 5 2 2 3 5 2" xfId="19175" xr:uid="{00000000-0005-0000-0000-0000F0340000}"/>
    <cellStyle name="Normal 57 5 2 2 3 6" xfId="11794" xr:uid="{00000000-0005-0000-0000-0000F1340000}"/>
    <cellStyle name="Normal 57 5 2 2 3 7" xfId="5083" xr:uid="{00000000-0005-0000-0000-0000F2340000}"/>
    <cellStyle name="Normal 57 5 2 2 4" xfId="1655" xr:uid="{00000000-0005-0000-0000-0000F3340000}"/>
    <cellStyle name="Normal 57 5 2 2 4 2" xfId="3251" xr:uid="{00000000-0005-0000-0000-0000F4340000}"/>
    <cellStyle name="Normal 57 5 2 2 4 2 2" xfId="16800" xr:uid="{00000000-0005-0000-0000-0000F5340000}"/>
    <cellStyle name="Normal 57 5 2 2 4 2 3" xfId="13221" xr:uid="{00000000-0005-0000-0000-0000F6340000}"/>
    <cellStyle name="Normal 57 5 2 2 4 2 4" xfId="7932" xr:uid="{00000000-0005-0000-0000-0000F7340000}"/>
    <cellStyle name="Normal 57 5 2 2 4 3" xfId="4315" xr:uid="{00000000-0005-0000-0000-0000F8340000}"/>
    <cellStyle name="Normal 57 5 2 2 4 3 2" xfId="18164" xr:uid="{00000000-0005-0000-0000-0000F9340000}"/>
    <cellStyle name="Normal 57 5 2 2 4 3 3" xfId="14585" xr:uid="{00000000-0005-0000-0000-0000FA340000}"/>
    <cellStyle name="Normal 57 5 2 2 4 3 4" xfId="9328" xr:uid="{00000000-0005-0000-0000-0000FB340000}"/>
    <cellStyle name="Normal 57 5 2 2 4 4" xfId="6020" xr:uid="{00000000-0005-0000-0000-0000FC340000}"/>
    <cellStyle name="Normal 57 5 2 2 4 4 2" xfId="15106" xr:uid="{00000000-0005-0000-0000-0000FD340000}"/>
    <cellStyle name="Normal 57 5 2 2 4 5" xfId="10782" xr:uid="{00000000-0005-0000-0000-0000FE340000}"/>
    <cellStyle name="Normal 57 5 2 2 4 5 2" xfId="19609" xr:uid="{00000000-0005-0000-0000-0000FF340000}"/>
    <cellStyle name="Normal 57 5 2 2 4 6" xfId="12228" xr:uid="{00000000-0005-0000-0000-000000350000}"/>
    <cellStyle name="Normal 57 5 2 2 4 7" xfId="5526" xr:uid="{00000000-0005-0000-0000-000001350000}"/>
    <cellStyle name="Normal 57 5 2 2 5" xfId="2208" xr:uid="{00000000-0005-0000-0000-000002350000}"/>
    <cellStyle name="Normal 57 5 2 2 5 2" xfId="15949" xr:uid="{00000000-0005-0000-0000-000003350000}"/>
    <cellStyle name="Normal 57 5 2 2 5 3" xfId="12455" xr:uid="{00000000-0005-0000-0000-000004350000}"/>
    <cellStyle name="Normal 57 5 2 2 5 4" xfId="6906" xr:uid="{00000000-0005-0000-0000-000005350000}"/>
    <cellStyle name="Normal 57 5 2 2 6" xfId="3477" xr:uid="{00000000-0005-0000-0000-000006350000}"/>
    <cellStyle name="Normal 57 5 2 2 6 2" xfId="17121" xr:uid="{00000000-0005-0000-0000-000007350000}"/>
    <cellStyle name="Normal 57 5 2 2 6 3" xfId="13542" xr:uid="{00000000-0005-0000-0000-000008350000}"/>
    <cellStyle name="Normal 57 5 2 2 6 4" xfId="8285" xr:uid="{00000000-0005-0000-0000-000009350000}"/>
    <cellStyle name="Normal 57 5 2 2 7" xfId="5846" xr:uid="{00000000-0005-0000-0000-00000A350000}"/>
    <cellStyle name="Normal 57 5 2 2 7 2" xfId="14932" xr:uid="{00000000-0005-0000-0000-00000B350000}"/>
    <cellStyle name="Normal 57 5 2 2 8" xfId="9739" xr:uid="{00000000-0005-0000-0000-00000C350000}"/>
    <cellStyle name="Normal 57 5 2 2 8 2" xfId="18566" xr:uid="{00000000-0005-0000-0000-00000D350000}"/>
    <cellStyle name="Normal 57 5 2 2 9" xfId="11183" xr:uid="{00000000-0005-0000-0000-00000E350000}"/>
    <cellStyle name="Normal 57 5 2 2_Degree data" xfId="1714" xr:uid="{00000000-0005-0000-0000-00000F350000}"/>
    <cellStyle name="Normal 57 5 2 3" xfId="336" xr:uid="{00000000-0005-0000-0000-000010350000}"/>
    <cellStyle name="Normal 57 5 2 3 2" xfId="741" xr:uid="{00000000-0005-0000-0000-000011350000}"/>
    <cellStyle name="Normal 57 5 2 3 2 2" xfId="2470" xr:uid="{00000000-0005-0000-0000-000012350000}"/>
    <cellStyle name="Normal 57 5 2 3 2 2 2" xfId="16358" xr:uid="{00000000-0005-0000-0000-000013350000}"/>
    <cellStyle name="Normal 57 5 2 3 2 2 3" xfId="12780" xr:uid="{00000000-0005-0000-0000-000014350000}"/>
    <cellStyle name="Normal 57 5 2 3 2 2 4" xfId="7490" xr:uid="{00000000-0005-0000-0000-000015350000}"/>
    <cellStyle name="Normal 57 5 2 3 2 3" xfId="3737" xr:uid="{00000000-0005-0000-0000-000016350000}"/>
    <cellStyle name="Normal 57 5 2 3 2 3 2" xfId="17383" xr:uid="{00000000-0005-0000-0000-000017350000}"/>
    <cellStyle name="Normal 57 5 2 3 2 3 3" xfId="13804" xr:uid="{00000000-0005-0000-0000-000018350000}"/>
    <cellStyle name="Normal 57 5 2 3 2 3 4" xfId="8547" xr:uid="{00000000-0005-0000-0000-000019350000}"/>
    <cellStyle name="Normal 57 5 2 3 2 4" xfId="6606" xr:uid="{00000000-0005-0000-0000-00001A350000}"/>
    <cellStyle name="Normal 57 5 2 3 2 4 2" xfId="15690" xr:uid="{00000000-0005-0000-0000-00001B350000}"/>
    <cellStyle name="Normal 57 5 2 3 2 5" xfId="10001" xr:uid="{00000000-0005-0000-0000-00001C350000}"/>
    <cellStyle name="Normal 57 5 2 3 2 5 2" xfId="18828" xr:uid="{00000000-0005-0000-0000-00001D350000}"/>
    <cellStyle name="Normal 57 5 2 3 2 6" xfId="11446" xr:uid="{00000000-0005-0000-0000-00001E350000}"/>
    <cellStyle name="Normal 57 5 2 3 2 7" xfId="5084" xr:uid="{00000000-0005-0000-0000-00001F350000}"/>
    <cellStyle name="Normal 57 5 2 3 3" xfId="1098" xr:uid="{00000000-0005-0000-0000-000020350000}"/>
    <cellStyle name="Normal 57 5 2 3 3 2" xfId="2818" xr:uid="{00000000-0005-0000-0000-000021350000}"/>
    <cellStyle name="Normal 57 5 2 3 3 2 2" xfId="16696" xr:uid="{00000000-0005-0000-0000-000022350000}"/>
    <cellStyle name="Normal 57 5 2 3 3 2 3" xfId="13117" xr:uid="{00000000-0005-0000-0000-000023350000}"/>
    <cellStyle name="Normal 57 5 2 3 3 2 4" xfId="7828" xr:uid="{00000000-0005-0000-0000-000024350000}"/>
    <cellStyle name="Normal 57 5 2 3 3 3" xfId="4086" xr:uid="{00000000-0005-0000-0000-000025350000}"/>
    <cellStyle name="Normal 57 5 2 3 3 3 2" xfId="17731" xr:uid="{00000000-0005-0000-0000-000026350000}"/>
    <cellStyle name="Normal 57 5 2 3 3 3 3" xfId="14152" xr:uid="{00000000-0005-0000-0000-000027350000}"/>
    <cellStyle name="Normal 57 5 2 3 3 3 4" xfId="8895" xr:uid="{00000000-0005-0000-0000-000028350000}"/>
    <cellStyle name="Normal 57 5 2 3 3 4" xfId="6235" xr:uid="{00000000-0005-0000-0000-000029350000}"/>
    <cellStyle name="Normal 57 5 2 3 3 4 2" xfId="15319" xr:uid="{00000000-0005-0000-0000-00002A350000}"/>
    <cellStyle name="Normal 57 5 2 3 3 5" xfId="10349" xr:uid="{00000000-0005-0000-0000-00002B350000}"/>
    <cellStyle name="Normal 57 5 2 3 3 5 2" xfId="19176" xr:uid="{00000000-0005-0000-0000-00002C350000}"/>
    <cellStyle name="Normal 57 5 2 3 3 6" xfId="11795" xr:uid="{00000000-0005-0000-0000-00002D350000}"/>
    <cellStyle name="Normal 57 5 2 3 3 7" xfId="5422" xr:uid="{00000000-0005-0000-0000-00002E350000}"/>
    <cellStyle name="Normal 57 5 2 3 4" xfId="1548" xr:uid="{00000000-0005-0000-0000-00002F350000}"/>
    <cellStyle name="Normal 57 5 2 3 4 2" xfId="3147" xr:uid="{00000000-0005-0000-0000-000030350000}"/>
    <cellStyle name="Normal 57 5 2 3 4 2 2" xfId="18060" xr:uid="{00000000-0005-0000-0000-000031350000}"/>
    <cellStyle name="Normal 57 5 2 3 4 2 3" xfId="14481" xr:uid="{00000000-0005-0000-0000-000032350000}"/>
    <cellStyle name="Normal 57 5 2 3 4 2 4" xfId="9224" xr:uid="{00000000-0005-0000-0000-000033350000}"/>
    <cellStyle name="Normal 57 5 2 3 4 3" xfId="10678" xr:uid="{00000000-0005-0000-0000-000034350000}"/>
    <cellStyle name="Normal 57 5 2 3 4 3 2" xfId="19505" xr:uid="{00000000-0005-0000-0000-000035350000}"/>
    <cellStyle name="Normal 57 5 2 3 4 4" xfId="12124" xr:uid="{00000000-0005-0000-0000-000036350000}"/>
    <cellStyle name="Normal 57 5 2 3 4 5" xfId="7119" xr:uid="{00000000-0005-0000-0000-000037350000}"/>
    <cellStyle name="Normal 57 5 2 3 5" xfId="2104" xr:uid="{00000000-0005-0000-0000-000038350000}"/>
    <cellStyle name="Normal 57 5 2 3 5 2" xfId="17017" xr:uid="{00000000-0005-0000-0000-000039350000}"/>
    <cellStyle name="Normal 57 5 2 3 5 3" xfId="13438" xr:uid="{00000000-0005-0000-0000-00003A350000}"/>
    <cellStyle name="Normal 57 5 2 3 5 4" xfId="8181" xr:uid="{00000000-0005-0000-0000-00003B350000}"/>
    <cellStyle name="Normal 57 5 2 3 6" xfId="5742" xr:uid="{00000000-0005-0000-0000-00003C350000}"/>
    <cellStyle name="Normal 57 5 2 3 6 2" xfId="14828" xr:uid="{00000000-0005-0000-0000-00003D350000}"/>
    <cellStyle name="Normal 57 5 2 3 7" xfId="9635" xr:uid="{00000000-0005-0000-0000-00003E350000}"/>
    <cellStyle name="Normal 57 5 2 3 7 2" xfId="18462" xr:uid="{00000000-0005-0000-0000-00003F350000}"/>
    <cellStyle name="Normal 57 5 2 3 8" xfId="11079" xr:uid="{00000000-0005-0000-0000-000040350000}"/>
    <cellStyle name="Normal 57 5 2 3 9" xfId="4713" xr:uid="{00000000-0005-0000-0000-000041350000}"/>
    <cellStyle name="Normal 57 5 2 3_Degree data" xfId="1715" xr:uid="{00000000-0005-0000-0000-000042350000}"/>
    <cellStyle name="Normal 57 5 2 4" xfId="739" xr:uid="{00000000-0005-0000-0000-000043350000}"/>
    <cellStyle name="Normal 57 5 2 4 2" xfId="2468" xr:uid="{00000000-0005-0000-0000-000044350000}"/>
    <cellStyle name="Normal 57 5 2 4 2 2" xfId="16033" xr:uid="{00000000-0005-0000-0000-000045350000}"/>
    <cellStyle name="Normal 57 5 2 4 2 3" xfId="12387" xr:uid="{00000000-0005-0000-0000-000046350000}"/>
    <cellStyle name="Normal 57 5 2 4 2 4" xfId="7019" xr:uid="{00000000-0005-0000-0000-000047350000}"/>
    <cellStyle name="Normal 57 5 2 4 3" xfId="3735" xr:uid="{00000000-0005-0000-0000-000048350000}"/>
    <cellStyle name="Normal 57 5 2 4 3 2" xfId="17381" xr:uid="{00000000-0005-0000-0000-000049350000}"/>
    <cellStyle name="Normal 57 5 2 4 3 3" xfId="13802" xr:uid="{00000000-0005-0000-0000-00004A350000}"/>
    <cellStyle name="Normal 57 5 2 4 3 4" xfId="8545" xr:uid="{00000000-0005-0000-0000-00004B350000}"/>
    <cellStyle name="Normal 57 5 2 4 4" xfId="6135" xr:uid="{00000000-0005-0000-0000-00004C350000}"/>
    <cellStyle name="Normal 57 5 2 4 4 2" xfId="15219" xr:uid="{00000000-0005-0000-0000-00004D350000}"/>
    <cellStyle name="Normal 57 5 2 4 5" xfId="9999" xr:uid="{00000000-0005-0000-0000-00004E350000}"/>
    <cellStyle name="Normal 57 5 2 4 5 2" xfId="18826" xr:uid="{00000000-0005-0000-0000-00004F350000}"/>
    <cellStyle name="Normal 57 5 2 4 6" xfId="11444" xr:uid="{00000000-0005-0000-0000-000050350000}"/>
    <cellStyle name="Normal 57 5 2 4 7" xfId="4613" xr:uid="{00000000-0005-0000-0000-000051350000}"/>
    <cellStyle name="Normal 57 5 2 5" xfId="1096" xr:uid="{00000000-0005-0000-0000-000052350000}"/>
    <cellStyle name="Normal 57 5 2 5 2" xfId="2816" xr:uid="{00000000-0005-0000-0000-000053350000}"/>
    <cellStyle name="Normal 57 5 2 5 2 2" xfId="16356" xr:uid="{00000000-0005-0000-0000-000054350000}"/>
    <cellStyle name="Normal 57 5 2 5 2 3" xfId="12778" xr:uid="{00000000-0005-0000-0000-000055350000}"/>
    <cellStyle name="Normal 57 5 2 5 2 4" xfId="7488" xr:uid="{00000000-0005-0000-0000-000056350000}"/>
    <cellStyle name="Normal 57 5 2 5 3" xfId="4084" xr:uid="{00000000-0005-0000-0000-000057350000}"/>
    <cellStyle name="Normal 57 5 2 5 3 2" xfId="17729" xr:uid="{00000000-0005-0000-0000-000058350000}"/>
    <cellStyle name="Normal 57 5 2 5 3 3" xfId="14150" xr:uid="{00000000-0005-0000-0000-000059350000}"/>
    <cellStyle name="Normal 57 5 2 5 3 4" xfId="8893" xr:uid="{00000000-0005-0000-0000-00005A350000}"/>
    <cellStyle name="Normal 57 5 2 5 4" xfId="6604" xr:uid="{00000000-0005-0000-0000-00005B350000}"/>
    <cellStyle name="Normal 57 5 2 5 4 2" xfId="15688" xr:uid="{00000000-0005-0000-0000-00005C350000}"/>
    <cellStyle name="Normal 57 5 2 5 5" xfId="10347" xr:uid="{00000000-0005-0000-0000-00005D350000}"/>
    <cellStyle name="Normal 57 5 2 5 5 2" xfId="19174" xr:uid="{00000000-0005-0000-0000-00005E350000}"/>
    <cellStyle name="Normal 57 5 2 5 6" xfId="11793" xr:uid="{00000000-0005-0000-0000-00005F350000}"/>
    <cellStyle name="Normal 57 5 2 5 7" xfId="5082" xr:uid="{00000000-0005-0000-0000-000060350000}"/>
    <cellStyle name="Normal 57 5 2 6" xfId="1446" xr:uid="{00000000-0005-0000-0000-000061350000}"/>
    <cellStyle name="Normal 57 5 2 6 2" xfId="3047" xr:uid="{00000000-0005-0000-0000-000062350000}"/>
    <cellStyle name="Normal 57 5 2 6 2 2" xfId="16596" xr:uid="{00000000-0005-0000-0000-000063350000}"/>
    <cellStyle name="Normal 57 5 2 6 2 3" xfId="13017" xr:uid="{00000000-0005-0000-0000-000064350000}"/>
    <cellStyle name="Normal 57 5 2 6 2 4" xfId="7728" xr:uid="{00000000-0005-0000-0000-000065350000}"/>
    <cellStyle name="Normal 57 5 2 6 3" xfId="4255" xr:uid="{00000000-0005-0000-0000-000066350000}"/>
    <cellStyle name="Normal 57 5 2 6 3 2" xfId="17960" xr:uid="{00000000-0005-0000-0000-000067350000}"/>
    <cellStyle name="Normal 57 5 2 6 3 3" xfId="14381" xr:uid="{00000000-0005-0000-0000-000068350000}"/>
    <cellStyle name="Normal 57 5 2 6 3 4" xfId="9124" xr:uid="{00000000-0005-0000-0000-000069350000}"/>
    <cellStyle name="Normal 57 5 2 6 4" xfId="5916" xr:uid="{00000000-0005-0000-0000-00006A350000}"/>
    <cellStyle name="Normal 57 5 2 6 4 2" xfId="15002" xr:uid="{00000000-0005-0000-0000-00006B350000}"/>
    <cellStyle name="Normal 57 5 2 6 5" xfId="10578" xr:uid="{00000000-0005-0000-0000-00006C350000}"/>
    <cellStyle name="Normal 57 5 2 6 5 2" xfId="19405" xr:uid="{00000000-0005-0000-0000-00006D350000}"/>
    <cellStyle name="Normal 57 5 2 6 6" xfId="12024" xr:uid="{00000000-0005-0000-0000-00006E350000}"/>
    <cellStyle name="Normal 57 5 2 6 7" xfId="5322" xr:uid="{00000000-0005-0000-0000-00006F350000}"/>
    <cellStyle name="Normal 57 5 2 7" xfId="2004" xr:uid="{00000000-0005-0000-0000-000070350000}"/>
    <cellStyle name="Normal 57 5 2 7 2" xfId="15846" xr:uid="{00000000-0005-0000-0000-000071350000}"/>
    <cellStyle name="Normal 57 5 2 7 3" xfId="12299" xr:uid="{00000000-0005-0000-0000-000072350000}"/>
    <cellStyle name="Normal 57 5 2 7 4" xfId="6802" xr:uid="{00000000-0005-0000-0000-000073350000}"/>
    <cellStyle name="Normal 57 5 2 8" xfId="3417" xr:uid="{00000000-0005-0000-0000-000074350000}"/>
    <cellStyle name="Normal 57 5 2 8 2" xfId="16917" xr:uid="{00000000-0005-0000-0000-000075350000}"/>
    <cellStyle name="Normal 57 5 2 8 3" xfId="13338" xr:uid="{00000000-0005-0000-0000-000076350000}"/>
    <cellStyle name="Normal 57 5 2 8 4" xfId="8081" xr:uid="{00000000-0005-0000-0000-000077350000}"/>
    <cellStyle name="Normal 57 5 2 9" xfId="5642" xr:uid="{00000000-0005-0000-0000-000078350000}"/>
    <cellStyle name="Normal 57 5 2 9 2" xfId="14728" xr:uid="{00000000-0005-0000-0000-000079350000}"/>
    <cellStyle name="Normal 57 5 2_Degree data" xfId="1713" xr:uid="{00000000-0005-0000-0000-00007A350000}"/>
    <cellStyle name="Normal 57 5 3" xfId="271" xr:uid="{00000000-0005-0000-0000-00007B350000}"/>
    <cellStyle name="Normal 57 5 3 10" xfId="11022" xr:uid="{00000000-0005-0000-0000-00007C350000}"/>
    <cellStyle name="Normal 57 5 3 11" xfId="4439" xr:uid="{00000000-0005-0000-0000-00007D350000}"/>
    <cellStyle name="Normal 57 5 3 2" xfId="379" xr:uid="{00000000-0005-0000-0000-00007E350000}"/>
    <cellStyle name="Normal 57 5 3 2 2" xfId="743" xr:uid="{00000000-0005-0000-0000-00007F350000}"/>
    <cellStyle name="Normal 57 5 3 2 2 2" xfId="2472" xr:uid="{00000000-0005-0000-0000-000080350000}"/>
    <cellStyle name="Normal 57 5 3 2 2 2 2" xfId="16360" xr:uid="{00000000-0005-0000-0000-000081350000}"/>
    <cellStyle name="Normal 57 5 3 2 2 2 3" xfId="12782" xr:uid="{00000000-0005-0000-0000-000082350000}"/>
    <cellStyle name="Normal 57 5 3 2 2 2 4" xfId="7492" xr:uid="{00000000-0005-0000-0000-000083350000}"/>
    <cellStyle name="Normal 57 5 3 2 2 3" xfId="3739" xr:uid="{00000000-0005-0000-0000-000084350000}"/>
    <cellStyle name="Normal 57 5 3 2 2 3 2" xfId="17385" xr:uid="{00000000-0005-0000-0000-000085350000}"/>
    <cellStyle name="Normal 57 5 3 2 2 3 3" xfId="13806" xr:uid="{00000000-0005-0000-0000-000086350000}"/>
    <cellStyle name="Normal 57 5 3 2 2 3 4" xfId="8549" xr:uid="{00000000-0005-0000-0000-000087350000}"/>
    <cellStyle name="Normal 57 5 3 2 2 4" xfId="6608" xr:uid="{00000000-0005-0000-0000-000088350000}"/>
    <cellStyle name="Normal 57 5 3 2 2 4 2" xfId="15692" xr:uid="{00000000-0005-0000-0000-000089350000}"/>
    <cellStyle name="Normal 57 5 3 2 2 5" xfId="10003" xr:uid="{00000000-0005-0000-0000-00008A350000}"/>
    <cellStyle name="Normal 57 5 3 2 2 5 2" xfId="18830" xr:uid="{00000000-0005-0000-0000-00008B350000}"/>
    <cellStyle name="Normal 57 5 3 2 2 6" xfId="11448" xr:uid="{00000000-0005-0000-0000-00008C350000}"/>
    <cellStyle name="Normal 57 5 3 2 2 7" xfId="5086" xr:uid="{00000000-0005-0000-0000-00008D350000}"/>
    <cellStyle name="Normal 57 5 3 2 3" xfId="1100" xr:uid="{00000000-0005-0000-0000-00008E350000}"/>
    <cellStyle name="Normal 57 5 3 2 3 2" xfId="2820" xr:uid="{00000000-0005-0000-0000-00008F350000}"/>
    <cellStyle name="Normal 57 5 3 2 3 2 2" xfId="16739" xr:uid="{00000000-0005-0000-0000-000090350000}"/>
    <cellStyle name="Normal 57 5 3 2 3 2 3" xfId="13160" xr:uid="{00000000-0005-0000-0000-000091350000}"/>
    <cellStyle name="Normal 57 5 3 2 3 2 4" xfId="7871" xr:uid="{00000000-0005-0000-0000-000092350000}"/>
    <cellStyle name="Normal 57 5 3 2 3 3" xfId="4088" xr:uid="{00000000-0005-0000-0000-000093350000}"/>
    <cellStyle name="Normal 57 5 3 2 3 3 2" xfId="17733" xr:uid="{00000000-0005-0000-0000-000094350000}"/>
    <cellStyle name="Normal 57 5 3 2 3 3 3" xfId="14154" xr:uid="{00000000-0005-0000-0000-000095350000}"/>
    <cellStyle name="Normal 57 5 3 2 3 3 4" xfId="8897" xr:uid="{00000000-0005-0000-0000-000096350000}"/>
    <cellStyle name="Normal 57 5 3 2 3 4" xfId="6278" xr:uid="{00000000-0005-0000-0000-000097350000}"/>
    <cellStyle name="Normal 57 5 3 2 3 4 2" xfId="15362" xr:uid="{00000000-0005-0000-0000-000098350000}"/>
    <cellStyle name="Normal 57 5 3 2 3 5" xfId="10351" xr:uid="{00000000-0005-0000-0000-000099350000}"/>
    <cellStyle name="Normal 57 5 3 2 3 5 2" xfId="19178" xr:uid="{00000000-0005-0000-0000-00009A350000}"/>
    <cellStyle name="Normal 57 5 3 2 3 6" xfId="11797" xr:uid="{00000000-0005-0000-0000-00009B350000}"/>
    <cellStyle name="Normal 57 5 3 2 3 7" xfId="5465" xr:uid="{00000000-0005-0000-0000-00009C350000}"/>
    <cellStyle name="Normal 57 5 3 2 4" xfId="1593" xr:uid="{00000000-0005-0000-0000-00009D350000}"/>
    <cellStyle name="Normal 57 5 3 2 4 2" xfId="3190" xr:uid="{00000000-0005-0000-0000-00009E350000}"/>
    <cellStyle name="Normal 57 5 3 2 4 2 2" xfId="18103" xr:uid="{00000000-0005-0000-0000-00009F350000}"/>
    <cellStyle name="Normal 57 5 3 2 4 2 3" xfId="14524" xr:uid="{00000000-0005-0000-0000-0000A0350000}"/>
    <cellStyle name="Normal 57 5 3 2 4 2 4" xfId="9267" xr:uid="{00000000-0005-0000-0000-0000A1350000}"/>
    <cellStyle name="Normal 57 5 3 2 4 3" xfId="10721" xr:uid="{00000000-0005-0000-0000-0000A2350000}"/>
    <cellStyle name="Normal 57 5 3 2 4 3 2" xfId="19548" xr:uid="{00000000-0005-0000-0000-0000A3350000}"/>
    <cellStyle name="Normal 57 5 3 2 4 4" xfId="12167" xr:uid="{00000000-0005-0000-0000-0000A4350000}"/>
    <cellStyle name="Normal 57 5 3 2 4 5" xfId="7162" xr:uid="{00000000-0005-0000-0000-0000A5350000}"/>
    <cellStyle name="Normal 57 5 3 2 5" xfId="2147" xr:uid="{00000000-0005-0000-0000-0000A6350000}"/>
    <cellStyle name="Normal 57 5 3 2 5 2" xfId="17060" xr:uid="{00000000-0005-0000-0000-0000A7350000}"/>
    <cellStyle name="Normal 57 5 3 2 5 3" xfId="13481" xr:uid="{00000000-0005-0000-0000-0000A8350000}"/>
    <cellStyle name="Normal 57 5 3 2 5 4" xfId="8224" xr:uid="{00000000-0005-0000-0000-0000A9350000}"/>
    <cellStyle name="Normal 57 5 3 2 6" xfId="5785" xr:uid="{00000000-0005-0000-0000-0000AA350000}"/>
    <cellStyle name="Normal 57 5 3 2 6 2" xfId="14871" xr:uid="{00000000-0005-0000-0000-0000AB350000}"/>
    <cellStyle name="Normal 57 5 3 2 7" xfId="9678" xr:uid="{00000000-0005-0000-0000-0000AC350000}"/>
    <cellStyle name="Normal 57 5 3 2 7 2" xfId="18505" xr:uid="{00000000-0005-0000-0000-0000AD350000}"/>
    <cellStyle name="Normal 57 5 3 2 8" xfId="11122" xr:uid="{00000000-0005-0000-0000-0000AE350000}"/>
    <cellStyle name="Normal 57 5 3 2 9" xfId="4756" xr:uid="{00000000-0005-0000-0000-0000AF350000}"/>
    <cellStyle name="Normal 57 5 3 2_Degree data" xfId="1717" xr:uid="{00000000-0005-0000-0000-0000B0350000}"/>
    <cellStyle name="Normal 57 5 3 3" xfId="742" xr:uid="{00000000-0005-0000-0000-0000B1350000}"/>
    <cellStyle name="Normal 57 5 3 3 2" xfId="2471" xr:uid="{00000000-0005-0000-0000-0000B2350000}"/>
    <cellStyle name="Normal 57 5 3 3 2 2" xfId="16076" xr:uid="{00000000-0005-0000-0000-0000B3350000}"/>
    <cellStyle name="Normal 57 5 3 3 2 3" xfId="12376" xr:uid="{00000000-0005-0000-0000-0000B4350000}"/>
    <cellStyle name="Normal 57 5 3 3 2 4" xfId="7062" xr:uid="{00000000-0005-0000-0000-0000B5350000}"/>
    <cellStyle name="Normal 57 5 3 3 3" xfId="3738" xr:uid="{00000000-0005-0000-0000-0000B6350000}"/>
    <cellStyle name="Normal 57 5 3 3 3 2" xfId="17384" xr:uid="{00000000-0005-0000-0000-0000B7350000}"/>
    <cellStyle name="Normal 57 5 3 3 3 3" xfId="13805" xr:uid="{00000000-0005-0000-0000-0000B8350000}"/>
    <cellStyle name="Normal 57 5 3 3 3 4" xfId="8548" xr:uid="{00000000-0005-0000-0000-0000B9350000}"/>
    <cellStyle name="Normal 57 5 3 3 4" xfId="6178" xr:uid="{00000000-0005-0000-0000-0000BA350000}"/>
    <cellStyle name="Normal 57 5 3 3 4 2" xfId="15262" xr:uid="{00000000-0005-0000-0000-0000BB350000}"/>
    <cellStyle name="Normal 57 5 3 3 5" xfId="10002" xr:uid="{00000000-0005-0000-0000-0000BC350000}"/>
    <cellStyle name="Normal 57 5 3 3 5 2" xfId="18829" xr:uid="{00000000-0005-0000-0000-0000BD350000}"/>
    <cellStyle name="Normal 57 5 3 3 6" xfId="11447" xr:uid="{00000000-0005-0000-0000-0000BE350000}"/>
    <cellStyle name="Normal 57 5 3 3 7" xfId="4656" xr:uid="{00000000-0005-0000-0000-0000BF350000}"/>
    <cellStyle name="Normal 57 5 3 4" xfId="1099" xr:uid="{00000000-0005-0000-0000-0000C0350000}"/>
    <cellStyle name="Normal 57 5 3 4 2" xfId="2819" xr:uid="{00000000-0005-0000-0000-0000C1350000}"/>
    <cellStyle name="Normal 57 5 3 4 2 2" xfId="16359" xr:uid="{00000000-0005-0000-0000-0000C2350000}"/>
    <cellStyle name="Normal 57 5 3 4 2 3" xfId="12781" xr:uid="{00000000-0005-0000-0000-0000C3350000}"/>
    <cellStyle name="Normal 57 5 3 4 2 4" xfId="7491" xr:uid="{00000000-0005-0000-0000-0000C4350000}"/>
    <cellStyle name="Normal 57 5 3 4 3" xfId="4087" xr:uid="{00000000-0005-0000-0000-0000C5350000}"/>
    <cellStyle name="Normal 57 5 3 4 3 2" xfId="17732" xr:uid="{00000000-0005-0000-0000-0000C6350000}"/>
    <cellStyle name="Normal 57 5 3 4 3 3" xfId="14153" xr:uid="{00000000-0005-0000-0000-0000C7350000}"/>
    <cellStyle name="Normal 57 5 3 4 3 4" xfId="8896" xr:uid="{00000000-0005-0000-0000-0000C8350000}"/>
    <cellStyle name="Normal 57 5 3 4 4" xfId="6607" xr:uid="{00000000-0005-0000-0000-0000C9350000}"/>
    <cellStyle name="Normal 57 5 3 4 4 2" xfId="15691" xr:uid="{00000000-0005-0000-0000-0000CA350000}"/>
    <cellStyle name="Normal 57 5 3 4 5" xfId="10350" xr:uid="{00000000-0005-0000-0000-0000CB350000}"/>
    <cellStyle name="Normal 57 5 3 4 5 2" xfId="19177" xr:uid="{00000000-0005-0000-0000-0000CC350000}"/>
    <cellStyle name="Normal 57 5 3 4 6" xfId="11796" xr:uid="{00000000-0005-0000-0000-0000CD350000}"/>
    <cellStyle name="Normal 57 5 3 4 7" xfId="5085" xr:uid="{00000000-0005-0000-0000-0000CE350000}"/>
    <cellStyle name="Normal 57 5 3 5" xfId="1491" xr:uid="{00000000-0005-0000-0000-0000CF350000}"/>
    <cellStyle name="Normal 57 5 3 5 2" xfId="3090" xr:uid="{00000000-0005-0000-0000-0000D0350000}"/>
    <cellStyle name="Normal 57 5 3 5 2 2" xfId="16639" xr:uid="{00000000-0005-0000-0000-0000D1350000}"/>
    <cellStyle name="Normal 57 5 3 5 2 3" xfId="13060" xr:uid="{00000000-0005-0000-0000-0000D2350000}"/>
    <cellStyle name="Normal 57 5 3 5 2 4" xfId="7771" xr:uid="{00000000-0005-0000-0000-0000D3350000}"/>
    <cellStyle name="Normal 57 5 3 5 3" xfId="4298" xr:uid="{00000000-0005-0000-0000-0000D4350000}"/>
    <cellStyle name="Normal 57 5 3 5 3 2" xfId="18003" xr:uid="{00000000-0005-0000-0000-0000D5350000}"/>
    <cellStyle name="Normal 57 5 3 5 3 3" xfId="14424" xr:uid="{00000000-0005-0000-0000-0000D6350000}"/>
    <cellStyle name="Normal 57 5 3 5 3 4" xfId="9167" xr:uid="{00000000-0005-0000-0000-0000D7350000}"/>
    <cellStyle name="Normal 57 5 3 5 4" xfId="5959" xr:uid="{00000000-0005-0000-0000-0000D8350000}"/>
    <cellStyle name="Normal 57 5 3 5 4 2" xfId="15045" xr:uid="{00000000-0005-0000-0000-0000D9350000}"/>
    <cellStyle name="Normal 57 5 3 5 5" xfId="10621" xr:uid="{00000000-0005-0000-0000-0000DA350000}"/>
    <cellStyle name="Normal 57 5 3 5 5 2" xfId="19448" xr:uid="{00000000-0005-0000-0000-0000DB350000}"/>
    <cellStyle name="Normal 57 5 3 5 6" xfId="12067" xr:uid="{00000000-0005-0000-0000-0000DC350000}"/>
    <cellStyle name="Normal 57 5 3 5 7" xfId="5365" xr:uid="{00000000-0005-0000-0000-0000DD350000}"/>
    <cellStyle name="Normal 57 5 3 6" xfId="2047" xr:uid="{00000000-0005-0000-0000-0000DE350000}"/>
    <cellStyle name="Normal 57 5 3 6 2" xfId="15888" xr:uid="{00000000-0005-0000-0000-0000DF350000}"/>
    <cellStyle name="Normal 57 5 3 6 3" xfId="12249" xr:uid="{00000000-0005-0000-0000-0000E0350000}"/>
    <cellStyle name="Normal 57 5 3 6 4" xfId="6845" xr:uid="{00000000-0005-0000-0000-0000E1350000}"/>
    <cellStyle name="Normal 57 5 3 7" xfId="3460" xr:uid="{00000000-0005-0000-0000-0000E2350000}"/>
    <cellStyle name="Normal 57 5 3 7 2" xfId="16960" xr:uid="{00000000-0005-0000-0000-0000E3350000}"/>
    <cellStyle name="Normal 57 5 3 7 3" xfId="13381" xr:uid="{00000000-0005-0000-0000-0000E4350000}"/>
    <cellStyle name="Normal 57 5 3 7 4" xfId="8124" xr:uid="{00000000-0005-0000-0000-0000E5350000}"/>
    <cellStyle name="Normal 57 5 3 8" xfId="5685" xr:uid="{00000000-0005-0000-0000-0000E6350000}"/>
    <cellStyle name="Normal 57 5 3 8 2" xfId="14771" xr:uid="{00000000-0005-0000-0000-0000E7350000}"/>
    <cellStyle name="Normal 57 5 3 9" xfId="9578" xr:uid="{00000000-0005-0000-0000-0000E8350000}"/>
    <cellStyle name="Normal 57 5 3 9 2" xfId="18405" xr:uid="{00000000-0005-0000-0000-0000E9350000}"/>
    <cellStyle name="Normal 57 5 3_Degree data" xfId="1716" xr:uid="{00000000-0005-0000-0000-0000EA350000}"/>
    <cellStyle name="Normal 57 5 4" xfId="180" xr:uid="{00000000-0005-0000-0000-0000EB350000}"/>
    <cellStyle name="Normal 57 5 4 10" xfId="10934" xr:uid="{00000000-0005-0000-0000-0000EC350000}"/>
    <cellStyle name="Normal 57 5 4 11" xfId="4456" xr:uid="{00000000-0005-0000-0000-0000ED350000}"/>
    <cellStyle name="Normal 57 5 4 2" xfId="397" xr:uid="{00000000-0005-0000-0000-0000EE350000}"/>
    <cellStyle name="Normal 57 5 4 2 2" xfId="745" xr:uid="{00000000-0005-0000-0000-0000EF350000}"/>
    <cellStyle name="Normal 57 5 4 2 2 2" xfId="2474" xr:uid="{00000000-0005-0000-0000-0000F0350000}"/>
    <cellStyle name="Normal 57 5 4 2 2 2 2" xfId="16362" xr:uid="{00000000-0005-0000-0000-0000F1350000}"/>
    <cellStyle name="Normal 57 5 4 2 2 2 3" xfId="12784" xr:uid="{00000000-0005-0000-0000-0000F2350000}"/>
    <cellStyle name="Normal 57 5 4 2 2 2 4" xfId="7494" xr:uid="{00000000-0005-0000-0000-0000F3350000}"/>
    <cellStyle name="Normal 57 5 4 2 2 3" xfId="3741" xr:uid="{00000000-0005-0000-0000-0000F4350000}"/>
    <cellStyle name="Normal 57 5 4 2 2 3 2" xfId="17387" xr:uid="{00000000-0005-0000-0000-0000F5350000}"/>
    <cellStyle name="Normal 57 5 4 2 2 3 3" xfId="13808" xr:uid="{00000000-0005-0000-0000-0000F6350000}"/>
    <cellStyle name="Normal 57 5 4 2 2 3 4" xfId="8551" xr:uid="{00000000-0005-0000-0000-0000F7350000}"/>
    <cellStyle name="Normal 57 5 4 2 2 4" xfId="6610" xr:uid="{00000000-0005-0000-0000-0000F8350000}"/>
    <cellStyle name="Normal 57 5 4 2 2 4 2" xfId="15694" xr:uid="{00000000-0005-0000-0000-0000F9350000}"/>
    <cellStyle name="Normal 57 5 4 2 2 5" xfId="10005" xr:uid="{00000000-0005-0000-0000-0000FA350000}"/>
    <cellStyle name="Normal 57 5 4 2 2 5 2" xfId="18832" xr:uid="{00000000-0005-0000-0000-0000FB350000}"/>
    <cellStyle name="Normal 57 5 4 2 2 6" xfId="11450" xr:uid="{00000000-0005-0000-0000-0000FC350000}"/>
    <cellStyle name="Normal 57 5 4 2 2 7" xfId="5088" xr:uid="{00000000-0005-0000-0000-0000FD350000}"/>
    <cellStyle name="Normal 57 5 4 2 3" xfId="1102" xr:uid="{00000000-0005-0000-0000-0000FE350000}"/>
    <cellStyle name="Normal 57 5 4 2 3 2" xfId="2822" xr:uid="{00000000-0005-0000-0000-0000FF350000}"/>
    <cellStyle name="Normal 57 5 4 2 3 2 2" xfId="16756" xr:uid="{00000000-0005-0000-0000-000000360000}"/>
    <cellStyle name="Normal 57 5 4 2 3 2 3" xfId="13177" xr:uid="{00000000-0005-0000-0000-000001360000}"/>
    <cellStyle name="Normal 57 5 4 2 3 2 4" xfId="7888" xr:uid="{00000000-0005-0000-0000-000002360000}"/>
    <cellStyle name="Normal 57 5 4 2 3 3" xfId="4090" xr:uid="{00000000-0005-0000-0000-000003360000}"/>
    <cellStyle name="Normal 57 5 4 2 3 3 2" xfId="17735" xr:uid="{00000000-0005-0000-0000-000004360000}"/>
    <cellStyle name="Normal 57 5 4 2 3 3 3" xfId="14156" xr:uid="{00000000-0005-0000-0000-000005360000}"/>
    <cellStyle name="Normal 57 5 4 2 3 3 4" xfId="8899" xr:uid="{00000000-0005-0000-0000-000006360000}"/>
    <cellStyle name="Normal 57 5 4 2 3 4" xfId="6295" xr:uid="{00000000-0005-0000-0000-000007360000}"/>
    <cellStyle name="Normal 57 5 4 2 3 4 2" xfId="15379" xr:uid="{00000000-0005-0000-0000-000008360000}"/>
    <cellStyle name="Normal 57 5 4 2 3 5" xfId="10353" xr:uid="{00000000-0005-0000-0000-000009360000}"/>
    <cellStyle name="Normal 57 5 4 2 3 5 2" xfId="19180" xr:uid="{00000000-0005-0000-0000-00000A360000}"/>
    <cellStyle name="Normal 57 5 4 2 3 6" xfId="11799" xr:uid="{00000000-0005-0000-0000-00000B360000}"/>
    <cellStyle name="Normal 57 5 4 2 3 7" xfId="5482" xr:uid="{00000000-0005-0000-0000-00000C360000}"/>
    <cellStyle name="Normal 57 5 4 2 4" xfId="1611" xr:uid="{00000000-0005-0000-0000-00000D360000}"/>
    <cellStyle name="Normal 57 5 4 2 4 2" xfId="3207" xr:uid="{00000000-0005-0000-0000-00000E360000}"/>
    <cellStyle name="Normal 57 5 4 2 4 2 2" xfId="18120" xr:uid="{00000000-0005-0000-0000-00000F360000}"/>
    <cellStyle name="Normal 57 5 4 2 4 2 3" xfId="14541" xr:uid="{00000000-0005-0000-0000-000010360000}"/>
    <cellStyle name="Normal 57 5 4 2 4 2 4" xfId="9284" xr:uid="{00000000-0005-0000-0000-000011360000}"/>
    <cellStyle name="Normal 57 5 4 2 4 3" xfId="10738" xr:uid="{00000000-0005-0000-0000-000012360000}"/>
    <cellStyle name="Normal 57 5 4 2 4 3 2" xfId="19565" xr:uid="{00000000-0005-0000-0000-000013360000}"/>
    <cellStyle name="Normal 57 5 4 2 4 4" xfId="12184" xr:uid="{00000000-0005-0000-0000-000014360000}"/>
    <cellStyle name="Normal 57 5 4 2 4 5" xfId="7179" xr:uid="{00000000-0005-0000-0000-000015360000}"/>
    <cellStyle name="Normal 57 5 4 2 5" xfId="2164" xr:uid="{00000000-0005-0000-0000-000016360000}"/>
    <cellStyle name="Normal 57 5 4 2 5 2" xfId="17077" xr:uid="{00000000-0005-0000-0000-000017360000}"/>
    <cellStyle name="Normal 57 5 4 2 5 3" xfId="13498" xr:uid="{00000000-0005-0000-0000-000018360000}"/>
    <cellStyle name="Normal 57 5 4 2 5 4" xfId="8241" xr:uid="{00000000-0005-0000-0000-000019360000}"/>
    <cellStyle name="Normal 57 5 4 2 6" xfId="5802" xr:uid="{00000000-0005-0000-0000-00001A360000}"/>
    <cellStyle name="Normal 57 5 4 2 6 2" xfId="14888" xr:uid="{00000000-0005-0000-0000-00001B360000}"/>
    <cellStyle name="Normal 57 5 4 2 7" xfId="9695" xr:uid="{00000000-0005-0000-0000-00001C360000}"/>
    <cellStyle name="Normal 57 5 4 2 7 2" xfId="18522" xr:uid="{00000000-0005-0000-0000-00001D360000}"/>
    <cellStyle name="Normal 57 5 4 2 8" xfId="11139" xr:uid="{00000000-0005-0000-0000-00001E360000}"/>
    <cellStyle name="Normal 57 5 4 2 9" xfId="4773" xr:uid="{00000000-0005-0000-0000-00001F360000}"/>
    <cellStyle name="Normal 57 5 4 2_Degree data" xfId="1719" xr:uid="{00000000-0005-0000-0000-000020360000}"/>
    <cellStyle name="Normal 57 5 4 3" xfId="744" xr:uid="{00000000-0005-0000-0000-000021360000}"/>
    <cellStyle name="Normal 57 5 4 3 2" xfId="2473" xr:uid="{00000000-0005-0000-0000-000022360000}"/>
    <cellStyle name="Normal 57 5 4 3 2 2" xfId="15988" xr:uid="{00000000-0005-0000-0000-000023360000}"/>
    <cellStyle name="Normal 57 5 4 3 2 3" xfId="12468" xr:uid="{00000000-0005-0000-0000-000024360000}"/>
    <cellStyle name="Normal 57 5 4 3 2 4" xfId="6974" xr:uid="{00000000-0005-0000-0000-000025360000}"/>
    <cellStyle name="Normal 57 5 4 3 3" xfId="3740" xr:uid="{00000000-0005-0000-0000-000026360000}"/>
    <cellStyle name="Normal 57 5 4 3 3 2" xfId="17386" xr:uid="{00000000-0005-0000-0000-000027360000}"/>
    <cellStyle name="Normal 57 5 4 3 3 3" xfId="13807" xr:uid="{00000000-0005-0000-0000-000028360000}"/>
    <cellStyle name="Normal 57 5 4 3 3 4" xfId="8550" xr:uid="{00000000-0005-0000-0000-000029360000}"/>
    <cellStyle name="Normal 57 5 4 3 4" xfId="6090" xr:uid="{00000000-0005-0000-0000-00002A360000}"/>
    <cellStyle name="Normal 57 5 4 3 4 2" xfId="15174" xr:uid="{00000000-0005-0000-0000-00002B360000}"/>
    <cellStyle name="Normal 57 5 4 3 5" xfId="10004" xr:uid="{00000000-0005-0000-0000-00002C360000}"/>
    <cellStyle name="Normal 57 5 4 3 5 2" xfId="18831" xr:uid="{00000000-0005-0000-0000-00002D360000}"/>
    <cellStyle name="Normal 57 5 4 3 6" xfId="11449" xr:uid="{00000000-0005-0000-0000-00002E360000}"/>
    <cellStyle name="Normal 57 5 4 3 7" xfId="4568" xr:uid="{00000000-0005-0000-0000-00002F360000}"/>
    <cellStyle name="Normal 57 5 4 4" xfId="1101" xr:uid="{00000000-0005-0000-0000-000030360000}"/>
    <cellStyle name="Normal 57 5 4 4 2" xfId="2821" xr:uid="{00000000-0005-0000-0000-000031360000}"/>
    <cellStyle name="Normal 57 5 4 4 2 2" xfId="16361" xr:uid="{00000000-0005-0000-0000-000032360000}"/>
    <cellStyle name="Normal 57 5 4 4 2 3" xfId="12783" xr:uid="{00000000-0005-0000-0000-000033360000}"/>
    <cellStyle name="Normal 57 5 4 4 2 4" xfId="7493" xr:uid="{00000000-0005-0000-0000-000034360000}"/>
    <cellStyle name="Normal 57 5 4 4 3" xfId="4089" xr:uid="{00000000-0005-0000-0000-000035360000}"/>
    <cellStyle name="Normal 57 5 4 4 3 2" xfId="17734" xr:uid="{00000000-0005-0000-0000-000036360000}"/>
    <cellStyle name="Normal 57 5 4 4 3 3" xfId="14155" xr:uid="{00000000-0005-0000-0000-000037360000}"/>
    <cellStyle name="Normal 57 5 4 4 3 4" xfId="8898" xr:uid="{00000000-0005-0000-0000-000038360000}"/>
    <cellStyle name="Normal 57 5 4 4 4" xfId="6609" xr:uid="{00000000-0005-0000-0000-000039360000}"/>
    <cellStyle name="Normal 57 5 4 4 4 2" xfId="15693" xr:uid="{00000000-0005-0000-0000-00003A360000}"/>
    <cellStyle name="Normal 57 5 4 4 5" xfId="10352" xr:uid="{00000000-0005-0000-0000-00003B360000}"/>
    <cellStyle name="Normal 57 5 4 4 5 2" xfId="19179" xr:uid="{00000000-0005-0000-0000-00003C360000}"/>
    <cellStyle name="Normal 57 5 4 4 6" xfId="11798" xr:uid="{00000000-0005-0000-0000-00003D360000}"/>
    <cellStyle name="Normal 57 5 4 4 7" xfId="5087" xr:uid="{00000000-0005-0000-0000-00003E360000}"/>
    <cellStyle name="Normal 57 5 4 5" xfId="1397" xr:uid="{00000000-0005-0000-0000-00003F360000}"/>
    <cellStyle name="Normal 57 5 4 5 2" xfId="3002" xr:uid="{00000000-0005-0000-0000-000040360000}"/>
    <cellStyle name="Normal 57 5 4 5 2 2" xfId="16551" xr:uid="{00000000-0005-0000-0000-000041360000}"/>
    <cellStyle name="Normal 57 5 4 5 2 3" xfId="12972" xr:uid="{00000000-0005-0000-0000-000042360000}"/>
    <cellStyle name="Normal 57 5 4 5 2 4" xfId="7683" xr:uid="{00000000-0005-0000-0000-000043360000}"/>
    <cellStyle name="Normal 57 5 4 5 3" xfId="4210" xr:uid="{00000000-0005-0000-0000-000044360000}"/>
    <cellStyle name="Normal 57 5 4 5 3 2" xfId="17915" xr:uid="{00000000-0005-0000-0000-000045360000}"/>
    <cellStyle name="Normal 57 5 4 5 3 3" xfId="14336" xr:uid="{00000000-0005-0000-0000-000046360000}"/>
    <cellStyle name="Normal 57 5 4 5 3 4" xfId="9079" xr:uid="{00000000-0005-0000-0000-000047360000}"/>
    <cellStyle name="Normal 57 5 4 5 4" xfId="5976" xr:uid="{00000000-0005-0000-0000-000048360000}"/>
    <cellStyle name="Normal 57 5 4 5 4 2" xfId="15062" xr:uid="{00000000-0005-0000-0000-000049360000}"/>
    <cellStyle name="Normal 57 5 4 5 5" xfId="10533" xr:uid="{00000000-0005-0000-0000-00004A360000}"/>
    <cellStyle name="Normal 57 5 4 5 5 2" xfId="19360" xr:uid="{00000000-0005-0000-0000-00004B360000}"/>
    <cellStyle name="Normal 57 5 4 5 6" xfId="11979" xr:uid="{00000000-0005-0000-0000-00004C360000}"/>
    <cellStyle name="Normal 57 5 4 5 7" xfId="5277" xr:uid="{00000000-0005-0000-0000-00004D360000}"/>
    <cellStyle name="Normal 57 5 4 6" xfId="1959" xr:uid="{00000000-0005-0000-0000-00004E360000}"/>
    <cellStyle name="Normal 57 5 4 6 2" xfId="15905" xr:uid="{00000000-0005-0000-0000-00004F360000}"/>
    <cellStyle name="Normal 57 5 4 6 3" xfId="12355" xr:uid="{00000000-0005-0000-0000-000050360000}"/>
    <cellStyle name="Normal 57 5 4 6 4" xfId="6862" xr:uid="{00000000-0005-0000-0000-000051360000}"/>
    <cellStyle name="Normal 57 5 4 7" xfId="3373" xr:uid="{00000000-0005-0000-0000-000052360000}"/>
    <cellStyle name="Normal 57 5 4 7 2" xfId="16872" xr:uid="{00000000-0005-0000-0000-000053360000}"/>
    <cellStyle name="Normal 57 5 4 7 3" xfId="13293" xr:uid="{00000000-0005-0000-0000-000054360000}"/>
    <cellStyle name="Normal 57 5 4 7 4" xfId="8036" xr:uid="{00000000-0005-0000-0000-000055360000}"/>
    <cellStyle name="Normal 57 5 4 8" xfId="5597" xr:uid="{00000000-0005-0000-0000-000056360000}"/>
    <cellStyle name="Normal 57 5 4 8 2" xfId="14683" xr:uid="{00000000-0005-0000-0000-000057360000}"/>
    <cellStyle name="Normal 57 5 4 9" xfId="9490" xr:uid="{00000000-0005-0000-0000-000058360000}"/>
    <cellStyle name="Normal 57 5 4 9 2" xfId="18317" xr:uid="{00000000-0005-0000-0000-000059360000}"/>
    <cellStyle name="Normal 57 5 4_Degree data" xfId="1718" xr:uid="{00000000-0005-0000-0000-00005A360000}"/>
    <cellStyle name="Normal 57 5 5" xfId="291" xr:uid="{00000000-0005-0000-0000-00005B360000}"/>
    <cellStyle name="Normal 57 5 5 2" xfId="746" xr:uid="{00000000-0005-0000-0000-00005C360000}"/>
    <cellStyle name="Normal 57 5 5 2 2" xfId="2475" xr:uid="{00000000-0005-0000-0000-00005D360000}"/>
    <cellStyle name="Normal 57 5 5 2 2 2" xfId="16363" xr:uid="{00000000-0005-0000-0000-00005E360000}"/>
    <cellStyle name="Normal 57 5 5 2 2 3" xfId="12785" xr:uid="{00000000-0005-0000-0000-00005F360000}"/>
    <cellStyle name="Normal 57 5 5 2 2 4" xfId="7495" xr:uid="{00000000-0005-0000-0000-000060360000}"/>
    <cellStyle name="Normal 57 5 5 2 3" xfId="3742" xr:uid="{00000000-0005-0000-0000-000061360000}"/>
    <cellStyle name="Normal 57 5 5 2 3 2" xfId="17388" xr:uid="{00000000-0005-0000-0000-000062360000}"/>
    <cellStyle name="Normal 57 5 5 2 3 3" xfId="13809" xr:uid="{00000000-0005-0000-0000-000063360000}"/>
    <cellStyle name="Normal 57 5 5 2 3 4" xfId="8552" xr:uid="{00000000-0005-0000-0000-000064360000}"/>
    <cellStyle name="Normal 57 5 5 2 4" xfId="6611" xr:uid="{00000000-0005-0000-0000-000065360000}"/>
    <cellStyle name="Normal 57 5 5 2 4 2" xfId="15695" xr:uid="{00000000-0005-0000-0000-000066360000}"/>
    <cellStyle name="Normal 57 5 5 2 5" xfId="10006" xr:uid="{00000000-0005-0000-0000-000067360000}"/>
    <cellStyle name="Normal 57 5 5 2 5 2" xfId="18833" xr:uid="{00000000-0005-0000-0000-000068360000}"/>
    <cellStyle name="Normal 57 5 5 2 6" xfId="11451" xr:uid="{00000000-0005-0000-0000-000069360000}"/>
    <cellStyle name="Normal 57 5 5 2 7" xfId="5089" xr:uid="{00000000-0005-0000-0000-00006A360000}"/>
    <cellStyle name="Normal 57 5 5 3" xfId="1103" xr:uid="{00000000-0005-0000-0000-00006B360000}"/>
    <cellStyle name="Normal 57 5 5 3 2" xfId="2823" xr:uid="{00000000-0005-0000-0000-00006C360000}"/>
    <cellStyle name="Normal 57 5 5 3 2 2" xfId="16651" xr:uid="{00000000-0005-0000-0000-00006D360000}"/>
    <cellStyle name="Normal 57 5 5 3 2 3" xfId="13072" xr:uid="{00000000-0005-0000-0000-00006E360000}"/>
    <cellStyle name="Normal 57 5 5 3 2 4" xfId="7783" xr:uid="{00000000-0005-0000-0000-00006F360000}"/>
    <cellStyle name="Normal 57 5 5 3 3" xfId="4091" xr:uid="{00000000-0005-0000-0000-000070360000}"/>
    <cellStyle name="Normal 57 5 5 3 3 2" xfId="17736" xr:uid="{00000000-0005-0000-0000-000071360000}"/>
    <cellStyle name="Normal 57 5 5 3 3 3" xfId="14157" xr:uid="{00000000-0005-0000-0000-000072360000}"/>
    <cellStyle name="Normal 57 5 5 3 3 4" xfId="8900" xr:uid="{00000000-0005-0000-0000-000073360000}"/>
    <cellStyle name="Normal 57 5 5 3 4" xfId="6190" xr:uid="{00000000-0005-0000-0000-000074360000}"/>
    <cellStyle name="Normal 57 5 5 3 4 2" xfId="15274" xr:uid="{00000000-0005-0000-0000-000075360000}"/>
    <cellStyle name="Normal 57 5 5 3 5" xfId="10354" xr:uid="{00000000-0005-0000-0000-000076360000}"/>
    <cellStyle name="Normal 57 5 5 3 5 2" xfId="19181" xr:uid="{00000000-0005-0000-0000-000077360000}"/>
    <cellStyle name="Normal 57 5 5 3 6" xfId="11800" xr:uid="{00000000-0005-0000-0000-000078360000}"/>
    <cellStyle name="Normal 57 5 5 3 7" xfId="5377" xr:uid="{00000000-0005-0000-0000-000079360000}"/>
    <cellStyle name="Normal 57 5 5 4" xfId="1503" xr:uid="{00000000-0005-0000-0000-00007A360000}"/>
    <cellStyle name="Normal 57 5 5 4 2" xfId="3102" xr:uid="{00000000-0005-0000-0000-00007B360000}"/>
    <cellStyle name="Normal 57 5 5 4 2 2" xfId="18015" xr:uid="{00000000-0005-0000-0000-00007C360000}"/>
    <cellStyle name="Normal 57 5 5 4 2 3" xfId="14436" xr:uid="{00000000-0005-0000-0000-00007D360000}"/>
    <cellStyle name="Normal 57 5 5 4 2 4" xfId="9179" xr:uid="{00000000-0005-0000-0000-00007E360000}"/>
    <cellStyle name="Normal 57 5 5 4 3" xfId="10633" xr:uid="{00000000-0005-0000-0000-00007F360000}"/>
    <cellStyle name="Normal 57 5 5 4 3 2" xfId="19460" xr:uid="{00000000-0005-0000-0000-000080360000}"/>
    <cellStyle name="Normal 57 5 5 4 4" xfId="12079" xr:uid="{00000000-0005-0000-0000-000081360000}"/>
    <cellStyle name="Normal 57 5 5 4 5" xfId="7074" xr:uid="{00000000-0005-0000-0000-000082360000}"/>
    <cellStyle name="Normal 57 5 5 5" xfId="2059" xr:uid="{00000000-0005-0000-0000-000083360000}"/>
    <cellStyle name="Normal 57 5 5 5 2" xfId="16972" xr:uid="{00000000-0005-0000-0000-000084360000}"/>
    <cellStyle name="Normal 57 5 5 5 3" xfId="13393" xr:uid="{00000000-0005-0000-0000-000085360000}"/>
    <cellStyle name="Normal 57 5 5 5 4" xfId="8136" xr:uid="{00000000-0005-0000-0000-000086360000}"/>
    <cellStyle name="Normal 57 5 5 6" xfId="5697" xr:uid="{00000000-0005-0000-0000-000087360000}"/>
    <cellStyle name="Normal 57 5 5 6 2" xfId="14783" xr:uid="{00000000-0005-0000-0000-000088360000}"/>
    <cellStyle name="Normal 57 5 5 7" xfId="9590" xr:uid="{00000000-0005-0000-0000-000089360000}"/>
    <cellStyle name="Normal 57 5 5 7 2" xfId="18417" xr:uid="{00000000-0005-0000-0000-00008A360000}"/>
    <cellStyle name="Normal 57 5 5 8" xfId="11034" xr:uid="{00000000-0005-0000-0000-00008B360000}"/>
    <cellStyle name="Normal 57 5 5 9" xfId="4668" xr:uid="{00000000-0005-0000-0000-00008C360000}"/>
    <cellStyle name="Normal 57 5 5_Degree data" xfId="1720" xr:uid="{00000000-0005-0000-0000-00008D360000}"/>
    <cellStyle name="Normal 57 5 6" xfId="485" xr:uid="{00000000-0005-0000-0000-00008E360000}"/>
    <cellStyle name="Normal 57 5 6 2" xfId="747" xr:uid="{00000000-0005-0000-0000-00008F360000}"/>
    <cellStyle name="Normal 57 5 6 2 2" xfId="2476" xr:uid="{00000000-0005-0000-0000-000090360000}"/>
    <cellStyle name="Normal 57 5 6 2 2 2" xfId="16364" xr:uid="{00000000-0005-0000-0000-000091360000}"/>
    <cellStyle name="Normal 57 5 6 2 2 3" xfId="12786" xr:uid="{00000000-0005-0000-0000-000092360000}"/>
    <cellStyle name="Normal 57 5 6 2 2 4" xfId="7496" xr:uid="{00000000-0005-0000-0000-000093360000}"/>
    <cellStyle name="Normal 57 5 6 2 3" xfId="3743" xr:uid="{00000000-0005-0000-0000-000094360000}"/>
    <cellStyle name="Normal 57 5 6 2 3 2" xfId="17389" xr:uid="{00000000-0005-0000-0000-000095360000}"/>
    <cellStyle name="Normal 57 5 6 2 3 3" xfId="13810" xr:uid="{00000000-0005-0000-0000-000096360000}"/>
    <cellStyle name="Normal 57 5 6 2 3 4" xfId="8553" xr:uid="{00000000-0005-0000-0000-000097360000}"/>
    <cellStyle name="Normal 57 5 6 2 4" xfId="6612" xr:uid="{00000000-0005-0000-0000-000098360000}"/>
    <cellStyle name="Normal 57 5 6 2 4 2" xfId="15696" xr:uid="{00000000-0005-0000-0000-000099360000}"/>
    <cellStyle name="Normal 57 5 6 2 5" xfId="10007" xr:uid="{00000000-0005-0000-0000-00009A360000}"/>
    <cellStyle name="Normal 57 5 6 2 5 2" xfId="18834" xr:uid="{00000000-0005-0000-0000-00009B360000}"/>
    <cellStyle name="Normal 57 5 6 2 6" xfId="11452" xr:uid="{00000000-0005-0000-0000-00009C360000}"/>
    <cellStyle name="Normal 57 5 6 2 7" xfId="5090" xr:uid="{00000000-0005-0000-0000-00009D360000}"/>
    <cellStyle name="Normal 57 5 6 3" xfId="1104" xr:uid="{00000000-0005-0000-0000-00009E360000}"/>
    <cellStyle name="Normal 57 5 6 3 2" xfId="2824" xr:uid="{00000000-0005-0000-0000-00009F360000}"/>
    <cellStyle name="Normal 57 5 6 3 2 2" xfId="16539" xr:uid="{00000000-0005-0000-0000-0000A0360000}"/>
    <cellStyle name="Normal 57 5 6 3 2 3" xfId="12960" xr:uid="{00000000-0005-0000-0000-0000A1360000}"/>
    <cellStyle name="Normal 57 5 6 3 2 4" xfId="7671" xr:uid="{00000000-0005-0000-0000-0000A2360000}"/>
    <cellStyle name="Normal 57 5 6 3 3" xfId="4092" xr:uid="{00000000-0005-0000-0000-0000A3360000}"/>
    <cellStyle name="Normal 57 5 6 3 3 2" xfId="17737" xr:uid="{00000000-0005-0000-0000-0000A4360000}"/>
    <cellStyle name="Normal 57 5 6 3 3 3" xfId="14158" xr:uid="{00000000-0005-0000-0000-0000A5360000}"/>
    <cellStyle name="Normal 57 5 6 3 3 4" xfId="8901" xr:uid="{00000000-0005-0000-0000-0000A6360000}"/>
    <cellStyle name="Normal 57 5 6 3 4" xfId="6742" xr:uid="{00000000-0005-0000-0000-0000A7360000}"/>
    <cellStyle name="Normal 57 5 6 3 4 2" xfId="15825" xr:uid="{00000000-0005-0000-0000-0000A8360000}"/>
    <cellStyle name="Normal 57 5 6 3 5" xfId="10355" xr:uid="{00000000-0005-0000-0000-0000A9360000}"/>
    <cellStyle name="Normal 57 5 6 3 5 2" xfId="19182" xr:uid="{00000000-0005-0000-0000-0000AA360000}"/>
    <cellStyle name="Normal 57 5 6 3 6" xfId="11801" xr:uid="{00000000-0005-0000-0000-0000AB360000}"/>
    <cellStyle name="Normal 57 5 6 3 7" xfId="5265" xr:uid="{00000000-0005-0000-0000-0000AC360000}"/>
    <cellStyle name="Normal 57 5 6 4" xfId="1381" xr:uid="{00000000-0005-0000-0000-0000AD360000}"/>
    <cellStyle name="Normal 57 5 6 4 2" xfId="2990" xr:uid="{00000000-0005-0000-0000-0000AE360000}"/>
    <cellStyle name="Normal 57 5 6 4 2 2" xfId="17903" xr:uid="{00000000-0005-0000-0000-0000AF360000}"/>
    <cellStyle name="Normal 57 5 6 4 2 3" xfId="14324" xr:uid="{00000000-0005-0000-0000-0000B0360000}"/>
    <cellStyle name="Normal 57 5 6 4 2 4" xfId="9067" xr:uid="{00000000-0005-0000-0000-0000B1360000}"/>
    <cellStyle name="Normal 57 5 6 4 3" xfId="10521" xr:uid="{00000000-0005-0000-0000-0000B2360000}"/>
    <cellStyle name="Normal 57 5 6 4 3 2" xfId="19348" xr:uid="{00000000-0005-0000-0000-0000B3360000}"/>
    <cellStyle name="Normal 57 5 6 4 4" xfId="11967" xr:uid="{00000000-0005-0000-0000-0000B4360000}"/>
    <cellStyle name="Normal 57 5 6 4 5" xfId="6962" xr:uid="{00000000-0005-0000-0000-0000B5360000}"/>
    <cellStyle name="Normal 57 5 6 5" xfId="1947" xr:uid="{00000000-0005-0000-0000-0000B6360000}"/>
    <cellStyle name="Normal 57 5 6 5 2" xfId="16858" xr:uid="{00000000-0005-0000-0000-0000B7360000}"/>
    <cellStyle name="Normal 57 5 6 5 3" xfId="13279" xr:uid="{00000000-0005-0000-0000-0000B8360000}"/>
    <cellStyle name="Normal 57 5 6 5 4" xfId="8022" xr:uid="{00000000-0005-0000-0000-0000B9360000}"/>
    <cellStyle name="Normal 57 5 6 6" xfId="6078" xr:uid="{00000000-0005-0000-0000-0000BA360000}"/>
    <cellStyle name="Normal 57 5 6 6 2" xfId="15162" xr:uid="{00000000-0005-0000-0000-0000BB360000}"/>
    <cellStyle name="Normal 57 5 6 7" xfId="9478" xr:uid="{00000000-0005-0000-0000-0000BC360000}"/>
    <cellStyle name="Normal 57 5 6 7 2" xfId="18305" xr:uid="{00000000-0005-0000-0000-0000BD360000}"/>
    <cellStyle name="Normal 57 5 6 8" xfId="10922" xr:uid="{00000000-0005-0000-0000-0000BE360000}"/>
    <cellStyle name="Normal 57 5 6 9" xfId="4556" xr:uid="{00000000-0005-0000-0000-0000BF360000}"/>
    <cellStyle name="Normal 57 5 6_Degree data" xfId="1721" xr:uid="{00000000-0005-0000-0000-0000C0360000}"/>
    <cellStyle name="Normal 57 5 7" xfId="738" xr:uid="{00000000-0005-0000-0000-0000C1360000}"/>
    <cellStyle name="Normal 57 5 7 2" xfId="2467" xr:uid="{00000000-0005-0000-0000-0000C2360000}"/>
    <cellStyle name="Normal 57 5 7 2 2" xfId="16355" xr:uid="{00000000-0005-0000-0000-0000C3360000}"/>
    <cellStyle name="Normal 57 5 7 2 3" xfId="12777" xr:uid="{00000000-0005-0000-0000-0000C4360000}"/>
    <cellStyle name="Normal 57 5 7 2 4" xfId="7487" xr:uid="{00000000-0005-0000-0000-0000C5360000}"/>
    <cellStyle name="Normal 57 5 7 3" xfId="3734" xr:uid="{00000000-0005-0000-0000-0000C6360000}"/>
    <cellStyle name="Normal 57 5 7 3 2" xfId="17380" xr:uid="{00000000-0005-0000-0000-0000C7360000}"/>
    <cellStyle name="Normal 57 5 7 3 3" xfId="13801" xr:uid="{00000000-0005-0000-0000-0000C8360000}"/>
    <cellStyle name="Normal 57 5 7 3 4" xfId="8544" xr:uid="{00000000-0005-0000-0000-0000C9360000}"/>
    <cellStyle name="Normal 57 5 7 4" xfId="6603" xr:uid="{00000000-0005-0000-0000-0000CA360000}"/>
    <cellStyle name="Normal 57 5 7 4 2" xfId="15687" xr:uid="{00000000-0005-0000-0000-0000CB360000}"/>
    <cellStyle name="Normal 57 5 7 5" xfId="9998" xr:uid="{00000000-0005-0000-0000-0000CC360000}"/>
    <cellStyle name="Normal 57 5 7 5 2" xfId="18825" xr:uid="{00000000-0005-0000-0000-0000CD360000}"/>
    <cellStyle name="Normal 57 5 7 6" xfId="11443" xr:uid="{00000000-0005-0000-0000-0000CE360000}"/>
    <cellStyle name="Normal 57 5 7 7" xfId="5081" xr:uid="{00000000-0005-0000-0000-0000CF360000}"/>
    <cellStyle name="Normal 57 5 8" xfId="1095" xr:uid="{00000000-0005-0000-0000-0000D0360000}"/>
    <cellStyle name="Normal 57 5 8 2" xfId="2815" xr:uid="{00000000-0005-0000-0000-0000D1360000}"/>
    <cellStyle name="Normal 57 5 8 2 2" xfId="16494" xr:uid="{00000000-0005-0000-0000-0000D2360000}"/>
    <cellStyle name="Normal 57 5 8 2 3" xfId="12916" xr:uid="{00000000-0005-0000-0000-0000D3360000}"/>
    <cellStyle name="Normal 57 5 8 2 4" xfId="7626" xr:uid="{00000000-0005-0000-0000-0000D4360000}"/>
    <cellStyle name="Normal 57 5 8 3" xfId="4083" xr:uid="{00000000-0005-0000-0000-0000D5360000}"/>
    <cellStyle name="Normal 57 5 8 3 2" xfId="17728" xr:uid="{00000000-0005-0000-0000-0000D6360000}"/>
    <cellStyle name="Normal 57 5 8 3 3" xfId="14149" xr:uid="{00000000-0005-0000-0000-0000D7360000}"/>
    <cellStyle name="Normal 57 5 8 3 4" xfId="8892" xr:uid="{00000000-0005-0000-0000-0000D8360000}"/>
    <cellStyle name="Normal 57 5 8 4" xfId="5870" xr:uid="{00000000-0005-0000-0000-0000D9360000}"/>
    <cellStyle name="Normal 57 5 8 4 2" xfId="14956" xr:uid="{00000000-0005-0000-0000-0000DA360000}"/>
    <cellStyle name="Normal 57 5 8 5" xfId="10346" xr:uid="{00000000-0005-0000-0000-0000DB360000}"/>
    <cellStyle name="Normal 57 5 8 5 2" xfId="19173" xr:uid="{00000000-0005-0000-0000-0000DC360000}"/>
    <cellStyle name="Normal 57 5 8 6" xfId="11792" xr:uid="{00000000-0005-0000-0000-0000DD360000}"/>
    <cellStyle name="Normal 57 5 8 7" xfId="5220" xr:uid="{00000000-0005-0000-0000-0000DE360000}"/>
    <cellStyle name="Normal 57 5 9" xfId="1332" xr:uid="{00000000-0005-0000-0000-0000DF360000}"/>
    <cellStyle name="Normal 57 5 9 2" xfId="2945" xr:uid="{00000000-0005-0000-0000-0000E0360000}"/>
    <cellStyle name="Normal 57 5 9 2 2" xfId="17858" xr:uid="{00000000-0005-0000-0000-0000E1360000}"/>
    <cellStyle name="Normal 57 5 9 2 3" xfId="14279" xr:uid="{00000000-0005-0000-0000-0000E2360000}"/>
    <cellStyle name="Normal 57 5 9 2 4" xfId="9022" xr:uid="{00000000-0005-0000-0000-0000E3360000}"/>
    <cellStyle name="Normal 57 5 9 3" xfId="10476" xr:uid="{00000000-0005-0000-0000-0000E4360000}"/>
    <cellStyle name="Normal 57 5 9 3 2" xfId="19303" xr:uid="{00000000-0005-0000-0000-0000E5360000}"/>
    <cellStyle name="Normal 57 5 9 4" xfId="11922" xr:uid="{00000000-0005-0000-0000-0000E6360000}"/>
    <cellStyle name="Normal 57 5 9 5" xfId="6756" xr:uid="{00000000-0005-0000-0000-0000E7360000}"/>
    <cellStyle name="Normal 57 5_Degree data" xfId="1712" xr:uid="{00000000-0005-0000-0000-0000E8360000}"/>
    <cellStyle name="Normal 57 6" xfId="135" xr:uid="{00000000-0005-0000-0000-0000E9360000}"/>
    <cellStyle name="Normal 57 6 10" xfId="5559" xr:uid="{00000000-0005-0000-0000-0000EA360000}"/>
    <cellStyle name="Normal 57 6 10 2" xfId="14645" xr:uid="{00000000-0005-0000-0000-0000EB360000}"/>
    <cellStyle name="Normal 57 6 11" xfId="9379" xr:uid="{00000000-0005-0000-0000-0000EC360000}"/>
    <cellStyle name="Normal 57 6 11 2" xfId="18206" xr:uid="{00000000-0005-0000-0000-0000ED360000}"/>
    <cellStyle name="Normal 57 6 12" xfId="10819" xr:uid="{00000000-0005-0000-0000-0000EE360000}"/>
    <cellStyle name="Normal 57 6 13" xfId="4369" xr:uid="{00000000-0005-0000-0000-0000EF360000}"/>
    <cellStyle name="Normal 57 6 2" xfId="247" xr:uid="{00000000-0005-0000-0000-0000F0360000}"/>
    <cellStyle name="Normal 57 6 2 10" xfId="10998" xr:uid="{00000000-0005-0000-0000-0000F1360000}"/>
    <cellStyle name="Normal 57 6 2 11" xfId="4415" xr:uid="{00000000-0005-0000-0000-0000F2360000}"/>
    <cellStyle name="Normal 57 6 2 2" xfId="355" xr:uid="{00000000-0005-0000-0000-0000F3360000}"/>
    <cellStyle name="Normal 57 6 2 2 2" xfId="750" xr:uid="{00000000-0005-0000-0000-0000F4360000}"/>
    <cellStyle name="Normal 57 6 2 2 2 2" xfId="2479" xr:uid="{00000000-0005-0000-0000-0000F5360000}"/>
    <cellStyle name="Normal 57 6 2 2 2 2 2" xfId="16367" xr:uid="{00000000-0005-0000-0000-0000F6360000}"/>
    <cellStyle name="Normal 57 6 2 2 2 2 3" xfId="12789" xr:uid="{00000000-0005-0000-0000-0000F7360000}"/>
    <cellStyle name="Normal 57 6 2 2 2 2 4" xfId="7499" xr:uid="{00000000-0005-0000-0000-0000F8360000}"/>
    <cellStyle name="Normal 57 6 2 2 2 3" xfId="3746" xr:uid="{00000000-0005-0000-0000-0000F9360000}"/>
    <cellStyle name="Normal 57 6 2 2 2 3 2" xfId="17392" xr:uid="{00000000-0005-0000-0000-0000FA360000}"/>
    <cellStyle name="Normal 57 6 2 2 2 3 3" xfId="13813" xr:uid="{00000000-0005-0000-0000-0000FB360000}"/>
    <cellStyle name="Normal 57 6 2 2 2 3 4" xfId="8556" xr:uid="{00000000-0005-0000-0000-0000FC360000}"/>
    <cellStyle name="Normal 57 6 2 2 2 4" xfId="6615" xr:uid="{00000000-0005-0000-0000-0000FD360000}"/>
    <cellStyle name="Normal 57 6 2 2 2 4 2" xfId="15699" xr:uid="{00000000-0005-0000-0000-0000FE360000}"/>
    <cellStyle name="Normal 57 6 2 2 2 5" xfId="10010" xr:uid="{00000000-0005-0000-0000-0000FF360000}"/>
    <cellStyle name="Normal 57 6 2 2 2 5 2" xfId="18837" xr:uid="{00000000-0005-0000-0000-000000370000}"/>
    <cellStyle name="Normal 57 6 2 2 2 6" xfId="11455" xr:uid="{00000000-0005-0000-0000-000001370000}"/>
    <cellStyle name="Normal 57 6 2 2 2 7" xfId="5093" xr:uid="{00000000-0005-0000-0000-000002370000}"/>
    <cellStyle name="Normal 57 6 2 2 3" xfId="1107" xr:uid="{00000000-0005-0000-0000-000003370000}"/>
    <cellStyle name="Normal 57 6 2 2 3 2" xfId="2827" xr:uid="{00000000-0005-0000-0000-000004370000}"/>
    <cellStyle name="Normal 57 6 2 2 3 2 2" xfId="16715" xr:uid="{00000000-0005-0000-0000-000005370000}"/>
    <cellStyle name="Normal 57 6 2 2 3 2 3" xfId="13136" xr:uid="{00000000-0005-0000-0000-000006370000}"/>
    <cellStyle name="Normal 57 6 2 2 3 2 4" xfId="7847" xr:uid="{00000000-0005-0000-0000-000007370000}"/>
    <cellStyle name="Normal 57 6 2 2 3 3" xfId="4095" xr:uid="{00000000-0005-0000-0000-000008370000}"/>
    <cellStyle name="Normal 57 6 2 2 3 3 2" xfId="17740" xr:uid="{00000000-0005-0000-0000-000009370000}"/>
    <cellStyle name="Normal 57 6 2 2 3 3 3" xfId="14161" xr:uid="{00000000-0005-0000-0000-00000A370000}"/>
    <cellStyle name="Normal 57 6 2 2 3 3 4" xfId="8904" xr:uid="{00000000-0005-0000-0000-00000B370000}"/>
    <cellStyle name="Normal 57 6 2 2 3 4" xfId="6254" xr:uid="{00000000-0005-0000-0000-00000C370000}"/>
    <cellStyle name="Normal 57 6 2 2 3 4 2" xfId="15338" xr:uid="{00000000-0005-0000-0000-00000D370000}"/>
    <cellStyle name="Normal 57 6 2 2 3 5" xfId="10358" xr:uid="{00000000-0005-0000-0000-00000E370000}"/>
    <cellStyle name="Normal 57 6 2 2 3 5 2" xfId="19185" xr:uid="{00000000-0005-0000-0000-00000F370000}"/>
    <cellStyle name="Normal 57 6 2 2 3 6" xfId="11804" xr:uid="{00000000-0005-0000-0000-000010370000}"/>
    <cellStyle name="Normal 57 6 2 2 3 7" xfId="5441" xr:uid="{00000000-0005-0000-0000-000011370000}"/>
    <cellStyle name="Normal 57 6 2 2 4" xfId="1568" xr:uid="{00000000-0005-0000-0000-000012370000}"/>
    <cellStyle name="Normal 57 6 2 2 4 2" xfId="3166" xr:uid="{00000000-0005-0000-0000-000013370000}"/>
    <cellStyle name="Normal 57 6 2 2 4 2 2" xfId="18079" xr:uid="{00000000-0005-0000-0000-000014370000}"/>
    <cellStyle name="Normal 57 6 2 2 4 2 3" xfId="14500" xr:uid="{00000000-0005-0000-0000-000015370000}"/>
    <cellStyle name="Normal 57 6 2 2 4 2 4" xfId="9243" xr:uid="{00000000-0005-0000-0000-000016370000}"/>
    <cellStyle name="Normal 57 6 2 2 4 3" xfId="10697" xr:uid="{00000000-0005-0000-0000-000017370000}"/>
    <cellStyle name="Normal 57 6 2 2 4 3 2" xfId="19524" xr:uid="{00000000-0005-0000-0000-000018370000}"/>
    <cellStyle name="Normal 57 6 2 2 4 4" xfId="12143" xr:uid="{00000000-0005-0000-0000-000019370000}"/>
    <cellStyle name="Normal 57 6 2 2 4 5" xfId="7138" xr:uid="{00000000-0005-0000-0000-00001A370000}"/>
    <cellStyle name="Normal 57 6 2 2 5" xfId="2123" xr:uid="{00000000-0005-0000-0000-00001B370000}"/>
    <cellStyle name="Normal 57 6 2 2 5 2" xfId="17036" xr:uid="{00000000-0005-0000-0000-00001C370000}"/>
    <cellStyle name="Normal 57 6 2 2 5 3" xfId="13457" xr:uid="{00000000-0005-0000-0000-00001D370000}"/>
    <cellStyle name="Normal 57 6 2 2 5 4" xfId="8200" xr:uid="{00000000-0005-0000-0000-00001E370000}"/>
    <cellStyle name="Normal 57 6 2 2 6" xfId="5761" xr:uid="{00000000-0005-0000-0000-00001F370000}"/>
    <cellStyle name="Normal 57 6 2 2 6 2" xfId="14847" xr:uid="{00000000-0005-0000-0000-000020370000}"/>
    <cellStyle name="Normal 57 6 2 2 7" xfId="9654" xr:uid="{00000000-0005-0000-0000-000021370000}"/>
    <cellStyle name="Normal 57 6 2 2 7 2" xfId="18481" xr:uid="{00000000-0005-0000-0000-000022370000}"/>
    <cellStyle name="Normal 57 6 2 2 8" xfId="11098" xr:uid="{00000000-0005-0000-0000-000023370000}"/>
    <cellStyle name="Normal 57 6 2 2 9" xfId="4732" xr:uid="{00000000-0005-0000-0000-000024370000}"/>
    <cellStyle name="Normal 57 6 2 2_Degree data" xfId="1724" xr:uid="{00000000-0005-0000-0000-000025370000}"/>
    <cellStyle name="Normal 57 6 2 3" xfId="749" xr:uid="{00000000-0005-0000-0000-000026370000}"/>
    <cellStyle name="Normal 57 6 2 3 2" xfId="2478" xr:uid="{00000000-0005-0000-0000-000027370000}"/>
    <cellStyle name="Normal 57 6 2 3 2 2" xfId="16052" xr:uid="{00000000-0005-0000-0000-000028370000}"/>
    <cellStyle name="Normal 57 6 2 3 2 3" xfId="12381" xr:uid="{00000000-0005-0000-0000-000029370000}"/>
    <cellStyle name="Normal 57 6 2 3 2 4" xfId="7038" xr:uid="{00000000-0005-0000-0000-00002A370000}"/>
    <cellStyle name="Normal 57 6 2 3 3" xfId="3745" xr:uid="{00000000-0005-0000-0000-00002B370000}"/>
    <cellStyle name="Normal 57 6 2 3 3 2" xfId="17391" xr:uid="{00000000-0005-0000-0000-00002C370000}"/>
    <cellStyle name="Normal 57 6 2 3 3 3" xfId="13812" xr:uid="{00000000-0005-0000-0000-00002D370000}"/>
    <cellStyle name="Normal 57 6 2 3 3 4" xfId="8555" xr:uid="{00000000-0005-0000-0000-00002E370000}"/>
    <cellStyle name="Normal 57 6 2 3 4" xfId="6154" xr:uid="{00000000-0005-0000-0000-00002F370000}"/>
    <cellStyle name="Normal 57 6 2 3 4 2" xfId="15238" xr:uid="{00000000-0005-0000-0000-000030370000}"/>
    <cellStyle name="Normal 57 6 2 3 5" xfId="10009" xr:uid="{00000000-0005-0000-0000-000031370000}"/>
    <cellStyle name="Normal 57 6 2 3 5 2" xfId="18836" xr:uid="{00000000-0005-0000-0000-000032370000}"/>
    <cellStyle name="Normal 57 6 2 3 6" xfId="11454" xr:uid="{00000000-0005-0000-0000-000033370000}"/>
    <cellStyle name="Normal 57 6 2 3 7" xfId="4632" xr:uid="{00000000-0005-0000-0000-000034370000}"/>
    <cellStyle name="Normal 57 6 2 4" xfId="1106" xr:uid="{00000000-0005-0000-0000-000035370000}"/>
    <cellStyle name="Normal 57 6 2 4 2" xfId="2826" xr:uid="{00000000-0005-0000-0000-000036370000}"/>
    <cellStyle name="Normal 57 6 2 4 2 2" xfId="16366" xr:uid="{00000000-0005-0000-0000-000037370000}"/>
    <cellStyle name="Normal 57 6 2 4 2 3" xfId="12788" xr:uid="{00000000-0005-0000-0000-000038370000}"/>
    <cellStyle name="Normal 57 6 2 4 2 4" xfId="7498" xr:uid="{00000000-0005-0000-0000-000039370000}"/>
    <cellStyle name="Normal 57 6 2 4 3" xfId="4094" xr:uid="{00000000-0005-0000-0000-00003A370000}"/>
    <cellStyle name="Normal 57 6 2 4 3 2" xfId="17739" xr:uid="{00000000-0005-0000-0000-00003B370000}"/>
    <cellStyle name="Normal 57 6 2 4 3 3" xfId="14160" xr:uid="{00000000-0005-0000-0000-00003C370000}"/>
    <cellStyle name="Normal 57 6 2 4 3 4" xfId="8903" xr:uid="{00000000-0005-0000-0000-00003D370000}"/>
    <cellStyle name="Normal 57 6 2 4 4" xfId="6614" xr:uid="{00000000-0005-0000-0000-00003E370000}"/>
    <cellStyle name="Normal 57 6 2 4 4 2" xfId="15698" xr:uid="{00000000-0005-0000-0000-00003F370000}"/>
    <cellStyle name="Normal 57 6 2 4 5" xfId="10357" xr:uid="{00000000-0005-0000-0000-000040370000}"/>
    <cellStyle name="Normal 57 6 2 4 5 2" xfId="19184" xr:uid="{00000000-0005-0000-0000-000041370000}"/>
    <cellStyle name="Normal 57 6 2 4 6" xfId="11803" xr:uid="{00000000-0005-0000-0000-000042370000}"/>
    <cellStyle name="Normal 57 6 2 4 7" xfId="5092" xr:uid="{00000000-0005-0000-0000-000043370000}"/>
    <cellStyle name="Normal 57 6 2 5" xfId="1466" xr:uid="{00000000-0005-0000-0000-000044370000}"/>
    <cellStyle name="Normal 57 6 2 5 2" xfId="3066" xr:uid="{00000000-0005-0000-0000-000045370000}"/>
    <cellStyle name="Normal 57 6 2 5 2 2" xfId="16615" xr:uid="{00000000-0005-0000-0000-000046370000}"/>
    <cellStyle name="Normal 57 6 2 5 2 3" xfId="13036" xr:uid="{00000000-0005-0000-0000-000047370000}"/>
    <cellStyle name="Normal 57 6 2 5 2 4" xfId="7747" xr:uid="{00000000-0005-0000-0000-000048370000}"/>
    <cellStyle name="Normal 57 6 2 5 3" xfId="4274" xr:uid="{00000000-0005-0000-0000-000049370000}"/>
    <cellStyle name="Normal 57 6 2 5 3 2" xfId="17979" xr:uid="{00000000-0005-0000-0000-00004A370000}"/>
    <cellStyle name="Normal 57 6 2 5 3 3" xfId="14400" xr:uid="{00000000-0005-0000-0000-00004B370000}"/>
    <cellStyle name="Normal 57 6 2 5 3 4" xfId="9143" xr:uid="{00000000-0005-0000-0000-00004C370000}"/>
    <cellStyle name="Normal 57 6 2 5 4" xfId="5935" xr:uid="{00000000-0005-0000-0000-00004D370000}"/>
    <cellStyle name="Normal 57 6 2 5 4 2" xfId="15021" xr:uid="{00000000-0005-0000-0000-00004E370000}"/>
    <cellStyle name="Normal 57 6 2 5 5" xfId="10597" xr:uid="{00000000-0005-0000-0000-00004F370000}"/>
    <cellStyle name="Normal 57 6 2 5 5 2" xfId="19424" xr:uid="{00000000-0005-0000-0000-000050370000}"/>
    <cellStyle name="Normal 57 6 2 5 6" xfId="12043" xr:uid="{00000000-0005-0000-0000-000051370000}"/>
    <cellStyle name="Normal 57 6 2 5 7" xfId="5341" xr:uid="{00000000-0005-0000-0000-000052370000}"/>
    <cellStyle name="Normal 57 6 2 6" xfId="2023" xr:uid="{00000000-0005-0000-0000-000053370000}"/>
    <cellStyle name="Normal 57 6 2 6 2" xfId="15864" xr:uid="{00000000-0005-0000-0000-000054370000}"/>
    <cellStyle name="Normal 57 6 2 6 3" xfId="12425" xr:uid="{00000000-0005-0000-0000-000055370000}"/>
    <cellStyle name="Normal 57 6 2 6 4" xfId="6821" xr:uid="{00000000-0005-0000-0000-000056370000}"/>
    <cellStyle name="Normal 57 6 2 7" xfId="3436" xr:uid="{00000000-0005-0000-0000-000057370000}"/>
    <cellStyle name="Normal 57 6 2 7 2" xfId="16936" xr:uid="{00000000-0005-0000-0000-000058370000}"/>
    <cellStyle name="Normal 57 6 2 7 3" xfId="13357" xr:uid="{00000000-0005-0000-0000-000059370000}"/>
    <cellStyle name="Normal 57 6 2 7 4" xfId="8100" xr:uid="{00000000-0005-0000-0000-00005A370000}"/>
    <cellStyle name="Normal 57 6 2 8" xfId="5661" xr:uid="{00000000-0005-0000-0000-00005B370000}"/>
    <cellStyle name="Normal 57 6 2 8 2" xfId="14747" xr:uid="{00000000-0005-0000-0000-00005C370000}"/>
    <cellStyle name="Normal 57 6 2 9" xfId="9554" xr:uid="{00000000-0005-0000-0000-00005D370000}"/>
    <cellStyle name="Normal 57 6 2 9 2" xfId="18381" xr:uid="{00000000-0005-0000-0000-00005E370000}"/>
    <cellStyle name="Normal 57 6 2_Degree data" xfId="1723" xr:uid="{00000000-0005-0000-0000-00005F370000}"/>
    <cellStyle name="Normal 57 6 3" xfId="198" xr:uid="{00000000-0005-0000-0000-000060370000}"/>
    <cellStyle name="Normal 57 6 3 10" xfId="10952" xr:uid="{00000000-0005-0000-0000-000061370000}"/>
    <cellStyle name="Normal 57 6 3 11" xfId="4474" xr:uid="{00000000-0005-0000-0000-000062370000}"/>
    <cellStyle name="Normal 57 6 3 2" xfId="415" xr:uid="{00000000-0005-0000-0000-000063370000}"/>
    <cellStyle name="Normal 57 6 3 2 2" xfId="752" xr:uid="{00000000-0005-0000-0000-000064370000}"/>
    <cellStyle name="Normal 57 6 3 2 2 2" xfId="2481" xr:uid="{00000000-0005-0000-0000-000065370000}"/>
    <cellStyle name="Normal 57 6 3 2 2 2 2" xfId="16369" xr:uid="{00000000-0005-0000-0000-000066370000}"/>
    <cellStyle name="Normal 57 6 3 2 2 2 3" xfId="12791" xr:uid="{00000000-0005-0000-0000-000067370000}"/>
    <cellStyle name="Normal 57 6 3 2 2 2 4" xfId="7501" xr:uid="{00000000-0005-0000-0000-000068370000}"/>
    <cellStyle name="Normal 57 6 3 2 2 3" xfId="3748" xr:uid="{00000000-0005-0000-0000-000069370000}"/>
    <cellStyle name="Normal 57 6 3 2 2 3 2" xfId="17394" xr:uid="{00000000-0005-0000-0000-00006A370000}"/>
    <cellStyle name="Normal 57 6 3 2 2 3 3" xfId="13815" xr:uid="{00000000-0005-0000-0000-00006B370000}"/>
    <cellStyle name="Normal 57 6 3 2 2 3 4" xfId="8558" xr:uid="{00000000-0005-0000-0000-00006C370000}"/>
    <cellStyle name="Normal 57 6 3 2 2 4" xfId="6617" xr:uid="{00000000-0005-0000-0000-00006D370000}"/>
    <cellStyle name="Normal 57 6 3 2 2 4 2" xfId="15701" xr:uid="{00000000-0005-0000-0000-00006E370000}"/>
    <cellStyle name="Normal 57 6 3 2 2 5" xfId="10012" xr:uid="{00000000-0005-0000-0000-00006F370000}"/>
    <cellStyle name="Normal 57 6 3 2 2 5 2" xfId="18839" xr:uid="{00000000-0005-0000-0000-000070370000}"/>
    <cellStyle name="Normal 57 6 3 2 2 6" xfId="11457" xr:uid="{00000000-0005-0000-0000-000071370000}"/>
    <cellStyle name="Normal 57 6 3 2 2 7" xfId="5095" xr:uid="{00000000-0005-0000-0000-000072370000}"/>
    <cellStyle name="Normal 57 6 3 2 3" xfId="1109" xr:uid="{00000000-0005-0000-0000-000073370000}"/>
    <cellStyle name="Normal 57 6 3 2 3 2" xfId="2829" xr:uid="{00000000-0005-0000-0000-000074370000}"/>
    <cellStyle name="Normal 57 6 3 2 3 2 2" xfId="16774" xr:uid="{00000000-0005-0000-0000-000075370000}"/>
    <cellStyle name="Normal 57 6 3 2 3 2 3" xfId="13195" xr:uid="{00000000-0005-0000-0000-000076370000}"/>
    <cellStyle name="Normal 57 6 3 2 3 2 4" xfId="7906" xr:uid="{00000000-0005-0000-0000-000077370000}"/>
    <cellStyle name="Normal 57 6 3 2 3 3" xfId="4097" xr:uid="{00000000-0005-0000-0000-000078370000}"/>
    <cellStyle name="Normal 57 6 3 2 3 3 2" xfId="17742" xr:uid="{00000000-0005-0000-0000-000079370000}"/>
    <cellStyle name="Normal 57 6 3 2 3 3 3" xfId="14163" xr:uid="{00000000-0005-0000-0000-00007A370000}"/>
    <cellStyle name="Normal 57 6 3 2 3 3 4" xfId="8906" xr:uid="{00000000-0005-0000-0000-00007B370000}"/>
    <cellStyle name="Normal 57 6 3 2 3 4" xfId="6313" xr:uid="{00000000-0005-0000-0000-00007C370000}"/>
    <cellStyle name="Normal 57 6 3 2 3 4 2" xfId="15397" xr:uid="{00000000-0005-0000-0000-00007D370000}"/>
    <cellStyle name="Normal 57 6 3 2 3 5" xfId="10360" xr:uid="{00000000-0005-0000-0000-00007E370000}"/>
    <cellStyle name="Normal 57 6 3 2 3 5 2" xfId="19187" xr:uid="{00000000-0005-0000-0000-00007F370000}"/>
    <cellStyle name="Normal 57 6 3 2 3 6" xfId="11806" xr:uid="{00000000-0005-0000-0000-000080370000}"/>
    <cellStyle name="Normal 57 6 3 2 3 7" xfId="5500" xr:uid="{00000000-0005-0000-0000-000081370000}"/>
    <cellStyle name="Normal 57 6 3 2 4" xfId="1629" xr:uid="{00000000-0005-0000-0000-000082370000}"/>
    <cellStyle name="Normal 57 6 3 2 4 2" xfId="3225" xr:uid="{00000000-0005-0000-0000-000083370000}"/>
    <cellStyle name="Normal 57 6 3 2 4 2 2" xfId="18138" xr:uid="{00000000-0005-0000-0000-000084370000}"/>
    <cellStyle name="Normal 57 6 3 2 4 2 3" xfId="14559" xr:uid="{00000000-0005-0000-0000-000085370000}"/>
    <cellStyle name="Normal 57 6 3 2 4 2 4" xfId="9302" xr:uid="{00000000-0005-0000-0000-000086370000}"/>
    <cellStyle name="Normal 57 6 3 2 4 3" xfId="10756" xr:uid="{00000000-0005-0000-0000-000087370000}"/>
    <cellStyle name="Normal 57 6 3 2 4 3 2" xfId="19583" xr:uid="{00000000-0005-0000-0000-000088370000}"/>
    <cellStyle name="Normal 57 6 3 2 4 4" xfId="12202" xr:uid="{00000000-0005-0000-0000-000089370000}"/>
    <cellStyle name="Normal 57 6 3 2 4 5" xfId="7197" xr:uid="{00000000-0005-0000-0000-00008A370000}"/>
    <cellStyle name="Normal 57 6 3 2 5" xfId="2182" xr:uid="{00000000-0005-0000-0000-00008B370000}"/>
    <cellStyle name="Normal 57 6 3 2 5 2" xfId="17095" xr:uid="{00000000-0005-0000-0000-00008C370000}"/>
    <cellStyle name="Normal 57 6 3 2 5 3" xfId="13516" xr:uid="{00000000-0005-0000-0000-00008D370000}"/>
    <cellStyle name="Normal 57 6 3 2 5 4" xfId="8259" xr:uid="{00000000-0005-0000-0000-00008E370000}"/>
    <cellStyle name="Normal 57 6 3 2 6" xfId="5820" xr:uid="{00000000-0005-0000-0000-00008F370000}"/>
    <cellStyle name="Normal 57 6 3 2 6 2" xfId="14906" xr:uid="{00000000-0005-0000-0000-000090370000}"/>
    <cellStyle name="Normal 57 6 3 2 7" xfId="9713" xr:uid="{00000000-0005-0000-0000-000091370000}"/>
    <cellStyle name="Normal 57 6 3 2 7 2" xfId="18540" xr:uid="{00000000-0005-0000-0000-000092370000}"/>
    <cellStyle name="Normal 57 6 3 2 8" xfId="11157" xr:uid="{00000000-0005-0000-0000-000093370000}"/>
    <cellStyle name="Normal 57 6 3 2 9" xfId="4791" xr:uid="{00000000-0005-0000-0000-000094370000}"/>
    <cellStyle name="Normal 57 6 3 2_Degree data" xfId="1726" xr:uid="{00000000-0005-0000-0000-000095370000}"/>
    <cellStyle name="Normal 57 6 3 3" xfId="751" xr:uid="{00000000-0005-0000-0000-000096370000}"/>
    <cellStyle name="Normal 57 6 3 3 2" xfId="2480" xr:uid="{00000000-0005-0000-0000-000097370000}"/>
    <cellStyle name="Normal 57 6 3 3 2 2" xfId="16006" xr:uid="{00000000-0005-0000-0000-000098370000}"/>
    <cellStyle name="Normal 57 6 3 3 2 3" xfId="12393" xr:uid="{00000000-0005-0000-0000-000099370000}"/>
    <cellStyle name="Normal 57 6 3 3 2 4" xfId="6992" xr:uid="{00000000-0005-0000-0000-00009A370000}"/>
    <cellStyle name="Normal 57 6 3 3 3" xfId="3747" xr:uid="{00000000-0005-0000-0000-00009B370000}"/>
    <cellStyle name="Normal 57 6 3 3 3 2" xfId="17393" xr:uid="{00000000-0005-0000-0000-00009C370000}"/>
    <cellStyle name="Normal 57 6 3 3 3 3" xfId="13814" xr:uid="{00000000-0005-0000-0000-00009D370000}"/>
    <cellStyle name="Normal 57 6 3 3 3 4" xfId="8557" xr:uid="{00000000-0005-0000-0000-00009E370000}"/>
    <cellStyle name="Normal 57 6 3 3 4" xfId="6108" xr:uid="{00000000-0005-0000-0000-00009F370000}"/>
    <cellStyle name="Normal 57 6 3 3 4 2" xfId="15192" xr:uid="{00000000-0005-0000-0000-0000A0370000}"/>
    <cellStyle name="Normal 57 6 3 3 5" xfId="10011" xr:uid="{00000000-0005-0000-0000-0000A1370000}"/>
    <cellStyle name="Normal 57 6 3 3 5 2" xfId="18838" xr:uid="{00000000-0005-0000-0000-0000A2370000}"/>
    <cellStyle name="Normal 57 6 3 3 6" xfId="11456" xr:uid="{00000000-0005-0000-0000-0000A3370000}"/>
    <cellStyle name="Normal 57 6 3 3 7" xfId="4586" xr:uid="{00000000-0005-0000-0000-0000A4370000}"/>
    <cellStyle name="Normal 57 6 3 4" xfId="1108" xr:uid="{00000000-0005-0000-0000-0000A5370000}"/>
    <cellStyle name="Normal 57 6 3 4 2" xfId="2828" xr:uid="{00000000-0005-0000-0000-0000A6370000}"/>
    <cellStyle name="Normal 57 6 3 4 2 2" xfId="16368" xr:uid="{00000000-0005-0000-0000-0000A7370000}"/>
    <cellStyle name="Normal 57 6 3 4 2 3" xfId="12790" xr:uid="{00000000-0005-0000-0000-0000A8370000}"/>
    <cellStyle name="Normal 57 6 3 4 2 4" xfId="7500" xr:uid="{00000000-0005-0000-0000-0000A9370000}"/>
    <cellStyle name="Normal 57 6 3 4 3" xfId="4096" xr:uid="{00000000-0005-0000-0000-0000AA370000}"/>
    <cellStyle name="Normal 57 6 3 4 3 2" xfId="17741" xr:uid="{00000000-0005-0000-0000-0000AB370000}"/>
    <cellStyle name="Normal 57 6 3 4 3 3" xfId="14162" xr:uid="{00000000-0005-0000-0000-0000AC370000}"/>
    <cellStyle name="Normal 57 6 3 4 3 4" xfId="8905" xr:uid="{00000000-0005-0000-0000-0000AD370000}"/>
    <cellStyle name="Normal 57 6 3 4 4" xfId="6616" xr:uid="{00000000-0005-0000-0000-0000AE370000}"/>
    <cellStyle name="Normal 57 6 3 4 4 2" xfId="15700" xr:uid="{00000000-0005-0000-0000-0000AF370000}"/>
    <cellStyle name="Normal 57 6 3 4 5" xfId="10359" xr:uid="{00000000-0005-0000-0000-0000B0370000}"/>
    <cellStyle name="Normal 57 6 3 4 5 2" xfId="19186" xr:uid="{00000000-0005-0000-0000-0000B1370000}"/>
    <cellStyle name="Normal 57 6 3 4 6" xfId="11805" xr:uid="{00000000-0005-0000-0000-0000B2370000}"/>
    <cellStyle name="Normal 57 6 3 4 7" xfId="5094" xr:uid="{00000000-0005-0000-0000-0000B3370000}"/>
    <cellStyle name="Normal 57 6 3 5" xfId="1415" xr:uid="{00000000-0005-0000-0000-0000B4370000}"/>
    <cellStyle name="Normal 57 6 3 5 2" xfId="3020" xr:uid="{00000000-0005-0000-0000-0000B5370000}"/>
    <cellStyle name="Normal 57 6 3 5 2 2" xfId="16569" xr:uid="{00000000-0005-0000-0000-0000B6370000}"/>
    <cellStyle name="Normal 57 6 3 5 2 3" xfId="12990" xr:uid="{00000000-0005-0000-0000-0000B7370000}"/>
    <cellStyle name="Normal 57 6 3 5 2 4" xfId="7701" xr:uid="{00000000-0005-0000-0000-0000B8370000}"/>
    <cellStyle name="Normal 57 6 3 5 3" xfId="4228" xr:uid="{00000000-0005-0000-0000-0000B9370000}"/>
    <cellStyle name="Normal 57 6 3 5 3 2" xfId="17933" xr:uid="{00000000-0005-0000-0000-0000BA370000}"/>
    <cellStyle name="Normal 57 6 3 5 3 3" xfId="14354" xr:uid="{00000000-0005-0000-0000-0000BB370000}"/>
    <cellStyle name="Normal 57 6 3 5 3 4" xfId="9097" xr:uid="{00000000-0005-0000-0000-0000BC370000}"/>
    <cellStyle name="Normal 57 6 3 5 4" xfId="5994" xr:uid="{00000000-0005-0000-0000-0000BD370000}"/>
    <cellStyle name="Normal 57 6 3 5 4 2" xfId="15080" xr:uid="{00000000-0005-0000-0000-0000BE370000}"/>
    <cellStyle name="Normal 57 6 3 5 5" xfId="10551" xr:uid="{00000000-0005-0000-0000-0000BF370000}"/>
    <cellStyle name="Normal 57 6 3 5 5 2" xfId="19378" xr:uid="{00000000-0005-0000-0000-0000C0370000}"/>
    <cellStyle name="Normal 57 6 3 5 6" xfId="11997" xr:uid="{00000000-0005-0000-0000-0000C1370000}"/>
    <cellStyle name="Normal 57 6 3 5 7" xfId="5295" xr:uid="{00000000-0005-0000-0000-0000C2370000}"/>
    <cellStyle name="Normal 57 6 3 6" xfId="1977" xr:uid="{00000000-0005-0000-0000-0000C3370000}"/>
    <cellStyle name="Normal 57 6 3 6 2" xfId="15923" xr:uid="{00000000-0005-0000-0000-0000C4370000}"/>
    <cellStyle name="Normal 57 6 3 6 3" xfId="12413" xr:uid="{00000000-0005-0000-0000-0000C5370000}"/>
    <cellStyle name="Normal 57 6 3 6 4" xfId="6880" xr:uid="{00000000-0005-0000-0000-0000C6370000}"/>
    <cellStyle name="Normal 57 6 3 7" xfId="3391" xr:uid="{00000000-0005-0000-0000-0000C7370000}"/>
    <cellStyle name="Normal 57 6 3 7 2" xfId="16890" xr:uid="{00000000-0005-0000-0000-0000C8370000}"/>
    <cellStyle name="Normal 57 6 3 7 3" xfId="13311" xr:uid="{00000000-0005-0000-0000-0000C9370000}"/>
    <cellStyle name="Normal 57 6 3 7 4" xfId="8054" xr:uid="{00000000-0005-0000-0000-0000CA370000}"/>
    <cellStyle name="Normal 57 6 3 8" xfId="5615" xr:uid="{00000000-0005-0000-0000-0000CB370000}"/>
    <cellStyle name="Normal 57 6 3 8 2" xfId="14701" xr:uid="{00000000-0005-0000-0000-0000CC370000}"/>
    <cellStyle name="Normal 57 6 3 9" xfId="9508" xr:uid="{00000000-0005-0000-0000-0000CD370000}"/>
    <cellStyle name="Normal 57 6 3 9 2" xfId="18335" xr:uid="{00000000-0005-0000-0000-0000CE370000}"/>
    <cellStyle name="Normal 57 6 3_Degree data" xfId="1725" xr:uid="{00000000-0005-0000-0000-0000CF370000}"/>
    <cellStyle name="Normal 57 6 4" xfId="309" xr:uid="{00000000-0005-0000-0000-0000D0370000}"/>
    <cellStyle name="Normal 57 6 4 2" xfId="753" xr:uid="{00000000-0005-0000-0000-0000D1370000}"/>
    <cellStyle name="Normal 57 6 4 2 2" xfId="2482" xr:uid="{00000000-0005-0000-0000-0000D2370000}"/>
    <cellStyle name="Normal 57 6 4 2 2 2" xfId="16370" xr:uid="{00000000-0005-0000-0000-0000D3370000}"/>
    <cellStyle name="Normal 57 6 4 2 2 3" xfId="12792" xr:uid="{00000000-0005-0000-0000-0000D4370000}"/>
    <cellStyle name="Normal 57 6 4 2 2 4" xfId="7502" xr:uid="{00000000-0005-0000-0000-0000D5370000}"/>
    <cellStyle name="Normal 57 6 4 2 3" xfId="3749" xr:uid="{00000000-0005-0000-0000-0000D6370000}"/>
    <cellStyle name="Normal 57 6 4 2 3 2" xfId="17395" xr:uid="{00000000-0005-0000-0000-0000D7370000}"/>
    <cellStyle name="Normal 57 6 4 2 3 3" xfId="13816" xr:uid="{00000000-0005-0000-0000-0000D8370000}"/>
    <cellStyle name="Normal 57 6 4 2 3 4" xfId="8559" xr:uid="{00000000-0005-0000-0000-0000D9370000}"/>
    <cellStyle name="Normal 57 6 4 2 4" xfId="6618" xr:uid="{00000000-0005-0000-0000-0000DA370000}"/>
    <cellStyle name="Normal 57 6 4 2 4 2" xfId="15702" xr:uid="{00000000-0005-0000-0000-0000DB370000}"/>
    <cellStyle name="Normal 57 6 4 2 5" xfId="10013" xr:uid="{00000000-0005-0000-0000-0000DC370000}"/>
    <cellStyle name="Normal 57 6 4 2 5 2" xfId="18840" xr:uid="{00000000-0005-0000-0000-0000DD370000}"/>
    <cellStyle name="Normal 57 6 4 2 6" xfId="11458" xr:uid="{00000000-0005-0000-0000-0000DE370000}"/>
    <cellStyle name="Normal 57 6 4 2 7" xfId="5096" xr:uid="{00000000-0005-0000-0000-0000DF370000}"/>
    <cellStyle name="Normal 57 6 4 3" xfId="1110" xr:uid="{00000000-0005-0000-0000-0000E0370000}"/>
    <cellStyle name="Normal 57 6 4 3 2" xfId="2830" xr:uid="{00000000-0005-0000-0000-0000E1370000}"/>
    <cellStyle name="Normal 57 6 4 3 2 2" xfId="16669" xr:uid="{00000000-0005-0000-0000-0000E2370000}"/>
    <cellStyle name="Normal 57 6 4 3 2 3" xfId="13090" xr:uid="{00000000-0005-0000-0000-0000E3370000}"/>
    <cellStyle name="Normal 57 6 4 3 2 4" xfId="7801" xr:uid="{00000000-0005-0000-0000-0000E4370000}"/>
    <cellStyle name="Normal 57 6 4 3 3" xfId="4098" xr:uid="{00000000-0005-0000-0000-0000E5370000}"/>
    <cellStyle name="Normal 57 6 4 3 3 2" xfId="17743" xr:uid="{00000000-0005-0000-0000-0000E6370000}"/>
    <cellStyle name="Normal 57 6 4 3 3 3" xfId="14164" xr:uid="{00000000-0005-0000-0000-0000E7370000}"/>
    <cellStyle name="Normal 57 6 4 3 3 4" xfId="8907" xr:uid="{00000000-0005-0000-0000-0000E8370000}"/>
    <cellStyle name="Normal 57 6 4 3 4" xfId="6208" xr:uid="{00000000-0005-0000-0000-0000E9370000}"/>
    <cellStyle name="Normal 57 6 4 3 4 2" xfId="15292" xr:uid="{00000000-0005-0000-0000-0000EA370000}"/>
    <cellStyle name="Normal 57 6 4 3 5" xfId="10361" xr:uid="{00000000-0005-0000-0000-0000EB370000}"/>
    <cellStyle name="Normal 57 6 4 3 5 2" xfId="19188" xr:uid="{00000000-0005-0000-0000-0000EC370000}"/>
    <cellStyle name="Normal 57 6 4 3 6" xfId="11807" xr:uid="{00000000-0005-0000-0000-0000ED370000}"/>
    <cellStyle name="Normal 57 6 4 3 7" xfId="5395" xr:uid="{00000000-0005-0000-0000-0000EE370000}"/>
    <cellStyle name="Normal 57 6 4 4" xfId="1521" xr:uid="{00000000-0005-0000-0000-0000EF370000}"/>
    <cellStyle name="Normal 57 6 4 4 2" xfId="3120" xr:uid="{00000000-0005-0000-0000-0000F0370000}"/>
    <cellStyle name="Normal 57 6 4 4 2 2" xfId="18033" xr:uid="{00000000-0005-0000-0000-0000F1370000}"/>
    <cellStyle name="Normal 57 6 4 4 2 3" xfId="14454" xr:uid="{00000000-0005-0000-0000-0000F2370000}"/>
    <cellStyle name="Normal 57 6 4 4 2 4" xfId="9197" xr:uid="{00000000-0005-0000-0000-0000F3370000}"/>
    <cellStyle name="Normal 57 6 4 4 3" xfId="10651" xr:uid="{00000000-0005-0000-0000-0000F4370000}"/>
    <cellStyle name="Normal 57 6 4 4 3 2" xfId="19478" xr:uid="{00000000-0005-0000-0000-0000F5370000}"/>
    <cellStyle name="Normal 57 6 4 4 4" xfId="12097" xr:uid="{00000000-0005-0000-0000-0000F6370000}"/>
    <cellStyle name="Normal 57 6 4 4 5" xfId="7092" xr:uid="{00000000-0005-0000-0000-0000F7370000}"/>
    <cellStyle name="Normal 57 6 4 5" xfId="2077" xr:uid="{00000000-0005-0000-0000-0000F8370000}"/>
    <cellStyle name="Normal 57 6 4 5 2" xfId="16990" xr:uid="{00000000-0005-0000-0000-0000F9370000}"/>
    <cellStyle name="Normal 57 6 4 5 3" xfId="13411" xr:uid="{00000000-0005-0000-0000-0000FA370000}"/>
    <cellStyle name="Normal 57 6 4 5 4" xfId="8154" xr:uid="{00000000-0005-0000-0000-0000FB370000}"/>
    <cellStyle name="Normal 57 6 4 6" xfId="5715" xr:uid="{00000000-0005-0000-0000-0000FC370000}"/>
    <cellStyle name="Normal 57 6 4 6 2" xfId="14801" xr:uid="{00000000-0005-0000-0000-0000FD370000}"/>
    <cellStyle name="Normal 57 6 4 7" xfId="9608" xr:uid="{00000000-0005-0000-0000-0000FE370000}"/>
    <cellStyle name="Normal 57 6 4 7 2" xfId="18435" xr:uid="{00000000-0005-0000-0000-0000FF370000}"/>
    <cellStyle name="Normal 57 6 4 8" xfId="11052" xr:uid="{00000000-0005-0000-0000-000000380000}"/>
    <cellStyle name="Normal 57 6 4 9" xfId="4686" xr:uid="{00000000-0005-0000-0000-000001380000}"/>
    <cellStyle name="Normal 57 6 4_Degree data" xfId="1727" xr:uid="{00000000-0005-0000-0000-000002380000}"/>
    <cellStyle name="Normal 57 6 5" xfId="748" xr:uid="{00000000-0005-0000-0000-000003380000}"/>
    <cellStyle name="Normal 57 6 5 2" xfId="2477" xr:uid="{00000000-0005-0000-0000-000004380000}"/>
    <cellStyle name="Normal 57 6 5 2 2" xfId="15966" xr:uid="{00000000-0005-0000-0000-000005380000}"/>
    <cellStyle name="Normal 57 6 5 2 3" xfId="12302" xr:uid="{00000000-0005-0000-0000-000006380000}"/>
    <cellStyle name="Normal 57 6 5 2 4" xfId="6936" xr:uid="{00000000-0005-0000-0000-000007380000}"/>
    <cellStyle name="Normal 57 6 5 3" xfId="3744" xr:uid="{00000000-0005-0000-0000-000008380000}"/>
    <cellStyle name="Normal 57 6 5 3 2" xfId="17390" xr:uid="{00000000-0005-0000-0000-000009380000}"/>
    <cellStyle name="Normal 57 6 5 3 3" xfId="13811" xr:uid="{00000000-0005-0000-0000-00000A380000}"/>
    <cellStyle name="Normal 57 6 5 3 4" xfId="8554" xr:uid="{00000000-0005-0000-0000-00000B380000}"/>
    <cellStyle name="Normal 57 6 5 4" xfId="6052" xr:uid="{00000000-0005-0000-0000-00000C380000}"/>
    <cellStyle name="Normal 57 6 5 4 2" xfId="15136" xr:uid="{00000000-0005-0000-0000-00000D380000}"/>
    <cellStyle name="Normal 57 6 5 5" xfId="10008" xr:uid="{00000000-0005-0000-0000-00000E380000}"/>
    <cellStyle name="Normal 57 6 5 5 2" xfId="18835" xr:uid="{00000000-0005-0000-0000-00000F380000}"/>
    <cellStyle name="Normal 57 6 5 6" xfId="11453" xr:uid="{00000000-0005-0000-0000-000010380000}"/>
    <cellStyle name="Normal 57 6 5 7" xfId="4530" xr:uid="{00000000-0005-0000-0000-000011380000}"/>
    <cellStyle name="Normal 57 6 6" xfId="1105" xr:uid="{00000000-0005-0000-0000-000012380000}"/>
    <cellStyle name="Normal 57 6 6 2" xfId="2825" xr:uid="{00000000-0005-0000-0000-000013380000}"/>
    <cellStyle name="Normal 57 6 6 2 2" xfId="16365" xr:uid="{00000000-0005-0000-0000-000014380000}"/>
    <cellStyle name="Normal 57 6 6 2 3" xfId="12787" xr:uid="{00000000-0005-0000-0000-000015380000}"/>
    <cellStyle name="Normal 57 6 6 2 4" xfId="7497" xr:uid="{00000000-0005-0000-0000-000016380000}"/>
    <cellStyle name="Normal 57 6 6 3" xfId="4093" xr:uid="{00000000-0005-0000-0000-000017380000}"/>
    <cellStyle name="Normal 57 6 6 3 2" xfId="17738" xr:uid="{00000000-0005-0000-0000-000018380000}"/>
    <cellStyle name="Normal 57 6 6 3 3" xfId="14159" xr:uid="{00000000-0005-0000-0000-000019380000}"/>
    <cellStyle name="Normal 57 6 6 3 4" xfId="8902" xr:uid="{00000000-0005-0000-0000-00001A380000}"/>
    <cellStyle name="Normal 57 6 6 4" xfId="6613" xr:uid="{00000000-0005-0000-0000-00001B380000}"/>
    <cellStyle name="Normal 57 6 6 4 2" xfId="15697" xr:uid="{00000000-0005-0000-0000-00001C380000}"/>
    <cellStyle name="Normal 57 6 6 5" xfId="10356" xr:uid="{00000000-0005-0000-0000-00001D380000}"/>
    <cellStyle name="Normal 57 6 6 5 2" xfId="19183" xr:uid="{00000000-0005-0000-0000-00001E380000}"/>
    <cellStyle name="Normal 57 6 6 6" xfId="11802" xr:uid="{00000000-0005-0000-0000-00001F380000}"/>
    <cellStyle name="Normal 57 6 6 7" xfId="5091" xr:uid="{00000000-0005-0000-0000-000020380000}"/>
    <cellStyle name="Normal 57 6 7" xfId="1353" xr:uid="{00000000-0005-0000-0000-000021380000}"/>
    <cellStyle name="Normal 57 6 7 2" xfId="2964" xr:uid="{00000000-0005-0000-0000-000022380000}"/>
    <cellStyle name="Normal 57 6 7 2 2" xfId="16513" xr:uid="{00000000-0005-0000-0000-000023380000}"/>
    <cellStyle name="Normal 57 6 7 2 3" xfId="12935" xr:uid="{00000000-0005-0000-0000-000024380000}"/>
    <cellStyle name="Normal 57 6 7 2 4" xfId="7645" xr:uid="{00000000-0005-0000-0000-000025380000}"/>
    <cellStyle name="Normal 57 6 7 3" xfId="4189" xr:uid="{00000000-0005-0000-0000-000026380000}"/>
    <cellStyle name="Normal 57 6 7 3 2" xfId="17877" xr:uid="{00000000-0005-0000-0000-000027380000}"/>
    <cellStyle name="Normal 57 6 7 3 3" xfId="14298" xr:uid="{00000000-0005-0000-0000-000028380000}"/>
    <cellStyle name="Normal 57 6 7 3 4" xfId="9041" xr:uid="{00000000-0005-0000-0000-000029380000}"/>
    <cellStyle name="Normal 57 6 7 4" xfId="5888" xr:uid="{00000000-0005-0000-0000-00002A380000}"/>
    <cellStyle name="Normal 57 6 7 4 2" xfId="14974" xr:uid="{00000000-0005-0000-0000-00002B380000}"/>
    <cellStyle name="Normal 57 6 7 5" xfId="10495" xr:uid="{00000000-0005-0000-0000-00002C380000}"/>
    <cellStyle name="Normal 57 6 7 5 2" xfId="19322" xr:uid="{00000000-0005-0000-0000-00002D380000}"/>
    <cellStyle name="Normal 57 6 7 6" xfId="11941" xr:uid="{00000000-0005-0000-0000-00002E380000}"/>
    <cellStyle name="Normal 57 6 7 7" xfId="5239" xr:uid="{00000000-0005-0000-0000-00002F380000}"/>
    <cellStyle name="Normal 57 6 8" xfId="1921" xr:uid="{00000000-0005-0000-0000-000030380000}"/>
    <cellStyle name="Normal 57 6 8 2" xfId="9452" xr:uid="{00000000-0005-0000-0000-000031380000}"/>
    <cellStyle name="Normal 57 6 8 2 2" xfId="18279" xr:uid="{00000000-0005-0000-0000-000032380000}"/>
    <cellStyle name="Normal 57 6 8 3" xfId="10896" xr:uid="{00000000-0005-0000-0000-000033380000}"/>
    <cellStyle name="Normal 57 6 8 4" xfId="6775" xr:uid="{00000000-0005-0000-0000-000034380000}"/>
    <cellStyle name="Normal 57 6 9" xfId="1845" xr:uid="{00000000-0005-0000-0000-000035380000}"/>
    <cellStyle name="Normal 57 6 9 2" xfId="16832" xr:uid="{00000000-0005-0000-0000-000036380000}"/>
    <cellStyle name="Normal 57 6 9 3" xfId="13253" xr:uid="{00000000-0005-0000-0000-000037380000}"/>
    <cellStyle name="Normal 57 6 9 4" xfId="7996" xr:uid="{00000000-0005-0000-0000-000038380000}"/>
    <cellStyle name="Normal 57 6_Degree data" xfId="1722" xr:uid="{00000000-0005-0000-0000-000039380000}"/>
    <cellStyle name="Normal 57 7" xfId="204" xr:uid="{00000000-0005-0000-0000-00003A380000}"/>
    <cellStyle name="Normal 57 7 10" xfId="9511" xr:uid="{00000000-0005-0000-0000-00003B380000}"/>
    <cellStyle name="Normal 57 7 10 2" xfId="18338" xr:uid="{00000000-0005-0000-0000-00003C380000}"/>
    <cellStyle name="Normal 57 7 11" xfId="10955" xr:uid="{00000000-0005-0000-0000-00003D380000}"/>
    <cellStyle name="Normal 57 7 12" xfId="4372" xr:uid="{00000000-0005-0000-0000-00003E380000}"/>
    <cellStyle name="Normal 57 7 2" xfId="418" xr:uid="{00000000-0005-0000-0000-00003F380000}"/>
    <cellStyle name="Normal 57 7 2 10" xfId="4477" xr:uid="{00000000-0005-0000-0000-000040380000}"/>
    <cellStyle name="Normal 57 7 2 2" xfId="755" xr:uid="{00000000-0005-0000-0000-000041380000}"/>
    <cellStyle name="Normal 57 7 2 2 2" xfId="2484" xr:uid="{00000000-0005-0000-0000-000042380000}"/>
    <cellStyle name="Normal 57 7 2 2 2 2" xfId="16087" xr:uid="{00000000-0005-0000-0000-000043380000}"/>
    <cellStyle name="Normal 57 7 2 2 2 3" xfId="12509" xr:uid="{00000000-0005-0000-0000-000044380000}"/>
    <cellStyle name="Normal 57 7 2 2 2 4" xfId="7200" xr:uid="{00000000-0005-0000-0000-000045380000}"/>
    <cellStyle name="Normal 57 7 2 2 3" xfId="3751" xr:uid="{00000000-0005-0000-0000-000046380000}"/>
    <cellStyle name="Normal 57 7 2 2 3 2" xfId="17397" xr:uid="{00000000-0005-0000-0000-000047380000}"/>
    <cellStyle name="Normal 57 7 2 2 3 3" xfId="13818" xr:uid="{00000000-0005-0000-0000-000048380000}"/>
    <cellStyle name="Normal 57 7 2 2 3 4" xfId="8561" xr:uid="{00000000-0005-0000-0000-000049380000}"/>
    <cellStyle name="Normal 57 7 2 2 4" xfId="6316" xr:uid="{00000000-0005-0000-0000-00004A380000}"/>
    <cellStyle name="Normal 57 7 2 2 4 2" xfId="15400" xr:uid="{00000000-0005-0000-0000-00004B380000}"/>
    <cellStyle name="Normal 57 7 2 2 5" xfId="10015" xr:uid="{00000000-0005-0000-0000-00004C380000}"/>
    <cellStyle name="Normal 57 7 2 2 5 2" xfId="18842" xr:uid="{00000000-0005-0000-0000-00004D380000}"/>
    <cellStyle name="Normal 57 7 2 2 6" xfId="11460" xr:uid="{00000000-0005-0000-0000-00004E380000}"/>
    <cellStyle name="Normal 57 7 2 2 7" xfId="4794" xr:uid="{00000000-0005-0000-0000-00004F380000}"/>
    <cellStyle name="Normal 57 7 2 3" xfId="1112" xr:uid="{00000000-0005-0000-0000-000050380000}"/>
    <cellStyle name="Normal 57 7 2 3 2" xfId="2832" xr:uid="{00000000-0005-0000-0000-000051380000}"/>
    <cellStyle name="Normal 57 7 2 3 2 2" xfId="16372" xr:uid="{00000000-0005-0000-0000-000052380000}"/>
    <cellStyle name="Normal 57 7 2 3 2 3" xfId="12794" xr:uid="{00000000-0005-0000-0000-000053380000}"/>
    <cellStyle name="Normal 57 7 2 3 2 4" xfId="7504" xr:uid="{00000000-0005-0000-0000-000054380000}"/>
    <cellStyle name="Normal 57 7 2 3 3" xfId="4100" xr:uid="{00000000-0005-0000-0000-000055380000}"/>
    <cellStyle name="Normal 57 7 2 3 3 2" xfId="17745" xr:uid="{00000000-0005-0000-0000-000056380000}"/>
    <cellStyle name="Normal 57 7 2 3 3 3" xfId="14166" xr:uid="{00000000-0005-0000-0000-000057380000}"/>
    <cellStyle name="Normal 57 7 2 3 3 4" xfId="8909" xr:uid="{00000000-0005-0000-0000-000058380000}"/>
    <cellStyle name="Normal 57 7 2 3 4" xfId="6620" xr:uid="{00000000-0005-0000-0000-000059380000}"/>
    <cellStyle name="Normal 57 7 2 3 4 2" xfId="15704" xr:uid="{00000000-0005-0000-0000-00005A380000}"/>
    <cellStyle name="Normal 57 7 2 3 5" xfId="10363" xr:uid="{00000000-0005-0000-0000-00005B380000}"/>
    <cellStyle name="Normal 57 7 2 3 5 2" xfId="19190" xr:uid="{00000000-0005-0000-0000-00005C380000}"/>
    <cellStyle name="Normal 57 7 2 3 6" xfId="11809" xr:uid="{00000000-0005-0000-0000-00005D380000}"/>
    <cellStyle name="Normal 57 7 2 3 7" xfId="5098" xr:uid="{00000000-0005-0000-0000-00005E380000}"/>
    <cellStyle name="Normal 57 7 2 4" xfId="1632" xr:uid="{00000000-0005-0000-0000-00005F380000}"/>
    <cellStyle name="Normal 57 7 2 4 2" xfId="3228" xr:uid="{00000000-0005-0000-0000-000060380000}"/>
    <cellStyle name="Normal 57 7 2 4 2 2" xfId="16777" xr:uid="{00000000-0005-0000-0000-000061380000}"/>
    <cellStyle name="Normal 57 7 2 4 2 3" xfId="13198" xr:uid="{00000000-0005-0000-0000-000062380000}"/>
    <cellStyle name="Normal 57 7 2 4 2 4" xfId="7909" xr:uid="{00000000-0005-0000-0000-000063380000}"/>
    <cellStyle name="Normal 57 7 2 4 3" xfId="4309" xr:uid="{00000000-0005-0000-0000-000064380000}"/>
    <cellStyle name="Normal 57 7 2 4 3 2" xfId="18141" xr:uid="{00000000-0005-0000-0000-000065380000}"/>
    <cellStyle name="Normal 57 7 2 4 3 3" xfId="14562" xr:uid="{00000000-0005-0000-0000-000066380000}"/>
    <cellStyle name="Normal 57 7 2 4 3 4" xfId="9305" xr:uid="{00000000-0005-0000-0000-000067380000}"/>
    <cellStyle name="Normal 57 7 2 4 4" xfId="5997" xr:uid="{00000000-0005-0000-0000-000068380000}"/>
    <cellStyle name="Normal 57 7 2 4 4 2" xfId="15083" xr:uid="{00000000-0005-0000-0000-000069380000}"/>
    <cellStyle name="Normal 57 7 2 4 5" xfId="10759" xr:uid="{00000000-0005-0000-0000-00006A380000}"/>
    <cellStyle name="Normal 57 7 2 4 5 2" xfId="19586" xr:uid="{00000000-0005-0000-0000-00006B380000}"/>
    <cellStyle name="Normal 57 7 2 4 6" xfId="12205" xr:uid="{00000000-0005-0000-0000-00006C380000}"/>
    <cellStyle name="Normal 57 7 2 4 7" xfId="5503" xr:uid="{00000000-0005-0000-0000-00006D380000}"/>
    <cellStyle name="Normal 57 7 2 5" xfId="2185" xr:uid="{00000000-0005-0000-0000-00006E380000}"/>
    <cellStyle name="Normal 57 7 2 5 2" xfId="15926" xr:uid="{00000000-0005-0000-0000-00006F380000}"/>
    <cellStyle name="Normal 57 7 2 5 3" xfId="12496" xr:uid="{00000000-0005-0000-0000-000070380000}"/>
    <cellStyle name="Normal 57 7 2 5 4" xfId="6883" xr:uid="{00000000-0005-0000-0000-000071380000}"/>
    <cellStyle name="Normal 57 7 2 6" xfId="3471" xr:uid="{00000000-0005-0000-0000-000072380000}"/>
    <cellStyle name="Normal 57 7 2 6 2" xfId="17098" xr:uid="{00000000-0005-0000-0000-000073380000}"/>
    <cellStyle name="Normal 57 7 2 6 3" xfId="13519" xr:uid="{00000000-0005-0000-0000-000074380000}"/>
    <cellStyle name="Normal 57 7 2 6 4" xfId="8262" xr:uid="{00000000-0005-0000-0000-000075380000}"/>
    <cellStyle name="Normal 57 7 2 7" xfId="5823" xr:uid="{00000000-0005-0000-0000-000076380000}"/>
    <cellStyle name="Normal 57 7 2 7 2" xfId="14909" xr:uid="{00000000-0005-0000-0000-000077380000}"/>
    <cellStyle name="Normal 57 7 2 8" xfId="9716" xr:uid="{00000000-0005-0000-0000-000078380000}"/>
    <cellStyle name="Normal 57 7 2 8 2" xfId="18543" xr:uid="{00000000-0005-0000-0000-000079380000}"/>
    <cellStyle name="Normal 57 7 2 9" xfId="11160" xr:uid="{00000000-0005-0000-0000-00007A380000}"/>
    <cellStyle name="Normal 57 7 2_Degree data" xfId="1729" xr:uid="{00000000-0005-0000-0000-00007B380000}"/>
    <cellStyle name="Normal 57 7 3" xfId="312" xr:uid="{00000000-0005-0000-0000-00007C380000}"/>
    <cellStyle name="Normal 57 7 3 2" xfId="756" xr:uid="{00000000-0005-0000-0000-00007D380000}"/>
    <cellStyle name="Normal 57 7 3 2 2" xfId="2485" xr:uid="{00000000-0005-0000-0000-00007E380000}"/>
    <cellStyle name="Normal 57 7 3 2 2 2" xfId="16373" xr:uid="{00000000-0005-0000-0000-00007F380000}"/>
    <cellStyle name="Normal 57 7 3 2 2 3" xfId="12795" xr:uid="{00000000-0005-0000-0000-000080380000}"/>
    <cellStyle name="Normal 57 7 3 2 2 4" xfId="7505" xr:uid="{00000000-0005-0000-0000-000081380000}"/>
    <cellStyle name="Normal 57 7 3 2 3" xfId="3752" xr:uid="{00000000-0005-0000-0000-000082380000}"/>
    <cellStyle name="Normal 57 7 3 2 3 2" xfId="17398" xr:uid="{00000000-0005-0000-0000-000083380000}"/>
    <cellStyle name="Normal 57 7 3 2 3 3" xfId="13819" xr:uid="{00000000-0005-0000-0000-000084380000}"/>
    <cellStyle name="Normal 57 7 3 2 3 4" xfId="8562" xr:uid="{00000000-0005-0000-0000-000085380000}"/>
    <cellStyle name="Normal 57 7 3 2 4" xfId="6621" xr:uid="{00000000-0005-0000-0000-000086380000}"/>
    <cellStyle name="Normal 57 7 3 2 4 2" xfId="15705" xr:uid="{00000000-0005-0000-0000-000087380000}"/>
    <cellStyle name="Normal 57 7 3 2 5" xfId="10016" xr:uid="{00000000-0005-0000-0000-000088380000}"/>
    <cellStyle name="Normal 57 7 3 2 5 2" xfId="18843" xr:uid="{00000000-0005-0000-0000-000089380000}"/>
    <cellStyle name="Normal 57 7 3 2 6" xfId="11461" xr:uid="{00000000-0005-0000-0000-00008A380000}"/>
    <cellStyle name="Normal 57 7 3 2 7" xfId="5099" xr:uid="{00000000-0005-0000-0000-00008B380000}"/>
    <cellStyle name="Normal 57 7 3 3" xfId="1113" xr:uid="{00000000-0005-0000-0000-00008C380000}"/>
    <cellStyle name="Normal 57 7 3 3 2" xfId="2833" xr:uid="{00000000-0005-0000-0000-00008D380000}"/>
    <cellStyle name="Normal 57 7 3 3 2 2" xfId="16672" xr:uid="{00000000-0005-0000-0000-00008E380000}"/>
    <cellStyle name="Normal 57 7 3 3 2 3" xfId="13093" xr:uid="{00000000-0005-0000-0000-00008F380000}"/>
    <cellStyle name="Normal 57 7 3 3 2 4" xfId="7804" xr:uid="{00000000-0005-0000-0000-000090380000}"/>
    <cellStyle name="Normal 57 7 3 3 3" xfId="4101" xr:uid="{00000000-0005-0000-0000-000091380000}"/>
    <cellStyle name="Normal 57 7 3 3 3 2" xfId="17746" xr:uid="{00000000-0005-0000-0000-000092380000}"/>
    <cellStyle name="Normal 57 7 3 3 3 3" xfId="14167" xr:uid="{00000000-0005-0000-0000-000093380000}"/>
    <cellStyle name="Normal 57 7 3 3 3 4" xfId="8910" xr:uid="{00000000-0005-0000-0000-000094380000}"/>
    <cellStyle name="Normal 57 7 3 3 4" xfId="6211" xr:uid="{00000000-0005-0000-0000-000095380000}"/>
    <cellStyle name="Normal 57 7 3 3 4 2" xfId="15295" xr:uid="{00000000-0005-0000-0000-000096380000}"/>
    <cellStyle name="Normal 57 7 3 3 5" xfId="10364" xr:uid="{00000000-0005-0000-0000-000097380000}"/>
    <cellStyle name="Normal 57 7 3 3 5 2" xfId="19191" xr:uid="{00000000-0005-0000-0000-000098380000}"/>
    <cellStyle name="Normal 57 7 3 3 6" xfId="11810" xr:uid="{00000000-0005-0000-0000-000099380000}"/>
    <cellStyle name="Normal 57 7 3 3 7" xfId="5398" xr:uid="{00000000-0005-0000-0000-00009A380000}"/>
    <cellStyle name="Normal 57 7 3 4" xfId="1524" xr:uid="{00000000-0005-0000-0000-00009B380000}"/>
    <cellStyle name="Normal 57 7 3 4 2" xfId="3123" xr:uid="{00000000-0005-0000-0000-00009C380000}"/>
    <cellStyle name="Normal 57 7 3 4 2 2" xfId="18036" xr:uid="{00000000-0005-0000-0000-00009D380000}"/>
    <cellStyle name="Normal 57 7 3 4 2 3" xfId="14457" xr:uid="{00000000-0005-0000-0000-00009E380000}"/>
    <cellStyle name="Normal 57 7 3 4 2 4" xfId="9200" xr:uid="{00000000-0005-0000-0000-00009F380000}"/>
    <cellStyle name="Normal 57 7 3 4 3" xfId="10654" xr:uid="{00000000-0005-0000-0000-0000A0380000}"/>
    <cellStyle name="Normal 57 7 3 4 3 2" xfId="19481" xr:uid="{00000000-0005-0000-0000-0000A1380000}"/>
    <cellStyle name="Normal 57 7 3 4 4" xfId="12100" xr:uid="{00000000-0005-0000-0000-0000A2380000}"/>
    <cellStyle name="Normal 57 7 3 4 5" xfId="7095" xr:uid="{00000000-0005-0000-0000-0000A3380000}"/>
    <cellStyle name="Normal 57 7 3 5" xfId="2080" xr:uid="{00000000-0005-0000-0000-0000A4380000}"/>
    <cellStyle name="Normal 57 7 3 5 2" xfId="16993" xr:uid="{00000000-0005-0000-0000-0000A5380000}"/>
    <cellStyle name="Normal 57 7 3 5 3" xfId="13414" xr:uid="{00000000-0005-0000-0000-0000A6380000}"/>
    <cellStyle name="Normal 57 7 3 5 4" xfId="8157" xr:uid="{00000000-0005-0000-0000-0000A7380000}"/>
    <cellStyle name="Normal 57 7 3 6" xfId="5718" xr:uid="{00000000-0005-0000-0000-0000A8380000}"/>
    <cellStyle name="Normal 57 7 3 6 2" xfId="14804" xr:uid="{00000000-0005-0000-0000-0000A9380000}"/>
    <cellStyle name="Normal 57 7 3 7" xfId="9611" xr:uid="{00000000-0005-0000-0000-0000AA380000}"/>
    <cellStyle name="Normal 57 7 3 7 2" xfId="18438" xr:uid="{00000000-0005-0000-0000-0000AB380000}"/>
    <cellStyle name="Normal 57 7 3 8" xfId="11055" xr:uid="{00000000-0005-0000-0000-0000AC380000}"/>
    <cellStyle name="Normal 57 7 3 9" xfId="4689" xr:uid="{00000000-0005-0000-0000-0000AD380000}"/>
    <cellStyle name="Normal 57 7 3_Degree data" xfId="1730" xr:uid="{00000000-0005-0000-0000-0000AE380000}"/>
    <cellStyle name="Normal 57 7 4" xfId="754" xr:uid="{00000000-0005-0000-0000-0000AF380000}"/>
    <cellStyle name="Normal 57 7 4 2" xfId="2483" xr:uid="{00000000-0005-0000-0000-0000B0380000}"/>
    <cellStyle name="Normal 57 7 4 2 2" xfId="16009" xr:uid="{00000000-0005-0000-0000-0000B1380000}"/>
    <cellStyle name="Normal 57 7 4 2 3" xfId="12480" xr:uid="{00000000-0005-0000-0000-0000B2380000}"/>
    <cellStyle name="Normal 57 7 4 2 4" xfId="6995" xr:uid="{00000000-0005-0000-0000-0000B3380000}"/>
    <cellStyle name="Normal 57 7 4 3" xfId="3750" xr:uid="{00000000-0005-0000-0000-0000B4380000}"/>
    <cellStyle name="Normal 57 7 4 3 2" xfId="17396" xr:uid="{00000000-0005-0000-0000-0000B5380000}"/>
    <cellStyle name="Normal 57 7 4 3 3" xfId="13817" xr:uid="{00000000-0005-0000-0000-0000B6380000}"/>
    <cellStyle name="Normal 57 7 4 3 4" xfId="8560" xr:uid="{00000000-0005-0000-0000-0000B7380000}"/>
    <cellStyle name="Normal 57 7 4 4" xfId="6111" xr:uid="{00000000-0005-0000-0000-0000B8380000}"/>
    <cellStyle name="Normal 57 7 4 4 2" xfId="15195" xr:uid="{00000000-0005-0000-0000-0000B9380000}"/>
    <cellStyle name="Normal 57 7 4 5" xfId="10014" xr:uid="{00000000-0005-0000-0000-0000BA380000}"/>
    <cellStyle name="Normal 57 7 4 5 2" xfId="18841" xr:uid="{00000000-0005-0000-0000-0000BB380000}"/>
    <cellStyle name="Normal 57 7 4 6" xfId="11459" xr:uid="{00000000-0005-0000-0000-0000BC380000}"/>
    <cellStyle name="Normal 57 7 4 7" xfId="4589" xr:uid="{00000000-0005-0000-0000-0000BD380000}"/>
    <cellStyle name="Normal 57 7 5" xfId="1111" xr:uid="{00000000-0005-0000-0000-0000BE380000}"/>
    <cellStyle name="Normal 57 7 5 2" xfId="2831" xr:uid="{00000000-0005-0000-0000-0000BF380000}"/>
    <cellStyle name="Normal 57 7 5 2 2" xfId="16371" xr:uid="{00000000-0005-0000-0000-0000C0380000}"/>
    <cellStyle name="Normal 57 7 5 2 3" xfId="12793" xr:uid="{00000000-0005-0000-0000-0000C1380000}"/>
    <cellStyle name="Normal 57 7 5 2 4" xfId="7503" xr:uid="{00000000-0005-0000-0000-0000C2380000}"/>
    <cellStyle name="Normal 57 7 5 3" xfId="4099" xr:uid="{00000000-0005-0000-0000-0000C3380000}"/>
    <cellStyle name="Normal 57 7 5 3 2" xfId="17744" xr:uid="{00000000-0005-0000-0000-0000C4380000}"/>
    <cellStyle name="Normal 57 7 5 3 3" xfId="14165" xr:uid="{00000000-0005-0000-0000-0000C5380000}"/>
    <cellStyle name="Normal 57 7 5 3 4" xfId="8908" xr:uid="{00000000-0005-0000-0000-0000C6380000}"/>
    <cellStyle name="Normal 57 7 5 4" xfId="6619" xr:uid="{00000000-0005-0000-0000-0000C7380000}"/>
    <cellStyle name="Normal 57 7 5 4 2" xfId="15703" xr:uid="{00000000-0005-0000-0000-0000C8380000}"/>
    <cellStyle name="Normal 57 7 5 5" xfId="10362" xr:uid="{00000000-0005-0000-0000-0000C9380000}"/>
    <cellStyle name="Normal 57 7 5 5 2" xfId="19189" xr:uid="{00000000-0005-0000-0000-0000CA380000}"/>
    <cellStyle name="Normal 57 7 5 6" xfId="11808" xr:uid="{00000000-0005-0000-0000-0000CB380000}"/>
    <cellStyle name="Normal 57 7 5 7" xfId="5097" xr:uid="{00000000-0005-0000-0000-0000CC380000}"/>
    <cellStyle name="Normal 57 7 6" xfId="1421" xr:uid="{00000000-0005-0000-0000-0000CD380000}"/>
    <cellStyle name="Normal 57 7 6 2" xfId="3023" xr:uid="{00000000-0005-0000-0000-0000CE380000}"/>
    <cellStyle name="Normal 57 7 6 2 2" xfId="16572" xr:uid="{00000000-0005-0000-0000-0000CF380000}"/>
    <cellStyle name="Normal 57 7 6 2 3" xfId="12993" xr:uid="{00000000-0005-0000-0000-0000D0380000}"/>
    <cellStyle name="Normal 57 7 6 2 4" xfId="7704" xr:uid="{00000000-0005-0000-0000-0000D1380000}"/>
    <cellStyle name="Normal 57 7 6 3" xfId="4231" xr:uid="{00000000-0005-0000-0000-0000D2380000}"/>
    <cellStyle name="Normal 57 7 6 3 2" xfId="17936" xr:uid="{00000000-0005-0000-0000-0000D3380000}"/>
    <cellStyle name="Normal 57 7 6 3 3" xfId="14357" xr:uid="{00000000-0005-0000-0000-0000D4380000}"/>
    <cellStyle name="Normal 57 7 6 3 4" xfId="9100" xr:uid="{00000000-0005-0000-0000-0000D5380000}"/>
    <cellStyle name="Normal 57 7 6 4" xfId="5891" xr:uid="{00000000-0005-0000-0000-0000D6380000}"/>
    <cellStyle name="Normal 57 7 6 4 2" xfId="14977" xr:uid="{00000000-0005-0000-0000-0000D7380000}"/>
    <cellStyle name="Normal 57 7 6 5" xfId="10554" xr:uid="{00000000-0005-0000-0000-0000D8380000}"/>
    <cellStyle name="Normal 57 7 6 5 2" xfId="19381" xr:uid="{00000000-0005-0000-0000-0000D9380000}"/>
    <cellStyle name="Normal 57 7 6 6" xfId="12000" xr:uid="{00000000-0005-0000-0000-0000DA380000}"/>
    <cellStyle name="Normal 57 7 6 7" xfId="5298" xr:uid="{00000000-0005-0000-0000-0000DB380000}"/>
    <cellStyle name="Normal 57 7 7" xfId="1980" xr:uid="{00000000-0005-0000-0000-0000DC380000}"/>
    <cellStyle name="Normal 57 7 7 2" xfId="15836" xr:uid="{00000000-0005-0000-0000-0000DD380000}"/>
    <cellStyle name="Normal 57 7 7 3" xfId="12256" xr:uid="{00000000-0005-0000-0000-0000DE380000}"/>
    <cellStyle name="Normal 57 7 7 4" xfId="6778" xr:uid="{00000000-0005-0000-0000-0000DF380000}"/>
    <cellStyle name="Normal 57 7 8" xfId="3394" xr:uid="{00000000-0005-0000-0000-0000E0380000}"/>
    <cellStyle name="Normal 57 7 8 2" xfId="16893" xr:uid="{00000000-0005-0000-0000-0000E1380000}"/>
    <cellStyle name="Normal 57 7 8 3" xfId="13314" xr:uid="{00000000-0005-0000-0000-0000E2380000}"/>
    <cellStyle name="Normal 57 7 8 4" xfId="8057" xr:uid="{00000000-0005-0000-0000-0000E3380000}"/>
    <cellStyle name="Normal 57 7 9" xfId="5618" xr:uid="{00000000-0005-0000-0000-0000E4380000}"/>
    <cellStyle name="Normal 57 7 9 2" xfId="14704" xr:uid="{00000000-0005-0000-0000-0000E5380000}"/>
    <cellStyle name="Normal 57 7_Degree data" xfId="1728" xr:uid="{00000000-0005-0000-0000-0000E6380000}"/>
    <cellStyle name="Normal 57 8" xfId="234" xr:uid="{00000000-0005-0000-0000-0000E7380000}"/>
    <cellStyle name="Normal 57 8 10" xfId="10985" xr:uid="{00000000-0005-0000-0000-0000E8380000}"/>
    <cellStyle name="Normal 57 8 11" xfId="4402" xr:uid="{00000000-0005-0000-0000-0000E9380000}"/>
    <cellStyle name="Normal 57 8 2" xfId="342" xr:uid="{00000000-0005-0000-0000-0000EA380000}"/>
    <cellStyle name="Normal 57 8 2 2" xfId="758" xr:uid="{00000000-0005-0000-0000-0000EB380000}"/>
    <cellStyle name="Normal 57 8 2 2 2" xfId="2487" xr:uid="{00000000-0005-0000-0000-0000EC380000}"/>
    <cellStyle name="Normal 57 8 2 2 2 2" xfId="16375" xr:uid="{00000000-0005-0000-0000-0000ED380000}"/>
    <cellStyle name="Normal 57 8 2 2 2 3" xfId="12797" xr:uid="{00000000-0005-0000-0000-0000EE380000}"/>
    <cellStyle name="Normal 57 8 2 2 2 4" xfId="7507" xr:uid="{00000000-0005-0000-0000-0000EF380000}"/>
    <cellStyle name="Normal 57 8 2 2 3" xfId="3754" xr:uid="{00000000-0005-0000-0000-0000F0380000}"/>
    <cellStyle name="Normal 57 8 2 2 3 2" xfId="17400" xr:uid="{00000000-0005-0000-0000-0000F1380000}"/>
    <cellStyle name="Normal 57 8 2 2 3 3" xfId="13821" xr:uid="{00000000-0005-0000-0000-0000F2380000}"/>
    <cellStyle name="Normal 57 8 2 2 3 4" xfId="8564" xr:uid="{00000000-0005-0000-0000-0000F3380000}"/>
    <cellStyle name="Normal 57 8 2 2 4" xfId="6623" xr:uid="{00000000-0005-0000-0000-0000F4380000}"/>
    <cellStyle name="Normal 57 8 2 2 4 2" xfId="15707" xr:uid="{00000000-0005-0000-0000-0000F5380000}"/>
    <cellStyle name="Normal 57 8 2 2 5" xfId="10018" xr:uid="{00000000-0005-0000-0000-0000F6380000}"/>
    <cellStyle name="Normal 57 8 2 2 5 2" xfId="18845" xr:uid="{00000000-0005-0000-0000-0000F7380000}"/>
    <cellStyle name="Normal 57 8 2 2 6" xfId="11463" xr:uid="{00000000-0005-0000-0000-0000F8380000}"/>
    <cellStyle name="Normal 57 8 2 2 7" xfId="5101" xr:uid="{00000000-0005-0000-0000-0000F9380000}"/>
    <cellStyle name="Normal 57 8 2 3" xfId="1115" xr:uid="{00000000-0005-0000-0000-0000FA380000}"/>
    <cellStyle name="Normal 57 8 2 3 2" xfId="2835" xr:uid="{00000000-0005-0000-0000-0000FB380000}"/>
    <cellStyle name="Normal 57 8 2 3 2 2" xfId="16702" xr:uid="{00000000-0005-0000-0000-0000FC380000}"/>
    <cellStyle name="Normal 57 8 2 3 2 3" xfId="13123" xr:uid="{00000000-0005-0000-0000-0000FD380000}"/>
    <cellStyle name="Normal 57 8 2 3 2 4" xfId="7834" xr:uid="{00000000-0005-0000-0000-0000FE380000}"/>
    <cellStyle name="Normal 57 8 2 3 3" xfId="4103" xr:uid="{00000000-0005-0000-0000-0000FF380000}"/>
    <cellStyle name="Normal 57 8 2 3 3 2" xfId="17748" xr:uid="{00000000-0005-0000-0000-000000390000}"/>
    <cellStyle name="Normal 57 8 2 3 3 3" xfId="14169" xr:uid="{00000000-0005-0000-0000-000001390000}"/>
    <cellStyle name="Normal 57 8 2 3 3 4" xfId="8912" xr:uid="{00000000-0005-0000-0000-000002390000}"/>
    <cellStyle name="Normal 57 8 2 3 4" xfId="6241" xr:uid="{00000000-0005-0000-0000-000003390000}"/>
    <cellStyle name="Normal 57 8 2 3 4 2" xfId="15325" xr:uid="{00000000-0005-0000-0000-000004390000}"/>
    <cellStyle name="Normal 57 8 2 3 5" xfId="10366" xr:uid="{00000000-0005-0000-0000-000005390000}"/>
    <cellStyle name="Normal 57 8 2 3 5 2" xfId="19193" xr:uid="{00000000-0005-0000-0000-000006390000}"/>
    <cellStyle name="Normal 57 8 2 3 6" xfId="11812" xr:uid="{00000000-0005-0000-0000-000007390000}"/>
    <cellStyle name="Normal 57 8 2 3 7" xfId="5428" xr:uid="{00000000-0005-0000-0000-000008390000}"/>
    <cellStyle name="Normal 57 8 2 4" xfId="1555" xr:uid="{00000000-0005-0000-0000-000009390000}"/>
    <cellStyle name="Normal 57 8 2 4 2" xfId="3153" xr:uid="{00000000-0005-0000-0000-00000A390000}"/>
    <cellStyle name="Normal 57 8 2 4 2 2" xfId="18066" xr:uid="{00000000-0005-0000-0000-00000B390000}"/>
    <cellStyle name="Normal 57 8 2 4 2 3" xfId="14487" xr:uid="{00000000-0005-0000-0000-00000C390000}"/>
    <cellStyle name="Normal 57 8 2 4 2 4" xfId="9230" xr:uid="{00000000-0005-0000-0000-00000D390000}"/>
    <cellStyle name="Normal 57 8 2 4 3" xfId="10684" xr:uid="{00000000-0005-0000-0000-00000E390000}"/>
    <cellStyle name="Normal 57 8 2 4 3 2" xfId="19511" xr:uid="{00000000-0005-0000-0000-00000F390000}"/>
    <cellStyle name="Normal 57 8 2 4 4" xfId="12130" xr:uid="{00000000-0005-0000-0000-000010390000}"/>
    <cellStyle name="Normal 57 8 2 4 5" xfId="7125" xr:uid="{00000000-0005-0000-0000-000011390000}"/>
    <cellStyle name="Normal 57 8 2 5" xfId="2110" xr:uid="{00000000-0005-0000-0000-000012390000}"/>
    <cellStyle name="Normal 57 8 2 5 2" xfId="17023" xr:uid="{00000000-0005-0000-0000-000013390000}"/>
    <cellStyle name="Normal 57 8 2 5 3" xfId="13444" xr:uid="{00000000-0005-0000-0000-000014390000}"/>
    <cellStyle name="Normal 57 8 2 5 4" xfId="8187" xr:uid="{00000000-0005-0000-0000-000015390000}"/>
    <cellStyle name="Normal 57 8 2 6" xfId="5748" xr:uid="{00000000-0005-0000-0000-000016390000}"/>
    <cellStyle name="Normal 57 8 2 6 2" xfId="14834" xr:uid="{00000000-0005-0000-0000-000017390000}"/>
    <cellStyle name="Normal 57 8 2 7" xfId="9641" xr:uid="{00000000-0005-0000-0000-000018390000}"/>
    <cellStyle name="Normal 57 8 2 7 2" xfId="18468" xr:uid="{00000000-0005-0000-0000-000019390000}"/>
    <cellStyle name="Normal 57 8 2 8" xfId="11085" xr:uid="{00000000-0005-0000-0000-00001A390000}"/>
    <cellStyle name="Normal 57 8 2 9" xfId="4719" xr:uid="{00000000-0005-0000-0000-00001B390000}"/>
    <cellStyle name="Normal 57 8 2_Degree data" xfId="1732" xr:uid="{00000000-0005-0000-0000-00001C390000}"/>
    <cellStyle name="Normal 57 8 3" xfId="757" xr:uid="{00000000-0005-0000-0000-00001D390000}"/>
    <cellStyle name="Normal 57 8 3 2" xfId="2486" xr:uid="{00000000-0005-0000-0000-00001E390000}"/>
    <cellStyle name="Normal 57 8 3 2 2" xfId="16039" xr:uid="{00000000-0005-0000-0000-00001F390000}"/>
    <cellStyle name="Normal 57 8 3 2 3" xfId="12305" xr:uid="{00000000-0005-0000-0000-000020390000}"/>
    <cellStyle name="Normal 57 8 3 2 4" xfId="7025" xr:uid="{00000000-0005-0000-0000-000021390000}"/>
    <cellStyle name="Normal 57 8 3 3" xfId="3753" xr:uid="{00000000-0005-0000-0000-000022390000}"/>
    <cellStyle name="Normal 57 8 3 3 2" xfId="17399" xr:uid="{00000000-0005-0000-0000-000023390000}"/>
    <cellStyle name="Normal 57 8 3 3 3" xfId="13820" xr:uid="{00000000-0005-0000-0000-000024390000}"/>
    <cellStyle name="Normal 57 8 3 3 4" xfId="8563" xr:uid="{00000000-0005-0000-0000-000025390000}"/>
    <cellStyle name="Normal 57 8 3 4" xfId="6141" xr:uid="{00000000-0005-0000-0000-000026390000}"/>
    <cellStyle name="Normal 57 8 3 4 2" xfId="15225" xr:uid="{00000000-0005-0000-0000-000027390000}"/>
    <cellStyle name="Normal 57 8 3 5" xfId="10017" xr:uid="{00000000-0005-0000-0000-000028390000}"/>
    <cellStyle name="Normal 57 8 3 5 2" xfId="18844" xr:uid="{00000000-0005-0000-0000-000029390000}"/>
    <cellStyle name="Normal 57 8 3 6" xfId="11462" xr:uid="{00000000-0005-0000-0000-00002A390000}"/>
    <cellStyle name="Normal 57 8 3 7" xfId="4619" xr:uid="{00000000-0005-0000-0000-00002B390000}"/>
    <cellStyle name="Normal 57 8 4" xfId="1114" xr:uid="{00000000-0005-0000-0000-00002C390000}"/>
    <cellStyle name="Normal 57 8 4 2" xfId="2834" xr:uid="{00000000-0005-0000-0000-00002D390000}"/>
    <cellStyle name="Normal 57 8 4 2 2" xfId="16374" xr:uid="{00000000-0005-0000-0000-00002E390000}"/>
    <cellStyle name="Normal 57 8 4 2 3" xfId="12796" xr:uid="{00000000-0005-0000-0000-00002F390000}"/>
    <cellStyle name="Normal 57 8 4 2 4" xfId="7506" xr:uid="{00000000-0005-0000-0000-000030390000}"/>
    <cellStyle name="Normal 57 8 4 3" xfId="4102" xr:uid="{00000000-0005-0000-0000-000031390000}"/>
    <cellStyle name="Normal 57 8 4 3 2" xfId="17747" xr:uid="{00000000-0005-0000-0000-000032390000}"/>
    <cellStyle name="Normal 57 8 4 3 3" xfId="14168" xr:uid="{00000000-0005-0000-0000-000033390000}"/>
    <cellStyle name="Normal 57 8 4 3 4" xfId="8911" xr:uid="{00000000-0005-0000-0000-000034390000}"/>
    <cellStyle name="Normal 57 8 4 4" xfId="6622" xr:uid="{00000000-0005-0000-0000-000035390000}"/>
    <cellStyle name="Normal 57 8 4 4 2" xfId="15706" xr:uid="{00000000-0005-0000-0000-000036390000}"/>
    <cellStyle name="Normal 57 8 4 5" xfId="10365" xr:uid="{00000000-0005-0000-0000-000037390000}"/>
    <cellStyle name="Normal 57 8 4 5 2" xfId="19192" xr:uid="{00000000-0005-0000-0000-000038390000}"/>
    <cellStyle name="Normal 57 8 4 6" xfId="11811" xr:uid="{00000000-0005-0000-0000-000039390000}"/>
    <cellStyle name="Normal 57 8 4 7" xfId="5100" xr:uid="{00000000-0005-0000-0000-00003A390000}"/>
    <cellStyle name="Normal 57 8 5" xfId="1453" xr:uid="{00000000-0005-0000-0000-00003B390000}"/>
    <cellStyle name="Normal 57 8 5 2" xfId="3053" xr:uid="{00000000-0005-0000-0000-00003C390000}"/>
    <cellStyle name="Normal 57 8 5 2 2" xfId="16602" xr:uid="{00000000-0005-0000-0000-00003D390000}"/>
    <cellStyle name="Normal 57 8 5 2 3" xfId="13023" xr:uid="{00000000-0005-0000-0000-00003E390000}"/>
    <cellStyle name="Normal 57 8 5 2 4" xfId="7734" xr:uid="{00000000-0005-0000-0000-00003F390000}"/>
    <cellStyle name="Normal 57 8 5 3" xfId="4261" xr:uid="{00000000-0005-0000-0000-000040390000}"/>
    <cellStyle name="Normal 57 8 5 3 2" xfId="17966" xr:uid="{00000000-0005-0000-0000-000041390000}"/>
    <cellStyle name="Normal 57 8 5 3 3" xfId="14387" xr:uid="{00000000-0005-0000-0000-000042390000}"/>
    <cellStyle name="Normal 57 8 5 3 4" xfId="9130" xr:uid="{00000000-0005-0000-0000-000043390000}"/>
    <cellStyle name="Normal 57 8 5 4" xfId="5922" xr:uid="{00000000-0005-0000-0000-000044390000}"/>
    <cellStyle name="Normal 57 8 5 4 2" xfId="15008" xr:uid="{00000000-0005-0000-0000-000045390000}"/>
    <cellStyle name="Normal 57 8 5 5" xfId="10584" xr:uid="{00000000-0005-0000-0000-000046390000}"/>
    <cellStyle name="Normal 57 8 5 5 2" xfId="19411" xr:uid="{00000000-0005-0000-0000-000047390000}"/>
    <cellStyle name="Normal 57 8 5 6" xfId="12030" xr:uid="{00000000-0005-0000-0000-000048390000}"/>
    <cellStyle name="Normal 57 8 5 7" xfId="5328" xr:uid="{00000000-0005-0000-0000-000049390000}"/>
    <cellStyle name="Normal 57 8 6" xfId="2010" xr:uid="{00000000-0005-0000-0000-00004A390000}"/>
    <cellStyle name="Normal 57 8 6 2" xfId="15851" xr:uid="{00000000-0005-0000-0000-00004B390000}"/>
    <cellStyle name="Normal 57 8 6 3" xfId="12435" xr:uid="{00000000-0005-0000-0000-00004C390000}"/>
    <cellStyle name="Normal 57 8 6 4" xfId="6808" xr:uid="{00000000-0005-0000-0000-00004D390000}"/>
    <cellStyle name="Normal 57 8 7" xfId="3423" xr:uid="{00000000-0005-0000-0000-00004E390000}"/>
    <cellStyle name="Normal 57 8 7 2" xfId="16923" xr:uid="{00000000-0005-0000-0000-00004F390000}"/>
    <cellStyle name="Normal 57 8 7 3" xfId="13344" xr:uid="{00000000-0005-0000-0000-000050390000}"/>
    <cellStyle name="Normal 57 8 7 4" xfId="8087" xr:uid="{00000000-0005-0000-0000-000051390000}"/>
    <cellStyle name="Normal 57 8 8" xfId="5648" xr:uid="{00000000-0005-0000-0000-000052390000}"/>
    <cellStyle name="Normal 57 8 8 2" xfId="14734" xr:uid="{00000000-0005-0000-0000-000053390000}"/>
    <cellStyle name="Normal 57 8 9" xfId="9541" xr:uid="{00000000-0005-0000-0000-000054390000}"/>
    <cellStyle name="Normal 57 8 9 2" xfId="18368" xr:uid="{00000000-0005-0000-0000-000055390000}"/>
    <cellStyle name="Normal 57 8_Degree data" xfId="1731" xr:uid="{00000000-0005-0000-0000-000056390000}"/>
    <cellStyle name="Normal 57 9" xfId="174" xr:uid="{00000000-0005-0000-0000-000057390000}"/>
    <cellStyle name="Normal 57 9 10" xfId="10928" xr:uid="{00000000-0005-0000-0000-000058390000}"/>
    <cellStyle name="Normal 57 9 11" xfId="4450" xr:uid="{00000000-0005-0000-0000-000059390000}"/>
    <cellStyle name="Normal 57 9 2" xfId="391" xr:uid="{00000000-0005-0000-0000-00005A390000}"/>
    <cellStyle name="Normal 57 9 2 2" xfId="760" xr:uid="{00000000-0005-0000-0000-00005B390000}"/>
    <cellStyle name="Normal 57 9 2 2 2" xfId="2489" xr:uid="{00000000-0005-0000-0000-00005C390000}"/>
    <cellStyle name="Normal 57 9 2 2 2 2" xfId="16377" xr:uid="{00000000-0005-0000-0000-00005D390000}"/>
    <cellStyle name="Normal 57 9 2 2 2 3" xfId="12799" xr:uid="{00000000-0005-0000-0000-00005E390000}"/>
    <cellStyle name="Normal 57 9 2 2 2 4" xfId="7509" xr:uid="{00000000-0005-0000-0000-00005F390000}"/>
    <cellStyle name="Normal 57 9 2 2 3" xfId="3756" xr:uid="{00000000-0005-0000-0000-000060390000}"/>
    <cellStyle name="Normal 57 9 2 2 3 2" xfId="17402" xr:uid="{00000000-0005-0000-0000-000061390000}"/>
    <cellStyle name="Normal 57 9 2 2 3 3" xfId="13823" xr:uid="{00000000-0005-0000-0000-000062390000}"/>
    <cellStyle name="Normal 57 9 2 2 3 4" xfId="8566" xr:uid="{00000000-0005-0000-0000-000063390000}"/>
    <cellStyle name="Normal 57 9 2 2 4" xfId="6625" xr:uid="{00000000-0005-0000-0000-000064390000}"/>
    <cellStyle name="Normal 57 9 2 2 4 2" xfId="15709" xr:uid="{00000000-0005-0000-0000-000065390000}"/>
    <cellStyle name="Normal 57 9 2 2 5" xfId="10020" xr:uid="{00000000-0005-0000-0000-000066390000}"/>
    <cellStyle name="Normal 57 9 2 2 5 2" xfId="18847" xr:uid="{00000000-0005-0000-0000-000067390000}"/>
    <cellStyle name="Normal 57 9 2 2 6" xfId="11465" xr:uid="{00000000-0005-0000-0000-000068390000}"/>
    <cellStyle name="Normal 57 9 2 2 7" xfId="5103" xr:uid="{00000000-0005-0000-0000-000069390000}"/>
    <cellStyle name="Normal 57 9 2 3" xfId="1117" xr:uid="{00000000-0005-0000-0000-00006A390000}"/>
    <cellStyle name="Normal 57 9 2 3 2" xfId="2837" xr:uid="{00000000-0005-0000-0000-00006B390000}"/>
    <cellStyle name="Normal 57 9 2 3 2 2" xfId="16750" xr:uid="{00000000-0005-0000-0000-00006C390000}"/>
    <cellStyle name="Normal 57 9 2 3 2 3" xfId="13171" xr:uid="{00000000-0005-0000-0000-00006D390000}"/>
    <cellStyle name="Normal 57 9 2 3 2 4" xfId="7882" xr:uid="{00000000-0005-0000-0000-00006E390000}"/>
    <cellStyle name="Normal 57 9 2 3 3" xfId="4105" xr:uid="{00000000-0005-0000-0000-00006F390000}"/>
    <cellStyle name="Normal 57 9 2 3 3 2" xfId="17750" xr:uid="{00000000-0005-0000-0000-000070390000}"/>
    <cellStyle name="Normal 57 9 2 3 3 3" xfId="14171" xr:uid="{00000000-0005-0000-0000-000071390000}"/>
    <cellStyle name="Normal 57 9 2 3 3 4" xfId="8914" xr:uid="{00000000-0005-0000-0000-000072390000}"/>
    <cellStyle name="Normal 57 9 2 3 4" xfId="6289" xr:uid="{00000000-0005-0000-0000-000073390000}"/>
    <cellStyle name="Normal 57 9 2 3 4 2" xfId="15373" xr:uid="{00000000-0005-0000-0000-000074390000}"/>
    <cellStyle name="Normal 57 9 2 3 5" xfId="10368" xr:uid="{00000000-0005-0000-0000-000075390000}"/>
    <cellStyle name="Normal 57 9 2 3 5 2" xfId="19195" xr:uid="{00000000-0005-0000-0000-000076390000}"/>
    <cellStyle name="Normal 57 9 2 3 6" xfId="11814" xr:uid="{00000000-0005-0000-0000-000077390000}"/>
    <cellStyle name="Normal 57 9 2 3 7" xfId="5476" xr:uid="{00000000-0005-0000-0000-000078390000}"/>
    <cellStyle name="Normal 57 9 2 4" xfId="1605" xr:uid="{00000000-0005-0000-0000-000079390000}"/>
    <cellStyle name="Normal 57 9 2 4 2" xfId="3201" xr:uid="{00000000-0005-0000-0000-00007A390000}"/>
    <cellStyle name="Normal 57 9 2 4 2 2" xfId="18114" xr:uid="{00000000-0005-0000-0000-00007B390000}"/>
    <cellStyle name="Normal 57 9 2 4 2 3" xfId="14535" xr:uid="{00000000-0005-0000-0000-00007C390000}"/>
    <cellStyle name="Normal 57 9 2 4 2 4" xfId="9278" xr:uid="{00000000-0005-0000-0000-00007D390000}"/>
    <cellStyle name="Normal 57 9 2 4 3" xfId="10732" xr:uid="{00000000-0005-0000-0000-00007E390000}"/>
    <cellStyle name="Normal 57 9 2 4 3 2" xfId="19559" xr:uid="{00000000-0005-0000-0000-00007F390000}"/>
    <cellStyle name="Normal 57 9 2 4 4" xfId="12178" xr:uid="{00000000-0005-0000-0000-000080390000}"/>
    <cellStyle name="Normal 57 9 2 4 5" xfId="7173" xr:uid="{00000000-0005-0000-0000-000081390000}"/>
    <cellStyle name="Normal 57 9 2 5" xfId="2158" xr:uid="{00000000-0005-0000-0000-000082390000}"/>
    <cellStyle name="Normal 57 9 2 5 2" xfId="17071" xr:uid="{00000000-0005-0000-0000-000083390000}"/>
    <cellStyle name="Normal 57 9 2 5 3" xfId="13492" xr:uid="{00000000-0005-0000-0000-000084390000}"/>
    <cellStyle name="Normal 57 9 2 5 4" xfId="8235" xr:uid="{00000000-0005-0000-0000-000085390000}"/>
    <cellStyle name="Normal 57 9 2 6" xfId="5796" xr:uid="{00000000-0005-0000-0000-000086390000}"/>
    <cellStyle name="Normal 57 9 2 6 2" xfId="14882" xr:uid="{00000000-0005-0000-0000-000087390000}"/>
    <cellStyle name="Normal 57 9 2 7" xfId="9689" xr:uid="{00000000-0005-0000-0000-000088390000}"/>
    <cellStyle name="Normal 57 9 2 7 2" xfId="18516" xr:uid="{00000000-0005-0000-0000-000089390000}"/>
    <cellStyle name="Normal 57 9 2 8" xfId="11133" xr:uid="{00000000-0005-0000-0000-00008A390000}"/>
    <cellStyle name="Normal 57 9 2 9" xfId="4767" xr:uid="{00000000-0005-0000-0000-00008B390000}"/>
    <cellStyle name="Normal 57 9 2_Degree data" xfId="1734" xr:uid="{00000000-0005-0000-0000-00008C390000}"/>
    <cellStyle name="Normal 57 9 3" xfId="759" xr:uid="{00000000-0005-0000-0000-00008D390000}"/>
    <cellStyle name="Normal 57 9 3 2" xfId="2488" xr:uid="{00000000-0005-0000-0000-00008E390000}"/>
    <cellStyle name="Normal 57 9 3 2 2" xfId="15982" xr:uid="{00000000-0005-0000-0000-00008F390000}"/>
    <cellStyle name="Normal 57 9 3 2 3" xfId="12335" xr:uid="{00000000-0005-0000-0000-000090390000}"/>
    <cellStyle name="Normal 57 9 3 2 4" xfId="6968" xr:uid="{00000000-0005-0000-0000-000091390000}"/>
    <cellStyle name="Normal 57 9 3 3" xfId="3755" xr:uid="{00000000-0005-0000-0000-000092390000}"/>
    <cellStyle name="Normal 57 9 3 3 2" xfId="17401" xr:uid="{00000000-0005-0000-0000-000093390000}"/>
    <cellStyle name="Normal 57 9 3 3 3" xfId="13822" xr:uid="{00000000-0005-0000-0000-000094390000}"/>
    <cellStyle name="Normal 57 9 3 3 4" xfId="8565" xr:uid="{00000000-0005-0000-0000-000095390000}"/>
    <cellStyle name="Normal 57 9 3 4" xfId="6084" xr:uid="{00000000-0005-0000-0000-000096390000}"/>
    <cellStyle name="Normal 57 9 3 4 2" xfId="15168" xr:uid="{00000000-0005-0000-0000-000097390000}"/>
    <cellStyle name="Normal 57 9 3 5" xfId="10019" xr:uid="{00000000-0005-0000-0000-000098390000}"/>
    <cellStyle name="Normal 57 9 3 5 2" xfId="18846" xr:uid="{00000000-0005-0000-0000-000099390000}"/>
    <cellStyle name="Normal 57 9 3 6" xfId="11464" xr:uid="{00000000-0005-0000-0000-00009A390000}"/>
    <cellStyle name="Normal 57 9 3 7" xfId="4562" xr:uid="{00000000-0005-0000-0000-00009B390000}"/>
    <cellStyle name="Normal 57 9 4" xfId="1116" xr:uid="{00000000-0005-0000-0000-00009C390000}"/>
    <cellStyle name="Normal 57 9 4 2" xfId="2836" xr:uid="{00000000-0005-0000-0000-00009D390000}"/>
    <cellStyle name="Normal 57 9 4 2 2" xfId="16376" xr:uid="{00000000-0005-0000-0000-00009E390000}"/>
    <cellStyle name="Normal 57 9 4 2 3" xfId="12798" xr:uid="{00000000-0005-0000-0000-00009F390000}"/>
    <cellStyle name="Normal 57 9 4 2 4" xfId="7508" xr:uid="{00000000-0005-0000-0000-0000A0390000}"/>
    <cellStyle name="Normal 57 9 4 3" xfId="4104" xr:uid="{00000000-0005-0000-0000-0000A1390000}"/>
    <cellStyle name="Normal 57 9 4 3 2" xfId="17749" xr:uid="{00000000-0005-0000-0000-0000A2390000}"/>
    <cellStyle name="Normal 57 9 4 3 3" xfId="14170" xr:uid="{00000000-0005-0000-0000-0000A3390000}"/>
    <cellStyle name="Normal 57 9 4 3 4" xfId="8913" xr:uid="{00000000-0005-0000-0000-0000A4390000}"/>
    <cellStyle name="Normal 57 9 4 4" xfId="6624" xr:uid="{00000000-0005-0000-0000-0000A5390000}"/>
    <cellStyle name="Normal 57 9 4 4 2" xfId="15708" xr:uid="{00000000-0005-0000-0000-0000A6390000}"/>
    <cellStyle name="Normal 57 9 4 5" xfId="10367" xr:uid="{00000000-0005-0000-0000-0000A7390000}"/>
    <cellStyle name="Normal 57 9 4 5 2" xfId="19194" xr:uid="{00000000-0005-0000-0000-0000A8390000}"/>
    <cellStyle name="Normal 57 9 4 6" xfId="11813" xr:uid="{00000000-0005-0000-0000-0000A9390000}"/>
    <cellStyle name="Normal 57 9 4 7" xfId="5102" xr:uid="{00000000-0005-0000-0000-0000AA390000}"/>
    <cellStyle name="Normal 57 9 5" xfId="1391" xr:uid="{00000000-0005-0000-0000-0000AB390000}"/>
    <cellStyle name="Normal 57 9 5 2" xfId="2996" xr:uid="{00000000-0005-0000-0000-0000AC390000}"/>
    <cellStyle name="Normal 57 9 5 2 2" xfId="16545" xr:uid="{00000000-0005-0000-0000-0000AD390000}"/>
    <cellStyle name="Normal 57 9 5 2 3" xfId="12966" xr:uid="{00000000-0005-0000-0000-0000AE390000}"/>
    <cellStyle name="Normal 57 9 5 2 4" xfId="7677" xr:uid="{00000000-0005-0000-0000-0000AF390000}"/>
    <cellStyle name="Normal 57 9 5 3" xfId="4204" xr:uid="{00000000-0005-0000-0000-0000B0390000}"/>
    <cellStyle name="Normal 57 9 5 3 2" xfId="17909" xr:uid="{00000000-0005-0000-0000-0000B1390000}"/>
    <cellStyle name="Normal 57 9 5 3 3" xfId="14330" xr:uid="{00000000-0005-0000-0000-0000B2390000}"/>
    <cellStyle name="Normal 57 9 5 3 4" xfId="9073" xr:uid="{00000000-0005-0000-0000-0000B3390000}"/>
    <cellStyle name="Normal 57 9 5 4" xfId="5970" xr:uid="{00000000-0005-0000-0000-0000B4390000}"/>
    <cellStyle name="Normal 57 9 5 4 2" xfId="15056" xr:uid="{00000000-0005-0000-0000-0000B5390000}"/>
    <cellStyle name="Normal 57 9 5 5" xfId="10527" xr:uid="{00000000-0005-0000-0000-0000B6390000}"/>
    <cellStyle name="Normal 57 9 5 5 2" xfId="19354" xr:uid="{00000000-0005-0000-0000-0000B7390000}"/>
    <cellStyle name="Normal 57 9 5 6" xfId="11973" xr:uid="{00000000-0005-0000-0000-0000B8390000}"/>
    <cellStyle name="Normal 57 9 5 7" xfId="5271" xr:uid="{00000000-0005-0000-0000-0000B9390000}"/>
    <cellStyle name="Normal 57 9 6" xfId="1953" xr:uid="{00000000-0005-0000-0000-0000BA390000}"/>
    <cellStyle name="Normal 57 9 6 2" xfId="15899" xr:uid="{00000000-0005-0000-0000-0000BB390000}"/>
    <cellStyle name="Normal 57 9 6 3" xfId="12481" xr:uid="{00000000-0005-0000-0000-0000BC390000}"/>
    <cellStyle name="Normal 57 9 6 4" xfId="6856" xr:uid="{00000000-0005-0000-0000-0000BD390000}"/>
    <cellStyle name="Normal 57 9 7" xfId="3367" xr:uid="{00000000-0005-0000-0000-0000BE390000}"/>
    <cellStyle name="Normal 57 9 7 2" xfId="16866" xr:uid="{00000000-0005-0000-0000-0000BF390000}"/>
    <cellStyle name="Normal 57 9 7 3" xfId="13287" xr:uid="{00000000-0005-0000-0000-0000C0390000}"/>
    <cellStyle name="Normal 57 9 7 4" xfId="8030" xr:uid="{00000000-0005-0000-0000-0000C1390000}"/>
    <cellStyle name="Normal 57 9 8" xfId="5591" xr:uid="{00000000-0005-0000-0000-0000C2390000}"/>
    <cellStyle name="Normal 57 9 8 2" xfId="14677" xr:uid="{00000000-0005-0000-0000-0000C3390000}"/>
    <cellStyle name="Normal 57 9 9" xfId="9484" xr:uid="{00000000-0005-0000-0000-0000C4390000}"/>
    <cellStyle name="Normal 57 9 9 2" xfId="18311" xr:uid="{00000000-0005-0000-0000-0000C5390000}"/>
    <cellStyle name="Normal 57 9_Degree data" xfId="1733" xr:uid="{00000000-0005-0000-0000-0000C6390000}"/>
    <cellStyle name="Normal 57_Degree data" xfId="1677" xr:uid="{00000000-0005-0000-0000-0000C7390000}"/>
    <cellStyle name="Normal 58" xfId="28" xr:uid="{00000000-0005-0000-0000-0000C8390000}"/>
    <cellStyle name="Normal 58 10" xfId="286" xr:uid="{00000000-0005-0000-0000-0000C9390000}"/>
    <cellStyle name="Normal 58 10 2" xfId="762" xr:uid="{00000000-0005-0000-0000-0000CA390000}"/>
    <cellStyle name="Normal 58 10 2 2" xfId="2491" xr:uid="{00000000-0005-0000-0000-0000CB390000}"/>
    <cellStyle name="Normal 58 10 2 2 2" xfId="16379" xr:uid="{00000000-0005-0000-0000-0000CC390000}"/>
    <cellStyle name="Normal 58 10 2 2 3" xfId="12801" xr:uid="{00000000-0005-0000-0000-0000CD390000}"/>
    <cellStyle name="Normal 58 10 2 2 4" xfId="7511" xr:uid="{00000000-0005-0000-0000-0000CE390000}"/>
    <cellStyle name="Normal 58 10 2 3" xfId="3758" xr:uid="{00000000-0005-0000-0000-0000CF390000}"/>
    <cellStyle name="Normal 58 10 2 3 2" xfId="17404" xr:uid="{00000000-0005-0000-0000-0000D0390000}"/>
    <cellStyle name="Normal 58 10 2 3 3" xfId="13825" xr:uid="{00000000-0005-0000-0000-0000D1390000}"/>
    <cellStyle name="Normal 58 10 2 3 4" xfId="8568" xr:uid="{00000000-0005-0000-0000-0000D2390000}"/>
    <cellStyle name="Normal 58 10 2 4" xfId="6627" xr:uid="{00000000-0005-0000-0000-0000D3390000}"/>
    <cellStyle name="Normal 58 10 2 4 2" xfId="15711" xr:uid="{00000000-0005-0000-0000-0000D4390000}"/>
    <cellStyle name="Normal 58 10 2 5" xfId="10022" xr:uid="{00000000-0005-0000-0000-0000D5390000}"/>
    <cellStyle name="Normal 58 10 2 5 2" xfId="18849" xr:uid="{00000000-0005-0000-0000-0000D6390000}"/>
    <cellStyle name="Normal 58 10 2 6" xfId="11467" xr:uid="{00000000-0005-0000-0000-0000D7390000}"/>
    <cellStyle name="Normal 58 10 2 7" xfId="5105" xr:uid="{00000000-0005-0000-0000-0000D8390000}"/>
    <cellStyle name="Normal 58 10 3" xfId="1119" xr:uid="{00000000-0005-0000-0000-0000D9390000}"/>
    <cellStyle name="Normal 58 10 3 2" xfId="2839" xr:uid="{00000000-0005-0000-0000-0000DA390000}"/>
    <cellStyle name="Normal 58 10 3 2 2" xfId="16646" xr:uid="{00000000-0005-0000-0000-0000DB390000}"/>
    <cellStyle name="Normal 58 10 3 2 3" xfId="13067" xr:uid="{00000000-0005-0000-0000-0000DC390000}"/>
    <cellStyle name="Normal 58 10 3 2 4" xfId="7778" xr:uid="{00000000-0005-0000-0000-0000DD390000}"/>
    <cellStyle name="Normal 58 10 3 3" xfId="4107" xr:uid="{00000000-0005-0000-0000-0000DE390000}"/>
    <cellStyle name="Normal 58 10 3 3 2" xfId="17752" xr:uid="{00000000-0005-0000-0000-0000DF390000}"/>
    <cellStyle name="Normal 58 10 3 3 3" xfId="14173" xr:uid="{00000000-0005-0000-0000-0000E0390000}"/>
    <cellStyle name="Normal 58 10 3 3 4" xfId="8916" xr:uid="{00000000-0005-0000-0000-0000E1390000}"/>
    <cellStyle name="Normal 58 10 3 4" xfId="6185" xr:uid="{00000000-0005-0000-0000-0000E2390000}"/>
    <cellStyle name="Normal 58 10 3 4 2" xfId="15269" xr:uid="{00000000-0005-0000-0000-0000E3390000}"/>
    <cellStyle name="Normal 58 10 3 5" xfId="10370" xr:uid="{00000000-0005-0000-0000-0000E4390000}"/>
    <cellStyle name="Normal 58 10 3 5 2" xfId="19197" xr:uid="{00000000-0005-0000-0000-0000E5390000}"/>
    <cellStyle name="Normal 58 10 3 6" xfId="11816" xr:uid="{00000000-0005-0000-0000-0000E6390000}"/>
    <cellStyle name="Normal 58 10 3 7" xfId="5372" xr:uid="{00000000-0005-0000-0000-0000E7390000}"/>
    <cellStyle name="Normal 58 10 4" xfId="1498" xr:uid="{00000000-0005-0000-0000-0000E8390000}"/>
    <cellStyle name="Normal 58 10 4 2" xfId="3097" xr:uid="{00000000-0005-0000-0000-0000E9390000}"/>
    <cellStyle name="Normal 58 10 4 2 2" xfId="18010" xr:uid="{00000000-0005-0000-0000-0000EA390000}"/>
    <cellStyle name="Normal 58 10 4 2 3" xfId="14431" xr:uid="{00000000-0005-0000-0000-0000EB390000}"/>
    <cellStyle name="Normal 58 10 4 2 4" xfId="9174" xr:uid="{00000000-0005-0000-0000-0000EC390000}"/>
    <cellStyle name="Normal 58 10 4 3" xfId="10628" xr:uid="{00000000-0005-0000-0000-0000ED390000}"/>
    <cellStyle name="Normal 58 10 4 3 2" xfId="19455" xr:uid="{00000000-0005-0000-0000-0000EE390000}"/>
    <cellStyle name="Normal 58 10 4 4" xfId="12074" xr:uid="{00000000-0005-0000-0000-0000EF390000}"/>
    <cellStyle name="Normal 58 10 4 5" xfId="7069" xr:uid="{00000000-0005-0000-0000-0000F0390000}"/>
    <cellStyle name="Normal 58 10 5" xfId="2054" xr:uid="{00000000-0005-0000-0000-0000F1390000}"/>
    <cellStyle name="Normal 58 10 5 2" xfId="16967" xr:uid="{00000000-0005-0000-0000-0000F2390000}"/>
    <cellStyle name="Normal 58 10 5 3" xfId="13388" xr:uid="{00000000-0005-0000-0000-0000F3390000}"/>
    <cellStyle name="Normal 58 10 5 4" xfId="8131" xr:uid="{00000000-0005-0000-0000-0000F4390000}"/>
    <cellStyle name="Normal 58 10 6" xfId="5692" xr:uid="{00000000-0005-0000-0000-0000F5390000}"/>
    <cellStyle name="Normal 58 10 6 2" xfId="14778" xr:uid="{00000000-0005-0000-0000-0000F6390000}"/>
    <cellStyle name="Normal 58 10 7" xfId="9585" xr:uid="{00000000-0005-0000-0000-0000F7390000}"/>
    <cellStyle name="Normal 58 10 7 2" xfId="18412" xr:uid="{00000000-0005-0000-0000-0000F8390000}"/>
    <cellStyle name="Normal 58 10 8" xfId="11029" xr:uid="{00000000-0005-0000-0000-0000F9390000}"/>
    <cellStyle name="Normal 58 10 9" xfId="4663" xr:uid="{00000000-0005-0000-0000-0000FA390000}"/>
    <cellStyle name="Normal 58 10_Degree data" xfId="1736" xr:uid="{00000000-0005-0000-0000-0000FB390000}"/>
    <cellStyle name="Normal 58 11" xfId="464" xr:uid="{00000000-0005-0000-0000-0000FC390000}"/>
    <cellStyle name="Normal 58 11 2" xfId="763" xr:uid="{00000000-0005-0000-0000-0000FD390000}"/>
    <cellStyle name="Normal 58 11 2 2" xfId="2492" xr:uid="{00000000-0005-0000-0000-0000FE390000}"/>
    <cellStyle name="Normal 58 11 2 2 2" xfId="16380" xr:uid="{00000000-0005-0000-0000-0000FF390000}"/>
    <cellStyle name="Normal 58 11 2 2 3" xfId="12802" xr:uid="{00000000-0005-0000-0000-0000003A0000}"/>
    <cellStyle name="Normal 58 11 2 2 4" xfId="7512" xr:uid="{00000000-0005-0000-0000-0000013A0000}"/>
    <cellStyle name="Normal 58 11 2 3" xfId="3759" xr:uid="{00000000-0005-0000-0000-0000023A0000}"/>
    <cellStyle name="Normal 58 11 2 3 2" xfId="17405" xr:uid="{00000000-0005-0000-0000-0000033A0000}"/>
    <cellStyle name="Normal 58 11 2 3 3" xfId="13826" xr:uid="{00000000-0005-0000-0000-0000043A0000}"/>
    <cellStyle name="Normal 58 11 2 3 4" xfId="8569" xr:uid="{00000000-0005-0000-0000-0000053A0000}"/>
    <cellStyle name="Normal 58 11 2 4" xfId="6628" xr:uid="{00000000-0005-0000-0000-0000063A0000}"/>
    <cellStyle name="Normal 58 11 2 4 2" xfId="15712" xr:uid="{00000000-0005-0000-0000-0000073A0000}"/>
    <cellStyle name="Normal 58 11 2 5" xfId="10023" xr:uid="{00000000-0005-0000-0000-0000083A0000}"/>
    <cellStyle name="Normal 58 11 2 5 2" xfId="18850" xr:uid="{00000000-0005-0000-0000-0000093A0000}"/>
    <cellStyle name="Normal 58 11 2 6" xfId="11468" xr:uid="{00000000-0005-0000-0000-00000A3A0000}"/>
    <cellStyle name="Normal 58 11 2 7" xfId="5106" xr:uid="{00000000-0005-0000-0000-00000B3A0000}"/>
    <cellStyle name="Normal 58 11 3" xfId="1120" xr:uid="{00000000-0005-0000-0000-00000C3A0000}"/>
    <cellStyle name="Normal 58 11 3 2" xfId="2840" xr:uid="{00000000-0005-0000-0000-00000D3A0000}"/>
    <cellStyle name="Normal 58 11 3 2 2" xfId="16502" xr:uid="{00000000-0005-0000-0000-00000E3A0000}"/>
    <cellStyle name="Normal 58 11 3 2 3" xfId="12924" xr:uid="{00000000-0005-0000-0000-00000F3A0000}"/>
    <cellStyle name="Normal 58 11 3 2 4" xfId="7634" xr:uid="{00000000-0005-0000-0000-0000103A0000}"/>
    <cellStyle name="Normal 58 11 3 3" xfId="4108" xr:uid="{00000000-0005-0000-0000-0000113A0000}"/>
    <cellStyle name="Normal 58 11 3 3 2" xfId="17753" xr:uid="{00000000-0005-0000-0000-0000123A0000}"/>
    <cellStyle name="Normal 58 11 3 3 3" xfId="14174" xr:uid="{00000000-0005-0000-0000-0000133A0000}"/>
    <cellStyle name="Normal 58 11 3 3 4" xfId="8917" xr:uid="{00000000-0005-0000-0000-0000143A0000}"/>
    <cellStyle name="Normal 58 11 3 4" xfId="6743" xr:uid="{00000000-0005-0000-0000-0000153A0000}"/>
    <cellStyle name="Normal 58 11 3 4 2" xfId="15826" xr:uid="{00000000-0005-0000-0000-0000163A0000}"/>
    <cellStyle name="Normal 58 11 3 5" xfId="10371" xr:uid="{00000000-0005-0000-0000-0000173A0000}"/>
    <cellStyle name="Normal 58 11 3 5 2" xfId="19198" xr:uid="{00000000-0005-0000-0000-0000183A0000}"/>
    <cellStyle name="Normal 58 11 3 6" xfId="11817" xr:uid="{00000000-0005-0000-0000-0000193A0000}"/>
    <cellStyle name="Normal 58 11 3 7" xfId="5228" xr:uid="{00000000-0005-0000-0000-00001A3A0000}"/>
    <cellStyle name="Normal 58 11 4" xfId="1340" xr:uid="{00000000-0005-0000-0000-00001B3A0000}"/>
    <cellStyle name="Normal 58 11 4 2" xfId="2953" xr:uid="{00000000-0005-0000-0000-00001C3A0000}"/>
    <cellStyle name="Normal 58 11 4 2 2" xfId="17866" xr:uid="{00000000-0005-0000-0000-00001D3A0000}"/>
    <cellStyle name="Normal 58 11 4 2 3" xfId="14287" xr:uid="{00000000-0005-0000-0000-00001E3A0000}"/>
    <cellStyle name="Normal 58 11 4 2 4" xfId="9030" xr:uid="{00000000-0005-0000-0000-00001F3A0000}"/>
    <cellStyle name="Normal 58 11 4 3" xfId="10484" xr:uid="{00000000-0005-0000-0000-0000203A0000}"/>
    <cellStyle name="Normal 58 11 4 3 2" xfId="19311" xr:uid="{00000000-0005-0000-0000-0000213A0000}"/>
    <cellStyle name="Normal 58 11 4 4" xfId="11930" xr:uid="{00000000-0005-0000-0000-0000223A0000}"/>
    <cellStyle name="Normal 58 11 4 5" xfId="6925" xr:uid="{00000000-0005-0000-0000-0000233A0000}"/>
    <cellStyle name="Normal 58 11 5" xfId="1910" xr:uid="{00000000-0005-0000-0000-0000243A0000}"/>
    <cellStyle name="Normal 58 11 5 2" xfId="16821" xr:uid="{00000000-0005-0000-0000-0000253A0000}"/>
    <cellStyle name="Normal 58 11 5 3" xfId="13242" xr:uid="{00000000-0005-0000-0000-0000263A0000}"/>
    <cellStyle name="Normal 58 11 5 4" xfId="7985" xr:uid="{00000000-0005-0000-0000-0000273A0000}"/>
    <cellStyle name="Normal 58 11 6" xfId="6041" xr:uid="{00000000-0005-0000-0000-0000283A0000}"/>
    <cellStyle name="Normal 58 11 6 2" xfId="15125" xr:uid="{00000000-0005-0000-0000-0000293A0000}"/>
    <cellStyle name="Normal 58 11 7" xfId="9441" xr:uid="{00000000-0005-0000-0000-00002A3A0000}"/>
    <cellStyle name="Normal 58 11 7 2" xfId="18268" xr:uid="{00000000-0005-0000-0000-00002B3A0000}"/>
    <cellStyle name="Normal 58 11 8" xfId="10885" xr:uid="{00000000-0005-0000-0000-00002C3A0000}"/>
    <cellStyle name="Normal 58 11 9" xfId="4519" xr:uid="{00000000-0005-0000-0000-00002D3A0000}"/>
    <cellStyle name="Normal 58 11_Degree data" xfId="1737" xr:uid="{00000000-0005-0000-0000-00002E3A0000}"/>
    <cellStyle name="Normal 58 12" xfId="761" xr:uid="{00000000-0005-0000-0000-00002F3A0000}"/>
    <cellStyle name="Normal 58 12 2" xfId="2490" xr:uid="{00000000-0005-0000-0000-0000303A0000}"/>
    <cellStyle name="Normal 58 12 2 2" xfId="16378" xr:uid="{00000000-0005-0000-0000-0000313A0000}"/>
    <cellStyle name="Normal 58 12 2 3" xfId="12800" xr:uid="{00000000-0005-0000-0000-0000323A0000}"/>
    <cellStyle name="Normal 58 12 2 4" xfId="7510" xr:uid="{00000000-0005-0000-0000-0000333A0000}"/>
    <cellStyle name="Normal 58 12 3" xfId="3757" xr:uid="{00000000-0005-0000-0000-0000343A0000}"/>
    <cellStyle name="Normal 58 12 3 2" xfId="17403" xr:uid="{00000000-0005-0000-0000-0000353A0000}"/>
    <cellStyle name="Normal 58 12 3 3" xfId="13824" xr:uid="{00000000-0005-0000-0000-0000363A0000}"/>
    <cellStyle name="Normal 58 12 3 4" xfId="8567" xr:uid="{00000000-0005-0000-0000-0000373A0000}"/>
    <cellStyle name="Normal 58 12 4" xfId="6626" xr:uid="{00000000-0005-0000-0000-0000383A0000}"/>
    <cellStyle name="Normal 58 12 4 2" xfId="15710" xr:uid="{00000000-0005-0000-0000-0000393A0000}"/>
    <cellStyle name="Normal 58 12 5" xfId="10021" xr:uid="{00000000-0005-0000-0000-00003A3A0000}"/>
    <cellStyle name="Normal 58 12 5 2" xfId="18848" xr:uid="{00000000-0005-0000-0000-00003B3A0000}"/>
    <cellStyle name="Normal 58 12 6" xfId="11466" xr:uid="{00000000-0005-0000-0000-00003C3A0000}"/>
    <cellStyle name="Normal 58 12 7" xfId="5104" xr:uid="{00000000-0005-0000-0000-00003D3A0000}"/>
    <cellStyle name="Normal 58 13" xfId="1118" xr:uid="{00000000-0005-0000-0000-00003E3A0000}"/>
    <cellStyle name="Normal 58 13 2" xfId="2838" xr:uid="{00000000-0005-0000-0000-00003F3A0000}"/>
    <cellStyle name="Normal 58 13 2 2" xfId="16475" xr:uid="{00000000-0005-0000-0000-0000403A0000}"/>
    <cellStyle name="Normal 58 13 2 3" xfId="12897" xr:uid="{00000000-0005-0000-0000-0000413A0000}"/>
    <cellStyle name="Normal 58 13 2 4" xfId="7607" xr:uid="{00000000-0005-0000-0000-0000423A0000}"/>
    <cellStyle name="Normal 58 13 3" xfId="4106" xr:uid="{00000000-0005-0000-0000-0000433A0000}"/>
    <cellStyle name="Normal 58 13 3 2" xfId="17751" xr:uid="{00000000-0005-0000-0000-0000443A0000}"/>
    <cellStyle name="Normal 58 13 3 3" xfId="14172" xr:uid="{00000000-0005-0000-0000-0000453A0000}"/>
    <cellStyle name="Normal 58 13 3 4" xfId="8915" xr:uid="{00000000-0005-0000-0000-0000463A0000}"/>
    <cellStyle name="Normal 58 13 4" xfId="5865" xr:uid="{00000000-0005-0000-0000-0000473A0000}"/>
    <cellStyle name="Normal 58 13 4 2" xfId="14951" xr:uid="{00000000-0005-0000-0000-0000483A0000}"/>
    <cellStyle name="Normal 58 13 5" xfId="10369" xr:uid="{00000000-0005-0000-0000-0000493A0000}"/>
    <cellStyle name="Normal 58 13 5 2" xfId="19196" xr:uid="{00000000-0005-0000-0000-00004A3A0000}"/>
    <cellStyle name="Normal 58 13 6" xfId="11815" xr:uid="{00000000-0005-0000-0000-00004B3A0000}"/>
    <cellStyle name="Normal 58 13 7" xfId="5201" xr:uid="{00000000-0005-0000-0000-00004C3A0000}"/>
    <cellStyle name="Normal 58 14" xfId="1272" xr:uid="{00000000-0005-0000-0000-00004D3A0000}"/>
    <cellStyle name="Normal 58 14 2" xfId="2926" xr:uid="{00000000-0005-0000-0000-00004E3A0000}"/>
    <cellStyle name="Normal 58 14 2 2" xfId="17839" xr:uid="{00000000-0005-0000-0000-00004F3A0000}"/>
    <cellStyle name="Normal 58 14 2 3" xfId="14260" xr:uid="{00000000-0005-0000-0000-0000503A0000}"/>
    <cellStyle name="Normal 58 14 2 4" xfId="9003" xr:uid="{00000000-0005-0000-0000-0000513A0000}"/>
    <cellStyle name="Normal 58 14 3" xfId="10457" xr:uid="{00000000-0005-0000-0000-0000523A0000}"/>
    <cellStyle name="Normal 58 14 3 2" xfId="19284" xr:uid="{00000000-0005-0000-0000-0000533A0000}"/>
    <cellStyle name="Normal 58 14 4" xfId="11903" xr:uid="{00000000-0005-0000-0000-0000543A0000}"/>
    <cellStyle name="Normal 58 14 5" xfId="6751" xr:uid="{00000000-0005-0000-0000-0000553A0000}"/>
    <cellStyle name="Normal 58 15" xfId="1883" xr:uid="{00000000-0005-0000-0000-0000563A0000}"/>
    <cellStyle name="Normal 58 15 2" xfId="9414" xr:uid="{00000000-0005-0000-0000-0000573A0000}"/>
    <cellStyle name="Normal 58 15 2 2" xfId="18241" xr:uid="{00000000-0005-0000-0000-0000583A0000}"/>
    <cellStyle name="Normal 58 15 3" xfId="10858" xr:uid="{00000000-0005-0000-0000-0000593A0000}"/>
    <cellStyle name="Normal 58 15 4" xfId="7958" xr:uid="{00000000-0005-0000-0000-00005A3A0000}"/>
    <cellStyle name="Normal 58 16" xfId="1840" xr:uid="{00000000-0005-0000-0000-00005B3A0000}"/>
    <cellStyle name="Normal 58 16 2" xfId="14634" xr:uid="{00000000-0005-0000-0000-00005C3A0000}"/>
    <cellStyle name="Normal 58 16 3" xfId="5548" xr:uid="{00000000-0005-0000-0000-00005D3A0000}"/>
    <cellStyle name="Normal 58 17" xfId="9374" xr:uid="{00000000-0005-0000-0000-00005E3A0000}"/>
    <cellStyle name="Normal 58 17 2" xfId="18201" xr:uid="{00000000-0005-0000-0000-00005F3A0000}"/>
    <cellStyle name="Normal 58 18" xfId="10813" xr:uid="{00000000-0005-0000-0000-0000603A0000}"/>
    <cellStyle name="Normal 58 19" xfId="4346" xr:uid="{00000000-0005-0000-0000-0000613A0000}"/>
    <cellStyle name="Normal 58 2" xfId="27" xr:uid="{00000000-0005-0000-0000-0000623A0000}"/>
    <cellStyle name="Normal 58 3" xfId="122" xr:uid="{00000000-0005-0000-0000-0000633A0000}"/>
    <cellStyle name="Normal 58 3 10" xfId="1895" xr:uid="{00000000-0005-0000-0000-0000643A0000}"/>
    <cellStyle name="Normal 58 3 10 2" xfId="9426" xr:uid="{00000000-0005-0000-0000-0000653A0000}"/>
    <cellStyle name="Normal 58 3 10 2 2" xfId="18253" xr:uid="{00000000-0005-0000-0000-0000663A0000}"/>
    <cellStyle name="Normal 58 3 10 3" xfId="10870" xr:uid="{00000000-0005-0000-0000-0000673A0000}"/>
    <cellStyle name="Normal 58 3 10 4" xfId="7970" xr:uid="{00000000-0005-0000-0000-0000683A0000}"/>
    <cellStyle name="Normal 58 3 11" xfId="1865" xr:uid="{00000000-0005-0000-0000-0000693A0000}"/>
    <cellStyle name="Normal 58 3 11 2" xfId="14639" xr:uid="{00000000-0005-0000-0000-00006A3A0000}"/>
    <cellStyle name="Normal 58 3 11 3" xfId="5553" xr:uid="{00000000-0005-0000-0000-00006B3A0000}"/>
    <cellStyle name="Normal 58 3 12" xfId="9396" xr:uid="{00000000-0005-0000-0000-00006C3A0000}"/>
    <cellStyle name="Normal 58 3 12 2" xfId="18223" xr:uid="{00000000-0005-0000-0000-00006D3A0000}"/>
    <cellStyle name="Normal 58 3 13" xfId="10840" xr:uid="{00000000-0005-0000-0000-00006E3A0000}"/>
    <cellStyle name="Normal 58 3 14" xfId="4359" xr:uid="{00000000-0005-0000-0000-00006F3A0000}"/>
    <cellStyle name="Normal 58 3 2" xfId="151" xr:uid="{00000000-0005-0000-0000-0000703A0000}"/>
    <cellStyle name="Normal 58 3 2 10" xfId="5578" xr:uid="{00000000-0005-0000-0000-0000713A0000}"/>
    <cellStyle name="Normal 58 3 2 10 2" xfId="14664" xr:uid="{00000000-0005-0000-0000-0000723A0000}"/>
    <cellStyle name="Normal 58 3 2 11" xfId="9471" xr:uid="{00000000-0005-0000-0000-0000733A0000}"/>
    <cellStyle name="Normal 58 3 2 11 2" xfId="18298" xr:uid="{00000000-0005-0000-0000-0000743A0000}"/>
    <cellStyle name="Normal 58 3 2 12" xfId="10915" xr:uid="{00000000-0005-0000-0000-0000753A0000}"/>
    <cellStyle name="Normal 58 3 2 13" xfId="4389" xr:uid="{00000000-0005-0000-0000-0000763A0000}"/>
    <cellStyle name="Normal 58 3 2 2" xfId="221" xr:uid="{00000000-0005-0000-0000-0000773A0000}"/>
    <cellStyle name="Normal 58 3 2 2 10" xfId="10972" xr:uid="{00000000-0005-0000-0000-0000783A0000}"/>
    <cellStyle name="Normal 58 3 2 2 11" xfId="4493" xr:uid="{00000000-0005-0000-0000-0000793A0000}"/>
    <cellStyle name="Normal 58 3 2 2 2" xfId="434" xr:uid="{00000000-0005-0000-0000-00007A3A0000}"/>
    <cellStyle name="Normal 58 3 2 2 2 2" xfId="767" xr:uid="{00000000-0005-0000-0000-00007B3A0000}"/>
    <cellStyle name="Normal 58 3 2 2 2 2 2" xfId="2496" xr:uid="{00000000-0005-0000-0000-00007C3A0000}"/>
    <cellStyle name="Normal 58 3 2 2 2 2 2 2" xfId="16384" xr:uid="{00000000-0005-0000-0000-00007D3A0000}"/>
    <cellStyle name="Normal 58 3 2 2 2 2 2 3" xfId="12806" xr:uid="{00000000-0005-0000-0000-00007E3A0000}"/>
    <cellStyle name="Normal 58 3 2 2 2 2 2 4" xfId="7516" xr:uid="{00000000-0005-0000-0000-00007F3A0000}"/>
    <cellStyle name="Normal 58 3 2 2 2 2 3" xfId="3763" xr:uid="{00000000-0005-0000-0000-0000803A0000}"/>
    <cellStyle name="Normal 58 3 2 2 2 2 3 2" xfId="17409" xr:uid="{00000000-0005-0000-0000-0000813A0000}"/>
    <cellStyle name="Normal 58 3 2 2 2 2 3 3" xfId="13830" xr:uid="{00000000-0005-0000-0000-0000823A0000}"/>
    <cellStyle name="Normal 58 3 2 2 2 2 3 4" xfId="8573" xr:uid="{00000000-0005-0000-0000-0000833A0000}"/>
    <cellStyle name="Normal 58 3 2 2 2 2 4" xfId="6632" xr:uid="{00000000-0005-0000-0000-0000843A0000}"/>
    <cellStyle name="Normal 58 3 2 2 2 2 4 2" xfId="15716" xr:uid="{00000000-0005-0000-0000-0000853A0000}"/>
    <cellStyle name="Normal 58 3 2 2 2 2 5" xfId="10027" xr:uid="{00000000-0005-0000-0000-0000863A0000}"/>
    <cellStyle name="Normal 58 3 2 2 2 2 5 2" xfId="18854" xr:uid="{00000000-0005-0000-0000-0000873A0000}"/>
    <cellStyle name="Normal 58 3 2 2 2 2 6" xfId="11472" xr:uid="{00000000-0005-0000-0000-0000883A0000}"/>
    <cellStyle name="Normal 58 3 2 2 2 2 7" xfId="5110" xr:uid="{00000000-0005-0000-0000-0000893A0000}"/>
    <cellStyle name="Normal 58 3 2 2 2 3" xfId="1124" xr:uid="{00000000-0005-0000-0000-00008A3A0000}"/>
    <cellStyle name="Normal 58 3 2 2 2 3 2" xfId="2844" xr:uid="{00000000-0005-0000-0000-00008B3A0000}"/>
    <cellStyle name="Normal 58 3 2 2 2 3 2 2" xfId="16793" xr:uid="{00000000-0005-0000-0000-00008C3A0000}"/>
    <cellStyle name="Normal 58 3 2 2 2 3 2 3" xfId="13214" xr:uid="{00000000-0005-0000-0000-00008D3A0000}"/>
    <cellStyle name="Normal 58 3 2 2 2 3 2 4" xfId="7925" xr:uid="{00000000-0005-0000-0000-00008E3A0000}"/>
    <cellStyle name="Normal 58 3 2 2 2 3 3" xfId="4112" xr:uid="{00000000-0005-0000-0000-00008F3A0000}"/>
    <cellStyle name="Normal 58 3 2 2 2 3 3 2" xfId="17757" xr:uid="{00000000-0005-0000-0000-0000903A0000}"/>
    <cellStyle name="Normal 58 3 2 2 2 3 3 3" xfId="14178" xr:uid="{00000000-0005-0000-0000-0000913A0000}"/>
    <cellStyle name="Normal 58 3 2 2 2 3 3 4" xfId="8921" xr:uid="{00000000-0005-0000-0000-0000923A0000}"/>
    <cellStyle name="Normal 58 3 2 2 2 3 4" xfId="6332" xr:uid="{00000000-0005-0000-0000-0000933A0000}"/>
    <cellStyle name="Normal 58 3 2 2 2 3 4 2" xfId="15416" xr:uid="{00000000-0005-0000-0000-0000943A0000}"/>
    <cellStyle name="Normal 58 3 2 2 2 3 5" xfId="10375" xr:uid="{00000000-0005-0000-0000-0000953A0000}"/>
    <cellStyle name="Normal 58 3 2 2 2 3 5 2" xfId="19202" xr:uid="{00000000-0005-0000-0000-0000963A0000}"/>
    <cellStyle name="Normal 58 3 2 2 2 3 6" xfId="11821" xr:uid="{00000000-0005-0000-0000-0000973A0000}"/>
    <cellStyle name="Normal 58 3 2 2 2 3 7" xfId="5519" xr:uid="{00000000-0005-0000-0000-0000983A0000}"/>
    <cellStyle name="Normal 58 3 2 2 2 4" xfId="1648" xr:uid="{00000000-0005-0000-0000-0000993A0000}"/>
    <cellStyle name="Normal 58 3 2 2 2 4 2" xfId="3244" xr:uid="{00000000-0005-0000-0000-00009A3A0000}"/>
    <cellStyle name="Normal 58 3 2 2 2 4 2 2" xfId="18157" xr:uid="{00000000-0005-0000-0000-00009B3A0000}"/>
    <cellStyle name="Normal 58 3 2 2 2 4 2 3" xfId="14578" xr:uid="{00000000-0005-0000-0000-00009C3A0000}"/>
    <cellStyle name="Normal 58 3 2 2 2 4 2 4" xfId="9321" xr:uid="{00000000-0005-0000-0000-00009D3A0000}"/>
    <cellStyle name="Normal 58 3 2 2 2 4 3" xfId="10775" xr:uid="{00000000-0005-0000-0000-00009E3A0000}"/>
    <cellStyle name="Normal 58 3 2 2 2 4 3 2" xfId="19602" xr:uid="{00000000-0005-0000-0000-00009F3A0000}"/>
    <cellStyle name="Normal 58 3 2 2 2 4 4" xfId="12221" xr:uid="{00000000-0005-0000-0000-0000A03A0000}"/>
    <cellStyle name="Normal 58 3 2 2 2 4 5" xfId="7216" xr:uid="{00000000-0005-0000-0000-0000A13A0000}"/>
    <cellStyle name="Normal 58 3 2 2 2 5" xfId="2201" xr:uid="{00000000-0005-0000-0000-0000A23A0000}"/>
    <cellStyle name="Normal 58 3 2 2 2 5 2" xfId="17114" xr:uid="{00000000-0005-0000-0000-0000A33A0000}"/>
    <cellStyle name="Normal 58 3 2 2 2 5 3" xfId="13535" xr:uid="{00000000-0005-0000-0000-0000A43A0000}"/>
    <cellStyle name="Normal 58 3 2 2 2 5 4" xfId="8278" xr:uid="{00000000-0005-0000-0000-0000A53A0000}"/>
    <cellStyle name="Normal 58 3 2 2 2 6" xfId="5839" xr:uid="{00000000-0005-0000-0000-0000A63A0000}"/>
    <cellStyle name="Normal 58 3 2 2 2 6 2" xfId="14925" xr:uid="{00000000-0005-0000-0000-0000A73A0000}"/>
    <cellStyle name="Normal 58 3 2 2 2 7" xfId="9732" xr:uid="{00000000-0005-0000-0000-0000A83A0000}"/>
    <cellStyle name="Normal 58 3 2 2 2 7 2" xfId="18559" xr:uid="{00000000-0005-0000-0000-0000A93A0000}"/>
    <cellStyle name="Normal 58 3 2 2 2 8" xfId="11176" xr:uid="{00000000-0005-0000-0000-0000AA3A0000}"/>
    <cellStyle name="Normal 58 3 2 2 2 9" xfId="4810" xr:uid="{00000000-0005-0000-0000-0000AB3A0000}"/>
    <cellStyle name="Normal 58 3 2 2 2_Degree data" xfId="1741" xr:uid="{00000000-0005-0000-0000-0000AC3A0000}"/>
    <cellStyle name="Normal 58 3 2 2 3" xfId="766" xr:uid="{00000000-0005-0000-0000-0000AD3A0000}"/>
    <cellStyle name="Normal 58 3 2 2 3 2" xfId="2495" xr:uid="{00000000-0005-0000-0000-0000AE3A0000}"/>
    <cellStyle name="Normal 58 3 2 2 3 2 2" xfId="16026" xr:uid="{00000000-0005-0000-0000-0000AF3A0000}"/>
    <cellStyle name="Normal 58 3 2 2 3 2 3" xfId="12327" xr:uid="{00000000-0005-0000-0000-0000B03A0000}"/>
    <cellStyle name="Normal 58 3 2 2 3 2 4" xfId="7012" xr:uid="{00000000-0005-0000-0000-0000B13A0000}"/>
    <cellStyle name="Normal 58 3 2 2 3 3" xfId="3762" xr:uid="{00000000-0005-0000-0000-0000B23A0000}"/>
    <cellStyle name="Normal 58 3 2 2 3 3 2" xfId="17408" xr:uid="{00000000-0005-0000-0000-0000B33A0000}"/>
    <cellStyle name="Normal 58 3 2 2 3 3 3" xfId="13829" xr:uid="{00000000-0005-0000-0000-0000B43A0000}"/>
    <cellStyle name="Normal 58 3 2 2 3 3 4" xfId="8572" xr:uid="{00000000-0005-0000-0000-0000B53A0000}"/>
    <cellStyle name="Normal 58 3 2 2 3 4" xfId="6128" xr:uid="{00000000-0005-0000-0000-0000B63A0000}"/>
    <cellStyle name="Normal 58 3 2 2 3 4 2" xfId="15212" xr:uid="{00000000-0005-0000-0000-0000B73A0000}"/>
    <cellStyle name="Normal 58 3 2 2 3 5" xfId="10026" xr:uid="{00000000-0005-0000-0000-0000B83A0000}"/>
    <cellStyle name="Normal 58 3 2 2 3 5 2" xfId="18853" xr:uid="{00000000-0005-0000-0000-0000B93A0000}"/>
    <cellStyle name="Normal 58 3 2 2 3 6" xfId="11471" xr:uid="{00000000-0005-0000-0000-0000BA3A0000}"/>
    <cellStyle name="Normal 58 3 2 2 3 7" xfId="4606" xr:uid="{00000000-0005-0000-0000-0000BB3A0000}"/>
    <cellStyle name="Normal 58 3 2 2 4" xfId="1123" xr:uid="{00000000-0005-0000-0000-0000BC3A0000}"/>
    <cellStyle name="Normal 58 3 2 2 4 2" xfId="2843" xr:uid="{00000000-0005-0000-0000-0000BD3A0000}"/>
    <cellStyle name="Normal 58 3 2 2 4 2 2" xfId="16383" xr:uid="{00000000-0005-0000-0000-0000BE3A0000}"/>
    <cellStyle name="Normal 58 3 2 2 4 2 3" xfId="12805" xr:uid="{00000000-0005-0000-0000-0000BF3A0000}"/>
    <cellStyle name="Normal 58 3 2 2 4 2 4" xfId="7515" xr:uid="{00000000-0005-0000-0000-0000C03A0000}"/>
    <cellStyle name="Normal 58 3 2 2 4 3" xfId="4111" xr:uid="{00000000-0005-0000-0000-0000C13A0000}"/>
    <cellStyle name="Normal 58 3 2 2 4 3 2" xfId="17756" xr:uid="{00000000-0005-0000-0000-0000C23A0000}"/>
    <cellStyle name="Normal 58 3 2 2 4 3 3" xfId="14177" xr:uid="{00000000-0005-0000-0000-0000C33A0000}"/>
    <cellStyle name="Normal 58 3 2 2 4 3 4" xfId="8920" xr:uid="{00000000-0005-0000-0000-0000C43A0000}"/>
    <cellStyle name="Normal 58 3 2 2 4 4" xfId="6631" xr:uid="{00000000-0005-0000-0000-0000C53A0000}"/>
    <cellStyle name="Normal 58 3 2 2 4 4 2" xfId="15715" xr:uid="{00000000-0005-0000-0000-0000C63A0000}"/>
    <cellStyle name="Normal 58 3 2 2 4 5" xfId="10374" xr:uid="{00000000-0005-0000-0000-0000C73A0000}"/>
    <cellStyle name="Normal 58 3 2 2 4 5 2" xfId="19201" xr:uid="{00000000-0005-0000-0000-0000C83A0000}"/>
    <cellStyle name="Normal 58 3 2 2 4 6" xfId="11820" xr:uid="{00000000-0005-0000-0000-0000C93A0000}"/>
    <cellStyle name="Normal 58 3 2 2 4 7" xfId="5109" xr:uid="{00000000-0005-0000-0000-0000CA3A0000}"/>
    <cellStyle name="Normal 58 3 2 2 5" xfId="1439" xr:uid="{00000000-0005-0000-0000-0000CB3A0000}"/>
    <cellStyle name="Normal 58 3 2 2 5 2" xfId="3040" xr:uid="{00000000-0005-0000-0000-0000CC3A0000}"/>
    <cellStyle name="Normal 58 3 2 2 5 2 2" xfId="16589" xr:uid="{00000000-0005-0000-0000-0000CD3A0000}"/>
    <cellStyle name="Normal 58 3 2 2 5 2 3" xfId="13010" xr:uid="{00000000-0005-0000-0000-0000CE3A0000}"/>
    <cellStyle name="Normal 58 3 2 2 5 2 4" xfId="7721" xr:uid="{00000000-0005-0000-0000-0000CF3A0000}"/>
    <cellStyle name="Normal 58 3 2 2 5 3" xfId="4248" xr:uid="{00000000-0005-0000-0000-0000D03A0000}"/>
    <cellStyle name="Normal 58 3 2 2 5 3 2" xfId="17953" xr:uid="{00000000-0005-0000-0000-0000D13A0000}"/>
    <cellStyle name="Normal 58 3 2 2 5 3 3" xfId="14374" xr:uid="{00000000-0005-0000-0000-0000D23A0000}"/>
    <cellStyle name="Normal 58 3 2 2 5 3 4" xfId="9117" xr:uid="{00000000-0005-0000-0000-0000D33A0000}"/>
    <cellStyle name="Normal 58 3 2 2 5 4" xfId="6013" xr:uid="{00000000-0005-0000-0000-0000D43A0000}"/>
    <cellStyle name="Normal 58 3 2 2 5 4 2" xfId="15099" xr:uid="{00000000-0005-0000-0000-0000D53A0000}"/>
    <cellStyle name="Normal 58 3 2 2 5 5" xfId="10571" xr:uid="{00000000-0005-0000-0000-0000D63A0000}"/>
    <cellStyle name="Normal 58 3 2 2 5 5 2" xfId="19398" xr:uid="{00000000-0005-0000-0000-0000D73A0000}"/>
    <cellStyle name="Normal 58 3 2 2 5 6" xfId="12017" xr:uid="{00000000-0005-0000-0000-0000D83A0000}"/>
    <cellStyle name="Normal 58 3 2 2 5 7" xfId="5315" xr:uid="{00000000-0005-0000-0000-0000D93A0000}"/>
    <cellStyle name="Normal 58 3 2 2 6" xfId="1997" xr:uid="{00000000-0005-0000-0000-0000DA3A0000}"/>
    <cellStyle name="Normal 58 3 2 2 6 2" xfId="15942" xr:uid="{00000000-0005-0000-0000-0000DB3A0000}"/>
    <cellStyle name="Normal 58 3 2 2 6 3" xfId="12407" xr:uid="{00000000-0005-0000-0000-0000DC3A0000}"/>
    <cellStyle name="Normal 58 3 2 2 6 4" xfId="6899" xr:uid="{00000000-0005-0000-0000-0000DD3A0000}"/>
    <cellStyle name="Normal 58 3 2 2 7" xfId="3410" xr:uid="{00000000-0005-0000-0000-0000DE3A0000}"/>
    <cellStyle name="Normal 58 3 2 2 7 2" xfId="16910" xr:uid="{00000000-0005-0000-0000-0000DF3A0000}"/>
    <cellStyle name="Normal 58 3 2 2 7 3" xfId="13331" xr:uid="{00000000-0005-0000-0000-0000E03A0000}"/>
    <cellStyle name="Normal 58 3 2 2 7 4" xfId="8074" xr:uid="{00000000-0005-0000-0000-0000E13A0000}"/>
    <cellStyle name="Normal 58 3 2 2 8" xfId="5635" xr:uid="{00000000-0005-0000-0000-0000E23A0000}"/>
    <cellStyle name="Normal 58 3 2 2 8 2" xfId="14721" xr:uid="{00000000-0005-0000-0000-0000E33A0000}"/>
    <cellStyle name="Normal 58 3 2 2 9" xfId="9528" xr:uid="{00000000-0005-0000-0000-0000E43A0000}"/>
    <cellStyle name="Normal 58 3 2 2 9 2" xfId="18355" xr:uid="{00000000-0005-0000-0000-0000E53A0000}"/>
    <cellStyle name="Normal 58 3 2 2_Degree data" xfId="1740" xr:uid="{00000000-0005-0000-0000-0000E63A0000}"/>
    <cellStyle name="Normal 58 3 2 3" xfId="390" xr:uid="{00000000-0005-0000-0000-0000E73A0000}"/>
    <cellStyle name="Normal 58 3 2 3 10" xfId="4449" xr:uid="{00000000-0005-0000-0000-0000E83A0000}"/>
    <cellStyle name="Normal 58 3 2 3 2" xfId="768" xr:uid="{00000000-0005-0000-0000-0000E93A0000}"/>
    <cellStyle name="Normal 58 3 2 3 2 2" xfId="2497" xr:uid="{00000000-0005-0000-0000-0000EA3A0000}"/>
    <cellStyle name="Normal 58 3 2 3 2 2 2" xfId="16086" xr:uid="{00000000-0005-0000-0000-0000EB3A0000}"/>
    <cellStyle name="Normal 58 3 2 3 2 2 3" xfId="12311" xr:uid="{00000000-0005-0000-0000-0000EC3A0000}"/>
    <cellStyle name="Normal 58 3 2 3 2 2 4" xfId="7172" xr:uid="{00000000-0005-0000-0000-0000ED3A0000}"/>
    <cellStyle name="Normal 58 3 2 3 2 3" xfId="3764" xr:uid="{00000000-0005-0000-0000-0000EE3A0000}"/>
    <cellStyle name="Normal 58 3 2 3 2 3 2" xfId="17410" xr:uid="{00000000-0005-0000-0000-0000EF3A0000}"/>
    <cellStyle name="Normal 58 3 2 3 2 3 3" xfId="13831" xr:uid="{00000000-0005-0000-0000-0000F03A0000}"/>
    <cellStyle name="Normal 58 3 2 3 2 3 4" xfId="8574" xr:uid="{00000000-0005-0000-0000-0000F13A0000}"/>
    <cellStyle name="Normal 58 3 2 3 2 4" xfId="6288" xr:uid="{00000000-0005-0000-0000-0000F23A0000}"/>
    <cellStyle name="Normal 58 3 2 3 2 4 2" xfId="15372" xr:uid="{00000000-0005-0000-0000-0000F33A0000}"/>
    <cellStyle name="Normal 58 3 2 3 2 5" xfId="10028" xr:uid="{00000000-0005-0000-0000-0000F43A0000}"/>
    <cellStyle name="Normal 58 3 2 3 2 5 2" xfId="18855" xr:uid="{00000000-0005-0000-0000-0000F53A0000}"/>
    <cellStyle name="Normal 58 3 2 3 2 6" xfId="11473" xr:uid="{00000000-0005-0000-0000-0000F63A0000}"/>
    <cellStyle name="Normal 58 3 2 3 2 7" xfId="4766" xr:uid="{00000000-0005-0000-0000-0000F73A0000}"/>
    <cellStyle name="Normal 58 3 2 3 3" xfId="1125" xr:uid="{00000000-0005-0000-0000-0000F83A0000}"/>
    <cellStyle name="Normal 58 3 2 3 3 2" xfId="2845" xr:uid="{00000000-0005-0000-0000-0000F93A0000}"/>
    <cellStyle name="Normal 58 3 2 3 3 2 2" xfId="16385" xr:uid="{00000000-0005-0000-0000-0000FA3A0000}"/>
    <cellStyle name="Normal 58 3 2 3 3 2 3" xfId="12807" xr:uid="{00000000-0005-0000-0000-0000FB3A0000}"/>
    <cellStyle name="Normal 58 3 2 3 3 2 4" xfId="7517" xr:uid="{00000000-0005-0000-0000-0000FC3A0000}"/>
    <cellStyle name="Normal 58 3 2 3 3 3" xfId="4113" xr:uid="{00000000-0005-0000-0000-0000FD3A0000}"/>
    <cellStyle name="Normal 58 3 2 3 3 3 2" xfId="17758" xr:uid="{00000000-0005-0000-0000-0000FE3A0000}"/>
    <cellStyle name="Normal 58 3 2 3 3 3 3" xfId="14179" xr:uid="{00000000-0005-0000-0000-0000FF3A0000}"/>
    <cellStyle name="Normal 58 3 2 3 3 3 4" xfId="8922" xr:uid="{00000000-0005-0000-0000-0000003B0000}"/>
    <cellStyle name="Normal 58 3 2 3 3 4" xfId="6633" xr:uid="{00000000-0005-0000-0000-0000013B0000}"/>
    <cellStyle name="Normal 58 3 2 3 3 4 2" xfId="15717" xr:uid="{00000000-0005-0000-0000-0000023B0000}"/>
    <cellStyle name="Normal 58 3 2 3 3 5" xfId="10376" xr:uid="{00000000-0005-0000-0000-0000033B0000}"/>
    <cellStyle name="Normal 58 3 2 3 3 5 2" xfId="19203" xr:uid="{00000000-0005-0000-0000-0000043B0000}"/>
    <cellStyle name="Normal 58 3 2 3 3 6" xfId="11822" xr:uid="{00000000-0005-0000-0000-0000053B0000}"/>
    <cellStyle name="Normal 58 3 2 3 3 7" xfId="5111" xr:uid="{00000000-0005-0000-0000-0000063B0000}"/>
    <cellStyle name="Normal 58 3 2 3 4" xfId="1604" xr:uid="{00000000-0005-0000-0000-0000073B0000}"/>
    <cellStyle name="Normal 58 3 2 3 4 2" xfId="3200" xr:uid="{00000000-0005-0000-0000-0000083B0000}"/>
    <cellStyle name="Normal 58 3 2 3 4 2 2" xfId="16749" xr:uid="{00000000-0005-0000-0000-0000093B0000}"/>
    <cellStyle name="Normal 58 3 2 3 4 2 3" xfId="13170" xr:uid="{00000000-0005-0000-0000-00000A3B0000}"/>
    <cellStyle name="Normal 58 3 2 3 4 2 4" xfId="7881" xr:uid="{00000000-0005-0000-0000-00000B3B0000}"/>
    <cellStyle name="Normal 58 3 2 3 4 3" xfId="4308" xr:uid="{00000000-0005-0000-0000-00000C3B0000}"/>
    <cellStyle name="Normal 58 3 2 3 4 3 2" xfId="18113" xr:uid="{00000000-0005-0000-0000-00000D3B0000}"/>
    <cellStyle name="Normal 58 3 2 3 4 3 3" xfId="14534" xr:uid="{00000000-0005-0000-0000-00000E3B0000}"/>
    <cellStyle name="Normal 58 3 2 3 4 3 4" xfId="9277" xr:uid="{00000000-0005-0000-0000-00000F3B0000}"/>
    <cellStyle name="Normal 58 3 2 3 4 4" xfId="5969" xr:uid="{00000000-0005-0000-0000-0000103B0000}"/>
    <cellStyle name="Normal 58 3 2 3 4 4 2" xfId="15055" xr:uid="{00000000-0005-0000-0000-0000113B0000}"/>
    <cellStyle name="Normal 58 3 2 3 4 5" xfId="10731" xr:uid="{00000000-0005-0000-0000-0000123B0000}"/>
    <cellStyle name="Normal 58 3 2 3 4 5 2" xfId="19558" xr:uid="{00000000-0005-0000-0000-0000133B0000}"/>
    <cellStyle name="Normal 58 3 2 3 4 6" xfId="12177" xr:uid="{00000000-0005-0000-0000-0000143B0000}"/>
    <cellStyle name="Normal 58 3 2 3 4 7" xfId="5475" xr:uid="{00000000-0005-0000-0000-0000153B0000}"/>
    <cellStyle name="Normal 58 3 2 3 5" xfId="2157" xr:uid="{00000000-0005-0000-0000-0000163B0000}"/>
    <cellStyle name="Normal 58 3 2 3 5 2" xfId="15898" xr:uid="{00000000-0005-0000-0000-0000173B0000}"/>
    <cellStyle name="Normal 58 3 2 3 5 3" xfId="12251" xr:uid="{00000000-0005-0000-0000-0000183B0000}"/>
    <cellStyle name="Normal 58 3 2 3 5 4" xfId="6855" xr:uid="{00000000-0005-0000-0000-0000193B0000}"/>
    <cellStyle name="Normal 58 3 2 3 6" xfId="3470" xr:uid="{00000000-0005-0000-0000-00001A3B0000}"/>
    <cellStyle name="Normal 58 3 2 3 6 2" xfId="17070" xr:uid="{00000000-0005-0000-0000-00001B3B0000}"/>
    <cellStyle name="Normal 58 3 2 3 6 3" xfId="13491" xr:uid="{00000000-0005-0000-0000-00001C3B0000}"/>
    <cellStyle name="Normal 58 3 2 3 6 4" xfId="8234" xr:uid="{00000000-0005-0000-0000-00001D3B0000}"/>
    <cellStyle name="Normal 58 3 2 3 7" xfId="5795" xr:uid="{00000000-0005-0000-0000-00001E3B0000}"/>
    <cellStyle name="Normal 58 3 2 3 7 2" xfId="14881" xr:uid="{00000000-0005-0000-0000-00001F3B0000}"/>
    <cellStyle name="Normal 58 3 2 3 8" xfId="9688" xr:uid="{00000000-0005-0000-0000-0000203B0000}"/>
    <cellStyle name="Normal 58 3 2 3 8 2" xfId="18515" xr:uid="{00000000-0005-0000-0000-0000213B0000}"/>
    <cellStyle name="Normal 58 3 2 3 9" xfId="11132" xr:uid="{00000000-0005-0000-0000-0000223B0000}"/>
    <cellStyle name="Normal 58 3 2 3_Degree data" xfId="1742" xr:uid="{00000000-0005-0000-0000-0000233B0000}"/>
    <cellStyle name="Normal 58 3 2 4" xfId="329" xr:uid="{00000000-0005-0000-0000-0000243B0000}"/>
    <cellStyle name="Normal 58 3 2 4 2" xfId="769" xr:uid="{00000000-0005-0000-0000-0000253B0000}"/>
    <cellStyle name="Normal 58 3 2 4 2 2" xfId="2498" xr:uid="{00000000-0005-0000-0000-0000263B0000}"/>
    <cellStyle name="Normal 58 3 2 4 2 2 2" xfId="16386" xr:uid="{00000000-0005-0000-0000-0000273B0000}"/>
    <cellStyle name="Normal 58 3 2 4 2 2 3" xfId="12808" xr:uid="{00000000-0005-0000-0000-0000283B0000}"/>
    <cellStyle name="Normal 58 3 2 4 2 2 4" xfId="7518" xr:uid="{00000000-0005-0000-0000-0000293B0000}"/>
    <cellStyle name="Normal 58 3 2 4 2 3" xfId="3765" xr:uid="{00000000-0005-0000-0000-00002A3B0000}"/>
    <cellStyle name="Normal 58 3 2 4 2 3 2" xfId="17411" xr:uid="{00000000-0005-0000-0000-00002B3B0000}"/>
    <cellStyle name="Normal 58 3 2 4 2 3 3" xfId="13832" xr:uid="{00000000-0005-0000-0000-00002C3B0000}"/>
    <cellStyle name="Normal 58 3 2 4 2 3 4" xfId="8575" xr:uid="{00000000-0005-0000-0000-00002D3B0000}"/>
    <cellStyle name="Normal 58 3 2 4 2 4" xfId="6634" xr:uid="{00000000-0005-0000-0000-00002E3B0000}"/>
    <cellStyle name="Normal 58 3 2 4 2 4 2" xfId="15718" xr:uid="{00000000-0005-0000-0000-00002F3B0000}"/>
    <cellStyle name="Normal 58 3 2 4 2 5" xfId="10029" xr:uid="{00000000-0005-0000-0000-0000303B0000}"/>
    <cellStyle name="Normal 58 3 2 4 2 5 2" xfId="18856" xr:uid="{00000000-0005-0000-0000-0000313B0000}"/>
    <cellStyle name="Normal 58 3 2 4 2 6" xfId="11474" xr:uid="{00000000-0005-0000-0000-0000323B0000}"/>
    <cellStyle name="Normal 58 3 2 4 2 7" xfId="5112" xr:uid="{00000000-0005-0000-0000-0000333B0000}"/>
    <cellStyle name="Normal 58 3 2 4 3" xfId="1126" xr:uid="{00000000-0005-0000-0000-0000343B0000}"/>
    <cellStyle name="Normal 58 3 2 4 3 2" xfId="2846" xr:uid="{00000000-0005-0000-0000-0000353B0000}"/>
    <cellStyle name="Normal 58 3 2 4 3 2 2" xfId="16689" xr:uid="{00000000-0005-0000-0000-0000363B0000}"/>
    <cellStyle name="Normal 58 3 2 4 3 2 3" xfId="13110" xr:uid="{00000000-0005-0000-0000-0000373B0000}"/>
    <cellStyle name="Normal 58 3 2 4 3 2 4" xfId="7821" xr:uid="{00000000-0005-0000-0000-0000383B0000}"/>
    <cellStyle name="Normal 58 3 2 4 3 3" xfId="4114" xr:uid="{00000000-0005-0000-0000-0000393B0000}"/>
    <cellStyle name="Normal 58 3 2 4 3 3 2" xfId="17759" xr:uid="{00000000-0005-0000-0000-00003A3B0000}"/>
    <cellStyle name="Normal 58 3 2 4 3 3 3" xfId="14180" xr:uid="{00000000-0005-0000-0000-00003B3B0000}"/>
    <cellStyle name="Normal 58 3 2 4 3 3 4" xfId="8923" xr:uid="{00000000-0005-0000-0000-00003C3B0000}"/>
    <cellStyle name="Normal 58 3 2 4 3 4" xfId="6228" xr:uid="{00000000-0005-0000-0000-00003D3B0000}"/>
    <cellStyle name="Normal 58 3 2 4 3 4 2" xfId="15312" xr:uid="{00000000-0005-0000-0000-00003E3B0000}"/>
    <cellStyle name="Normal 58 3 2 4 3 5" xfId="10377" xr:uid="{00000000-0005-0000-0000-00003F3B0000}"/>
    <cellStyle name="Normal 58 3 2 4 3 5 2" xfId="19204" xr:uid="{00000000-0005-0000-0000-0000403B0000}"/>
    <cellStyle name="Normal 58 3 2 4 3 6" xfId="11823" xr:uid="{00000000-0005-0000-0000-0000413B0000}"/>
    <cellStyle name="Normal 58 3 2 4 3 7" xfId="5415" xr:uid="{00000000-0005-0000-0000-0000423B0000}"/>
    <cellStyle name="Normal 58 3 2 4 4" xfId="1541" xr:uid="{00000000-0005-0000-0000-0000433B0000}"/>
    <cellStyle name="Normal 58 3 2 4 4 2" xfId="3140" xr:uid="{00000000-0005-0000-0000-0000443B0000}"/>
    <cellStyle name="Normal 58 3 2 4 4 2 2" xfId="18053" xr:uid="{00000000-0005-0000-0000-0000453B0000}"/>
    <cellStyle name="Normal 58 3 2 4 4 2 3" xfId="14474" xr:uid="{00000000-0005-0000-0000-0000463B0000}"/>
    <cellStyle name="Normal 58 3 2 4 4 2 4" xfId="9217" xr:uid="{00000000-0005-0000-0000-0000473B0000}"/>
    <cellStyle name="Normal 58 3 2 4 4 3" xfId="10671" xr:uid="{00000000-0005-0000-0000-0000483B0000}"/>
    <cellStyle name="Normal 58 3 2 4 4 3 2" xfId="19498" xr:uid="{00000000-0005-0000-0000-0000493B0000}"/>
    <cellStyle name="Normal 58 3 2 4 4 4" xfId="12117" xr:uid="{00000000-0005-0000-0000-00004A3B0000}"/>
    <cellStyle name="Normal 58 3 2 4 4 5" xfId="7112" xr:uid="{00000000-0005-0000-0000-00004B3B0000}"/>
    <cellStyle name="Normal 58 3 2 4 5" xfId="2097" xr:uid="{00000000-0005-0000-0000-00004C3B0000}"/>
    <cellStyle name="Normal 58 3 2 4 5 2" xfId="17010" xr:uid="{00000000-0005-0000-0000-00004D3B0000}"/>
    <cellStyle name="Normal 58 3 2 4 5 3" xfId="13431" xr:uid="{00000000-0005-0000-0000-00004E3B0000}"/>
    <cellStyle name="Normal 58 3 2 4 5 4" xfId="8174" xr:uid="{00000000-0005-0000-0000-00004F3B0000}"/>
    <cellStyle name="Normal 58 3 2 4 6" xfId="5735" xr:uid="{00000000-0005-0000-0000-0000503B0000}"/>
    <cellStyle name="Normal 58 3 2 4 6 2" xfId="14821" xr:uid="{00000000-0005-0000-0000-0000513B0000}"/>
    <cellStyle name="Normal 58 3 2 4 7" xfId="9628" xr:uid="{00000000-0005-0000-0000-0000523B0000}"/>
    <cellStyle name="Normal 58 3 2 4 7 2" xfId="18455" xr:uid="{00000000-0005-0000-0000-0000533B0000}"/>
    <cellStyle name="Normal 58 3 2 4 8" xfId="11072" xr:uid="{00000000-0005-0000-0000-0000543B0000}"/>
    <cellStyle name="Normal 58 3 2 4 9" xfId="4706" xr:uid="{00000000-0005-0000-0000-0000553B0000}"/>
    <cellStyle name="Normal 58 3 2 4_Degree data" xfId="1743" xr:uid="{00000000-0005-0000-0000-0000563B0000}"/>
    <cellStyle name="Normal 58 3 2 5" xfId="765" xr:uid="{00000000-0005-0000-0000-0000573B0000}"/>
    <cellStyle name="Normal 58 3 2 5 2" xfId="2494" xr:uid="{00000000-0005-0000-0000-0000583B0000}"/>
    <cellStyle name="Normal 58 3 2 5 2 2" xfId="15980" xr:uid="{00000000-0005-0000-0000-0000593B0000}"/>
    <cellStyle name="Normal 58 3 2 5 2 3" xfId="12398" xr:uid="{00000000-0005-0000-0000-00005A3B0000}"/>
    <cellStyle name="Normal 58 3 2 5 2 4" xfId="6955" xr:uid="{00000000-0005-0000-0000-00005B3B0000}"/>
    <cellStyle name="Normal 58 3 2 5 3" xfId="3761" xr:uid="{00000000-0005-0000-0000-00005C3B0000}"/>
    <cellStyle name="Normal 58 3 2 5 3 2" xfId="17407" xr:uid="{00000000-0005-0000-0000-00005D3B0000}"/>
    <cellStyle name="Normal 58 3 2 5 3 3" xfId="13828" xr:uid="{00000000-0005-0000-0000-00005E3B0000}"/>
    <cellStyle name="Normal 58 3 2 5 3 4" xfId="8571" xr:uid="{00000000-0005-0000-0000-00005F3B0000}"/>
    <cellStyle name="Normal 58 3 2 5 4" xfId="6071" xr:uid="{00000000-0005-0000-0000-0000603B0000}"/>
    <cellStyle name="Normal 58 3 2 5 4 2" xfId="15155" xr:uid="{00000000-0005-0000-0000-0000613B0000}"/>
    <cellStyle name="Normal 58 3 2 5 5" xfId="10025" xr:uid="{00000000-0005-0000-0000-0000623B0000}"/>
    <cellStyle name="Normal 58 3 2 5 5 2" xfId="18852" xr:uid="{00000000-0005-0000-0000-0000633B0000}"/>
    <cellStyle name="Normal 58 3 2 5 6" xfId="11470" xr:uid="{00000000-0005-0000-0000-0000643B0000}"/>
    <cellStyle name="Normal 58 3 2 5 7" xfId="4549" xr:uid="{00000000-0005-0000-0000-0000653B0000}"/>
    <cellStyle name="Normal 58 3 2 6" xfId="1122" xr:uid="{00000000-0005-0000-0000-0000663B0000}"/>
    <cellStyle name="Normal 58 3 2 6 2" xfId="2842" xr:uid="{00000000-0005-0000-0000-0000673B0000}"/>
    <cellStyle name="Normal 58 3 2 6 2 2" xfId="16382" xr:uid="{00000000-0005-0000-0000-0000683B0000}"/>
    <cellStyle name="Normal 58 3 2 6 2 3" xfId="12804" xr:uid="{00000000-0005-0000-0000-0000693B0000}"/>
    <cellStyle name="Normal 58 3 2 6 2 4" xfId="7514" xr:uid="{00000000-0005-0000-0000-00006A3B0000}"/>
    <cellStyle name="Normal 58 3 2 6 3" xfId="4110" xr:uid="{00000000-0005-0000-0000-00006B3B0000}"/>
    <cellStyle name="Normal 58 3 2 6 3 2" xfId="17755" xr:uid="{00000000-0005-0000-0000-00006C3B0000}"/>
    <cellStyle name="Normal 58 3 2 6 3 3" xfId="14176" xr:uid="{00000000-0005-0000-0000-00006D3B0000}"/>
    <cellStyle name="Normal 58 3 2 6 3 4" xfId="8919" xr:uid="{00000000-0005-0000-0000-00006E3B0000}"/>
    <cellStyle name="Normal 58 3 2 6 4" xfId="6630" xr:uid="{00000000-0005-0000-0000-00006F3B0000}"/>
    <cellStyle name="Normal 58 3 2 6 4 2" xfId="15714" xr:uid="{00000000-0005-0000-0000-0000703B0000}"/>
    <cellStyle name="Normal 58 3 2 6 5" xfId="10373" xr:uid="{00000000-0005-0000-0000-0000713B0000}"/>
    <cellStyle name="Normal 58 3 2 6 5 2" xfId="19200" xr:uid="{00000000-0005-0000-0000-0000723B0000}"/>
    <cellStyle name="Normal 58 3 2 6 6" xfId="11819" xr:uid="{00000000-0005-0000-0000-0000733B0000}"/>
    <cellStyle name="Normal 58 3 2 6 7" xfId="5108" xr:uid="{00000000-0005-0000-0000-0000743B0000}"/>
    <cellStyle name="Normal 58 3 2 7" xfId="1374" xr:uid="{00000000-0005-0000-0000-0000753B0000}"/>
    <cellStyle name="Normal 58 3 2 7 2" xfId="2983" xr:uid="{00000000-0005-0000-0000-0000763B0000}"/>
    <cellStyle name="Normal 58 3 2 7 2 2" xfId="16532" xr:uid="{00000000-0005-0000-0000-0000773B0000}"/>
    <cellStyle name="Normal 58 3 2 7 2 3" xfId="12953" xr:uid="{00000000-0005-0000-0000-0000783B0000}"/>
    <cellStyle name="Normal 58 3 2 7 2 4" xfId="7664" xr:uid="{00000000-0005-0000-0000-0000793B0000}"/>
    <cellStyle name="Normal 58 3 2 7 3" xfId="4202" xr:uid="{00000000-0005-0000-0000-00007A3B0000}"/>
    <cellStyle name="Normal 58 3 2 7 3 2" xfId="17896" xr:uid="{00000000-0005-0000-0000-00007B3B0000}"/>
    <cellStyle name="Normal 58 3 2 7 3 3" xfId="14317" xr:uid="{00000000-0005-0000-0000-00007C3B0000}"/>
    <cellStyle name="Normal 58 3 2 7 3 4" xfId="9060" xr:uid="{00000000-0005-0000-0000-00007D3B0000}"/>
    <cellStyle name="Normal 58 3 2 7 4" xfId="5909" xr:uid="{00000000-0005-0000-0000-00007E3B0000}"/>
    <cellStyle name="Normal 58 3 2 7 4 2" xfId="14995" xr:uid="{00000000-0005-0000-0000-00007F3B0000}"/>
    <cellStyle name="Normal 58 3 2 7 5" xfId="10514" xr:uid="{00000000-0005-0000-0000-0000803B0000}"/>
    <cellStyle name="Normal 58 3 2 7 5 2" xfId="19341" xr:uid="{00000000-0005-0000-0000-0000813B0000}"/>
    <cellStyle name="Normal 58 3 2 7 6" xfId="11960" xr:uid="{00000000-0005-0000-0000-0000823B0000}"/>
    <cellStyle name="Normal 58 3 2 7 7" xfId="5258" xr:uid="{00000000-0005-0000-0000-0000833B0000}"/>
    <cellStyle name="Normal 58 3 2 8" xfId="1940" xr:uid="{00000000-0005-0000-0000-0000843B0000}"/>
    <cellStyle name="Normal 58 3 2 8 2" xfId="15841" xr:uid="{00000000-0005-0000-0000-0000853B0000}"/>
    <cellStyle name="Normal 58 3 2 8 3" xfId="12459" xr:uid="{00000000-0005-0000-0000-0000863B0000}"/>
    <cellStyle name="Normal 58 3 2 8 4" xfId="6795" xr:uid="{00000000-0005-0000-0000-0000873B0000}"/>
    <cellStyle name="Normal 58 3 2 9" xfId="3364" xr:uid="{00000000-0005-0000-0000-0000883B0000}"/>
    <cellStyle name="Normal 58 3 2 9 2" xfId="16851" xr:uid="{00000000-0005-0000-0000-0000893B0000}"/>
    <cellStyle name="Normal 58 3 2 9 3" xfId="13272" xr:uid="{00000000-0005-0000-0000-00008A3B0000}"/>
    <cellStyle name="Normal 58 3 2 9 4" xfId="8015" xr:uid="{00000000-0005-0000-0000-00008B3B0000}"/>
    <cellStyle name="Normal 58 3 2_Degree data" xfId="1739" xr:uid="{00000000-0005-0000-0000-00008C3B0000}"/>
    <cellStyle name="Normal 58 3 3" xfId="264" xr:uid="{00000000-0005-0000-0000-00008D3B0000}"/>
    <cellStyle name="Normal 58 3 3 10" xfId="11015" xr:uid="{00000000-0005-0000-0000-00008E3B0000}"/>
    <cellStyle name="Normal 58 3 3 11" xfId="4432" xr:uid="{00000000-0005-0000-0000-00008F3B0000}"/>
    <cellStyle name="Normal 58 3 3 2" xfId="372" xr:uid="{00000000-0005-0000-0000-0000903B0000}"/>
    <cellStyle name="Normal 58 3 3 2 2" xfId="771" xr:uid="{00000000-0005-0000-0000-0000913B0000}"/>
    <cellStyle name="Normal 58 3 3 2 2 2" xfId="2500" xr:uid="{00000000-0005-0000-0000-0000923B0000}"/>
    <cellStyle name="Normal 58 3 3 2 2 2 2" xfId="16388" xr:uid="{00000000-0005-0000-0000-0000933B0000}"/>
    <cellStyle name="Normal 58 3 3 2 2 2 3" xfId="12810" xr:uid="{00000000-0005-0000-0000-0000943B0000}"/>
    <cellStyle name="Normal 58 3 3 2 2 2 4" xfId="7520" xr:uid="{00000000-0005-0000-0000-0000953B0000}"/>
    <cellStyle name="Normal 58 3 3 2 2 3" xfId="3767" xr:uid="{00000000-0005-0000-0000-0000963B0000}"/>
    <cellStyle name="Normal 58 3 3 2 2 3 2" xfId="17413" xr:uid="{00000000-0005-0000-0000-0000973B0000}"/>
    <cellStyle name="Normal 58 3 3 2 2 3 3" xfId="13834" xr:uid="{00000000-0005-0000-0000-0000983B0000}"/>
    <cellStyle name="Normal 58 3 3 2 2 3 4" xfId="8577" xr:uid="{00000000-0005-0000-0000-0000993B0000}"/>
    <cellStyle name="Normal 58 3 3 2 2 4" xfId="6636" xr:uid="{00000000-0005-0000-0000-00009A3B0000}"/>
    <cellStyle name="Normal 58 3 3 2 2 4 2" xfId="15720" xr:uid="{00000000-0005-0000-0000-00009B3B0000}"/>
    <cellStyle name="Normal 58 3 3 2 2 5" xfId="10031" xr:uid="{00000000-0005-0000-0000-00009C3B0000}"/>
    <cellStyle name="Normal 58 3 3 2 2 5 2" xfId="18858" xr:uid="{00000000-0005-0000-0000-00009D3B0000}"/>
    <cellStyle name="Normal 58 3 3 2 2 6" xfId="11476" xr:uid="{00000000-0005-0000-0000-00009E3B0000}"/>
    <cellStyle name="Normal 58 3 3 2 2 7" xfId="5114" xr:uid="{00000000-0005-0000-0000-00009F3B0000}"/>
    <cellStyle name="Normal 58 3 3 2 3" xfId="1128" xr:uid="{00000000-0005-0000-0000-0000A03B0000}"/>
    <cellStyle name="Normal 58 3 3 2 3 2" xfId="2848" xr:uid="{00000000-0005-0000-0000-0000A13B0000}"/>
    <cellStyle name="Normal 58 3 3 2 3 2 2" xfId="16732" xr:uid="{00000000-0005-0000-0000-0000A23B0000}"/>
    <cellStyle name="Normal 58 3 3 2 3 2 3" xfId="13153" xr:uid="{00000000-0005-0000-0000-0000A33B0000}"/>
    <cellStyle name="Normal 58 3 3 2 3 2 4" xfId="7864" xr:uid="{00000000-0005-0000-0000-0000A43B0000}"/>
    <cellStyle name="Normal 58 3 3 2 3 3" xfId="4116" xr:uid="{00000000-0005-0000-0000-0000A53B0000}"/>
    <cellStyle name="Normal 58 3 3 2 3 3 2" xfId="17761" xr:uid="{00000000-0005-0000-0000-0000A63B0000}"/>
    <cellStyle name="Normal 58 3 3 2 3 3 3" xfId="14182" xr:uid="{00000000-0005-0000-0000-0000A73B0000}"/>
    <cellStyle name="Normal 58 3 3 2 3 3 4" xfId="8925" xr:uid="{00000000-0005-0000-0000-0000A83B0000}"/>
    <cellStyle name="Normal 58 3 3 2 3 4" xfId="6271" xr:uid="{00000000-0005-0000-0000-0000A93B0000}"/>
    <cellStyle name="Normal 58 3 3 2 3 4 2" xfId="15355" xr:uid="{00000000-0005-0000-0000-0000AA3B0000}"/>
    <cellStyle name="Normal 58 3 3 2 3 5" xfId="10379" xr:uid="{00000000-0005-0000-0000-0000AB3B0000}"/>
    <cellStyle name="Normal 58 3 3 2 3 5 2" xfId="19206" xr:uid="{00000000-0005-0000-0000-0000AC3B0000}"/>
    <cellStyle name="Normal 58 3 3 2 3 6" xfId="11825" xr:uid="{00000000-0005-0000-0000-0000AD3B0000}"/>
    <cellStyle name="Normal 58 3 3 2 3 7" xfId="5458" xr:uid="{00000000-0005-0000-0000-0000AE3B0000}"/>
    <cellStyle name="Normal 58 3 3 2 4" xfId="1586" xr:uid="{00000000-0005-0000-0000-0000AF3B0000}"/>
    <cellStyle name="Normal 58 3 3 2 4 2" xfId="3183" xr:uid="{00000000-0005-0000-0000-0000B03B0000}"/>
    <cellStyle name="Normal 58 3 3 2 4 2 2" xfId="18096" xr:uid="{00000000-0005-0000-0000-0000B13B0000}"/>
    <cellStyle name="Normal 58 3 3 2 4 2 3" xfId="14517" xr:uid="{00000000-0005-0000-0000-0000B23B0000}"/>
    <cellStyle name="Normal 58 3 3 2 4 2 4" xfId="9260" xr:uid="{00000000-0005-0000-0000-0000B33B0000}"/>
    <cellStyle name="Normal 58 3 3 2 4 3" xfId="10714" xr:uid="{00000000-0005-0000-0000-0000B43B0000}"/>
    <cellStyle name="Normal 58 3 3 2 4 3 2" xfId="19541" xr:uid="{00000000-0005-0000-0000-0000B53B0000}"/>
    <cellStyle name="Normal 58 3 3 2 4 4" xfId="12160" xr:uid="{00000000-0005-0000-0000-0000B63B0000}"/>
    <cellStyle name="Normal 58 3 3 2 4 5" xfId="7155" xr:uid="{00000000-0005-0000-0000-0000B73B0000}"/>
    <cellStyle name="Normal 58 3 3 2 5" xfId="2140" xr:uid="{00000000-0005-0000-0000-0000B83B0000}"/>
    <cellStyle name="Normal 58 3 3 2 5 2" xfId="17053" xr:uid="{00000000-0005-0000-0000-0000B93B0000}"/>
    <cellStyle name="Normal 58 3 3 2 5 3" xfId="13474" xr:uid="{00000000-0005-0000-0000-0000BA3B0000}"/>
    <cellStyle name="Normal 58 3 3 2 5 4" xfId="8217" xr:uid="{00000000-0005-0000-0000-0000BB3B0000}"/>
    <cellStyle name="Normal 58 3 3 2 6" xfId="5778" xr:uid="{00000000-0005-0000-0000-0000BC3B0000}"/>
    <cellStyle name="Normal 58 3 3 2 6 2" xfId="14864" xr:uid="{00000000-0005-0000-0000-0000BD3B0000}"/>
    <cellStyle name="Normal 58 3 3 2 7" xfId="9671" xr:uid="{00000000-0005-0000-0000-0000BE3B0000}"/>
    <cellStyle name="Normal 58 3 3 2 7 2" xfId="18498" xr:uid="{00000000-0005-0000-0000-0000BF3B0000}"/>
    <cellStyle name="Normal 58 3 3 2 8" xfId="11115" xr:uid="{00000000-0005-0000-0000-0000C03B0000}"/>
    <cellStyle name="Normal 58 3 3 2 9" xfId="4749" xr:uid="{00000000-0005-0000-0000-0000C13B0000}"/>
    <cellStyle name="Normal 58 3 3 2_Degree data" xfId="1745" xr:uid="{00000000-0005-0000-0000-0000C23B0000}"/>
    <cellStyle name="Normal 58 3 3 3" xfId="770" xr:uid="{00000000-0005-0000-0000-0000C33B0000}"/>
    <cellStyle name="Normal 58 3 3 3 2" xfId="2499" xr:uid="{00000000-0005-0000-0000-0000C43B0000}"/>
    <cellStyle name="Normal 58 3 3 3 2 2" xfId="16069" xr:uid="{00000000-0005-0000-0000-0000C53B0000}"/>
    <cellStyle name="Normal 58 3 3 3 2 3" xfId="12289" xr:uid="{00000000-0005-0000-0000-0000C63B0000}"/>
    <cellStyle name="Normal 58 3 3 3 2 4" xfId="7055" xr:uid="{00000000-0005-0000-0000-0000C73B0000}"/>
    <cellStyle name="Normal 58 3 3 3 3" xfId="3766" xr:uid="{00000000-0005-0000-0000-0000C83B0000}"/>
    <cellStyle name="Normal 58 3 3 3 3 2" xfId="17412" xr:uid="{00000000-0005-0000-0000-0000C93B0000}"/>
    <cellStyle name="Normal 58 3 3 3 3 3" xfId="13833" xr:uid="{00000000-0005-0000-0000-0000CA3B0000}"/>
    <cellStyle name="Normal 58 3 3 3 3 4" xfId="8576" xr:uid="{00000000-0005-0000-0000-0000CB3B0000}"/>
    <cellStyle name="Normal 58 3 3 3 4" xfId="6171" xr:uid="{00000000-0005-0000-0000-0000CC3B0000}"/>
    <cellStyle name="Normal 58 3 3 3 4 2" xfId="15255" xr:uid="{00000000-0005-0000-0000-0000CD3B0000}"/>
    <cellStyle name="Normal 58 3 3 3 5" xfId="10030" xr:uid="{00000000-0005-0000-0000-0000CE3B0000}"/>
    <cellStyle name="Normal 58 3 3 3 5 2" xfId="18857" xr:uid="{00000000-0005-0000-0000-0000CF3B0000}"/>
    <cellStyle name="Normal 58 3 3 3 6" xfId="11475" xr:uid="{00000000-0005-0000-0000-0000D03B0000}"/>
    <cellStyle name="Normal 58 3 3 3 7" xfId="4649" xr:uid="{00000000-0005-0000-0000-0000D13B0000}"/>
    <cellStyle name="Normal 58 3 3 4" xfId="1127" xr:uid="{00000000-0005-0000-0000-0000D23B0000}"/>
    <cellStyle name="Normal 58 3 3 4 2" xfId="2847" xr:uid="{00000000-0005-0000-0000-0000D33B0000}"/>
    <cellStyle name="Normal 58 3 3 4 2 2" xfId="16387" xr:uid="{00000000-0005-0000-0000-0000D43B0000}"/>
    <cellStyle name="Normal 58 3 3 4 2 3" xfId="12809" xr:uid="{00000000-0005-0000-0000-0000D53B0000}"/>
    <cellStyle name="Normal 58 3 3 4 2 4" xfId="7519" xr:uid="{00000000-0005-0000-0000-0000D63B0000}"/>
    <cellStyle name="Normal 58 3 3 4 3" xfId="4115" xr:uid="{00000000-0005-0000-0000-0000D73B0000}"/>
    <cellStyle name="Normal 58 3 3 4 3 2" xfId="17760" xr:uid="{00000000-0005-0000-0000-0000D83B0000}"/>
    <cellStyle name="Normal 58 3 3 4 3 3" xfId="14181" xr:uid="{00000000-0005-0000-0000-0000D93B0000}"/>
    <cellStyle name="Normal 58 3 3 4 3 4" xfId="8924" xr:uid="{00000000-0005-0000-0000-0000DA3B0000}"/>
    <cellStyle name="Normal 58 3 3 4 4" xfId="6635" xr:uid="{00000000-0005-0000-0000-0000DB3B0000}"/>
    <cellStyle name="Normal 58 3 3 4 4 2" xfId="15719" xr:uid="{00000000-0005-0000-0000-0000DC3B0000}"/>
    <cellStyle name="Normal 58 3 3 4 5" xfId="10378" xr:uid="{00000000-0005-0000-0000-0000DD3B0000}"/>
    <cellStyle name="Normal 58 3 3 4 5 2" xfId="19205" xr:uid="{00000000-0005-0000-0000-0000DE3B0000}"/>
    <cellStyle name="Normal 58 3 3 4 6" xfId="11824" xr:uid="{00000000-0005-0000-0000-0000DF3B0000}"/>
    <cellStyle name="Normal 58 3 3 4 7" xfId="5113" xr:uid="{00000000-0005-0000-0000-0000E03B0000}"/>
    <cellStyle name="Normal 58 3 3 5" xfId="1484" xr:uid="{00000000-0005-0000-0000-0000E13B0000}"/>
    <cellStyle name="Normal 58 3 3 5 2" xfId="3083" xr:uid="{00000000-0005-0000-0000-0000E23B0000}"/>
    <cellStyle name="Normal 58 3 3 5 2 2" xfId="16632" xr:uid="{00000000-0005-0000-0000-0000E33B0000}"/>
    <cellStyle name="Normal 58 3 3 5 2 3" xfId="13053" xr:uid="{00000000-0005-0000-0000-0000E43B0000}"/>
    <cellStyle name="Normal 58 3 3 5 2 4" xfId="7764" xr:uid="{00000000-0005-0000-0000-0000E53B0000}"/>
    <cellStyle name="Normal 58 3 3 5 3" xfId="4291" xr:uid="{00000000-0005-0000-0000-0000E63B0000}"/>
    <cellStyle name="Normal 58 3 3 5 3 2" xfId="17996" xr:uid="{00000000-0005-0000-0000-0000E73B0000}"/>
    <cellStyle name="Normal 58 3 3 5 3 3" xfId="14417" xr:uid="{00000000-0005-0000-0000-0000E83B0000}"/>
    <cellStyle name="Normal 58 3 3 5 3 4" xfId="9160" xr:uid="{00000000-0005-0000-0000-0000E93B0000}"/>
    <cellStyle name="Normal 58 3 3 5 4" xfId="5952" xr:uid="{00000000-0005-0000-0000-0000EA3B0000}"/>
    <cellStyle name="Normal 58 3 3 5 4 2" xfId="15038" xr:uid="{00000000-0005-0000-0000-0000EB3B0000}"/>
    <cellStyle name="Normal 58 3 3 5 5" xfId="10614" xr:uid="{00000000-0005-0000-0000-0000EC3B0000}"/>
    <cellStyle name="Normal 58 3 3 5 5 2" xfId="19441" xr:uid="{00000000-0005-0000-0000-0000ED3B0000}"/>
    <cellStyle name="Normal 58 3 3 5 6" xfId="12060" xr:uid="{00000000-0005-0000-0000-0000EE3B0000}"/>
    <cellStyle name="Normal 58 3 3 5 7" xfId="5358" xr:uid="{00000000-0005-0000-0000-0000EF3B0000}"/>
    <cellStyle name="Normal 58 3 3 6" xfId="2040" xr:uid="{00000000-0005-0000-0000-0000F03B0000}"/>
    <cellStyle name="Normal 58 3 3 6 2" xfId="15881" xr:uid="{00000000-0005-0000-0000-0000F13B0000}"/>
    <cellStyle name="Normal 58 3 3 6 3" xfId="12441" xr:uid="{00000000-0005-0000-0000-0000F23B0000}"/>
    <cellStyle name="Normal 58 3 3 6 4" xfId="6838" xr:uid="{00000000-0005-0000-0000-0000F33B0000}"/>
    <cellStyle name="Normal 58 3 3 7" xfId="3453" xr:uid="{00000000-0005-0000-0000-0000F43B0000}"/>
    <cellStyle name="Normal 58 3 3 7 2" xfId="16953" xr:uid="{00000000-0005-0000-0000-0000F53B0000}"/>
    <cellStyle name="Normal 58 3 3 7 3" xfId="13374" xr:uid="{00000000-0005-0000-0000-0000F63B0000}"/>
    <cellStyle name="Normal 58 3 3 7 4" xfId="8117" xr:uid="{00000000-0005-0000-0000-0000F73B0000}"/>
    <cellStyle name="Normal 58 3 3 8" xfId="5678" xr:uid="{00000000-0005-0000-0000-0000F83B0000}"/>
    <cellStyle name="Normal 58 3 3 8 2" xfId="14764" xr:uid="{00000000-0005-0000-0000-0000F93B0000}"/>
    <cellStyle name="Normal 58 3 3 9" xfId="9571" xr:uid="{00000000-0005-0000-0000-0000FA3B0000}"/>
    <cellStyle name="Normal 58 3 3 9 2" xfId="18398" xr:uid="{00000000-0005-0000-0000-0000FB3B0000}"/>
    <cellStyle name="Normal 58 3 3_Degree data" xfId="1744" xr:uid="{00000000-0005-0000-0000-0000FC3B0000}"/>
    <cellStyle name="Normal 58 3 4" xfId="188" xr:uid="{00000000-0005-0000-0000-0000FD3B0000}"/>
    <cellStyle name="Normal 58 3 4 10" xfId="10942" xr:uid="{00000000-0005-0000-0000-0000FE3B0000}"/>
    <cellStyle name="Normal 58 3 4 11" xfId="4464" xr:uid="{00000000-0005-0000-0000-0000FF3B0000}"/>
    <cellStyle name="Normal 58 3 4 2" xfId="405" xr:uid="{00000000-0005-0000-0000-0000003C0000}"/>
    <cellStyle name="Normal 58 3 4 2 2" xfId="773" xr:uid="{00000000-0005-0000-0000-0000013C0000}"/>
    <cellStyle name="Normal 58 3 4 2 2 2" xfId="2502" xr:uid="{00000000-0005-0000-0000-0000023C0000}"/>
    <cellStyle name="Normal 58 3 4 2 2 2 2" xfId="16390" xr:uid="{00000000-0005-0000-0000-0000033C0000}"/>
    <cellStyle name="Normal 58 3 4 2 2 2 3" xfId="12812" xr:uid="{00000000-0005-0000-0000-0000043C0000}"/>
    <cellStyle name="Normal 58 3 4 2 2 2 4" xfId="7522" xr:uid="{00000000-0005-0000-0000-0000053C0000}"/>
    <cellStyle name="Normal 58 3 4 2 2 3" xfId="3769" xr:uid="{00000000-0005-0000-0000-0000063C0000}"/>
    <cellStyle name="Normal 58 3 4 2 2 3 2" xfId="17415" xr:uid="{00000000-0005-0000-0000-0000073C0000}"/>
    <cellStyle name="Normal 58 3 4 2 2 3 3" xfId="13836" xr:uid="{00000000-0005-0000-0000-0000083C0000}"/>
    <cellStyle name="Normal 58 3 4 2 2 3 4" xfId="8579" xr:uid="{00000000-0005-0000-0000-0000093C0000}"/>
    <cellStyle name="Normal 58 3 4 2 2 4" xfId="6638" xr:uid="{00000000-0005-0000-0000-00000A3C0000}"/>
    <cellStyle name="Normal 58 3 4 2 2 4 2" xfId="15722" xr:uid="{00000000-0005-0000-0000-00000B3C0000}"/>
    <cellStyle name="Normal 58 3 4 2 2 5" xfId="10033" xr:uid="{00000000-0005-0000-0000-00000C3C0000}"/>
    <cellStyle name="Normal 58 3 4 2 2 5 2" xfId="18860" xr:uid="{00000000-0005-0000-0000-00000D3C0000}"/>
    <cellStyle name="Normal 58 3 4 2 2 6" xfId="11478" xr:uid="{00000000-0005-0000-0000-00000E3C0000}"/>
    <cellStyle name="Normal 58 3 4 2 2 7" xfId="5116" xr:uid="{00000000-0005-0000-0000-00000F3C0000}"/>
    <cellStyle name="Normal 58 3 4 2 3" xfId="1130" xr:uid="{00000000-0005-0000-0000-0000103C0000}"/>
    <cellStyle name="Normal 58 3 4 2 3 2" xfId="2850" xr:uid="{00000000-0005-0000-0000-0000113C0000}"/>
    <cellStyle name="Normal 58 3 4 2 3 2 2" xfId="16764" xr:uid="{00000000-0005-0000-0000-0000123C0000}"/>
    <cellStyle name="Normal 58 3 4 2 3 2 3" xfId="13185" xr:uid="{00000000-0005-0000-0000-0000133C0000}"/>
    <cellStyle name="Normal 58 3 4 2 3 2 4" xfId="7896" xr:uid="{00000000-0005-0000-0000-0000143C0000}"/>
    <cellStyle name="Normal 58 3 4 2 3 3" xfId="4118" xr:uid="{00000000-0005-0000-0000-0000153C0000}"/>
    <cellStyle name="Normal 58 3 4 2 3 3 2" xfId="17763" xr:uid="{00000000-0005-0000-0000-0000163C0000}"/>
    <cellStyle name="Normal 58 3 4 2 3 3 3" xfId="14184" xr:uid="{00000000-0005-0000-0000-0000173C0000}"/>
    <cellStyle name="Normal 58 3 4 2 3 3 4" xfId="8927" xr:uid="{00000000-0005-0000-0000-0000183C0000}"/>
    <cellStyle name="Normal 58 3 4 2 3 4" xfId="6303" xr:uid="{00000000-0005-0000-0000-0000193C0000}"/>
    <cellStyle name="Normal 58 3 4 2 3 4 2" xfId="15387" xr:uid="{00000000-0005-0000-0000-00001A3C0000}"/>
    <cellStyle name="Normal 58 3 4 2 3 5" xfId="10381" xr:uid="{00000000-0005-0000-0000-00001B3C0000}"/>
    <cellStyle name="Normal 58 3 4 2 3 5 2" xfId="19208" xr:uid="{00000000-0005-0000-0000-00001C3C0000}"/>
    <cellStyle name="Normal 58 3 4 2 3 6" xfId="11827" xr:uid="{00000000-0005-0000-0000-00001D3C0000}"/>
    <cellStyle name="Normal 58 3 4 2 3 7" xfId="5490" xr:uid="{00000000-0005-0000-0000-00001E3C0000}"/>
    <cellStyle name="Normal 58 3 4 2 4" xfId="1619" xr:uid="{00000000-0005-0000-0000-00001F3C0000}"/>
    <cellStyle name="Normal 58 3 4 2 4 2" xfId="3215" xr:uid="{00000000-0005-0000-0000-0000203C0000}"/>
    <cellStyle name="Normal 58 3 4 2 4 2 2" xfId="18128" xr:uid="{00000000-0005-0000-0000-0000213C0000}"/>
    <cellStyle name="Normal 58 3 4 2 4 2 3" xfId="14549" xr:uid="{00000000-0005-0000-0000-0000223C0000}"/>
    <cellStyle name="Normal 58 3 4 2 4 2 4" xfId="9292" xr:uid="{00000000-0005-0000-0000-0000233C0000}"/>
    <cellStyle name="Normal 58 3 4 2 4 3" xfId="10746" xr:uid="{00000000-0005-0000-0000-0000243C0000}"/>
    <cellStyle name="Normal 58 3 4 2 4 3 2" xfId="19573" xr:uid="{00000000-0005-0000-0000-0000253C0000}"/>
    <cellStyle name="Normal 58 3 4 2 4 4" xfId="12192" xr:uid="{00000000-0005-0000-0000-0000263C0000}"/>
    <cellStyle name="Normal 58 3 4 2 4 5" xfId="7187" xr:uid="{00000000-0005-0000-0000-0000273C0000}"/>
    <cellStyle name="Normal 58 3 4 2 5" xfId="2172" xr:uid="{00000000-0005-0000-0000-0000283C0000}"/>
    <cellStyle name="Normal 58 3 4 2 5 2" xfId="17085" xr:uid="{00000000-0005-0000-0000-0000293C0000}"/>
    <cellStyle name="Normal 58 3 4 2 5 3" xfId="13506" xr:uid="{00000000-0005-0000-0000-00002A3C0000}"/>
    <cellStyle name="Normal 58 3 4 2 5 4" xfId="8249" xr:uid="{00000000-0005-0000-0000-00002B3C0000}"/>
    <cellStyle name="Normal 58 3 4 2 6" xfId="5810" xr:uid="{00000000-0005-0000-0000-00002C3C0000}"/>
    <cellStyle name="Normal 58 3 4 2 6 2" xfId="14896" xr:uid="{00000000-0005-0000-0000-00002D3C0000}"/>
    <cellStyle name="Normal 58 3 4 2 7" xfId="9703" xr:uid="{00000000-0005-0000-0000-00002E3C0000}"/>
    <cellStyle name="Normal 58 3 4 2 7 2" xfId="18530" xr:uid="{00000000-0005-0000-0000-00002F3C0000}"/>
    <cellStyle name="Normal 58 3 4 2 8" xfId="11147" xr:uid="{00000000-0005-0000-0000-0000303C0000}"/>
    <cellStyle name="Normal 58 3 4 2 9" xfId="4781" xr:uid="{00000000-0005-0000-0000-0000313C0000}"/>
    <cellStyle name="Normal 58 3 4 2_Degree data" xfId="1747" xr:uid="{00000000-0005-0000-0000-0000323C0000}"/>
    <cellStyle name="Normal 58 3 4 3" xfId="772" xr:uid="{00000000-0005-0000-0000-0000333C0000}"/>
    <cellStyle name="Normal 58 3 4 3 2" xfId="2501" xr:uid="{00000000-0005-0000-0000-0000343C0000}"/>
    <cellStyle name="Normal 58 3 4 3 2 2" xfId="15996" xr:uid="{00000000-0005-0000-0000-0000353C0000}"/>
    <cellStyle name="Normal 58 3 4 3 2 3" xfId="12395" xr:uid="{00000000-0005-0000-0000-0000363C0000}"/>
    <cellStyle name="Normal 58 3 4 3 2 4" xfId="6982" xr:uid="{00000000-0005-0000-0000-0000373C0000}"/>
    <cellStyle name="Normal 58 3 4 3 3" xfId="3768" xr:uid="{00000000-0005-0000-0000-0000383C0000}"/>
    <cellStyle name="Normal 58 3 4 3 3 2" xfId="17414" xr:uid="{00000000-0005-0000-0000-0000393C0000}"/>
    <cellStyle name="Normal 58 3 4 3 3 3" xfId="13835" xr:uid="{00000000-0005-0000-0000-00003A3C0000}"/>
    <cellStyle name="Normal 58 3 4 3 3 4" xfId="8578" xr:uid="{00000000-0005-0000-0000-00003B3C0000}"/>
    <cellStyle name="Normal 58 3 4 3 4" xfId="6098" xr:uid="{00000000-0005-0000-0000-00003C3C0000}"/>
    <cellStyle name="Normal 58 3 4 3 4 2" xfId="15182" xr:uid="{00000000-0005-0000-0000-00003D3C0000}"/>
    <cellStyle name="Normal 58 3 4 3 5" xfId="10032" xr:uid="{00000000-0005-0000-0000-00003E3C0000}"/>
    <cellStyle name="Normal 58 3 4 3 5 2" xfId="18859" xr:uid="{00000000-0005-0000-0000-00003F3C0000}"/>
    <cellStyle name="Normal 58 3 4 3 6" xfId="11477" xr:uid="{00000000-0005-0000-0000-0000403C0000}"/>
    <cellStyle name="Normal 58 3 4 3 7" xfId="4576" xr:uid="{00000000-0005-0000-0000-0000413C0000}"/>
    <cellStyle name="Normal 58 3 4 4" xfId="1129" xr:uid="{00000000-0005-0000-0000-0000423C0000}"/>
    <cellStyle name="Normal 58 3 4 4 2" xfId="2849" xr:uid="{00000000-0005-0000-0000-0000433C0000}"/>
    <cellStyle name="Normal 58 3 4 4 2 2" xfId="16389" xr:uid="{00000000-0005-0000-0000-0000443C0000}"/>
    <cellStyle name="Normal 58 3 4 4 2 3" xfId="12811" xr:uid="{00000000-0005-0000-0000-0000453C0000}"/>
    <cellStyle name="Normal 58 3 4 4 2 4" xfId="7521" xr:uid="{00000000-0005-0000-0000-0000463C0000}"/>
    <cellStyle name="Normal 58 3 4 4 3" xfId="4117" xr:uid="{00000000-0005-0000-0000-0000473C0000}"/>
    <cellStyle name="Normal 58 3 4 4 3 2" xfId="17762" xr:uid="{00000000-0005-0000-0000-0000483C0000}"/>
    <cellStyle name="Normal 58 3 4 4 3 3" xfId="14183" xr:uid="{00000000-0005-0000-0000-0000493C0000}"/>
    <cellStyle name="Normal 58 3 4 4 3 4" xfId="8926" xr:uid="{00000000-0005-0000-0000-00004A3C0000}"/>
    <cellStyle name="Normal 58 3 4 4 4" xfId="6637" xr:uid="{00000000-0005-0000-0000-00004B3C0000}"/>
    <cellStyle name="Normal 58 3 4 4 4 2" xfId="15721" xr:uid="{00000000-0005-0000-0000-00004C3C0000}"/>
    <cellStyle name="Normal 58 3 4 4 5" xfId="10380" xr:uid="{00000000-0005-0000-0000-00004D3C0000}"/>
    <cellStyle name="Normal 58 3 4 4 5 2" xfId="19207" xr:uid="{00000000-0005-0000-0000-00004E3C0000}"/>
    <cellStyle name="Normal 58 3 4 4 6" xfId="11826" xr:uid="{00000000-0005-0000-0000-00004F3C0000}"/>
    <cellStyle name="Normal 58 3 4 4 7" xfId="5115" xr:uid="{00000000-0005-0000-0000-0000503C0000}"/>
    <cellStyle name="Normal 58 3 4 5" xfId="1405" xr:uid="{00000000-0005-0000-0000-0000513C0000}"/>
    <cellStyle name="Normal 58 3 4 5 2" xfId="3010" xr:uid="{00000000-0005-0000-0000-0000523C0000}"/>
    <cellStyle name="Normal 58 3 4 5 2 2" xfId="16559" xr:uid="{00000000-0005-0000-0000-0000533C0000}"/>
    <cellStyle name="Normal 58 3 4 5 2 3" xfId="12980" xr:uid="{00000000-0005-0000-0000-0000543C0000}"/>
    <cellStyle name="Normal 58 3 4 5 2 4" xfId="7691" xr:uid="{00000000-0005-0000-0000-0000553C0000}"/>
    <cellStyle name="Normal 58 3 4 5 3" xfId="4218" xr:uid="{00000000-0005-0000-0000-0000563C0000}"/>
    <cellStyle name="Normal 58 3 4 5 3 2" xfId="17923" xr:uid="{00000000-0005-0000-0000-0000573C0000}"/>
    <cellStyle name="Normal 58 3 4 5 3 3" xfId="14344" xr:uid="{00000000-0005-0000-0000-0000583C0000}"/>
    <cellStyle name="Normal 58 3 4 5 3 4" xfId="9087" xr:uid="{00000000-0005-0000-0000-0000593C0000}"/>
    <cellStyle name="Normal 58 3 4 5 4" xfId="5984" xr:uid="{00000000-0005-0000-0000-00005A3C0000}"/>
    <cellStyle name="Normal 58 3 4 5 4 2" xfId="15070" xr:uid="{00000000-0005-0000-0000-00005B3C0000}"/>
    <cellStyle name="Normal 58 3 4 5 5" xfId="10541" xr:uid="{00000000-0005-0000-0000-00005C3C0000}"/>
    <cellStyle name="Normal 58 3 4 5 5 2" xfId="19368" xr:uid="{00000000-0005-0000-0000-00005D3C0000}"/>
    <cellStyle name="Normal 58 3 4 5 6" xfId="11987" xr:uid="{00000000-0005-0000-0000-00005E3C0000}"/>
    <cellStyle name="Normal 58 3 4 5 7" xfId="5285" xr:uid="{00000000-0005-0000-0000-00005F3C0000}"/>
    <cellStyle name="Normal 58 3 4 6" xfId="1967" xr:uid="{00000000-0005-0000-0000-0000603C0000}"/>
    <cellStyle name="Normal 58 3 4 6 2" xfId="15913" xr:uid="{00000000-0005-0000-0000-0000613C0000}"/>
    <cellStyle name="Normal 58 3 4 6 3" xfId="12353" xr:uid="{00000000-0005-0000-0000-0000623C0000}"/>
    <cellStyle name="Normal 58 3 4 6 4" xfId="6870" xr:uid="{00000000-0005-0000-0000-0000633C0000}"/>
    <cellStyle name="Normal 58 3 4 7" xfId="3381" xr:uid="{00000000-0005-0000-0000-0000643C0000}"/>
    <cellStyle name="Normal 58 3 4 7 2" xfId="16880" xr:uid="{00000000-0005-0000-0000-0000653C0000}"/>
    <cellStyle name="Normal 58 3 4 7 3" xfId="13301" xr:uid="{00000000-0005-0000-0000-0000663C0000}"/>
    <cellStyle name="Normal 58 3 4 7 4" xfId="8044" xr:uid="{00000000-0005-0000-0000-0000673C0000}"/>
    <cellStyle name="Normal 58 3 4 8" xfId="5605" xr:uid="{00000000-0005-0000-0000-0000683C0000}"/>
    <cellStyle name="Normal 58 3 4 8 2" xfId="14691" xr:uid="{00000000-0005-0000-0000-0000693C0000}"/>
    <cellStyle name="Normal 58 3 4 9" xfId="9498" xr:uid="{00000000-0005-0000-0000-00006A3C0000}"/>
    <cellStyle name="Normal 58 3 4 9 2" xfId="18325" xr:uid="{00000000-0005-0000-0000-00006B3C0000}"/>
    <cellStyle name="Normal 58 3 4_Degree data" xfId="1746" xr:uid="{00000000-0005-0000-0000-00006C3C0000}"/>
    <cellStyle name="Normal 58 3 5" xfId="299" xr:uid="{00000000-0005-0000-0000-00006D3C0000}"/>
    <cellStyle name="Normal 58 3 5 2" xfId="774" xr:uid="{00000000-0005-0000-0000-00006E3C0000}"/>
    <cellStyle name="Normal 58 3 5 2 2" xfId="2503" xr:uid="{00000000-0005-0000-0000-00006F3C0000}"/>
    <cellStyle name="Normal 58 3 5 2 2 2" xfId="16391" xr:uid="{00000000-0005-0000-0000-0000703C0000}"/>
    <cellStyle name="Normal 58 3 5 2 2 3" xfId="12813" xr:uid="{00000000-0005-0000-0000-0000713C0000}"/>
    <cellStyle name="Normal 58 3 5 2 2 4" xfId="7523" xr:uid="{00000000-0005-0000-0000-0000723C0000}"/>
    <cellStyle name="Normal 58 3 5 2 3" xfId="3770" xr:uid="{00000000-0005-0000-0000-0000733C0000}"/>
    <cellStyle name="Normal 58 3 5 2 3 2" xfId="17416" xr:uid="{00000000-0005-0000-0000-0000743C0000}"/>
    <cellStyle name="Normal 58 3 5 2 3 3" xfId="13837" xr:uid="{00000000-0005-0000-0000-0000753C0000}"/>
    <cellStyle name="Normal 58 3 5 2 3 4" xfId="8580" xr:uid="{00000000-0005-0000-0000-0000763C0000}"/>
    <cellStyle name="Normal 58 3 5 2 4" xfId="6639" xr:uid="{00000000-0005-0000-0000-0000773C0000}"/>
    <cellStyle name="Normal 58 3 5 2 4 2" xfId="15723" xr:uid="{00000000-0005-0000-0000-0000783C0000}"/>
    <cellStyle name="Normal 58 3 5 2 5" xfId="10034" xr:uid="{00000000-0005-0000-0000-0000793C0000}"/>
    <cellStyle name="Normal 58 3 5 2 5 2" xfId="18861" xr:uid="{00000000-0005-0000-0000-00007A3C0000}"/>
    <cellStyle name="Normal 58 3 5 2 6" xfId="11479" xr:uid="{00000000-0005-0000-0000-00007B3C0000}"/>
    <cellStyle name="Normal 58 3 5 2 7" xfId="5117" xr:uid="{00000000-0005-0000-0000-00007C3C0000}"/>
    <cellStyle name="Normal 58 3 5 3" xfId="1131" xr:uid="{00000000-0005-0000-0000-00007D3C0000}"/>
    <cellStyle name="Normal 58 3 5 3 2" xfId="2851" xr:uid="{00000000-0005-0000-0000-00007E3C0000}"/>
    <cellStyle name="Normal 58 3 5 3 2 2" xfId="16659" xr:uid="{00000000-0005-0000-0000-00007F3C0000}"/>
    <cellStyle name="Normal 58 3 5 3 2 3" xfId="13080" xr:uid="{00000000-0005-0000-0000-0000803C0000}"/>
    <cellStyle name="Normal 58 3 5 3 2 4" xfId="7791" xr:uid="{00000000-0005-0000-0000-0000813C0000}"/>
    <cellStyle name="Normal 58 3 5 3 3" xfId="4119" xr:uid="{00000000-0005-0000-0000-0000823C0000}"/>
    <cellStyle name="Normal 58 3 5 3 3 2" xfId="17764" xr:uid="{00000000-0005-0000-0000-0000833C0000}"/>
    <cellStyle name="Normal 58 3 5 3 3 3" xfId="14185" xr:uid="{00000000-0005-0000-0000-0000843C0000}"/>
    <cellStyle name="Normal 58 3 5 3 3 4" xfId="8928" xr:uid="{00000000-0005-0000-0000-0000853C0000}"/>
    <cellStyle name="Normal 58 3 5 3 4" xfId="6198" xr:uid="{00000000-0005-0000-0000-0000863C0000}"/>
    <cellStyle name="Normal 58 3 5 3 4 2" xfId="15282" xr:uid="{00000000-0005-0000-0000-0000873C0000}"/>
    <cellStyle name="Normal 58 3 5 3 5" xfId="10382" xr:uid="{00000000-0005-0000-0000-0000883C0000}"/>
    <cellStyle name="Normal 58 3 5 3 5 2" xfId="19209" xr:uid="{00000000-0005-0000-0000-0000893C0000}"/>
    <cellStyle name="Normal 58 3 5 3 6" xfId="11828" xr:uid="{00000000-0005-0000-0000-00008A3C0000}"/>
    <cellStyle name="Normal 58 3 5 3 7" xfId="5385" xr:uid="{00000000-0005-0000-0000-00008B3C0000}"/>
    <cellStyle name="Normal 58 3 5 4" xfId="1511" xr:uid="{00000000-0005-0000-0000-00008C3C0000}"/>
    <cellStyle name="Normal 58 3 5 4 2" xfId="3110" xr:uid="{00000000-0005-0000-0000-00008D3C0000}"/>
    <cellStyle name="Normal 58 3 5 4 2 2" xfId="18023" xr:uid="{00000000-0005-0000-0000-00008E3C0000}"/>
    <cellStyle name="Normal 58 3 5 4 2 3" xfId="14444" xr:uid="{00000000-0005-0000-0000-00008F3C0000}"/>
    <cellStyle name="Normal 58 3 5 4 2 4" xfId="9187" xr:uid="{00000000-0005-0000-0000-0000903C0000}"/>
    <cellStyle name="Normal 58 3 5 4 3" xfId="10641" xr:uid="{00000000-0005-0000-0000-0000913C0000}"/>
    <cellStyle name="Normal 58 3 5 4 3 2" xfId="19468" xr:uid="{00000000-0005-0000-0000-0000923C0000}"/>
    <cellStyle name="Normal 58 3 5 4 4" xfId="12087" xr:uid="{00000000-0005-0000-0000-0000933C0000}"/>
    <cellStyle name="Normal 58 3 5 4 5" xfId="7082" xr:uid="{00000000-0005-0000-0000-0000943C0000}"/>
    <cellStyle name="Normal 58 3 5 5" xfId="2067" xr:uid="{00000000-0005-0000-0000-0000953C0000}"/>
    <cellStyle name="Normal 58 3 5 5 2" xfId="16980" xr:uid="{00000000-0005-0000-0000-0000963C0000}"/>
    <cellStyle name="Normal 58 3 5 5 3" xfId="13401" xr:uid="{00000000-0005-0000-0000-0000973C0000}"/>
    <cellStyle name="Normal 58 3 5 5 4" xfId="8144" xr:uid="{00000000-0005-0000-0000-0000983C0000}"/>
    <cellStyle name="Normal 58 3 5 6" xfId="5705" xr:uid="{00000000-0005-0000-0000-0000993C0000}"/>
    <cellStyle name="Normal 58 3 5 6 2" xfId="14791" xr:uid="{00000000-0005-0000-0000-00009A3C0000}"/>
    <cellStyle name="Normal 58 3 5 7" xfId="9598" xr:uid="{00000000-0005-0000-0000-00009B3C0000}"/>
    <cellStyle name="Normal 58 3 5 7 2" xfId="18425" xr:uid="{00000000-0005-0000-0000-00009C3C0000}"/>
    <cellStyle name="Normal 58 3 5 8" xfId="11042" xr:uid="{00000000-0005-0000-0000-00009D3C0000}"/>
    <cellStyle name="Normal 58 3 5 9" xfId="4676" xr:uid="{00000000-0005-0000-0000-00009E3C0000}"/>
    <cellStyle name="Normal 58 3 5_Degree data" xfId="1748" xr:uid="{00000000-0005-0000-0000-00009F3C0000}"/>
    <cellStyle name="Normal 58 3 6" xfId="469" xr:uid="{00000000-0005-0000-0000-0000A03C0000}"/>
    <cellStyle name="Normal 58 3 6 2" xfId="775" xr:uid="{00000000-0005-0000-0000-0000A13C0000}"/>
    <cellStyle name="Normal 58 3 6 2 2" xfId="2504" xr:uid="{00000000-0005-0000-0000-0000A23C0000}"/>
    <cellStyle name="Normal 58 3 6 2 2 2" xfId="16392" xr:uid="{00000000-0005-0000-0000-0000A33C0000}"/>
    <cellStyle name="Normal 58 3 6 2 2 3" xfId="12814" xr:uid="{00000000-0005-0000-0000-0000A43C0000}"/>
    <cellStyle name="Normal 58 3 6 2 2 4" xfId="7524" xr:uid="{00000000-0005-0000-0000-0000A53C0000}"/>
    <cellStyle name="Normal 58 3 6 2 3" xfId="3771" xr:uid="{00000000-0005-0000-0000-0000A63C0000}"/>
    <cellStyle name="Normal 58 3 6 2 3 2" xfId="17417" xr:uid="{00000000-0005-0000-0000-0000A73C0000}"/>
    <cellStyle name="Normal 58 3 6 2 3 3" xfId="13838" xr:uid="{00000000-0005-0000-0000-0000A83C0000}"/>
    <cellStyle name="Normal 58 3 6 2 3 4" xfId="8581" xr:uid="{00000000-0005-0000-0000-0000A93C0000}"/>
    <cellStyle name="Normal 58 3 6 2 4" xfId="6640" xr:uid="{00000000-0005-0000-0000-0000AA3C0000}"/>
    <cellStyle name="Normal 58 3 6 2 4 2" xfId="15724" xr:uid="{00000000-0005-0000-0000-0000AB3C0000}"/>
    <cellStyle name="Normal 58 3 6 2 5" xfId="10035" xr:uid="{00000000-0005-0000-0000-0000AC3C0000}"/>
    <cellStyle name="Normal 58 3 6 2 5 2" xfId="18862" xr:uid="{00000000-0005-0000-0000-0000AD3C0000}"/>
    <cellStyle name="Normal 58 3 6 2 6" xfId="11480" xr:uid="{00000000-0005-0000-0000-0000AE3C0000}"/>
    <cellStyle name="Normal 58 3 6 2 7" xfId="5118" xr:uid="{00000000-0005-0000-0000-0000AF3C0000}"/>
    <cellStyle name="Normal 58 3 6 3" xfId="1132" xr:uid="{00000000-0005-0000-0000-0000B03C0000}"/>
    <cellStyle name="Normal 58 3 6 3 2" xfId="2852" xr:uid="{00000000-0005-0000-0000-0000B13C0000}"/>
    <cellStyle name="Normal 58 3 6 3 2 2" xfId="16507" xr:uid="{00000000-0005-0000-0000-0000B23C0000}"/>
    <cellStyle name="Normal 58 3 6 3 2 3" xfId="12929" xr:uid="{00000000-0005-0000-0000-0000B33C0000}"/>
    <cellStyle name="Normal 58 3 6 3 2 4" xfId="7639" xr:uid="{00000000-0005-0000-0000-0000B43C0000}"/>
    <cellStyle name="Normal 58 3 6 3 3" xfId="4120" xr:uid="{00000000-0005-0000-0000-0000B53C0000}"/>
    <cellStyle name="Normal 58 3 6 3 3 2" xfId="17765" xr:uid="{00000000-0005-0000-0000-0000B63C0000}"/>
    <cellStyle name="Normal 58 3 6 3 3 3" xfId="14186" xr:uid="{00000000-0005-0000-0000-0000B73C0000}"/>
    <cellStyle name="Normal 58 3 6 3 3 4" xfId="8929" xr:uid="{00000000-0005-0000-0000-0000B83C0000}"/>
    <cellStyle name="Normal 58 3 6 3 4" xfId="6744" xr:uid="{00000000-0005-0000-0000-0000B93C0000}"/>
    <cellStyle name="Normal 58 3 6 3 4 2" xfId="15827" xr:uid="{00000000-0005-0000-0000-0000BA3C0000}"/>
    <cellStyle name="Normal 58 3 6 3 5" xfId="10383" xr:uid="{00000000-0005-0000-0000-0000BB3C0000}"/>
    <cellStyle name="Normal 58 3 6 3 5 2" xfId="19210" xr:uid="{00000000-0005-0000-0000-0000BC3C0000}"/>
    <cellStyle name="Normal 58 3 6 3 6" xfId="11829" xr:uid="{00000000-0005-0000-0000-0000BD3C0000}"/>
    <cellStyle name="Normal 58 3 6 3 7" xfId="5233" xr:uid="{00000000-0005-0000-0000-0000BE3C0000}"/>
    <cellStyle name="Normal 58 3 6 4" xfId="1345" xr:uid="{00000000-0005-0000-0000-0000BF3C0000}"/>
    <cellStyle name="Normal 58 3 6 4 2" xfId="2958" xr:uid="{00000000-0005-0000-0000-0000C03C0000}"/>
    <cellStyle name="Normal 58 3 6 4 2 2" xfId="17871" xr:uid="{00000000-0005-0000-0000-0000C13C0000}"/>
    <cellStyle name="Normal 58 3 6 4 2 3" xfId="14292" xr:uid="{00000000-0005-0000-0000-0000C23C0000}"/>
    <cellStyle name="Normal 58 3 6 4 2 4" xfId="9035" xr:uid="{00000000-0005-0000-0000-0000C33C0000}"/>
    <cellStyle name="Normal 58 3 6 4 3" xfId="10489" xr:uid="{00000000-0005-0000-0000-0000C43C0000}"/>
    <cellStyle name="Normal 58 3 6 4 3 2" xfId="19316" xr:uid="{00000000-0005-0000-0000-0000C53C0000}"/>
    <cellStyle name="Normal 58 3 6 4 4" xfId="11935" xr:uid="{00000000-0005-0000-0000-0000C63C0000}"/>
    <cellStyle name="Normal 58 3 6 4 5" xfId="6930" xr:uid="{00000000-0005-0000-0000-0000C73C0000}"/>
    <cellStyle name="Normal 58 3 6 5" xfId="1915" xr:uid="{00000000-0005-0000-0000-0000C83C0000}"/>
    <cellStyle name="Normal 58 3 6 5 2" xfId="16826" xr:uid="{00000000-0005-0000-0000-0000C93C0000}"/>
    <cellStyle name="Normal 58 3 6 5 3" xfId="13247" xr:uid="{00000000-0005-0000-0000-0000CA3C0000}"/>
    <cellStyle name="Normal 58 3 6 5 4" xfId="7990" xr:uid="{00000000-0005-0000-0000-0000CB3C0000}"/>
    <cellStyle name="Normal 58 3 6 6" xfId="6046" xr:uid="{00000000-0005-0000-0000-0000CC3C0000}"/>
    <cellStyle name="Normal 58 3 6 6 2" xfId="15130" xr:uid="{00000000-0005-0000-0000-0000CD3C0000}"/>
    <cellStyle name="Normal 58 3 6 7" xfId="9446" xr:uid="{00000000-0005-0000-0000-0000CE3C0000}"/>
    <cellStyle name="Normal 58 3 6 7 2" xfId="18273" xr:uid="{00000000-0005-0000-0000-0000CF3C0000}"/>
    <cellStyle name="Normal 58 3 6 8" xfId="10890" xr:uid="{00000000-0005-0000-0000-0000D03C0000}"/>
    <cellStyle name="Normal 58 3 6 9" xfId="4524" xr:uid="{00000000-0005-0000-0000-0000D13C0000}"/>
    <cellStyle name="Normal 58 3 6_Degree data" xfId="1749" xr:uid="{00000000-0005-0000-0000-0000D23C0000}"/>
    <cellStyle name="Normal 58 3 7" xfId="764" xr:uid="{00000000-0005-0000-0000-0000D33C0000}"/>
    <cellStyle name="Normal 58 3 7 2" xfId="2493" xr:uid="{00000000-0005-0000-0000-0000D43C0000}"/>
    <cellStyle name="Normal 58 3 7 2 2" xfId="16381" xr:uid="{00000000-0005-0000-0000-0000D53C0000}"/>
    <cellStyle name="Normal 58 3 7 2 3" xfId="12803" xr:uid="{00000000-0005-0000-0000-0000D63C0000}"/>
    <cellStyle name="Normal 58 3 7 2 4" xfId="7513" xr:uid="{00000000-0005-0000-0000-0000D73C0000}"/>
    <cellStyle name="Normal 58 3 7 3" xfId="3760" xr:uid="{00000000-0005-0000-0000-0000D83C0000}"/>
    <cellStyle name="Normal 58 3 7 3 2" xfId="17406" xr:uid="{00000000-0005-0000-0000-0000D93C0000}"/>
    <cellStyle name="Normal 58 3 7 3 3" xfId="13827" xr:uid="{00000000-0005-0000-0000-0000DA3C0000}"/>
    <cellStyle name="Normal 58 3 7 3 4" xfId="8570" xr:uid="{00000000-0005-0000-0000-0000DB3C0000}"/>
    <cellStyle name="Normal 58 3 7 4" xfId="6629" xr:uid="{00000000-0005-0000-0000-0000DC3C0000}"/>
    <cellStyle name="Normal 58 3 7 4 2" xfId="15713" xr:uid="{00000000-0005-0000-0000-0000DD3C0000}"/>
    <cellStyle name="Normal 58 3 7 5" xfId="10024" xr:uid="{00000000-0005-0000-0000-0000DE3C0000}"/>
    <cellStyle name="Normal 58 3 7 5 2" xfId="18851" xr:uid="{00000000-0005-0000-0000-0000DF3C0000}"/>
    <cellStyle name="Normal 58 3 7 6" xfId="11469" xr:uid="{00000000-0005-0000-0000-0000E03C0000}"/>
    <cellStyle name="Normal 58 3 7 7" xfId="5107" xr:uid="{00000000-0005-0000-0000-0000E13C0000}"/>
    <cellStyle name="Normal 58 3 8" xfId="1121" xr:uid="{00000000-0005-0000-0000-0000E23C0000}"/>
    <cellStyle name="Normal 58 3 8 2" xfId="2841" xr:uid="{00000000-0005-0000-0000-0000E33C0000}"/>
    <cellStyle name="Normal 58 3 8 2 2" xfId="16487" xr:uid="{00000000-0005-0000-0000-0000E43C0000}"/>
    <cellStyle name="Normal 58 3 8 2 3" xfId="12909" xr:uid="{00000000-0005-0000-0000-0000E53C0000}"/>
    <cellStyle name="Normal 58 3 8 2 4" xfId="7619" xr:uid="{00000000-0005-0000-0000-0000E63C0000}"/>
    <cellStyle name="Normal 58 3 8 3" xfId="4109" xr:uid="{00000000-0005-0000-0000-0000E73C0000}"/>
    <cellStyle name="Normal 58 3 8 3 2" xfId="17754" xr:uid="{00000000-0005-0000-0000-0000E83C0000}"/>
    <cellStyle name="Normal 58 3 8 3 3" xfId="14175" xr:uid="{00000000-0005-0000-0000-0000E93C0000}"/>
    <cellStyle name="Normal 58 3 8 3 4" xfId="8918" xr:uid="{00000000-0005-0000-0000-0000EA3C0000}"/>
    <cellStyle name="Normal 58 3 8 4" xfId="5878" xr:uid="{00000000-0005-0000-0000-0000EB3C0000}"/>
    <cellStyle name="Normal 58 3 8 4 2" xfId="14964" xr:uid="{00000000-0005-0000-0000-0000EC3C0000}"/>
    <cellStyle name="Normal 58 3 8 5" xfId="10372" xr:uid="{00000000-0005-0000-0000-0000ED3C0000}"/>
    <cellStyle name="Normal 58 3 8 5 2" xfId="19199" xr:uid="{00000000-0005-0000-0000-0000EE3C0000}"/>
    <cellStyle name="Normal 58 3 8 6" xfId="11818" xr:uid="{00000000-0005-0000-0000-0000EF3C0000}"/>
    <cellStyle name="Normal 58 3 8 7" xfId="5213" xr:uid="{00000000-0005-0000-0000-0000F03C0000}"/>
    <cellStyle name="Normal 58 3 9" xfId="1323" xr:uid="{00000000-0005-0000-0000-0000F13C0000}"/>
    <cellStyle name="Normal 58 3 9 2" xfId="2938" xr:uid="{00000000-0005-0000-0000-0000F23C0000}"/>
    <cellStyle name="Normal 58 3 9 2 2" xfId="17851" xr:uid="{00000000-0005-0000-0000-0000F33C0000}"/>
    <cellStyle name="Normal 58 3 9 2 3" xfId="14272" xr:uid="{00000000-0005-0000-0000-0000F43C0000}"/>
    <cellStyle name="Normal 58 3 9 2 4" xfId="9015" xr:uid="{00000000-0005-0000-0000-0000F53C0000}"/>
    <cellStyle name="Normal 58 3 9 3" xfId="10469" xr:uid="{00000000-0005-0000-0000-0000F63C0000}"/>
    <cellStyle name="Normal 58 3 9 3 2" xfId="19296" xr:uid="{00000000-0005-0000-0000-0000F73C0000}"/>
    <cellStyle name="Normal 58 3 9 4" xfId="11915" xr:uid="{00000000-0005-0000-0000-0000F83C0000}"/>
    <cellStyle name="Normal 58 3 9 5" xfId="6764" xr:uid="{00000000-0005-0000-0000-0000F93C0000}"/>
    <cellStyle name="Normal 58 3_Degree data" xfId="1738" xr:uid="{00000000-0005-0000-0000-0000FA3C0000}"/>
    <cellStyle name="Normal 58 4" xfId="93" xr:uid="{00000000-0005-0000-0000-0000FB3C0000}"/>
    <cellStyle name="Normal 58 4 10" xfId="1890" xr:uid="{00000000-0005-0000-0000-0000FC3C0000}"/>
    <cellStyle name="Normal 58 4 10 2" xfId="9421" xr:uid="{00000000-0005-0000-0000-0000FD3C0000}"/>
    <cellStyle name="Normal 58 4 10 2 2" xfId="18248" xr:uid="{00000000-0005-0000-0000-0000FE3C0000}"/>
    <cellStyle name="Normal 58 4 10 3" xfId="10865" xr:uid="{00000000-0005-0000-0000-0000FF3C0000}"/>
    <cellStyle name="Normal 58 4 10 4" xfId="7965" xr:uid="{00000000-0005-0000-0000-0000003D0000}"/>
    <cellStyle name="Normal 58 4 11" xfId="1857" xr:uid="{00000000-0005-0000-0000-0000013D0000}"/>
    <cellStyle name="Normal 58 4 11 2" xfId="14657" xr:uid="{00000000-0005-0000-0000-0000023D0000}"/>
    <cellStyle name="Normal 58 4 11 3" xfId="5571" xr:uid="{00000000-0005-0000-0000-0000033D0000}"/>
    <cellStyle name="Normal 58 4 12" xfId="9391" xr:uid="{00000000-0005-0000-0000-0000043D0000}"/>
    <cellStyle name="Normal 58 4 12 2" xfId="18218" xr:uid="{00000000-0005-0000-0000-0000053D0000}"/>
    <cellStyle name="Normal 58 4 13" xfId="10832" xr:uid="{00000000-0005-0000-0000-0000063D0000}"/>
    <cellStyle name="Normal 58 4 14" xfId="4370" xr:uid="{00000000-0005-0000-0000-0000073D0000}"/>
    <cellStyle name="Normal 58 4 2" xfId="215" xr:uid="{00000000-0005-0000-0000-0000083D0000}"/>
    <cellStyle name="Normal 58 4 2 10" xfId="9523" xr:uid="{00000000-0005-0000-0000-0000093D0000}"/>
    <cellStyle name="Normal 58 4 2 10 2" xfId="18350" xr:uid="{00000000-0005-0000-0000-00000A3D0000}"/>
    <cellStyle name="Normal 58 4 2 11" xfId="10967" xr:uid="{00000000-0005-0000-0000-00000B3D0000}"/>
    <cellStyle name="Normal 58 4 2 12" xfId="4384" xr:uid="{00000000-0005-0000-0000-00000C3D0000}"/>
    <cellStyle name="Normal 58 4 2 2" xfId="429" xr:uid="{00000000-0005-0000-0000-00000D3D0000}"/>
    <cellStyle name="Normal 58 4 2 2 10" xfId="4488" xr:uid="{00000000-0005-0000-0000-00000E3D0000}"/>
    <cellStyle name="Normal 58 4 2 2 2" xfId="778" xr:uid="{00000000-0005-0000-0000-00000F3D0000}"/>
    <cellStyle name="Normal 58 4 2 2 2 2" xfId="2507" xr:uid="{00000000-0005-0000-0000-0000103D0000}"/>
    <cellStyle name="Normal 58 4 2 2 2 2 2" xfId="16088" xr:uid="{00000000-0005-0000-0000-0000113D0000}"/>
    <cellStyle name="Normal 58 4 2 2 2 2 3" xfId="12510" xr:uid="{00000000-0005-0000-0000-0000123D0000}"/>
    <cellStyle name="Normal 58 4 2 2 2 2 4" xfId="7211" xr:uid="{00000000-0005-0000-0000-0000133D0000}"/>
    <cellStyle name="Normal 58 4 2 2 2 3" xfId="3774" xr:uid="{00000000-0005-0000-0000-0000143D0000}"/>
    <cellStyle name="Normal 58 4 2 2 2 3 2" xfId="17420" xr:uid="{00000000-0005-0000-0000-0000153D0000}"/>
    <cellStyle name="Normal 58 4 2 2 2 3 3" xfId="13841" xr:uid="{00000000-0005-0000-0000-0000163D0000}"/>
    <cellStyle name="Normal 58 4 2 2 2 3 4" xfId="8584" xr:uid="{00000000-0005-0000-0000-0000173D0000}"/>
    <cellStyle name="Normal 58 4 2 2 2 4" xfId="6327" xr:uid="{00000000-0005-0000-0000-0000183D0000}"/>
    <cellStyle name="Normal 58 4 2 2 2 4 2" xfId="15411" xr:uid="{00000000-0005-0000-0000-0000193D0000}"/>
    <cellStyle name="Normal 58 4 2 2 2 5" xfId="10038" xr:uid="{00000000-0005-0000-0000-00001A3D0000}"/>
    <cellStyle name="Normal 58 4 2 2 2 5 2" xfId="18865" xr:uid="{00000000-0005-0000-0000-00001B3D0000}"/>
    <cellStyle name="Normal 58 4 2 2 2 6" xfId="11483" xr:uid="{00000000-0005-0000-0000-00001C3D0000}"/>
    <cellStyle name="Normal 58 4 2 2 2 7" xfId="4805" xr:uid="{00000000-0005-0000-0000-00001D3D0000}"/>
    <cellStyle name="Normal 58 4 2 2 3" xfId="1135" xr:uid="{00000000-0005-0000-0000-00001E3D0000}"/>
    <cellStyle name="Normal 58 4 2 2 3 2" xfId="2855" xr:uid="{00000000-0005-0000-0000-00001F3D0000}"/>
    <cellStyle name="Normal 58 4 2 2 3 2 2" xfId="16395" xr:uid="{00000000-0005-0000-0000-0000203D0000}"/>
    <cellStyle name="Normal 58 4 2 2 3 2 3" xfId="12817" xr:uid="{00000000-0005-0000-0000-0000213D0000}"/>
    <cellStyle name="Normal 58 4 2 2 3 2 4" xfId="7527" xr:uid="{00000000-0005-0000-0000-0000223D0000}"/>
    <cellStyle name="Normal 58 4 2 2 3 3" xfId="4123" xr:uid="{00000000-0005-0000-0000-0000233D0000}"/>
    <cellStyle name="Normal 58 4 2 2 3 3 2" xfId="17768" xr:uid="{00000000-0005-0000-0000-0000243D0000}"/>
    <cellStyle name="Normal 58 4 2 2 3 3 3" xfId="14189" xr:uid="{00000000-0005-0000-0000-0000253D0000}"/>
    <cellStyle name="Normal 58 4 2 2 3 3 4" xfId="8932" xr:uid="{00000000-0005-0000-0000-0000263D0000}"/>
    <cellStyle name="Normal 58 4 2 2 3 4" xfId="6643" xr:uid="{00000000-0005-0000-0000-0000273D0000}"/>
    <cellStyle name="Normal 58 4 2 2 3 4 2" xfId="15727" xr:uid="{00000000-0005-0000-0000-0000283D0000}"/>
    <cellStyle name="Normal 58 4 2 2 3 5" xfId="10386" xr:uid="{00000000-0005-0000-0000-0000293D0000}"/>
    <cellStyle name="Normal 58 4 2 2 3 5 2" xfId="19213" xr:uid="{00000000-0005-0000-0000-00002A3D0000}"/>
    <cellStyle name="Normal 58 4 2 2 3 6" xfId="11832" xr:uid="{00000000-0005-0000-0000-00002B3D0000}"/>
    <cellStyle name="Normal 58 4 2 2 3 7" xfId="5121" xr:uid="{00000000-0005-0000-0000-00002C3D0000}"/>
    <cellStyle name="Normal 58 4 2 2 4" xfId="1643" xr:uid="{00000000-0005-0000-0000-00002D3D0000}"/>
    <cellStyle name="Normal 58 4 2 2 4 2" xfId="3239" xr:uid="{00000000-0005-0000-0000-00002E3D0000}"/>
    <cellStyle name="Normal 58 4 2 2 4 2 2" xfId="16788" xr:uid="{00000000-0005-0000-0000-00002F3D0000}"/>
    <cellStyle name="Normal 58 4 2 2 4 2 3" xfId="13209" xr:uid="{00000000-0005-0000-0000-0000303D0000}"/>
    <cellStyle name="Normal 58 4 2 2 4 2 4" xfId="7920" xr:uid="{00000000-0005-0000-0000-0000313D0000}"/>
    <cellStyle name="Normal 58 4 2 2 4 3" xfId="4310" xr:uid="{00000000-0005-0000-0000-0000323D0000}"/>
    <cellStyle name="Normal 58 4 2 2 4 3 2" xfId="18152" xr:uid="{00000000-0005-0000-0000-0000333D0000}"/>
    <cellStyle name="Normal 58 4 2 2 4 3 3" xfId="14573" xr:uid="{00000000-0005-0000-0000-0000343D0000}"/>
    <cellStyle name="Normal 58 4 2 2 4 3 4" xfId="9316" xr:uid="{00000000-0005-0000-0000-0000353D0000}"/>
    <cellStyle name="Normal 58 4 2 2 4 4" xfId="6008" xr:uid="{00000000-0005-0000-0000-0000363D0000}"/>
    <cellStyle name="Normal 58 4 2 2 4 4 2" xfId="15094" xr:uid="{00000000-0005-0000-0000-0000373D0000}"/>
    <cellStyle name="Normal 58 4 2 2 4 5" xfId="10770" xr:uid="{00000000-0005-0000-0000-0000383D0000}"/>
    <cellStyle name="Normal 58 4 2 2 4 5 2" xfId="19597" xr:uid="{00000000-0005-0000-0000-0000393D0000}"/>
    <cellStyle name="Normal 58 4 2 2 4 6" xfId="12216" xr:uid="{00000000-0005-0000-0000-00003A3D0000}"/>
    <cellStyle name="Normal 58 4 2 2 4 7" xfId="5514" xr:uid="{00000000-0005-0000-0000-00003B3D0000}"/>
    <cellStyle name="Normal 58 4 2 2 5" xfId="2196" xr:uid="{00000000-0005-0000-0000-00003C3D0000}"/>
    <cellStyle name="Normal 58 4 2 2 5 2" xfId="15937" xr:uid="{00000000-0005-0000-0000-00003D3D0000}"/>
    <cellStyle name="Normal 58 4 2 2 5 3" xfId="12265" xr:uid="{00000000-0005-0000-0000-00003E3D0000}"/>
    <cellStyle name="Normal 58 4 2 2 5 4" xfId="6894" xr:uid="{00000000-0005-0000-0000-00003F3D0000}"/>
    <cellStyle name="Normal 58 4 2 2 6" xfId="3472" xr:uid="{00000000-0005-0000-0000-0000403D0000}"/>
    <cellStyle name="Normal 58 4 2 2 6 2" xfId="17109" xr:uid="{00000000-0005-0000-0000-0000413D0000}"/>
    <cellStyle name="Normal 58 4 2 2 6 3" xfId="13530" xr:uid="{00000000-0005-0000-0000-0000423D0000}"/>
    <cellStyle name="Normal 58 4 2 2 6 4" xfId="8273" xr:uid="{00000000-0005-0000-0000-0000433D0000}"/>
    <cellStyle name="Normal 58 4 2 2 7" xfId="5834" xr:uid="{00000000-0005-0000-0000-0000443D0000}"/>
    <cellStyle name="Normal 58 4 2 2 7 2" xfId="14920" xr:uid="{00000000-0005-0000-0000-0000453D0000}"/>
    <cellStyle name="Normal 58 4 2 2 8" xfId="9727" xr:uid="{00000000-0005-0000-0000-0000463D0000}"/>
    <cellStyle name="Normal 58 4 2 2 8 2" xfId="18554" xr:uid="{00000000-0005-0000-0000-0000473D0000}"/>
    <cellStyle name="Normal 58 4 2 2 9" xfId="11171" xr:uid="{00000000-0005-0000-0000-0000483D0000}"/>
    <cellStyle name="Normal 58 4 2 2_Degree data" xfId="1752" xr:uid="{00000000-0005-0000-0000-0000493D0000}"/>
    <cellStyle name="Normal 58 4 2 3" xfId="324" xr:uid="{00000000-0005-0000-0000-00004A3D0000}"/>
    <cellStyle name="Normal 58 4 2 3 2" xfId="779" xr:uid="{00000000-0005-0000-0000-00004B3D0000}"/>
    <cellStyle name="Normal 58 4 2 3 2 2" xfId="2508" xr:uid="{00000000-0005-0000-0000-00004C3D0000}"/>
    <cellStyle name="Normal 58 4 2 3 2 2 2" xfId="16396" xr:uid="{00000000-0005-0000-0000-00004D3D0000}"/>
    <cellStyle name="Normal 58 4 2 3 2 2 3" xfId="12818" xr:uid="{00000000-0005-0000-0000-00004E3D0000}"/>
    <cellStyle name="Normal 58 4 2 3 2 2 4" xfId="7528" xr:uid="{00000000-0005-0000-0000-00004F3D0000}"/>
    <cellStyle name="Normal 58 4 2 3 2 3" xfId="3775" xr:uid="{00000000-0005-0000-0000-0000503D0000}"/>
    <cellStyle name="Normal 58 4 2 3 2 3 2" xfId="17421" xr:uid="{00000000-0005-0000-0000-0000513D0000}"/>
    <cellStyle name="Normal 58 4 2 3 2 3 3" xfId="13842" xr:uid="{00000000-0005-0000-0000-0000523D0000}"/>
    <cellStyle name="Normal 58 4 2 3 2 3 4" xfId="8585" xr:uid="{00000000-0005-0000-0000-0000533D0000}"/>
    <cellStyle name="Normal 58 4 2 3 2 4" xfId="6644" xr:uid="{00000000-0005-0000-0000-0000543D0000}"/>
    <cellStyle name="Normal 58 4 2 3 2 4 2" xfId="15728" xr:uid="{00000000-0005-0000-0000-0000553D0000}"/>
    <cellStyle name="Normal 58 4 2 3 2 5" xfId="10039" xr:uid="{00000000-0005-0000-0000-0000563D0000}"/>
    <cellStyle name="Normal 58 4 2 3 2 5 2" xfId="18866" xr:uid="{00000000-0005-0000-0000-0000573D0000}"/>
    <cellStyle name="Normal 58 4 2 3 2 6" xfId="11484" xr:uid="{00000000-0005-0000-0000-0000583D0000}"/>
    <cellStyle name="Normal 58 4 2 3 2 7" xfId="5122" xr:uid="{00000000-0005-0000-0000-0000593D0000}"/>
    <cellStyle name="Normal 58 4 2 3 3" xfId="1136" xr:uid="{00000000-0005-0000-0000-00005A3D0000}"/>
    <cellStyle name="Normal 58 4 2 3 3 2" xfId="2856" xr:uid="{00000000-0005-0000-0000-00005B3D0000}"/>
    <cellStyle name="Normal 58 4 2 3 3 2 2" xfId="16684" xr:uid="{00000000-0005-0000-0000-00005C3D0000}"/>
    <cellStyle name="Normal 58 4 2 3 3 2 3" xfId="13105" xr:uid="{00000000-0005-0000-0000-00005D3D0000}"/>
    <cellStyle name="Normal 58 4 2 3 3 2 4" xfId="7816" xr:uid="{00000000-0005-0000-0000-00005E3D0000}"/>
    <cellStyle name="Normal 58 4 2 3 3 3" xfId="4124" xr:uid="{00000000-0005-0000-0000-00005F3D0000}"/>
    <cellStyle name="Normal 58 4 2 3 3 3 2" xfId="17769" xr:uid="{00000000-0005-0000-0000-0000603D0000}"/>
    <cellStyle name="Normal 58 4 2 3 3 3 3" xfId="14190" xr:uid="{00000000-0005-0000-0000-0000613D0000}"/>
    <cellStyle name="Normal 58 4 2 3 3 3 4" xfId="8933" xr:uid="{00000000-0005-0000-0000-0000623D0000}"/>
    <cellStyle name="Normal 58 4 2 3 3 4" xfId="6223" xr:uid="{00000000-0005-0000-0000-0000633D0000}"/>
    <cellStyle name="Normal 58 4 2 3 3 4 2" xfId="15307" xr:uid="{00000000-0005-0000-0000-0000643D0000}"/>
    <cellStyle name="Normal 58 4 2 3 3 5" xfId="10387" xr:uid="{00000000-0005-0000-0000-0000653D0000}"/>
    <cellStyle name="Normal 58 4 2 3 3 5 2" xfId="19214" xr:uid="{00000000-0005-0000-0000-0000663D0000}"/>
    <cellStyle name="Normal 58 4 2 3 3 6" xfId="11833" xr:uid="{00000000-0005-0000-0000-0000673D0000}"/>
    <cellStyle name="Normal 58 4 2 3 3 7" xfId="5410" xr:uid="{00000000-0005-0000-0000-0000683D0000}"/>
    <cellStyle name="Normal 58 4 2 3 4" xfId="1536" xr:uid="{00000000-0005-0000-0000-0000693D0000}"/>
    <cellStyle name="Normal 58 4 2 3 4 2" xfId="3135" xr:uid="{00000000-0005-0000-0000-00006A3D0000}"/>
    <cellStyle name="Normal 58 4 2 3 4 2 2" xfId="18048" xr:uid="{00000000-0005-0000-0000-00006B3D0000}"/>
    <cellStyle name="Normal 58 4 2 3 4 2 3" xfId="14469" xr:uid="{00000000-0005-0000-0000-00006C3D0000}"/>
    <cellStyle name="Normal 58 4 2 3 4 2 4" xfId="9212" xr:uid="{00000000-0005-0000-0000-00006D3D0000}"/>
    <cellStyle name="Normal 58 4 2 3 4 3" xfId="10666" xr:uid="{00000000-0005-0000-0000-00006E3D0000}"/>
    <cellStyle name="Normal 58 4 2 3 4 3 2" xfId="19493" xr:uid="{00000000-0005-0000-0000-00006F3D0000}"/>
    <cellStyle name="Normal 58 4 2 3 4 4" xfId="12112" xr:uid="{00000000-0005-0000-0000-0000703D0000}"/>
    <cellStyle name="Normal 58 4 2 3 4 5" xfId="7107" xr:uid="{00000000-0005-0000-0000-0000713D0000}"/>
    <cellStyle name="Normal 58 4 2 3 5" xfId="2092" xr:uid="{00000000-0005-0000-0000-0000723D0000}"/>
    <cellStyle name="Normal 58 4 2 3 5 2" xfId="17005" xr:uid="{00000000-0005-0000-0000-0000733D0000}"/>
    <cellStyle name="Normal 58 4 2 3 5 3" xfId="13426" xr:uid="{00000000-0005-0000-0000-0000743D0000}"/>
    <cellStyle name="Normal 58 4 2 3 5 4" xfId="8169" xr:uid="{00000000-0005-0000-0000-0000753D0000}"/>
    <cellStyle name="Normal 58 4 2 3 6" xfId="5730" xr:uid="{00000000-0005-0000-0000-0000763D0000}"/>
    <cellStyle name="Normal 58 4 2 3 6 2" xfId="14816" xr:uid="{00000000-0005-0000-0000-0000773D0000}"/>
    <cellStyle name="Normal 58 4 2 3 7" xfId="9623" xr:uid="{00000000-0005-0000-0000-0000783D0000}"/>
    <cellStyle name="Normal 58 4 2 3 7 2" xfId="18450" xr:uid="{00000000-0005-0000-0000-0000793D0000}"/>
    <cellStyle name="Normal 58 4 2 3 8" xfId="11067" xr:uid="{00000000-0005-0000-0000-00007A3D0000}"/>
    <cellStyle name="Normal 58 4 2 3 9" xfId="4701" xr:uid="{00000000-0005-0000-0000-00007B3D0000}"/>
    <cellStyle name="Normal 58 4 2 3_Degree data" xfId="1753" xr:uid="{00000000-0005-0000-0000-00007C3D0000}"/>
    <cellStyle name="Normal 58 4 2 4" xfId="777" xr:uid="{00000000-0005-0000-0000-00007D3D0000}"/>
    <cellStyle name="Normal 58 4 2 4 2" xfId="2506" xr:uid="{00000000-0005-0000-0000-00007E3D0000}"/>
    <cellStyle name="Normal 58 4 2 4 2 2" xfId="16021" xr:uid="{00000000-0005-0000-0000-00007F3D0000}"/>
    <cellStyle name="Normal 58 4 2 4 2 3" xfId="12474" xr:uid="{00000000-0005-0000-0000-0000803D0000}"/>
    <cellStyle name="Normal 58 4 2 4 2 4" xfId="7007" xr:uid="{00000000-0005-0000-0000-0000813D0000}"/>
    <cellStyle name="Normal 58 4 2 4 3" xfId="3773" xr:uid="{00000000-0005-0000-0000-0000823D0000}"/>
    <cellStyle name="Normal 58 4 2 4 3 2" xfId="17419" xr:uid="{00000000-0005-0000-0000-0000833D0000}"/>
    <cellStyle name="Normal 58 4 2 4 3 3" xfId="13840" xr:uid="{00000000-0005-0000-0000-0000843D0000}"/>
    <cellStyle name="Normal 58 4 2 4 3 4" xfId="8583" xr:uid="{00000000-0005-0000-0000-0000853D0000}"/>
    <cellStyle name="Normal 58 4 2 4 4" xfId="6123" xr:uid="{00000000-0005-0000-0000-0000863D0000}"/>
    <cellStyle name="Normal 58 4 2 4 4 2" xfId="15207" xr:uid="{00000000-0005-0000-0000-0000873D0000}"/>
    <cellStyle name="Normal 58 4 2 4 5" xfId="10037" xr:uid="{00000000-0005-0000-0000-0000883D0000}"/>
    <cellStyle name="Normal 58 4 2 4 5 2" xfId="18864" xr:uid="{00000000-0005-0000-0000-0000893D0000}"/>
    <cellStyle name="Normal 58 4 2 4 6" xfId="11482" xr:uid="{00000000-0005-0000-0000-00008A3D0000}"/>
    <cellStyle name="Normal 58 4 2 4 7" xfId="4601" xr:uid="{00000000-0005-0000-0000-00008B3D0000}"/>
    <cellStyle name="Normal 58 4 2 5" xfId="1134" xr:uid="{00000000-0005-0000-0000-00008C3D0000}"/>
    <cellStyle name="Normal 58 4 2 5 2" xfId="2854" xr:uid="{00000000-0005-0000-0000-00008D3D0000}"/>
    <cellStyle name="Normal 58 4 2 5 2 2" xfId="16394" xr:uid="{00000000-0005-0000-0000-00008E3D0000}"/>
    <cellStyle name="Normal 58 4 2 5 2 3" xfId="12816" xr:uid="{00000000-0005-0000-0000-00008F3D0000}"/>
    <cellStyle name="Normal 58 4 2 5 2 4" xfId="7526" xr:uid="{00000000-0005-0000-0000-0000903D0000}"/>
    <cellStyle name="Normal 58 4 2 5 3" xfId="4122" xr:uid="{00000000-0005-0000-0000-0000913D0000}"/>
    <cellStyle name="Normal 58 4 2 5 3 2" xfId="17767" xr:uid="{00000000-0005-0000-0000-0000923D0000}"/>
    <cellStyle name="Normal 58 4 2 5 3 3" xfId="14188" xr:uid="{00000000-0005-0000-0000-0000933D0000}"/>
    <cellStyle name="Normal 58 4 2 5 3 4" xfId="8931" xr:uid="{00000000-0005-0000-0000-0000943D0000}"/>
    <cellStyle name="Normal 58 4 2 5 4" xfId="6642" xr:uid="{00000000-0005-0000-0000-0000953D0000}"/>
    <cellStyle name="Normal 58 4 2 5 4 2" xfId="15726" xr:uid="{00000000-0005-0000-0000-0000963D0000}"/>
    <cellStyle name="Normal 58 4 2 5 5" xfId="10385" xr:uid="{00000000-0005-0000-0000-0000973D0000}"/>
    <cellStyle name="Normal 58 4 2 5 5 2" xfId="19212" xr:uid="{00000000-0005-0000-0000-0000983D0000}"/>
    <cellStyle name="Normal 58 4 2 5 6" xfId="11831" xr:uid="{00000000-0005-0000-0000-0000993D0000}"/>
    <cellStyle name="Normal 58 4 2 5 7" xfId="5120" xr:uid="{00000000-0005-0000-0000-00009A3D0000}"/>
    <cellStyle name="Normal 58 4 2 6" xfId="1433" xr:uid="{00000000-0005-0000-0000-00009B3D0000}"/>
    <cellStyle name="Normal 58 4 2 6 2" xfId="3035" xr:uid="{00000000-0005-0000-0000-00009C3D0000}"/>
    <cellStyle name="Normal 58 4 2 6 2 2" xfId="16584" xr:uid="{00000000-0005-0000-0000-00009D3D0000}"/>
    <cellStyle name="Normal 58 4 2 6 2 3" xfId="13005" xr:uid="{00000000-0005-0000-0000-00009E3D0000}"/>
    <cellStyle name="Normal 58 4 2 6 2 4" xfId="7716" xr:uid="{00000000-0005-0000-0000-00009F3D0000}"/>
    <cellStyle name="Normal 58 4 2 6 3" xfId="4243" xr:uid="{00000000-0005-0000-0000-0000A03D0000}"/>
    <cellStyle name="Normal 58 4 2 6 3 2" xfId="17948" xr:uid="{00000000-0005-0000-0000-0000A13D0000}"/>
    <cellStyle name="Normal 58 4 2 6 3 3" xfId="14369" xr:uid="{00000000-0005-0000-0000-0000A23D0000}"/>
    <cellStyle name="Normal 58 4 2 6 3 4" xfId="9112" xr:uid="{00000000-0005-0000-0000-0000A33D0000}"/>
    <cellStyle name="Normal 58 4 2 6 4" xfId="5903" xr:uid="{00000000-0005-0000-0000-0000A43D0000}"/>
    <cellStyle name="Normal 58 4 2 6 4 2" xfId="14989" xr:uid="{00000000-0005-0000-0000-0000A53D0000}"/>
    <cellStyle name="Normal 58 4 2 6 5" xfId="10566" xr:uid="{00000000-0005-0000-0000-0000A63D0000}"/>
    <cellStyle name="Normal 58 4 2 6 5 2" xfId="19393" xr:uid="{00000000-0005-0000-0000-0000A73D0000}"/>
    <cellStyle name="Normal 58 4 2 6 6" xfId="12012" xr:uid="{00000000-0005-0000-0000-0000A83D0000}"/>
    <cellStyle name="Normal 58 4 2 6 7" xfId="5310" xr:uid="{00000000-0005-0000-0000-0000A93D0000}"/>
    <cellStyle name="Normal 58 4 2 7" xfId="1992" xr:uid="{00000000-0005-0000-0000-0000AA3D0000}"/>
    <cellStyle name="Normal 58 4 2 7 2" xfId="15838" xr:uid="{00000000-0005-0000-0000-0000AB3D0000}"/>
    <cellStyle name="Normal 58 4 2 7 3" xfId="12479" xr:uid="{00000000-0005-0000-0000-0000AC3D0000}"/>
    <cellStyle name="Normal 58 4 2 7 4" xfId="6790" xr:uid="{00000000-0005-0000-0000-0000AD3D0000}"/>
    <cellStyle name="Normal 58 4 2 8" xfId="3405" xr:uid="{00000000-0005-0000-0000-0000AE3D0000}"/>
    <cellStyle name="Normal 58 4 2 8 2" xfId="16905" xr:uid="{00000000-0005-0000-0000-0000AF3D0000}"/>
    <cellStyle name="Normal 58 4 2 8 3" xfId="13326" xr:uid="{00000000-0005-0000-0000-0000B03D0000}"/>
    <cellStyle name="Normal 58 4 2 8 4" xfId="8069" xr:uid="{00000000-0005-0000-0000-0000B13D0000}"/>
    <cellStyle name="Normal 58 4 2 9" xfId="5630" xr:uid="{00000000-0005-0000-0000-0000B23D0000}"/>
    <cellStyle name="Normal 58 4 2 9 2" xfId="14716" xr:uid="{00000000-0005-0000-0000-0000B33D0000}"/>
    <cellStyle name="Normal 58 4 2_Degree data" xfId="1751" xr:uid="{00000000-0005-0000-0000-0000B43D0000}"/>
    <cellStyle name="Normal 58 4 3" xfId="259" xr:uid="{00000000-0005-0000-0000-0000B53D0000}"/>
    <cellStyle name="Normal 58 4 3 10" xfId="11010" xr:uid="{00000000-0005-0000-0000-0000B63D0000}"/>
    <cellStyle name="Normal 58 4 3 11" xfId="4427" xr:uid="{00000000-0005-0000-0000-0000B73D0000}"/>
    <cellStyle name="Normal 58 4 3 2" xfId="367" xr:uid="{00000000-0005-0000-0000-0000B83D0000}"/>
    <cellStyle name="Normal 58 4 3 2 2" xfId="781" xr:uid="{00000000-0005-0000-0000-0000B93D0000}"/>
    <cellStyle name="Normal 58 4 3 2 2 2" xfId="2510" xr:uid="{00000000-0005-0000-0000-0000BA3D0000}"/>
    <cellStyle name="Normal 58 4 3 2 2 2 2" xfId="16398" xr:uid="{00000000-0005-0000-0000-0000BB3D0000}"/>
    <cellStyle name="Normal 58 4 3 2 2 2 3" xfId="12820" xr:uid="{00000000-0005-0000-0000-0000BC3D0000}"/>
    <cellStyle name="Normal 58 4 3 2 2 2 4" xfId="7530" xr:uid="{00000000-0005-0000-0000-0000BD3D0000}"/>
    <cellStyle name="Normal 58 4 3 2 2 3" xfId="3777" xr:uid="{00000000-0005-0000-0000-0000BE3D0000}"/>
    <cellStyle name="Normal 58 4 3 2 2 3 2" xfId="17423" xr:uid="{00000000-0005-0000-0000-0000BF3D0000}"/>
    <cellStyle name="Normal 58 4 3 2 2 3 3" xfId="13844" xr:uid="{00000000-0005-0000-0000-0000C03D0000}"/>
    <cellStyle name="Normal 58 4 3 2 2 3 4" xfId="8587" xr:uid="{00000000-0005-0000-0000-0000C13D0000}"/>
    <cellStyle name="Normal 58 4 3 2 2 4" xfId="6646" xr:uid="{00000000-0005-0000-0000-0000C23D0000}"/>
    <cellStyle name="Normal 58 4 3 2 2 4 2" xfId="15730" xr:uid="{00000000-0005-0000-0000-0000C33D0000}"/>
    <cellStyle name="Normal 58 4 3 2 2 5" xfId="10041" xr:uid="{00000000-0005-0000-0000-0000C43D0000}"/>
    <cellStyle name="Normal 58 4 3 2 2 5 2" xfId="18868" xr:uid="{00000000-0005-0000-0000-0000C53D0000}"/>
    <cellStyle name="Normal 58 4 3 2 2 6" xfId="11486" xr:uid="{00000000-0005-0000-0000-0000C63D0000}"/>
    <cellStyle name="Normal 58 4 3 2 2 7" xfId="5124" xr:uid="{00000000-0005-0000-0000-0000C73D0000}"/>
    <cellStyle name="Normal 58 4 3 2 3" xfId="1138" xr:uid="{00000000-0005-0000-0000-0000C83D0000}"/>
    <cellStyle name="Normal 58 4 3 2 3 2" xfId="2858" xr:uid="{00000000-0005-0000-0000-0000C93D0000}"/>
    <cellStyle name="Normal 58 4 3 2 3 2 2" xfId="16727" xr:uid="{00000000-0005-0000-0000-0000CA3D0000}"/>
    <cellStyle name="Normal 58 4 3 2 3 2 3" xfId="13148" xr:uid="{00000000-0005-0000-0000-0000CB3D0000}"/>
    <cellStyle name="Normal 58 4 3 2 3 2 4" xfId="7859" xr:uid="{00000000-0005-0000-0000-0000CC3D0000}"/>
    <cellStyle name="Normal 58 4 3 2 3 3" xfId="4126" xr:uid="{00000000-0005-0000-0000-0000CD3D0000}"/>
    <cellStyle name="Normal 58 4 3 2 3 3 2" xfId="17771" xr:uid="{00000000-0005-0000-0000-0000CE3D0000}"/>
    <cellStyle name="Normal 58 4 3 2 3 3 3" xfId="14192" xr:uid="{00000000-0005-0000-0000-0000CF3D0000}"/>
    <cellStyle name="Normal 58 4 3 2 3 3 4" xfId="8935" xr:uid="{00000000-0005-0000-0000-0000D03D0000}"/>
    <cellStyle name="Normal 58 4 3 2 3 4" xfId="6266" xr:uid="{00000000-0005-0000-0000-0000D13D0000}"/>
    <cellStyle name="Normal 58 4 3 2 3 4 2" xfId="15350" xr:uid="{00000000-0005-0000-0000-0000D23D0000}"/>
    <cellStyle name="Normal 58 4 3 2 3 5" xfId="10389" xr:uid="{00000000-0005-0000-0000-0000D33D0000}"/>
    <cellStyle name="Normal 58 4 3 2 3 5 2" xfId="19216" xr:uid="{00000000-0005-0000-0000-0000D43D0000}"/>
    <cellStyle name="Normal 58 4 3 2 3 6" xfId="11835" xr:uid="{00000000-0005-0000-0000-0000D53D0000}"/>
    <cellStyle name="Normal 58 4 3 2 3 7" xfId="5453" xr:uid="{00000000-0005-0000-0000-0000D63D0000}"/>
    <cellStyle name="Normal 58 4 3 2 4" xfId="1580" xr:uid="{00000000-0005-0000-0000-0000D73D0000}"/>
    <cellStyle name="Normal 58 4 3 2 4 2" xfId="3178" xr:uid="{00000000-0005-0000-0000-0000D83D0000}"/>
    <cellStyle name="Normal 58 4 3 2 4 2 2" xfId="18091" xr:uid="{00000000-0005-0000-0000-0000D93D0000}"/>
    <cellStyle name="Normal 58 4 3 2 4 2 3" xfId="14512" xr:uid="{00000000-0005-0000-0000-0000DA3D0000}"/>
    <cellStyle name="Normal 58 4 3 2 4 2 4" xfId="9255" xr:uid="{00000000-0005-0000-0000-0000DB3D0000}"/>
    <cellStyle name="Normal 58 4 3 2 4 3" xfId="10709" xr:uid="{00000000-0005-0000-0000-0000DC3D0000}"/>
    <cellStyle name="Normal 58 4 3 2 4 3 2" xfId="19536" xr:uid="{00000000-0005-0000-0000-0000DD3D0000}"/>
    <cellStyle name="Normal 58 4 3 2 4 4" xfId="12155" xr:uid="{00000000-0005-0000-0000-0000DE3D0000}"/>
    <cellStyle name="Normal 58 4 3 2 4 5" xfId="7150" xr:uid="{00000000-0005-0000-0000-0000DF3D0000}"/>
    <cellStyle name="Normal 58 4 3 2 5" xfId="2135" xr:uid="{00000000-0005-0000-0000-0000E03D0000}"/>
    <cellStyle name="Normal 58 4 3 2 5 2" xfId="17048" xr:uid="{00000000-0005-0000-0000-0000E13D0000}"/>
    <cellStyle name="Normal 58 4 3 2 5 3" xfId="13469" xr:uid="{00000000-0005-0000-0000-0000E23D0000}"/>
    <cellStyle name="Normal 58 4 3 2 5 4" xfId="8212" xr:uid="{00000000-0005-0000-0000-0000E33D0000}"/>
    <cellStyle name="Normal 58 4 3 2 6" xfId="5773" xr:uid="{00000000-0005-0000-0000-0000E43D0000}"/>
    <cellStyle name="Normal 58 4 3 2 6 2" xfId="14859" xr:uid="{00000000-0005-0000-0000-0000E53D0000}"/>
    <cellStyle name="Normal 58 4 3 2 7" xfId="9666" xr:uid="{00000000-0005-0000-0000-0000E63D0000}"/>
    <cellStyle name="Normal 58 4 3 2 7 2" xfId="18493" xr:uid="{00000000-0005-0000-0000-0000E73D0000}"/>
    <cellStyle name="Normal 58 4 3 2 8" xfId="11110" xr:uid="{00000000-0005-0000-0000-0000E83D0000}"/>
    <cellStyle name="Normal 58 4 3 2 9" xfId="4744" xr:uid="{00000000-0005-0000-0000-0000E93D0000}"/>
    <cellStyle name="Normal 58 4 3 2_Degree data" xfId="1755" xr:uid="{00000000-0005-0000-0000-0000EA3D0000}"/>
    <cellStyle name="Normal 58 4 3 3" xfId="780" xr:uid="{00000000-0005-0000-0000-0000EB3D0000}"/>
    <cellStyle name="Normal 58 4 3 3 2" xfId="2509" xr:uid="{00000000-0005-0000-0000-0000EC3D0000}"/>
    <cellStyle name="Normal 58 4 3 3 2 2" xfId="16064" xr:uid="{00000000-0005-0000-0000-0000ED3D0000}"/>
    <cellStyle name="Normal 58 4 3 3 2 3" xfId="12377" xr:uid="{00000000-0005-0000-0000-0000EE3D0000}"/>
    <cellStyle name="Normal 58 4 3 3 2 4" xfId="7050" xr:uid="{00000000-0005-0000-0000-0000EF3D0000}"/>
    <cellStyle name="Normal 58 4 3 3 3" xfId="3776" xr:uid="{00000000-0005-0000-0000-0000F03D0000}"/>
    <cellStyle name="Normal 58 4 3 3 3 2" xfId="17422" xr:uid="{00000000-0005-0000-0000-0000F13D0000}"/>
    <cellStyle name="Normal 58 4 3 3 3 3" xfId="13843" xr:uid="{00000000-0005-0000-0000-0000F23D0000}"/>
    <cellStyle name="Normal 58 4 3 3 3 4" xfId="8586" xr:uid="{00000000-0005-0000-0000-0000F33D0000}"/>
    <cellStyle name="Normal 58 4 3 3 4" xfId="6166" xr:uid="{00000000-0005-0000-0000-0000F43D0000}"/>
    <cellStyle name="Normal 58 4 3 3 4 2" xfId="15250" xr:uid="{00000000-0005-0000-0000-0000F53D0000}"/>
    <cellStyle name="Normal 58 4 3 3 5" xfId="10040" xr:uid="{00000000-0005-0000-0000-0000F63D0000}"/>
    <cellStyle name="Normal 58 4 3 3 5 2" xfId="18867" xr:uid="{00000000-0005-0000-0000-0000F73D0000}"/>
    <cellStyle name="Normal 58 4 3 3 6" xfId="11485" xr:uid="{00000000-0005-0000-0000-0000F83D0000}"/>
    <cellStyle name="Normal 58 4 3 3 7" xfId="4644" xr:uid="{00000000-0005-0000-0000-0000F93D0000}"/>
    <cellStyle name="Normal 58 4 3 4" xfId="1137" xr:uid="{00000000-0005-0000-0000-0000FA3D0000}"/>
    <cellStyle name="Normal 58 4 3 4 2" xfId="2857" xr:uid="{00000000-0005-0000-0000-0000FB3D0000}"/>
    <cellStyle name="Normal 58 4 3 4 2 2" xfId="16397" xr:uid="{00000000-0005-0000-0000-0000FC3D0000}"/>
    <cellStyle name="Normal 58 4 3 4 2 3" xfId="12819" xr:uid="{00000000-0005-0000-0000-0000FD3D0000}"/>
    <cellStyle name="Normal 58 4 3 4 2 4" xfId="7529" xr:uid="{00000000-0005-0000-0000-0000FE3D0000}"/>
    <cellStyle name="Normal 58 4 3 4 3" xfId="4125" xr:uid="{00000000-0005-0000-0000-0000FF3D0000}"/>
    <cellStyle name="Normal 58 4 3 4 3 2" xfId="17770" xr:uid="{00000000-0005-0000-0000-0000003E0000}"/>
    <cellStyle name="Normal 58 4 3 4 3 3" xfId="14191" xr:uid="{00000000-0005-0000-0000-0000013E0000}"/>
    <cellStyle name="Normal 58 4 3 4 3 4" xfId="8934" xr:uid="{00000000-0005-0000-0000-0000023E0000}"/>
    <cellStyle name="Normal 58 4 3 4 4" xfId="6645" xr:uid="{00000000-0005-0000-0000-0000033E0000}"/>
    <cellStyle name="Normal 58 4 3 4 4 2" xfId="15729" xr:uid="{00000000-0005-0000-0000-0000043E0000}"/>
    <cellStyle name="Normal 58 4 3 4 5" xfId="10388" xr:uid="{00000000-0005-0000-0000-0000053E0000}"/>
    <cellStyle name="Normal 58 4 3 4 5 2" xfId="19215" xr:uid="{00000000-0005-0000-0000-0000063E0000}"/>
    <cellStyle name="Normal 58 4 3 4 6" xfId="11834" xr:uid="{00000000-0005-0000-0000-0000073E0000}"/>
    <cellStyle name="Normal 58 4 3 4 7" xfId="5123" xr:uid="{00000000-0005-0000-0000-0000083E0000}"/>
    <cellStyle name="Normal 58 4 3 5" xfId="1478" xr:uid="{00000000-0005-0000-0000-0000093E0000}"/>
    <cellStyle name="Normal 58 4 3 5 2" xfId="3078" xr:uid="{00000000-0005-0000-0000-00000A3E0000}"/>
    <cellStyle name="Normal 58 4 3 5 2 2" xfId="16627" xr:uid="{00000000-0005-0000-0000-00000B3E0000}"/>
    <cellStyle name="Normal 58 4 3 5 2 3" xfId="13048" xr:uid="{00000000-0005-0000-0000-00000C3E0000}"/>
    <cellStyle name="Normal 58 4 3 5 2 4" xfId="7759" xr:uid="{00000000-0005-0000-0000-00000D3E0000}"/>
    <cellStyle name="Normal 58 4 3 5 3" xfId="4286" xr:uid="{00000000-0005-0000-0000-00000E3E0000}"/>
    <cellStyle name="Normal 58 4 3 5 3 2" xfId="17991" xr:uid="{00000000-0005-0000-0000-00000F3E0000}"/>
    <cellStyle name="Normal 58 4 3 5 3 3" xfId="14412" xr:uid="{00000000-0005-0000-0000-0000103E0000}"/>
    <cellStyle name="Normal 58 4 3 5 3 4" xfId="9155" xr:uid="{00000000-0005-0000-0000-0000113E0000}"/>
    <cellStyle name="Normal 58 4 3 5 4" xfId="5947" xr:uid="{00000000-0005-0000-0000-0000123E0000}"/>
    <cellStyle name="Normal 58 4 3 5 4 2" xfId="15033" xr:uid="{00000000-0005-0000-0000-0000133E0000}"/>
    <cellStyle name="Normal 58 4 3 5 5" xfId="10609" xr:uid="{00000000-0005-0000-0000-0000143E0000}"/>
    <cellStyle name="Normal 58 4 3 5 5 2" xfId="19436" xr:uid="{00000000-0005-0000-0000-0000153E0000}"/>
    <cellStyle name="Normal 58 4 3 5 6" xfId="12055" xr:uid="{00000000-0005-0000-0000-0000163E0000}"/>
    <cellStyle name="Normal 58 4 3 5 7" xfId="5353" xr:uid="{00000000-0005-0000-0000-0000173E0000}"/>
    <cellStyle name="Normal 58 4 3 6" xfId="2035" xr:uid="{00000000-0005-0000-0000-0000183E0000}"/>
    <cellStyle name="Normal 58 4 3 6 2" xfId="15876" xr:uid="{00000000-0005-0000-0000-0000193E0000}"/>
    <cellStyle name="Normal 58 4 3 6 3" xfId="12268" xr:uid="{00000000-0005-0000-0000-00001A3E0000}"/>
    <cellStyle name="Normal 58 4 3 6 4" xfId="6833" xr:uid="{00000000-0005-0000-0000-00001B3E0000}"/>
    <cellStyle name="Normal 58 4 3 7" xfId="3448" xr:uid="{00000000-0005-0000-0000-00001C3E0000}"/>
    <cellStyle name="Normal 58 4 3 7 2" xfId="16948" xr:uid="{00000000-0005-0000-0000-00001D3E0000}"/>
    <cellStyle name="Normal 58 4 3 7 3" xfId="13369" xr:uid="{00000000-0005-0000-0000-00001E3E0000}"/>
    <cellStyle name="Normal 58 4 3 7 4" xfId="8112" xr:uid="{00000000-0005-0000-0000-00001F3E0000}"/>
    <cellStyle name="Normal 58 4 3 8" xfId="5673" xr:uid="{00000000-0005-0000-0000-0000203E0000}"/>
    <cellStyle name="Normal 58 4 3 8 2" xfId="14759" xr:uid="{00000000-0005-0000-0000-0000213E0000}"/>
    <cellStyle name="Normal 58 4 3 9" xfId="9566" xr:uid="{00000000-0005-0000-0000-0000223E0000}"/>
    <cellStyle name="Normal 58 4 3 9 2" xfId="18393" xr:uid="{00000000-0005-0000-0000-0000233E0000}"/>
    <cellStyle name="Normal 58 4 3_Degree data" xfId="1754" xr:uid="{00000000-0005-0000-0000-0000243E0000}"/>
    <cellStyle name="Normal 58 4 4" xfId="199" xr:uid="{00000000-0005-0000-0000-0000253E0000}"/>
    <cellStyle name="Normal 58 4 4 10" xfId="10953" xr:uid="{00000000-0005-0000-0000-0000263E0000}"/>
    <cellStyle name="Normal 58 4 4 11" xfId="4475" xr:uid="{00000000-0005-0000-0000-0000273E0000}"/>
    <cellStyle name="Normal 58 4 4 2" xfId="416" xr:uid="{00000000-0005-0000-0000-0000283E0000}"/>
    <cellStyle name="Normal 58 4 4 2 2" xfId="783" xr:uid="{00000000-0005-0000-0000-0000293E0000}"/>
    <cellStyle name="Normal 58 4 4 2 2 2" xfId="2512" xr:uid="{00000000-0005-0000-0000-00002A3E0000}"/>
    <cellStyle name="Normal 58 4 4 2 2 2 2" xfId="16400" xr:uid="{00000000-0005-0000-0000-00002B3E0000}"/>
    <cellStyle name="Normal 58 4 4 2 2 2 3" xfId="12822" xr:uid="{00000000-0005-0000-0000-00002C3E0000}"/>
    <cellStyle name="Normal 58 4 4 2 2 2 4" xfId="7532" xr:uid="{00000000-0005-0000-0000-00002D3E0000}"/>
    <cellStyle name="Normal 58 4 4 2 2 3" xfId="3779" xr:uid="{00000000-0005-0000-0000-00002E3E0000}"/>
    <cellStyle name="Normal 58 4 4 2 2 3 2" xfId="17425" xr:uid="{00000000-0005-0000-0000-00002F3E0000}"/>
    <cellStyle name="Normal 58 4 4 2 2 3 3" xfId="13846" xr:uid="{00000000-0005-0000-0000-0000303E0000}"/>
    <cellStyle name="Normal 58 4 4 2 2 3 4" xfId="8589" xr:uid="{00000000-0005-0000-0000-0000313E0000}"/>
    <cellStyle name="Normal 58 4 4 2 2 4" xfId="6648" xr:uid="{00000000-0005-0000-0000-0000323E0000}"/>
    <cellStyle name="Normal 58 4 4 2 2 4 2" xfId="15732" xr:uid="{00000000-0005-0000-0000-0000333E0000}"/>
    <cellStyle name="Normal 58 4 4 2 2 5" xfId="10043" xr:uid="{00000000-0005-0000-0000-0000343E0000}"/>
    <cellStyle name="Normal 58 4 4 2 2 5 2" xfId="18870" xr:uid="{00000000-0005-0000-0000-0000353E0000}"/>
    <cellStyle name="Normal 58 4 4 2 2 6" xfId="11488" xr:uid="{00000000-0005-0000-0000-0000363E0000}"/>
    <cellStyle name="Normal 58 4 4 2 2 7" xfId="5126" xr:uid="{00000000-0005-0000-0000-0000373E0000}"/>
    <cellStyle name="Normal 58 4 4 2 3" xfId="1140" xr:uid="{00000000-0005-0000-0000-0000383E0000}"/>
    <cellStyle name="Normal 58 4 4 2 3 2" xfId="2860" xr:uid="{00000000-0005-0000-0000-0000393E0000}"/>
    <cellStyle name="Normal 58 4 4 2 3 2 2" xfId="16775" xr:uid="{00000000-0005-0000-0000-00003A3E0000}"/>
    <cellStyle name="Normal 58 4 4 2 3 2 3" xfId="13196" xr:uid="{00000000-0005-0000-0000-00003B3E0000}"/>
    <cellStyle name="Normal 58 4 4 2 3 2 4" xfId="7907" xr:uid="{00000000-0005-0000-0000-00003C3E0000}"/>
    <cellStyle name="Normal 58 4 4 2 3 3" xfId="4128" xr:uid="{00000000-0005-0000-0000-00003D3E0000}"/>
    <cellStyle name="Normal 58 4 4 2 3 3 2" xfId="17773" xr:uid="{00000000-0005-0000-0000-00003E3E0000}"/>
    <cellStyle name="Normal 58 4 4 2 3 3 3" xfId="14194" xr:uid="{00000000-0005-0000-0000-00003F3E0000}"/>
    <cellStyle name="Normal 58 4 4 2 3 3 4" xfId="8937" xr:uid="{00000000-0005-0000-0000-0000403E0000}"/>
    <cellStyle name="Normal 58 4 4 2 3 4" xfId="6314" xr:uid="{00000000-0005-0000-0000-0000413E0000}"/>
    <cellStyle name="Normal 58 4 4 2 3 4 2" xfId="15398" xr:uid="{00000000-0005-0000-0000-0000423E0000}"/>
    <cellStyle name="Normal 58 4 4 2 3 5" xfId="10391" xr:uid="{00000000-0005-0000-0000-0000433E0000}"/>
    <cellStyle name="Normal 58 4 4 2 3 5 2" xfId="19218" xr:uid="{00000000-0005-0000-0000-0000443E0000}"/>
    <cellStyle name="Normal 58 4 4 2 3 6" xfId="11837" xr:uid="{00000000-0005-0000-0000-0000453E0000}"/>
    <cellStyle name="Normal 58 4 4 2 3 7" xfId="5501" xr:uid="{00000000-0005-0000-0000-0000463E0000}"/>
    <cellStyle name="Normal 58 4 4 2 4" xfId="1630" xr:uid="{00000000-0005-0000-0000-0000473E0000}"/>
    <cellStyle name="Normal 58 4 4 2 4 2" xfId="3226" xr:uid="{00000000-0005-0000-0000-0000483E0000}"/>
    <cellStyle name="Normal 58 4 4 2 4 2 2" xfId="18139" xr:uid="{00000000-0005-0000-0000-0000493E0000}"/>
    <cellStyle name="Normal 58 4 4 2 4 2 3" xfId="14560" xr:uid="{00000000-0005-0000-0000-00004A3E0000}"/>
    <cellStyle name="Normal 58 4 4 2 4 2 4" xfId="9303" xr:uid="{00000000-0005-0000-0000-00004B3E0000}"/>
    <cellStyle name="Normal 58 4 4 2 4 3" xfId="10757" xr:uid="{00000000-0005-0000-0000-00004C3E0000}"/>
    <cellStyle name="Normal 58 4 4 2 4 3 2" xfId="19584" xr:uid="{00000000-0005-0000-0000-00004D3E0000}"/>
    <cellStyle name="Normal 58 4 4 2 4 4" xfId="12203" xr:uid="{00000000-0005-0000-0000-00004E3E0000}"/>
    <cellStyle name="Normal 58 4 4 2 4 5" xfId="7198" xr:uid="{00000000-0005-0000-0000-00004F3E0000}"/>
    <cellStyle name="Normal 58 4 4 2 5" xfId="2183" xr:uid="{00000000-0005-0000-0000-0000503E0000}"/>
    <cellStyle name="Normal 58 4 4 2 5 2" xfId="17096" xr:uid="{00000000-0005-0000-0000-0000513E0000}"/>
    <cellStyle name="Normal 58 4 4 2 5 3" xfId="13517" xr:uid="{00000000-0005-0000-0000-0000523E0000}"/>
    <cellStyle name="Normal 58 4 4 2 5 4" xfId="8260" xr:uid="{00000000-0005-0000-0000-0000533E0000}"/>
    <cellStyle name="Normal 58 4 4 2 6" xfId="5821" xr:uid="{00000000-0005-0000-0000-0000543E0000}"/>
    <cellStyle name="Normal 58 4 4 2 6 2" xfId="14907" xr:uid="{00000000-0005-0000-0000-0000553E0000}"/>
    <cellStyle name="Normal 58 4 4 2 7" xfId="9714" xr:uid="{00000000-0005-0000-0000-0000563E0000}"/>
    <cellStyle name="Normal 58 4 4 2 7 2" xfId="18541" xr:uid="{00000000-0005-0000-0000-0000573E0000}"/>
    <cellStyle name="Normal 58 4 4 2 8" xfId="11158" xr:uid="{00000000-0005-0000-0000-0000583E0000}"/>
    <cellStyle name="Normal 58 4 4 2 9" xfId="4792" xr:uid="{00000000-0005-0000-0000-0000593E0000}"/>
    <cellStyle name="Normal 58 4 4 2_Degree data" xfId="1757" xr:uid="{00000000-0005-0000-0000-00005A3E0000}"/>
    <cellStyle name="Normal 58 4 4 3" xfId="782" xr:uid="{00000000-0005-0000-0000-00005B3E0000}"/>
    <cellStyle name="Normal 58 4 4 3 2" xfId="2511" xr:uid="{00000000-0005-0000-0000-00005C3E0000}"/>
    <cellStyle name="Normal 58 4 4 3 2 2" xfId="16007" xr:uid="{00000000-0005-0000-0000-00005D3E0000}"/>
    <cellStyle name="Normal 58 4 4 3 2 3" xfId="12331" xr:uid="{00000000-0005-0000-0000-00005E3E0000}"/>
    <cellStyle name="Normal 58 4 4 3 2 4" xfId="6993" xr:uid="{00000000-0005-0000-0000-00005F3E0000}"/>
    <cellStyle name="Normal 58 4 4 3 3" xfId="3778" xr:uid="{00000000-0005-0000-0000-0000603E0000}"/>
    <cellStyle name="Normal 58 4 4 3 3 2" xfId="17424" xr:uid="{00000000-0005-0000-0000-0000613E0000}"/>
    <cellStyle name="Normal 58 4 4 3 3 3" xfId="13845" xr:uid="{00000000-0005-0000-0000-0000623E0000}"/>
    <cellStyle name="Normal 58 4 4 3 3 4" xfId="8588" xr:uid="{00000000-0005-0000-0000-0000633E0000}"/>
    <cellStyle name="Normal 58 4 4 3 4" xfId="6109" xr:uid="{00000000-0005-0000-0000-0000643E0000}"/>
    <cellStyle name="Normal 58 4 4 3 4 2" xfId="15193" xr:uid="{00000000-0005-0000-0000-0000653E0000}"/>
    <cellStyle name="Normal 58 4 4 3 5" xfId="10042" xr:uid="{00000000-0005-0000-0000-0000663E0000}"/>
    <cellStyle name="Normal 58 4 4 3 5 2" xfId="18869" xr:uid="{00000000-0005-0000-0000-0000673E0000}"/>
    <cellStyle name="Normal 58 4 4 3 6" xfId="11487" xr:uid="{00000000-0005-0000-0000-0000683E0000}"/>
    <cellStyle name="Normal 58 4 4 3 7" xfId="4587" xr:uid="{00000000-0005-0000-0000-0000693E0000}"/>
    <cellStyle name="Normal 58 4 4 4" xfId="1139" xr:uid="{00000000-0005-0000-0000-00006A3E0000}"/>
    <cellStyle name="Normal 58 4 4 4 2" xfId="2859" xr:uid="{00000000-0005-0000-0000-00006B3E0000}"/>
    <cellStyle name="Normal 58 4 4 4 2 2" xfId="16399" xr:uid="{00000000-0005-0000-0000-00006C3E0000}"/>
    <cellStyle name="Normal 58 4 4 4 2 3" xfId="12821" xr:uid="{00000000-0005-0000-0000-00006D3E0000}"/>
    <cellStyle name="Normal 58 4 4 4 2 4" xfId="7531" xr:uid="{00000000-0005-0000-0000-00006E3E0000}"/>
    <cellStyle name="Normal 58 4 4 4 3" xfId="4127" xr:uid="{00000000-0005-0000-0000-00006F3E0000}"/>
    <cellStyle name="Normal 58 4 4 4 3 2" xfId="17772" xr:uid="{00000000-0005-0000-0000-0000703E0000}"/>
    <cellStyle name="Normal 58 4 4 4 3 3" xfId="14193" xr:uid="{00000000-0005-0000-0000-0000713E0000}"/>
    <cellStyle name="Normal 58 4 4 4 3 4" xfId="8936" xr:uid="{00000000-0005-0000-0000-0000723E0000}"/>
    <cellStyle name="Normal 58 4 4 4 4" xfId="6647" xr:uid="{00000000-0005-0000-0000-0000733E0000}"/>
    <cellStyle name="Normal 58 4 4 4 4 2" xfId="15731" xr:uid="{00000000-0005-0000-0000-0000743E0000}"/>
    <cellStyle name="Normal 58 4 4 4 5" xfId="10390" xr:uid="{00000000-0005-0000-0000-0000753E0000}"/>
    <cellStyle name="Normal 58 4 4 4 5 2" xfId="19217" xr:uid="{00000000-0005-0000-0000-0000763E0000}"/>
    <cellStyle name="Normal 58 4 4 4 6" xfId="11836" xr:uid="{00000000-0005-0000-0000-0000773E0000}"/>
    <cellStyle name="Normal 58 4 4 4 7" xfId="5125" xr:uid="{00000000-0005-0000-0000-0000783E0000}"/>
    <cellStyle name="Normal 58 4 4 5" xfId="1416" xr:uid="{00000000-0005-0000-0000-0000793E0000}"/>
    <cellStyle name="Normal 58 4 4 5 2" xfId="3021" xr:uid="{00000000-0005-0000-0000-00007A3E0000}"/>
    <cellStyle name="Normal 58 4 4 5 2 2" xfId="16570" xr:uid="{00000000-0005-0000-0000-00007B3E0000}"/>
    <cellStyle name="Normal 58 4 4 5 2 3" xfId="12991" xr:uid="{00000000-0005-0000-0000-00007C3E0000}"/>
    <cellStyle name="Normal 58 4 4 5 2 4" xfId="7702" xr:uid="{00000000-0005-0000-0000-00007D3E0000}"/>
    <cellStyle name="Normal 58 4 4 5 3" xfId="4229" xr:uid="{00000000-0005-0000-0000-00007E3E0000}"/>
    <cellStyle name="Normal 58 4 4 5 3 2" xfId="17934" xr:uid="{00000000-0005-0000-0000-00007F3E0000}"/>
    <cellStyle name="Normal 58 4 4 5 3 3" xfId="14355" xr:uid="{00000000-0005-0000-0000-0000803E0000}"/>
    <cellStyle name="Normal 58 4 4 5 3 4" xfId="9098" xr:uid="{00000000-0005-0000-0000-0000813E0000}"/>
    <cellStyle name="Normal 58 4 4 5 4" xfId="5995" xr:uid="{00000000-0005-0000-0000-0000823E0000}"/>
    <cellStyle name="Normal 58 4 4 5 4 2" xfId="15081" xr:uid="{00000000-0005-0000-0000-0000833E0000}"/>
    <cellStyle name="Normal 58 4 4 5 5" xfId="10552" xr:uid="{00000000-0005-0000-0000-0000843E0000}"/>
    <cellStyle name="Normal 58 4 4 5 5 2" xfId="19379" xr:uid="{00000000-0005-0000-0000-0000853E0000}"/>
    <cellStyle name="Normal 58 4 4 5 6" xfId="11998" xr:uid="{00000000-0005-0000-0000-0000863E0000}"/>
    <cellStyle name="Normal 58 4 4 5 7" xfId="5296" xr:uid="{00000000-0005-0000-0000-0000873E0000}"/>
    <cellStyle name="Normal 58 4 4 6" xfId="1978" xr:uid="{00000000-0005-0000-0000-0000883E0000}"/>
    <cellStyle name="Normal 58 4 4 6 2" xfId="15924" xr:uid="{00000000-0005-0000-0000-0000893E0000}"/>
    <cellStyle name="Normal 58 4 4 6 3" xfId="12352" xr:uid="{00000000-0005-0000-0000-00008A3E0000}"/>
    <cellStyle name="Normal 58 4 4 6 4" xfId="6881" xr:uid="{00000000-0005-0000-0000-00008B3E0000}"/>
    <cellStyle name="Normal 58 4 4 7" xfId="3392" xr:uid="{00000000-0005-0000-0000-00008C3E0000}"/>
    <cellStyle name="Normal 58 4 4 7 2" xfId="16891" xr:uid="{00000000-0005-0000-0000-00008D3E0000}"/>
    <cellStyle name="Normal 58 4 4 7 3" xfId="13312" xr:uid="{00000000-0005-0000-0000-00008E3E0000}"/>
    <cellStyle name="Normal 58 4 4 7 4" xfId="8055" xr:uid="{00000000-0005-0000-0000-00008F3E0000}"/>
    <cellStyle name="Normal 58 4 4 8" xfId="5616" xr:uid="{00000000-0005-0000-0000-0000903E0000}"/>
    <cellStyle name="Normal 58 4 4 8 2" xfId="14702" xr:uid="{00000000-0005-0000-0000-0000913E0000}"/>
    <cellStyle name="Normal 58 4 4 9" xfId="9509" xr:uid="{00000000-0005-0000-0000-0000923E0000}"/>
    <cellStyle name="Normal 58 4 4 9 2" xfId="18336" xr:uid="{00000000-0005-0000-0000-0000933E0000}"/>
    <cellStyle name="Normal 58 4 4_Degree data" xfId="1756" xr:uid="{00000000-0005-0000-0000-0000943E0000}"/>
    <cellStyle name="Normal 58 4 5" xfId="310" xr:uid="{00000000-0005-0000-0000-0000953E0000}"/>
    <cellStyle name="Normal 58 4 5 2" xfId="784" xr:uid="{00000000-0005-0000-0000-0000963E0000}"/>
    <cellStyle name="Normal 58 4 5 2 2" xfId="2513" xr:uid="{00000000-0005-0000-0000-0000973E0000}"/>
    <cellStyle name="Normal 58 4 5 2 2 2" xfId="16401" xr:uid="{00000000-0005-0000-0000-0000983E0000}"/>
    <cellStyle name="Normal 58 4 5 2 2 3" xfId="12823" xr:uid="{00000000-0005-0000-0000-0000993E0000}"/>
    <cellStyle name="Normal 58 4 5 2 2 4" xfId="7533" xr:uid="{00000000-0005-0000-0000-00009A3E0000}"/>
    <cellStyle name="Normal 58 4 5 2 3" xfId="3780" xr:uid="{00000000-0005-0000-0000-00009B3E0000}"/>
    <cellStyle name="Normal 58 4 5 2 3 2" xfId="17426" xr:uid="{00000000-0005-0000-0000-00009C3E0000}"/>
    <cellStyle name="Normal 58 4 5 2 3 3" xfId="13847" xr:uid="{00000000-0005-0000-0000-00009D3E0000}"/>
    <cellStyle name="Normal 58 4 5 2 3 4" xfId="8590" xr:uid="{00000000-0005-0000-0000-00009E3E0000}"/>
    <cellStyle name="Normal 58 4 5 2 4" xfId="6649" xr:uid="{00000000-0005-0000-0000-00009F3E0000}"/>
    <cellStyle name="Normal 58 4 5 2 4 2" xfId="15733" xr:uid="{00000000-0005-0000-0000-0000A03E0000}"/>
    <cellStyle name="Normal 58 4 5 2 5" xfId="10044" xr:uid="{00000000-0005-0000-0000-0000A13E0000}"/>
    <cellStyle name="Normal 58 4 5 2 5 2" xfId="18871" xr:uid="{00000000-0005-0000-0000-0000A23E0000}"/>
    <cellStyle name="Normal 58 4 5 2 6" xfId="11489" xr:uid="{00000000-0005-0000-0000-0000A33E0000}"/>
    <cellStyle name="Normal 58 4 5 2 7" xfId="5127" xr:uid="{00000000-0005-0000-0000-0000A43E0000}"/>
    <cellStyle name="Normal 58 4 5 3" xfId="1141" xr:uid="{00000000-0005-0000-0000-0000A53E0000}"/>
    <cellStyle name="Normal 58 4 5 3 2" xfId="2861" xr:uid="{00000000-0005-0000-0000-0000A63E0000}"/>
    <cellStyle name="Normal 58 4 5 3 2 2" xfId="16670" xr:uid="{00000000-0005-0000-0000-0000A73E0000}"/>
    <cellStyle name="Normal 58 4 5 3 2 3" xfId="13091" xr:uid="{00000000-0005-0000-0000-0000A83E0000}"/>
    <cellStyle name="Normal 58 4 5 3 2 4" xfId="7802" xr:uid="{00000000-0005-0000-0000-0000A93E0000}"/>
    <cellStyle name="Normal 58 4 5 3 3" xfId="4129" xr:uid="{00000000-0005-0000-0000-0000AA3E0000}"/>
    <cellStyle name="Normal 58 4 5 3 3 2" xfId="17774" xr:uid="{00000000-0005-0000-0000-0000AB3E0000}"/>
    <cellStyle name="Normal 58 4 5 3 3 3" xfId="14195" xr:uid="{00000000-0005-0000-0000-0000AC3E0000}"/>
    <cellStyle name="Normal 58 4 5 3 3 4" xfId="8938" xr:uid="{00000000-0005-0000-0000-0000AD3E0000}"/>
    <cellStyle name="Normal 58 4 5 3 4" xfId="6209" xr:uid="{00000000-0005-0000-0000-0000AE3E0000}"/>
    <cellStyle name="Normal 58 4 5 3 4 2" xfId="15293" xr:uid="{00000000-0005-0000-0000-0000AF3E0000}"/>
    <cellStyle name="Normal 58 4 5 3 5" xfId="10392" xr:uid="{00000000-0005-0000-0000-0000B03E0000}"/>
    <cellStyle name="Normal 58 4 5 3 5 2" xfId="19219" xr:uid="{00000000-0005-0000-0000-0000B13E0000}"/>
    <cellStyle name="Normal 58 4 5 3 6" xfId="11838" xr:uid="{00000000-0005-0000-0000-0000B23E0000}"/>
    <cellStyle name="Normal 58 4 5 3 7" xfId="5396" xr:uid="{00000000-0005-0000-0000-0000B33E0000}"/>
    <cellStyle name="Normal 58 4 5 4" xfId="1522" xr:uid="{00000000-0005-0000-0000-0000B43E0000}"/>
    <cellStyle name="Normal 58 4 5 4 2" xfId="3121" xr:uid="{00000000-0005-0000-0000-0000B53E0000}"/>
    <cellStyle name="Normal 58 4 5 4 2 2" xfId="18034" xr:uid="{00000000-0005-0000-0000-0000B63E0000}"/>
    <cellStyle name="Normal 58 4 5 4 2 3" xfId="14455" xr:uid="{00000000-0005-0000-0000-0000B73E0000}"/>
    <cellStyle name="Normal 58 4 5 4 2 4" xfId="9198" xr:uid="{00000000-0005-0000-0000-0000B83E0000}"/>
    <cellStyle name="Normal 58 4 5 4 3" xfId="10652" xr:uid="{00000000-0005-0000-0000-0000B93E0000}"/>
    <cellStyle name="Normal 58 4 5 4 3 2" xfId="19479" xr:uid="{00000000-0005-0000-0000-0000BA3E0000}"/>
    <cellStyle name="Normal 58 4 5 4 4" xfId="12098" xr:uid="{00000000-0005-0000-0000-0000BB3E0000}"/>
    <cellStyle name="Normal 58 4 5 4 5" xfId="7093" xr:uid="{00000000-0005-0000-0000-0000BC3E0000}"/>
    <cellStyle name="Normal 58 4 5 5" xfId="2078" xr:uid="{00000000-0005-0000-0000-0000BD3E0000}"/>
    <cellStyle name="Normal 58 4 5 5 2" xfId="16991" xr:uid="{00000000-0005-0000-0000-0000BE3E0000}"/>
    <cellStyle name="Normal 58 4 5 5 3" xfId="13412" xr:uid="{00000000-0005-0000-0000-0000BF3E0000}"/>
    <cellStyle name="Normal 58 4 5 5 4" xfId="8155" xr:uid="{00000000-0005-0000-0000-0000C03E0000}"/>
    <cellStyle name="Normal 58 4 5 6" xfId="5716" xr:uid="{00000000-0005-0000-0000-0000C13E0000}"/>
    <cellStyle name="Normal 58 4 5 6 2" xfId="14802" xr:uid="{00000000-0005-0000-0000-0000C23E0000}"/>
    <cellStyle name="Normal 58 4 5 7" xfId="9609" xr:uid="{00000000-0005-0000-0000-0000C33E0000}"/>
    <cellStyle name="Normal 58 4 5 7 2" xfId="18436" xr:uid="{00000000-0005-0000-0000-0000C43E0000}"/>
    <cellStyle name="Normal 58 4 5 8" xfId="11053" xr:uid="{00000000-0005-0000-0000-0000C53E0000}"/>
    <cellStyle name="Normal 58 4 5 9" xfId="4687" xr:uid="{00000000-0005-0000-0000-0000C63E0000}"/>
    <cellStyle name="Normal 58 4 5_Degree data" xfId="1758" xr:uid="{00000000-0005-0000-0000-0000C73E0000}"/>
    <cellStyle name="Normal 58 4 6" xfId="476" xr:uid="{00000000-0005-0000-0000-0000C83E0000}"/>
    <cellStyle name="Normal 58 4 6 2" xfId="785" xr:uid="{00000000-0005-0000-0000-0000C93E0000}"/>
    <cellStyle name="Normal 58 4 6 2 2" xfId="2514" xr:uid="{00000000-0005-0000-0000-0000CA3E0000}"/>
    <cellStyle name="Normal 58 4 6 2 2 2" xfId="16402" xr:uid="{00000000-0005-0000-0000-0000CB3E0000}"/>
    <cellStyle name="Normal 58 4 6 2 2 3" xfId="12824" xr:uid="{00000000-0005-0000-0000-0000CC3E0000}"/>
    <cellStyle name="Normal 58 4 6 2 2 4" xfId="7534" xr:uid="{00000000-0005-0000-0000-0000CD3E0000}"/>
    <cellStyle name="Normal 58 4 6 2 3" xfId="3781" xr:uid="{00000000-0005-0000-0000-0000CE3E0000}"/>
    <cellStyle name="Normal 58 4 6 2 3 2" xfId="17427" xr:uid="{00000000-0005-0000-0000-0000CF3E0000}"/>
    <cellStyle name="Normal 58 4 6 2 3 3" xfId="13848" xr:uid="{00000000-0005-0000-0000-0000D03E0000}"/>
    <cellStyle name="Normal 58 4 6 2 3 4" xfId="8591" xr:uid="{00000000-0005-0000-0000-0000D13E0000}"/>
    <cellStyle name="Normal 58 4 6 2 4" xfId="6650" xr:uid="{00000000-0005-0000-0000-0000D23E0000}"/>
    <cellStyle name="Normal 58 4 6 2 4 2" xfId="15734" xr:uid="{00000000-0005-0000-0000-0000D33E0000}"/>
    <cellStyle name="Normal 58 4 6 2 5" xfId="10045" xr:uid="{00000000-0005-0000-0000-0000D43E0000}"/>
    <cellStyle name="Normal 58 4 6 2 5 2" xfId="18872" xr:uid="{00000000-0005-0000-0000-0000D53E0000}"/>
    <cellStyle name="Normal 58 4 6 2 6" xfId="11490" xr:uid="{00000000-0005-0000-0000-0000D63E0000}"/>
    <cellStyle name="Normal 58 4 6 2 7" xfId="5128" xr:uid="{00000000-0005-0000-0000-0000D73E0000}"/>
    <cellStyle name="Normal 58 4 6 3" xfId="1142" xr:uid="{00000000-0005-0000-0000-0000D83E0000}"/>
    <cellStyle name="Normal 58 4 6 3 2" xfId="2862" xr:uid="{00000000-0005-0000-0000-0000D93E0000}"/>
    <cellStyle name="Normal 58 4 6 3 2 2" xfId="16525" xr:uid="{00000000-0005-0000-0000-0000DA3E0000}"/>
    <cellStyle name="Normal 58 4 6 3 2 3" xfId="12947" xr:uid="{00000000-0005-0000-0000-0000DB3E0000}"/>
    <cellStyle name="Normal 58 4 6 3 2 4" xfId="7657" xr:uid="{00000000-0005-0000-0000-0000DC3E0000}"/>
    <cellStyle name="Normal 58 4 6 3 3" xfId="4130" xr:uid="{00000000-0005-0000-0000-0000DD3E0000}"/>
    <cellStyle name="Normal 58 4 6 3 3 2" xfId="17775" xr:uid="{00000000-0005-0000-0000-0000DE3E0000}"/>
    <cellStyle name="Normal 58 4 6 3 3 3" xfId="14196" xr:uid="{00000000-0005-0000-0000-0000DF3E0000}"/>
    <cellStyle name="Normal 58 4 6 3 3 4" xfId="8939" xr:uid="{00000000-0005-0000-0000-0000E03E0000}"/>
    <cellStyle name="Normal 58 4 6 3 4" xfId="6745" xr:uid="{00000000-0005-0000-0000-0000E13E0000}"/>
    <cellStyle name="Normal 58 4 6 3 4 2" xfId="15828" xr:uid="{00000000-0005-0000-0000-0000E23E0000}"/>
    <cellStyle name="Normal 58 4 6 3 5" xfId="10393" xr:uid="{00000000-0005-0000-0000-0000E33E0000}"/>
    <cellStyle name="Normal 58 4 6 3 5 2" xfId="19220" xr:uid="{00000000-0005-0000-0000-0000E43E0000}"/>
    <cellStyle name="Normal 58 4 6 3 6" xfId="11839" xr:uid="{00000000-0005-0000-0000-0000E53E0000}"/>
    <cellStyle name="Normal 58 4 6 3 7" xfId="5251" xr:uid="{00000000-0005-0000-0000-0000E63E0000}"/>
    <cellStyle name="Normal 58 4 6 4" xfId="1365" xr:uid="{00000000-0005-0000-0000-0000E73E0000}"/>
    <cellStyle name="Normal 58 4 6 4 2" xfId="2976" xr:uid="{00000000-0005-0000-0000-0000E83E0000}"/>
    <cellStyle name="Normal 58 4 6 4 2 2" xfId="17889" xr:uid="{00000000-0005-0000-0000-0000E93E0000}"/>
    <cellStyle name="Normal 58 4 6 4 2 3" xfId="14310" xr:uid="{00000000-0005-0000-0000-0000EA3E0000}"/>
    <cellStyle name="Normal 58 4 6 4 2 4" xfId="9053" xr:uid="{00000000-0005-0000-0000-0000EB3E0000}"/>
    <cellStyle name="Normal 58 4 6 4 3" xfId="10507" xr:uid="{00000000-0005-0000-0000-0000EC3E0000}"/>
    <cellStyle name="Normal 58 4 6 4 3 2" xfId="19334" xr:uid="{00000000-0005-0000-0000-0000ED3E0000}"/>
    <cellStyle name="Normal 58 4 6 4 4" xfId="11953" xr:uid="{00000000-0005-0000-0000-0000EE3E0000}"/>
    <cellStyle name="Normal 58 4 6 4 5" xfId="6948" xr:uid="{00000000-0005-0000-0000-0000EF3E0000}"/>
    <cellStyle name="Normal 58 4 6 5" xfId="1933" xr:uid="{00000000-0005-0000-0000-0000F03E0000}"/>
    <cellStyle name="Normal 58 4 6 5 2" xfId="16844" xr:uid="{00000000-0005-0000-0000-0000F13E0000}"/>
    <cellStyle name="Normal 58 4 6 5 3" xfId="13265" xr:uid="{00000000-0005-0000-0000-0000F23E0000}"/>
    <cellStyle name="Normal 58 4 6 5 4" xfId="8008" xr:uid="{00000000-0005-0000-0000-0000F33E0000}"/>
    <cellStyle name="Normal 58 4 6 6" xfId="6064" xr:uid="{00000000-0005-0000-0000-0000F43E0000}"/>
    <cellStyle name="Normal 58 4 6 6 2" xfId="15148" xr:uid="{00000000-0005-0000-0000-0000F53E0000}"/>
    <cellStyle name="Normal 58 4 6 7" xfId="9464" xr:uid="{00000000-0005-0000-0000-0000F63E0000}"/>
    <cellStyle name="Normal 58 4 6 7 2" xfId="18291" xr:uid="{00000000-0005-0000-0000-0000F73E0000}"/>
    <cellStyle name="Normal 58 4 6 8" xfId="10908" xr:uid="{00000000-0005-0000-0000-0000F83E0000}"/>
    <cellStyle name="Normal 58 4 6 9" xfId="4542" xr:uid="{00000000-0005-0000-0000-0000F93E0000}"/>
    <cellStyle name="Normal 58 4 6_Degree data" xfId="1759" xr:uid="{00000000-0005-0000-0000-0000FA3E0000}"/>
    <cellStyle name="Normal 58 4 7" xfId="776" xr:uid="{00000000-0005-0000-0000-0000FB3E0000}"/>
    <cellStyle name="Normal 58 4 7 2" xfId="2505" xr:uid="{00000000-0005-0000-0000-0000FC3E0000}"/>
    <cellStyle name="Normal 58 4 7 2 2" xfId="16393" xr:uid="{00000000-0005-0000-0000-0000FD3E0000}"/>
    <cellStyle name="Normal 58 4 7 2 3" xfId="12815" xr:uid="{00000000-0005-0000-0000-0000FE3E0000}"/>
    <cellStyle name="Normal 58 4 7 2 4" xfId="7525" xr:uid="{00000000-0005-0000-0000-0000FF3E0000}"/>
    <cellStyle name="Normal 58 4 7 3" xfId="3772" xr:uid="{00000000-0005-0000-0000-0000003F0000}"/>
    <cellStyle name="Normal 58 4 7 3 2" xfId="17418" xr:uid="{00000000-0005-0000-0000-0000013F0000}"/>
    <cellStyle name="Normal 58 4 7 3 3" xfId="13839" xr:uid="{00000000-0005-0000-0000-0000023F0000}"/>
    <cellStyle name="Normal 58 4 7 3 4" xfId="8582" xr:uid="{00000000-0005-0000-0000-0000033F0000}"/>
    <cellStyle name="Normal 58 4 7 4" xfId="6641" xr:uid="{00000000-0005-0000-0000-0000043F0000}"/>
    <cellStyle name="Normal 58 4 7 4 2" xfId="15725" xr:uid="{00000000-0005-0000-0000-0000053F0000}"/>
    <cellStyle name="Normal 58 4 7 5" xfId="10036" xr:uid="{00000000-0005-0000-0000-0000063F0000}"/>
    <cellStyle name="Normal 58 4 7 5 2" xfId="18863" xr:uid="{00000000-0005-0000-0000-0000073F0000}"/>
    <cellStyle name="Normal 58 4 7 6" xfId="11481" xr:uid="{00000000-0005-0000-0000-0000083F0000}"/>
    <cellStyle name="Normal 58 4 7 7" xfId="5119" xr:uid="{00000000-0005-0000-0000-0000093F0000}"/>
    <cellStyle name="Normal 58 4 8" xfId="1133" xr:uid="{00000000-0005-0000-0000-00000A3F0000}"/>
    <cellStyle name="Normal 58 4 8 2" xfId="2853" xr:uid="{00000000-0005-0000-0000-00000B3F0000}"/>
    <cellStyle name="Normal 58 4 8 2 2" xfId="16482" xr:uid="{00000000-0005-0000-0000-00000C3F0000}"/>
    <cellStyle name="Normal 58 4 8 2 3" xfId="12904" xr:uid="{00000000-0005-0000-0000-00000D3F0000}"/>
    <cellStyle name="Normal 58 4 8 2 4" xfId="7614" xr:uid="{00000000-0005-0000-0000-00000E3F0000}"/>
    <cellStyle name="Normal 58 4 8 3" xfId="4121" xr:uid="{00000000-0005-0000-0000-00000F3F0000}"/>
    <cellStyle name="Normal 58 4 8 3 2" xfId="17766" xr:uid="{00000000-0005-0000-0000-0000103F0000}"/>
    <cellStyle name="Normal 58 4 8 3 3" xfId="14187" xr:uid="{00000000-0005-0000-0000-0000113F0000}"/>
    <cellStyle name="Normal 58 4 8 3 4" xfId="8930" xr:uid="{00000000-0005-0000-0000-0000123F0000}"/>
    <cellStyle name="Normal 58 4 8 4" xfId="5889" xr:uid="{00000000-0005-0000-0000-0000133F0000}"/>
    <cellStyle name="Normal 58 4 8 4 2" xfId="14975" xr:uid="{00000000-0005-0000-0000-0000143F0000}"/>
    <cellStyle name="Normal 58 4 8 5" xfId="10384" xr:uid="{00000000-0005-0000-0000-0000153F0000}"/>
    <cellStyle name="Normal 58 4 8 5 2" xfId="19211" xr:uid="{00000000-0005-0000-0000-0000163F0000}"/>
    <cellStyle name="Normal 58 4 8 6" xfId="11830" xr:uid="{00000000-0005-0000-0000-0000173F0000}"/>
    <cellStyle name="Normal 58 4 8 7" xfId="5208" xr:uid="{00000000-0005-0000-0000-0000183F0000}"/>
    <cellStyle name="Normal 58 4 9" xfId="1294" xr:uid="{00000000-0005-0000-0000-0000193F0000}"/>
    <cellStyle name="Normal 58 4 9 2" xfId="2933" xr:uid="{00000000-0005-0000-0000-00001A3F0000}"/>
    <cellStyle name="Normal 58 4 9 2 2" xfId="17846" xr:uid="{00000000-0005-0000-0000-00001B3F0000}"/>
    <cellStyle name="Normal 58 4 9 2 3" xfId="14267" xr:uid="{00000000-0005-0000-0000-00001C3F0000}"/>
    <cellStyle name="Normal 58 4 9 2 4" xfId="9010" xr:uid="{00000000-0005-0000-0000-00001D3F0000}"/>
    <cellStyle name="Normal 58 4 9 3" xfId="10464" xr:uid="{00000000-0005-0000-0000-00001E3F0000}"/>
    <cellStyle name="Normal 58 4 9 3 2" xfId="19291" xr:uid="{00000000-0005-0000-0000-00001F3F0000}"/>
    <cellStyle name="Normal 58 4 9 4" xfId="11910" xr:uid="{00000000-0005-0000-0000-0000203F0000}"/>
    <cellStyle name="Normal 58 4 9 5" xfId="6776" xr:uid="{00000000-0005-0000-0000-0000213F0000}"/>
    <cellStyle name="Normal 58 4_Degree data" xfId="1750" xr:uid="{00000000-0005-0000-0000-0000223F0000}"/>
    <cellStyle name="Normal 58 5" xfId="154" xr:uid="{00000000-0005-0000-0000-0000233F0000}"/>
    <cellStyle name="Normal 58 5 10" xfId="1873" xr:uid="{00000000-0005-0000-0000-0000243F0000}"/>
    <cellStyle name="Normal 58 5 10 2" xfId="14672" xr:uid="{00000000-0005-0000-0000-0000253F0000}"/>
    <cellStyle name="Normal 58 5 10 3" xfId="5586" xr:uid="{00000000-0005-0000-0000-0000263F0000}"/>
    <cellStyle name="Normal 58 5 11" xfId="9404" xr:uid="{00000000-0005-0000-0000-0000273F0000}"/>
    <cellStyle name="Normal 58 5 11 2" xfId="18231" xr:uid="{00000000-0005-0000-0000-0000283F0000}"/>
    <cellStyle name="Normal 58 5 12" xfId="10848" xr:uid="{00000000-0005-0000-0000-0000293F0000}"/>
    <cellStyle name="Normal 58 5 13" xfId="4397" xr:uid="{00000000-0005-0000-0000-00002A3F0000}"/>
    <cellStyle name="Normal 58 5 2" xfId="272" xr:uid="{00000000-0005-0000-0000-00002B3F0000}"/>
    <cellStyle name="Normal 58 5 2 10" xfId="11023" xr:uid="{00000000-0005-0000-0000-00002C3F0000}"/>
    <cellStyle name="Normal 58 5 2 11" xfId="4440" xr:uid="{00000000-0005-0000-0000-00002D3F0000}"/>
    <cellStyle name="Normal 58 5 2 2" xfId="380" xr:uid="{00000000-0005-0000-0000-00002E3F0000}"/>
    <cellStyle name="Normal 58 5 2 2 2" xfId="788" xr:uid="{00000000-0005-0000-0000-00002F3F0000}"/>
    <cellStyle name="Normal 58 5 2 2 2 2" xfId="2517" xr:uid="{00000000-0005-0000-0000-0000303F0000}"/>
    <cellStyle name="Normal 58 5 2 2 2 2 2" xfId="16405" xr:uid="{00000000-0005-0000-0000-0000313F0000}"/>
    <cellStyle name="Normal 58 5 2 2 2 2 3" xfId="12827" xr:uid="{00000000-0005-0000-0000-0000323F0000}"/>
    <cellStyle name="Normal 58 5 2 2 2 2 4" xfId="7537" xr:uid="{00000000-0005-0000-0000-0000333F0000}"/>
    <cellStyle name="Normal 58 5 2 2 2 3" xfId="3784" xr:uid="{00000000-0005-0000-0000-0000343F0000}"/>
    <cellStyle name="Normal 58 5 2 2 2 3 2" xfId="17430" xr:uid="{00000000-0005-0000-0000-0000353F0000}"/>
    <cellStyle name="Normal 58 5 2 2 2 3 3" xfId="13851" xr:uid="{00000000-0005-0000-0000-0000363F0000}"/>
    <cellStyle name="Normal 58 5 2 2 2 3 4" xfId="8594" xr:uid="{00000000-0005-0000-0000-0000373F0000}"/>
    <cellStyle name="Normal 58 5 2 2 2 4" xfId="6653" xr:uid="{00000000-0005-0000-0000-0000383F0000}"/>
    <cellStyle name="Normal 58 5 2 2 2 4 2" xfId="15737" xr:uid="{00000000-0005-0000-0000-0000393F0000}"/>
    <cellStyle name="Normal 58 5 2 2 2 5" xfId="10048" xr:uid="{00000000-0005-0000-0000-00003A3F0000}"/>
    <cellStyle name="Normal 58 5 2 2 2 5 2" xfId="18875" xr:uid="{00000000-0005-0000-0000-00003B3F0000}"/>
    <cellStyle name="Normal 58 5 2 2 2 6" xfId="11493" xr:uid="{00000000-0005-0000-0000-00003C3F0000}"/>
    <cellStyle name="Normal 58 5 2 2 2 7" xfId="5131" xr:uid="{00000000-0005-0000-0000-00003D3F0000}"/>
    <cellStyle name="Normal 58 5 2 2 3" xfId="1145" xr:uid="{00000000-0005-0000-0000-00003E3F0000}"/>
    <cellStyle name="Normal 58 5 2 2 3 2" xfId="2865" xr:uid="{00000000-0005-0000-0000-00003F3F0000}"/>
    <cellStyle name="Normal 58 5 2 2 3 2 2" xfId="16740" xr:uid="{00000000-0005-0000-0000-0000403F0000}"/>
    <cellStyle name="Normal 58 5 2 2 3 2 3" xfId="13161" xr:uid="{00000000-0005-0000-0000-0000413F0000}"/>
    <cellStyle name="Normal 58 5 2 2 3 2 4" xfId="7872" xr:uid="{00000000-0005-0000-0000-0000423F0000}"/>
    <cellStyle name="Normal 58 5 2 2 3 3" xfId="4133" xr:uid="{00000000-0005-0000-0000-0000433F0000}"/>
    <cellStyle name="Normal 58 5 2 2 3 3 2" xfId="17778" xr:uid="{00000000-0005-0000-0000-0000443F0000}"/>
    <cellStyle name="Normal 58 5 2 2 3 3 3" xfId="14199" xr:uid="{00000000-0005-0000-0000-0000453F0000}"/>
    <cellStyle name="Normal 58 5 2 2 3 3 4" xfId="8942" xr:uid="{00000000-0005-0000-0000-0000463F0000}"/>
    <cellStyle name="Normal 58 5 2 2 3 4" xfId="6279" xr:uid="{00000000-0005-0000-0000-0000473F0000}"/>
    <cellStyle name="Normal 58 5 2 2 3 4 2" xfId="15363" xr:uid="{00000000-0005-0000-0000-0000483F0000}"/>
    <cellStyle name="Normal 58 5 2 2 3 5" xfId="10396" xr:uid="{00000000-0005-0000-0000-0000493F0000}"/>
    <cellStyle name="Normal 58 5 2 2 3 5 2" xfId="19223" xr:uid="{00000000-0005-0000-0000-00004A3F0000}"/>
    <cellStyle name="Normal 58 5 2 2 3 6" xfId="11842" xr:uid="{00000000-0005-0000-0000-00004B3F0000}"/>
    <cellStyle name="Normal 58 5 2 2 3 7" xfId="5466" xr:uid="{00000000-0005-0000-0000-00004C3F0000}"/>
    <cellStyle name="Normal 58 5 2 2 4" xfId="1594" xr:uid="{00000000-0005-0000-0000-00004D3F0000}"/>
    <cellStyle name="Normal 58 5 2 2 4 2" xfId="3191" xr:uid="{00000000-0005-0000-0000-00004E3F0000}"/>
    <cellStyle name="Normal 58 5 2 2 4 2 2" xfId="18104" xr:uid="{00000000-0005-0000-0000-00004F3F0000}"/>
    <cellStyle name="Normal 58 5 2 2 4 2 3" xfId="14525" xr:uid="{00000000-0005-0000-0000-0000503F0000}"/>
    <cellStyle name="Normal 58 5 2 2 4 2 4" xfId="9268" xr:uid="{00000000-0005-0000-0000-0000513F0000}"/>
    <cellStyle name="Normal 58 5 2 2 4 3" xfId="10722" xr:uid="{00000000-0005-0000-0000-0000523F0000}"/>
    <cellStyle name="Normal 58 5 2 2 4 3 2" xfId="19549" xr:uid="{00000000-0005-0000-0000-0000533F0000}"/>
    <cellStyle name="Normal 58 5 2 2 4 4" xfId="12168" xr:uid="{00000000-0005-0000-0000-0000543F0000}"/>
    <cellStyle name="Normal 58 5 2 2 4 5" xfId="7163" xr:uid="{00000000-0005-0000-0000-0000553F0000}"/>
    <cellStyle name="Normal 58 5 2 2 5" xfId="2148" xr:uid="{00000000-0005-0000-0000-0000563F0000}"/>
    <cellStyle name="Normal 58 5 2 2 5 2" xfId="17061" xr:uid="{00000000-0005-0000-0000-0000573F0000}"/>
    <cellStyle name="Normal 58 5 2 2 5 3" xfId="13482" xr:uid="{00000000-0005-0000-0000-0000583F0000}"/>
    <cellStyle name="Normal 58 5 2 2 5 4" xfId="8225" xr:uid="{00000000-0005-0000-0000-0000593F0000}"/>
    <cellStyle name="Normal 58 5 2 2 6" xfId="5786" xr:uid="{00000000-0005-0000-0000-00005A3F0000}"/>
    <cellStyle name="Normal 58 5 2 2 6 2" xfId="14872" xr:uid="{00000000-0005-0000-0000-00005B3F0000}"/>
    <cellStyle name="Normal 58 5 2 2 7" xfId="9679" xr:uid="{00000000-0005-0000-0000-00005C3F0000}"/>
    <cellStyle name="Normal 58 5 2 2 7 2" xfId="18506" xr:uid="{00000000-0005-0000-0000-00005D3F0000}"/>
    <cellStyle name="Normal 58 5 2 2 8" xfId="11123" xr:uid="{00000000-0005-0000-0000-00005E3F0000}"/>
    <cellStyle name="Normal 58 5 2 2 9" xfId="4757" xr:uid="{00000000-0005-0000-0000-00005F3F0000}"/>
    <cellStyle name="Normal 58 5 2 2_Degree data" xfId="1762" xr:uid="{00000000-0005-0000-0000-0000603F0000}"/>
    <cellStyle name="Normal 58 5 2 3" xfId="787" xr:uid="{00000000-0005-0000-0000-0000613F0000}"/>
    <cellStyle name="Normal 58 5 2 3 2" xfId="2516" xr:uid="{00000000-0005-0000-0000-0000623F0000}"/>
    <cellStyle name="Normal 58 5 2 3 2 2" xfId="16077" xr:uid="{00000000-0005-0000-0000-0000633F0000}"/>
    <cellStyle name="Normal 58 5 2 3 2 3" xfId="12314" xr:uid="{00000000-0005-0000-0000-0000643F0000}"/>
    <cellStyle name="Normal 58 5 2 3 2 4" xfId="7063" xr:uid="{00000000-0005-0000-0000-0000653F0000}"/>
    <cellStyle name="Normal 58 5 2 3 3" xfId="3783" xr:uid="{00000000-0005-0000-0000-0000663F0000}"/>
    <cellStyle name="Normal 58 5 2 3 3 2" xfId="17429" xr:uid="{00000000-0005-0000-0000-0000673F0000}"/>
    <cellStyle name="Normal 58 5 2 3 3 3" xfId="13850" xr:uid="{00000000-0005-0000-0000-0000683F0000}"/>
    <cellStyle name="Normal 58 5 2 3 3 4" xfId="8593" xr:uid="{00000000-0005-0000-0000-0000693F0000}"/>
    <cellStyle name="Normal 58 5 2 3 4" xfId="6179" xr:uid="{00000000-0005-0000-0000-00006A3F0000}"/>
    <cellStyle name="Normal 58 5 2 3 4 2" xfId="15263" xr:uid="{00000000-0005-0000-0000-00006B3F0000}"/>
    <cellStyle name="Normal 58 5 2 3 5" xfId="10047" xr:uid="{00000000-0005-0000-0000-00006C3F0000}"/>
    <cellStyle name="Normal 58 5 2 3 5 2" xfId="18874" xr:uid="{00000000-0005-0000-0000-00006D3F0000}"/>
    <cellStyle name="Normal 58 5 2 3 6" xfId="11492" xr:uid="{00000000-0005-0000-0000-00006E3F0000}"/>
    <cellStyle name="Normal 58 5 2 3 7" xfId="4657" xr:uid="{00000000-0005-0000-0000-00006F3F0000}"/>
    <cellStyle name="Normal 58 5 2 4" xfId="1144" xr:uid="{00000000-0005-0000-0000-0000703F0000}"/>
    <cellStyle name="Normal 58 5 2 4 2" xfId="2864" xr:uid="{00000000-0005-0000-0000-0000713F0000}"/>
    <cellStyle name="Normal 58 5 2 4 2 2" xfId="16404" xr:uid="{00000000-0005-0000-0000-0000723F0000}"/>
    <cellStyle name="Normal 58 5 2 4 2 3" xfId="12826" xr:uid="{00000000-0005-0000-0000-0000733F0000}"/>
    <cellStyle name="Normal 58 5 2 4 2 4" xfId="7536" xr:uid="{00000000-0005-0000-0000-0000743F0000}"/>
    <cellStyle name="Normal 58 5 2 4 3" xfId="4132" xr:uid="{00000000-0005-0000-0000-0000753F0000}"/>
    <cellStyle name="Normal 58 5 2 4 3 2" xfId="17777" xr:uid="{00000000-0005-0000-0000-0000763F0000}"/>
    <cellStyle name="Normal 58 5 2 4 3 3" xfId="14198" xr:uid="{00000000-0005-0000-0000-0000773F0000}"/>
    <cellStyle name="Normal 58 5 2 4 3 4" xfId="8941" xr:uid="{00000000-0005-0000-0000-0000783F0000}"/>
    <cellStyle name="Normal 58 5 2 4 4" xfId="6652" xr:uid="{00000000-0005-0000-0000-0000793F0000}"/>
    <cellStyle name="Normal 58 5 2 4 4 2" xfId="15736" xr:uid="{00000000-0005-0000-0000-00007A3F0000}"/>
    <cellStyle name="Normal 58 5 2 4 5" xfId="10395" xr:uid="{00000000-0005-0000-0000-00007B3F0000}"/>
    <cellStyle name="Normal 58 5 2 4 5 2" xfId="19222" xr:uid="{00000000-0005-0000-0000-00007C3F0000}"/>
    <cellStyle name="Normal 58 5 2 4 6" xfId="11841" xr:uid="{00000000-0005-0000-0000-00007D3F0000}"/>
    <cellStyle name="Normal 58 5 2 4 7" xfId="5130" xr:uid="{00000000-0005-0000-0000-00007E3F0000}"/>
    <cellStyle name="Normal 58 5 2 5" xfId="1492" xr:uid="{00000000-0005-0000-0000-00007F3F0000}"/>
    <cellStyle name="Normal 58 5 2 5 2" xfId="3091" xr:uid="{00000000-0005-0000-0000-0000803F0000}"/>
    <cellStyle name="Normal 58 5 2 5 2 2" xfId="16640" xr:uid="{00000000-0005-0000-0000-0000813F0000}"/>
    <cellStyle name="Normal 58 5 2 5 2 3" xfId="13061" xr:uid="{00000000-0005-0000-0000-0000823F0000}"/>
    <cellStyle name="Normal 58 5 2 5 2 4" xfId="7772" xr:uid="{00000000-0005-0000-0000-0000833F0000}"/>
    <cellStyle name="Normal 58 5 2 5 3" xfId="4299" xr:uid="{00000000-0005-0000-0000-0000843F0000}"/>
    <cellStyle name="Normal 58 5 2 5 3 2" xfId="18004" xr:uid="{00000000-0005-0000-0000-0000853F0000}"/>
    <cellStyle name="Normal 58 5 2 5 3 3" xfId="14425" xr:uid="{00000000-0005-0000-0000-0000863F0000}"/>
    <cellStyle name="Normal 58 5 2 5 3 4" xfId="9168" xr:uid="{00000000-0005-0000-0000-0000873F0000}"/>
    <cellStyle name="Normal 58 5 2 5 4" xfId="5960" xr:uid="{00000000-0005-0000-0000-0000883F0000}"/>
    <cellStyle name="Normal 58 5 2 5 4 2" xfId="15046" xr:uid="{00000000-0005-0000-0000-0000893F0000}"/>
    <cellStyle name="Normal 58 5 2 5 5" xfId="10622" xr:uid="{00000000-0005-0000-0000-00008A3F0000}"/>
    <cellStyle name="Normal 58 5 2 5 5 2" xfId="19449" xr:uid="{00000000-0005-0000-0000-00008B3F0000}"/>
    <cellStyle name="Normal 58 5 2 5 6" xfId="12068" xr:uid="{00000000-0005-0000-0000-00008C3F0000}"/>
    <cellStyle name="Normal 58 5 2 5 7" xfId="5366" xr:uid="{00000000-0005-0000-0000-00008D3F0000}"/>
    <cellStyle name="Normal 58 5 2 6" xfId="2048" xr:uid="{00000000-0005-0000-0000-00008E3F0000}"/>
    <cellStyle name="Normal 58 5 2 6 2" xfId="15889" xr:uid="{00000000-0005-0000-0000-00008F3F0000}"/>
    <cellStyle name="Normal 58 5 2 6 3" xfId="10817" xr:uid="{00000000-0005-0000-0000-0000903F0000}"/>
    <cellStyle name="Normal 58 5 2 6 4" xfId="6846" xr:uid="{00000000-0005-0000-0000-0000913F0000}"/>
    <cellStyle name="Normal 58 5 2 7" xfId="3461" xr:uid="{00000000-0005-0000-0000-0000923F0000}"/>
    <cellStyle name="Normal 58 5 2 7 2" xfId="16961" xr:uid="{00000000-0005-0000-0000-0000933F0000}"/>
    <cellStyle name="Normal 58 5 2 7 3" xfId="13382" xr:uid="{00000000-0005-0000-0000-0000943F0000}"/>
    <cellStyle name="Normal 58 5 2 7 4" xfId="8125" xr:uid="{00000000-0005-0000-0000-0000953F0000}"/>
    <cellStyle name="Normal 58 5 2 8" xfId="5686" xr:uid="{00000000-0005-0000-0000-0000963F0000}"/>
    <cellStyle name="Normal 58 5 2 8 2" xfId="14772" xr:uid="{00000000-0005-0000-0000-0000973F0000}"/>
    <cellStyle name="Normal 58 5 2 9" xfId="9579" xr:uid="{00000000-0005-0000-0000-0000983F0000}"/>
    <cellStyle name="Normal 58 5 2 9 2" xfId="18406" xr:uid="{00000000-0005-0000-0000-0000993F0000}"/>
    <cellStyle name="Normal 58 5 2_Degree data" xfId="1761" xr:uid="{00000000-0005-0000-0000-00009A3F0000}"/>
    <cellStyle name="Normal 58 5 3" xfId="229" xr:uid="{00000000-0005-0000-0000-00009B3F0000}"/>
    <cellStyle name="Normal 58 5 3 10" xfId="10980" xr:uid="{00000000-0005-0000-0000-00009C3F0000}"/>
    <cellStyle name="Normal 58 5 3 11" xfId="4501" xr:uid="{00000000-0005-0000-0000-00009D3F0000}"/>
    <cellStyle name="Normal 58 5 3 2" xfId="442" xr:uid="{00000000-0005-0000-0000-00009E3F0000}"/>
    <cellStyle name="Normal 58 5 3 2 2" xfId="790" xr:uid="{00000000-0005-0000-0000-00009F3F0000}"/>
    <cellStyle name="Normal 58 5 3 2 2 2" xfId="2519" xr:uid="{00000000-0005-0000-0000-0000A03F0000}"/>
    <cellStyle name="Normal 58 5 3 2 2 2 2" xfId="16407" xr:uid="{00000000-0005-0000-0000-0000A13F0000}"/>
    <cellStyle name="Normal 58 5 3 2 2 2 3" xfId="12829" xr:uid="{00000000-0005-0000-0000-0000A23F0000}"/>
    <cellStyle name="Normal 58 5 3 2 2 2 4" xfId="7539" xr:uid="{00000000-0005-0000-0000-0000A33F0000}"/>
    <cellStyle name="Normal 58 5 3 2 2 3" xfId="3786" xr:uid="{00000000-0005-0000-0000-0000A43F0000}"/>
    <cellStyle name="Normal 58 5 3 2 2 3 2" xfId="17432" xr:uid="{00000000-0005-0000-0000-0000A53F0000}"/>
    <cellStyle name="Normal 58 5 3 2 2 3 3" xfId="13853" xr:uid="{00000000-0005-0000-0000-0000A63F0000}"/>
    <cellStyle name="Normal 58 5 3 2 2 3 4" xfId="8596" xr:uid="{00000000-0005-0000-0000-0000A73F0000}"/>
    <cellStyle name="Normal 58 5 3 2 2 4" xfId="6655" xr:uid="{00000000-0005-0000-0000-0000A83F0000}"/>
    <cellStyle name="Normal 58 5 3 2 2 4 2" xfId="15739" xr:uid="{00000000-0005-0000-0000-0000A93F0000}"/>
    <cellStyle name="Normal 58 5 3 2 2 5" xfId="10050" xr:uid="{00000000-0005-0000-0000-0000AA3F0000}"/>
    <cellStyle name="Normal 58 5 3 2 2 5 2" xfId="18877" xr:uid="{00000000-0005-0000-0000-0000AB3F0000}"/>
    <cellStyle name="Normal 58 5 3 2 2 6" xfId="11495" xr:uid="{00000000-0005-0000-0000-0000AC3F0000}"/>
    <cellStyle name="Normal 58 5 3 2 2 7" xfId="5133" xr:uid="{00000000-0005-0000-0000-0000AD3F0000}"/>
    <cellStyle name="Normal 58 5 3 2 3" xfId="1147" xr:uid="{00000000-0005-0000-0000-0000AE3F0000}"/>
    <cellStyle name="Normal 58 5 3 2 3 2" xfId="2867" xr:uid="{00000000-0005-0000-0000-0000AF3F0000}"/>
    <cellStyle name="Normal 58 5 3 2 3 2 2" xfId="16801" xr:uid="{00000000-0005-0000-0000-0000B03F0000}"/>
    <cellStyle name="Normal 58 5 3 2 3 2 3" xfId="13222" xr:uid="{00000000-0005-0000-0000-0000B13F0000}"/>
    <cellStyle name="Normal 58 5 3 2 3 2 4" xfId="7933" xr:uid="{00000000-0005-0000-0000-0000B23F0000}"/>
    <cellStyle name="Normal 58 5 3 2 3 3" xfId="4135" xr:uid="{00000000-0005-0000-0000-0000B33F0000}"/>
    <cellStyle name="Normal 58 5 3 2 3 3 2" xfId="17780" xr:uid="{00000000-0005-0000-0000-0000B43F0000}"/>
    <cellStyle name="Normal 58 5 3 2 3 3 3" xfId="14201" xr:uid="{00000000-0005-0000-0000-0000B53F0000}"/>
    <cellStyle name="Normal 58 5 3 2 3 3 4" xfId="8944" xr:uid="{00000000-0005-0000-0000-0000B63F0000}"/>
    <cellStyle name="Normal 58 5 3 2 3 4" xfId="6340" xr:uid="{00000000-0005-0000-0000-0000B73F0000}"/>
    <cellStyle name="Normal 58 5 3 2 3 4 2" xfId="15424" xr:uid="{00000000-0005-0000-0000-0000B83F0000}"/>
    <cellStyle name="Normal 58 5 3 2 3 5" xfId="10398" xr:uid="{00000000-0005-0000-0000-0000B93F0000}"/>
    <cellStyle name="Normal 58 5 3 2 3 5 2" xfId="19225" xr:uid="{00000000-0005-0000-0000-0000BA3F0000}"/>
    <cellStyle name="Normal 58 5 3 2 3 6" xfId="11844" xr:uid="{00000000-0005-0000-0000-0000BB3F0000}"/>
    <cellStyle name="Normal 58 5 3 2 3 7" xfId="5527" xr:uid="{00000000-0005-0000-0000-0000BC3F0000}"/>
    <cellStyle name="Normal 58 5 3 2 4" xfId="1656" xr:uid="{00000000-0005-0000-0000-0000BD3F0000}"/>
    <cellStyle name="Normal 58 5 3 2 4 2" xfId="3252" xr:uid="{00000000-0005-0000-0000-0000BE3F0000}"/>
    <cellStyle name="Normal 58 5 3 2 4 2 2" xfId="18165" xr:uid="{00000000-0005-0000-0000-0000BF3F0000}"/>
    <cellStyle name="Normal 58 5 3 2 4 2 3" xfId="14586" xr:uid="{00000000-0005-0000-0000-0000C03F0000}"/>
    <cellStyle name="Normal 58 5 3 2 4 2 4" xfId="9329" xr:uid="{00000000-0005-0000-0000-0000C13F0000}"/>
    <cellStyle name="Normal 58 5 3 2 4 3" xfId="10783" xr:uid="{00000000-0005-0000-0000-0000C23F0000}"/>
    <cellStyle name="Normal 58 5 3 2 4 3 2" xfId="19610" xr:uid="{00000000-0005-0000-0000-0000C33F0000}"/>
    <cellStyle name="Normal 58 5 3 2 4 4" xfId="12229" xr:uid="{00000000-0005-0000-0000-0000C43F0000}"/>
    <cellStyle name="Normal 58 5 3 2 4 5" xfId="7224" xr:uid="{00000000-0005-0000-0000-0000C53F0000}"/>
    <cellStyle name="Normal 58 5 3 2 5" xfId="2209" xr:uid="{00000000-0005-0000-0000-0000C63F0000}"/>
    <cellStyle name="Normal 58 5 3 2 5 2" xfId="17122" xr:uid="{00000000-0005-0000-0000-0000C73F0000}"/>
    <cellStyle name="Normal 58 5 3 2 5 3" xfId="13543" xr:uid="{00000000-0005-0000-0000-0000C83F0000}"/>
    <cellStyle name="Normal 58 5 3 2 5 4" xfId="8286" xr:uid="{00000000-0005-0000-0000-0000C93F0000}"/>
    <cellStyle name="Normal 58 5 3 2 6" xfId="5847" xr:uid="{00000000-0005-0000-0000-0000CA3F0000}"/>
    <cellStyle name="Normal 58 5 3 2 6 2" xfId="14933" xr:uid="{00000000-0005-0000-0000-0000CB3F0000}"/>
    <cellStyle name="Normal 58 5 3 2 7" xfId="9740" xr:uid="{00000000-0005-0000-0000-0000CC3F0000}"/>
    <cellStyle name="Normal 58 5 3 2 7 2" xfId="18567" xr:uid="{00000000-0005-0000-0000-0000CD3F0000}"/>
    <cellStyle name="Normal 58 5 3 2 8" xfId="11184" xr:uid="{00000000-0005-0000-0000-0000CE3F0000}"/>
    <cellStyle name="Normal 58 5 3 2 9" xfId="4818" xr:uid="{00000000-0005-0000-0000-0000CF3F0000}"/>
    <cellStyle name="Normal 58 5 3 2_Degree data" xfId="1764" xr:uid="{00000000-0005-0000-0000-0000D03F0000}"/>
    <cellStyle name="Normal 58 5 3 3" xfId="789" xr:uid="{00000000-0005-0000-0000-0000D13F0000}"/>
    <cellStyle name="Normal 58 5 3 3 2" xfId="2518" xr:uid="{00000000-0005-0000-0000-0000D23F0000}"/>
    <cellStyle name="Normal 58 5 3 3 2 2" xfId="16034" xr:uid="{00000000-0005-0000-0000-0000D33F0000}"/>
    <cellStyle name="Normal 58 5 3 3 2 3" xfId="12325" xr:uid="{00000000-0005-0000-0000-0000D43F0000}"/>
    <cellStyle name="Normal 58 5 3 3 2 4" xfId="7020" xr:uid="{00000000-0005-0000-0000-0000D53F0000}"/>
    <cellStyle name="Normal 58 5 3 3 3" xfId="3785" xr:uid="{00000000-0005-0000-0000-0000D63F0000}"/>
    <cellStyle name="Normal 58 5 3 3 3 2" xfId="17431" xr:uid="{00000000-0005-0000-0000-0000D73F0000}"/>
    <cellStyle name="Normal 58 5 3 3 3 3" xfId="13852" xr:uid="{00000000-0005-0000-0000-0000D83F0000}"/>
    <cellStyle name="Normal 58 5 3 3 3 4" xfId="8595" xr:uid="{00000000-0005-0000-0000-0000D93F0000}"/>
    <cellStyle name="Normal 58 5 3 3 4" xfId="6136" xr:uid="{00000000-0005-0000-0000-0000DA3F0000}"/>
    <cellStyle name="Normal 58 5 3 3 4 2" xfId="15220" xr:uid="{00000000-0005-0000-0000-0000DB3F0000}"/>
    <cellStyle name="Normal 58 5 3 3 5" xfId="10049" xr:uid="{00000000-0005-0000-0000-0000DC3F0000}"/>
    <cellStyle name="Normal 58 5 3 3 5 2" xfId="18876" xr:uid="{00000000-0005-0000-0000-0000DD3F0000}"/>
    <cellStyle name="Normal 58 5 3 3 6" xfId="11494" xr:uid="{00000000-0005-0000-0000-0000DE3F0000}"/>
    <cellStyle name="Normal 58 5 3 3 7" xfId="4614" xr:uid="{00000000-0005-0000-0000-0000DF3F0000}"/>
    <cellStyle name="Normal 58 5 3 4" xfId="1146" xr:uid="{00000000-0005-0000-0000-0000E03F0000}"/>
    <cellStyle name="Normal 58 5 3 4 2" xfId="2866" xr:uid="{00000000-0005-0000-0000-0000E13F0000}"/>
    <cellStyle name="Normal 58 5 3 4 2 2" xfId="16406" xr:uid="{00000000-0005-0000-0000-0000E23F0000}"/>
    <cellStyle name="Normal 58 5 3 4 2 3" xfId="12828" xr:uid="{00000000-0005-0000-0000-0000E33F0000}"/>
    <cellStyle name="Normal 58 5 3 4 2 4" xfId="7538" xr:uid="{00000000-0005-0000-0000-0000E43F0000}"/>
    <cellStyle name="Normal 58 5 3 4 3" xfId="4134" xr:uid="{00000000-0005-0000-0000-0000E53F0000}"/>
    <cellStyle name="Normal 58 5 3 4 3 2" xfId="17779" xr:uid="{00000000-0005-0000-0000-0000E63F0000}"/>
    <cellStyle name="Normal 58 5 3 4 3 3" xfId="14200" xr:uid="{00000000-0005-0000-0000-0000E73F0000}"/>
    <cellStyle name="Normal 58 5 3 4 3 4" xfId="8943" xr:uid="{00000000-0005-0000-0000-0000E83F0000}"/>
    <cellStyle name="Normal 58 5 3 4 4" xfId="6654" xr:uid="{00000000-0005-0000-0000-0000E93F0000}"/>
    <cellStyle name="Normal 58 5 3 4 4 2" xfId="15738" xr:uid="{00000000-0005-0000-0000-0000EA3F0000}"/>
    <cellStyle name="Normal 58 5 3 4 5" xfId="10397" xr:uid="{00000000-0005-0000-0000-0000EB3F0000}"/>
    <cellStyle name="Normal 58 5 3 4 5 2" xfId="19224" xr:uid="{00000000-0005-0000-0000-0000EC3F0000}"/>
    <cellStyle name="Normal 58 5 3 4 6" xfId="11843" xr:uid="{00000000-0005-0000-0000-0000ED3F0000}"/>
    <cellStyle name="Normal 58 5 3 4 7" xfId="5132" xr:uid="{00000000-0005-0000-0000-0000EE3F0000}"/>
    <cellStyle name="Normal 58 5 3 5" xfId="1447" xr:uid="{00000000-0005-0000-0000-0000EF3F0000}"/>
    <cellStyle name="Normal 58 5 3 5 2" xfId="3048" xr:uid="{00000000-0005-0000-0000-0000F03F0000}"/>
    <cellStyle name="Normal 58 5 3 5 2 2" xfId="16597" xr:uid="{00000000-0005-0000-0000-0000F13F0000}"/>
    <cellStyle name="Normal 58 5 3 5 2 3" xfId="13018" xr:uid="{00000000-0005-0000-0000-0000F23F0000}"/>
    <cellStyle name="Normal 58 5 3 5 2 4" xfId="7729" xr:uid="{00000000-0005-0000-0000-0000F33F0000}"/>
    <cellStyle name="Normal 58 5 3 5 3" xfId="4256" xr:uid="{00000000-0005-0000-0000-0000F43F0000}"/>
    <cellStyle name="Normal 58 5 3 5 3 2" xfId="17961" xr:uid="{00000000-0005-0000-0000-0000F53F0000}"/>
    <cellStyle name="Normal 58 5 3 5 3 3" xfId="14382" xr:uid="{00000000-0005-0000-0000-0000F63F0000}"/>
    <cellStyle name="Normal 58 5 3 5 3 4" xfId="9125" xr:uid="{00000000-0005-0000-0000-0000F73F0000}"/>
    <cellStyle name="Normal 58 5 3 5 4" xfId="6021" xr:uid="{00000000-0005-0000-0000-0000F83F0000}"/>
    <cellStyle name="Normal 58 5 3 5 4 2" xfId="15107" xr:uid="{00000000-0005-0000-0000-0000F93F0000}"/>
    <cellStyle name="Normal 58 5 3 5 5" xfId="10579" xr:uid="{00000000-0005-0000-0000-0000FA3F0000}"/>
    <cellStyle name="Normal 58 5 3 5 5 2" xfId="19406" xr:uid="{00000000-0005-0000-0000-0000FB3F0000}"/>
    <cellStyle name="Normal 58 5 3 5 6" xfId="12025" xr:uid="{00000000-0005-0000-0000-0000FC3F0000}"/>
    <cellStyle name="Normal 58 5 3 5 7" xfId="5323" xr:uid="{00000000-0005-0000-0000-0000FD3F0000}"/>
    <cellStyle name="Normal 58 5 3 6" xfId="2005" xr:uid="{00000000-0005-0000-0000-0000FE3F0000}"/>
    <cellStyle name="Normal 58 5 3 6 2" xfId="15950" xr:uid="{00000000-0005-0000-0000-0000FF3F0000}"/>
    <cellStyle name="Normal 58 5 3 6 3" xfId="12404" xr:uid="{00000000-0005-0000-0000-000000400000}"/>
    <cellStyle name="Normal 58 5 3 6 4" xfId="6907" xr:uid="{00000000-0005-0000-0000-000001400000}"/>
    <cellStyle name="Normal 58 5 3 7" xfId="3418" xr:uid="{00000000-0005-0000-0000-000002400000}"/>
    <cellStyle name="Normal 58 5 3 7 2" xfId="16918" xr:uid="{00000000-0005-0000-0000-000003400000}"/>
    <cellStyle name="Normal 58 5 3 7 3" xfId="13339" xr:uid="{00000000-0005-0000-0000-000004400000}"/>
    <cellStyle name="Normal 58 5 3 7 4" xfId="8082" xr:uid="{00000000-0005-0000-0000-000005400000}"/>
    <cellStyle name="Normal 58 5 3 8" xfId="5643" xr:uid="{00000000-0005-0000-0000-000006400000}"/>
    <cellStyle name="Normal 58 5 3 8 2" xfId="14729" xr:uid="{00000000-0005-0000-0000-000007400000}"/>
    <cellStyle name="Normal 58 5 3 9" xfId="9536" xr:uid="{00000000-0005-0000-0000-000008400000}"/>
    <cellStyle name="Normal 58 5 3 9 2" xfId="18363" xr:uid="{00000000-0005-0000-0000-000009400000}"/>
    <cellStyle name="Normal 58 5 3_Degree data" xfId="1763" xr:uid="{00000000-0005-0000-0000-00000A400000}"/>
    <cellStyle name="Normal 58 5 4" xfId="337" xr:uid="{00000000-0005-0000-0000-00000B400000}"/>
    <cellStyle name="Normal 58 5 4 2" xfId="791" xr:uid="{00000000-0005-0000-0000-00000C400000}"/>
    <cellStyle name="Normal 58 5 4 2 2" xfId="2520" xr:uid="{00000000-0005-0000-0000-00000D400000}"/>
    <cellStyle name="Normal 58 5 4 2 2 2" xfId="16408" xr:uid="{00000000-0005-0000-0000-00000E400000}"/>
    <cellStyle name="Normal 58 5 4 2 2 3" xfId="12830" xr:uid="{00000000-0005-0000-0000-00000F400000}"/>
    <cellStyle name="Normal 58 5 4 2 2 4" xfId="7540" xr:uid="{00000000-0005-0000-0000-000010400000}"/>
    <cellStyle name="Normal 58 5 4 2 3" xfId="3787" xr:uid="{00000000-0005-0000-0000-000011400000}"/>
    <cellStyle name="Normal 58 5 4 2 3 2" xfId="17433" xr:uid="{00000000-0005-0000-0000-000012400000}"/>
    <cellStyle name="Normal 58 5 4 2 3 3" xfId="13854" xr:uid="{00000000-0005-0000-0000-000013400000}"/>
    <cellStyle name="Normal 58 5 4 2 3 4" xfId="8597" xr:uid="{00000000-0005-0000-0000-000014400000}"/>
    <cellStyle name="Normal 58 5 4 2 4" xfId="6656" xr:uid="{00000000-0005-0000-0000-000015400000}"/>
    <cellStyle name="Normal 58 5 4 2 4 2" xfId="15740" xr:uid="{00000000-0005-0000-0000-000016400000}"/>
    <cellStyle name="Normal 58 5 4 2 5" xfId="10051" xr:uid="{00000000-0005-0000-0000-000017400000}"/>
    <cellStyle name="Normal 58 5 4 2 5 2" xfId="18878" xr:uid="{00000000-0005-0000-0000-000018400000}"/>
    <cellStyle name="Normal 58 5 4 2 6" xfId="11496" xr:uid="{00000000-0005-0000-0000-000019400000}"/>
    <cellStyle name="Normal 58 5 4 2 7" xfId="5134" xr:uid="{00000000-0005-0000-0000-00001A400000}"/>
    <cellStyle name="Normal 58 5 4 3" xfId="1148" xr:uid="{00000000-0005-0000-0000-00001B400000}"/>
    <cellStyle name="Normal 58 5 4 3 2" xfId="2868" xr:uid="{00000000-0005-0000-0000-00001C400000}"/>
    <cellStyle name="Normal 58 5 4 3 2 2" xfId="16697" xr:uid="{00000000-0005-0000-0000-00001D400000}"/>
    <cellStyle name="Normal 58 5 4 3 2 3" xfId="13118" xr:uid="{00000000-0005-0000-0000-00001E400000}"/>
    <cellStyle name="Normal 58 5 4 3 2 4" xfId="7829" xr:uid="{00000000-0005-0000-0000-00001F400000}"/>
    <cellStyle name="Normal 58 5 4 3 3" xfId="4136" xr:uid="{00000000-0005-0000-0000-000020400000}"/>
    <cellStyle name="Normal 58 5 4 3 3 2" xfId="17781" xr:uid="{00000000-0005-0000-0000-000021400000}"/>
    <cellStyle name="Normal 58 5 4 3 3 3" xfId="14202" xr:uid="{00000000-0005-0000-0000-000022400000}"/>
    <cellStyle name="Normal 58 5 4 3 3 4" xfId="8945" xr:uid="{00000000-0005-0000-0000-000023400000}"/>
    <cellStyle name="Normal 58 5 4 3 4" xfId="6236" xr:uid="{00000000-0005-0000-0000-000024400000}"/>
    <cellStyle name="Normal 58 5 4 3 4 2" xfId="15320" xr:uid="{00000000-0005-0000-0000-000025400000}"/>
    <cellStyle name="Normal 58 5 4 3 5" xfId="10399" xr:uid="{00000000-0005-0000-0000-000026400000}"/>
    <cellStyle name="Normal 58 5 4 3 5 2" xfId="19226" xr:uid="{00000000-0005-0000-0000-000027400000}"/>
    <cellStyle name="Normal 58 5 4 3 6" xfId="11845" xr:uid="{00000000-0005-0000-0000-000028400000}"/>
    <cellStyle name="Normal 58 5 4 3 7" xfId="5423" xr:uid="{00000000-0005-0000-0000-000029400000}"/>
    <cellStyle name="Normal 58 5 4 4" xfId="1549" xr:uid="{00000000-0005-0000-0000-00002A400000}"/>
    <cellStyle name="Normal 58 5 4 4 2" xfId="3148" xr:uid="{00000000-0005-0000-0000-00002B400000}"/>
    <cellStyle name="Normal 58 5 4 4 2 2" xfId="18061" xr:uid="{00000000-0005-0000-0000-00002C400000}"/>
    <cellStyle name="Normal 58 5 4 4 2 3" xfId="14482" xr:uid="{00000000-0005-0000-0000-00002D400000}"/>
    <cellStyle name="Normal 58 5 4 4 2 4" xfId="9225" xr:uid="{00000000-0005-0000-0000-00002E400000}"/>
    <cellStyle name="Normal 58 5 4 4 3" xfId="10679" xr:uid="{00000000-0005-0000-0000-00002F400000}"/>
    <cellStyle name="Normal 58 5 4 4 3 2" xfId="19506" xr:uid="{00000000-0005-0000-0000-000030400000}"/>
    <cellStyle name="Normal 58 5 4 4 4" xfId="12125" xr:uid="{00000000-0005-0000-0000-000031400000}"/>
    <cellStyle name="Normal 58 5 4 4 5" xfId="7120" xr:uid="{00000000-0005-0000-0000-000032400000}"/>
    <cellStyle name="Normal 58 5 4 5" xfId="2105" xr:uid="{00000000-0005-0000-0000-000033400000}"/>
    <cellStyle name="Normal 58 5 4 5 2" xfId="17018" xr:uid="{00000000-0005-0000-0000-000034400000}"/>
    <cellStyle name="Normal 58 5 4 5 3" xfId="13439" xr:uid="{00000000-0005-0000-0000-000035400000}"/>
    <cellStyle name="Normal 58 5 4 5 4" xfId="8182" xr:uid="{00000000-0005-0000-0000-000036400000}"/>
    <cellStyle name="Normal 58 5 4 6" xfId="5743" xr:uid="{00000000-0005-0000-0000-000037400000}"/>
    <cellStyle name="Normal 58 5 4 6 2" xfId="14829" xr:uid="{00000000-0005-0000-0000-000038400000}"/>
    <cellStyle name="Normal 58 5 4 7" xfId="9636" xr:uid="{00000000-0005-0000-0000-000039400000}"/>
    <cellStyle name="Normal 58 5 4 7 2" xfId="18463" xr:uid="{00000000-0005-0000-0000-00003A400000}"/>
    <cellStyle name="Normal 58 5 4 8" xfId="11080" xr:uid="{00000000-0005-0000-0000-00003B400000}"/>
    <cellStyle name="Normal 58 5 4 9" xfId="4714" xr:uid="{00000000-0005-0000-0000-00003C400000}"/>
    <cellStyle name="Normal 58 5 4_Degree data" xfId="1765" xr:uid="{00000000-0005-0000-0000-00003D400000}"/>
    <cellStyle name="Normal 58 5 5" xfId="486" xr:uid="{00000000-0005-0000-0000-00003E400000}"/>
    <cellStyle name="Normal 58 5 5 2" xfId="792" xr:uid="{00000000-0005-0000-0000-00003F400000}"/>
    <cellStyle name="Normal 58 5 5 2 2" xfId="2521" xr:uid="{00000000-0005-0000-0000-000040400000}"/>
    <cellStyle name="Normal 58 5 5 2 2 2" xfId="16409" xr:uid="{00000000-0005-0000-0000-000041400000}"/>
    <cellStyle name="Normal 58 5 5 2 2 3" xfId="12831" xr:uid="{00000000-0005-0000-0000-000042400000}"/>
    <cellStyle name="Normal 58 5 5 2 2 4" xfId="7541" xr:uid="{00000000-0005-0000-0000-000043400000}"/>
    <cellStyle name="Normal 58 5 5 2 3" xfId="3788" xr:uid="{00000000-0005-0000-0000-000044400000}"/>
    <cellStyle name="Normal 58 5 5 2 3 2" xfId="17434" xr:uid="{00000000-0005-0000-0000-000045400000}"/>
    <cellStyle name="Normal 58 5 5 2 3 3" xfId="13855" xr:uid="{00000000-0005-0000-0000-000046400000}"/>
    <cellStyle name="Normal 58 5 5 2 3 4" xfId="8598" xr:uid="{00000000-0005-0000-0000-000047400000}"/>
    <cellStyle name="Normal 58 5 5 2 4" xfId="6657" xr:uid="{00000000-0005-0000-0000-000048400000}"/>
    <cellStyle name="Normal 58 5 5 2 4 2" xfId="15741" xr:uid="{00000000-0005-0000-0000-000049400000}"/>
    <cellStyle name="Normal 58 5 5 2 5" xfId="10052" xr:uid="{00000000-0005-0000-0000-00004A400000}"/>
    <cellStyle name="Normal 58 5 5 2 5 2" xfId="18879" xr:uid="{00000000-0005-0000-0000-00004B400000}"/>
    <cellStyle name="Normal 58 5 5 2 6" xfId="11497" xr:uid="{00000000-0005-0000-0000-00004C400000}"/>
    <cellStyle name="Normal 58 5 5 2 7" xfId="5135" xr:uid="{00000000-0005-0000-0000-00004D400000}"/>
    <cellStyle name="Normal 58 5 5 3" xfId="1149" xr:uid="{00000000-0005-0000-0000-00004E400000}"/>
    <cellStyle name="Normal 58 5 5 3 2" xfId="2869" xr:uid="{00000000-0005-0000-0000-00004F400000}"/>
    <cellStyle name="Normal 58 5 5 3 2 2" xfId="16540" xr:uid="{00000000-0005-0000-0000-000050400000}"/>
    <cellStyle name="Normal 58 5 5 3 2 3" xfId="12961" xr:uid="{00000000-0005-0000-0000-000051400000}"/>
    <cellStyle name="Normal 58 5 5 3 2 4" xfId="7672" xr:uid="{00000000-0005-0000-0000-000052400000}"/>
    <cellStyle name="Normal 58 5 5 3 3" xfId="4137" xr:uid="{00000000-0005-0000-0000-000053400000}"/>
    <cellStyle name="Normal 58 5 5 3 3 2" xfId="17782" xr:uid="{00000000-0005-0000-0000-000054400000}"/>
    <cellStyle name="Normal 58 5 5 3 3 3" xfId="14203" xr:uid="{00000000-0005-0000-0000-000055400000}"/>
    <cellStyle name="Normal 58 5 5 3 3 4" xfId="8946" xr:uid="{00000000-0005-0000-0000-000056400000}"/>
    <cellStyle name="Normal 58 5 5 3 4" xfId="6746" xr:uid="{00000000-0005-0000-0000-000057400000}"/>
    <cellStyle name="Normal 58 5 5 3 4 2" xfId="15829" xr:uid="{00000000-0005-0000-0000-000058400000}"/>
    <cellStyle name="Normal 58 5 5 3 5" xfId="10400" xr:uid="{00000000-0005-0000-0000-000059400000}"/>
    <cellStyle name="Normal 58 5 5 3 5 2" xfId="19227" xr:uid="{00000000-0005-0000-0000-00005A400000}"/>
    <cellStyle name="Normal 58 5 5 3 6" xfId="11846" xr:uid="{00000000-0005-0000-0000-00005B400000}"/>
    <cellStyle name="Normal 58 5 5 3 7" xfId="5266" xr:uid="{00000000-0005-0000-0000-00005C400000}"/>
    <cellStyle name="Normal 58 5 5 4" xfId="1382" xr:uid="{00000000-0005-0000-0000-00005D400000}"/>
    <cellStyle name="Normal 58 5 5 4 2" xfId="2991" xr:uid="{00000000-0005-0000-0000-00005E400000}"/>
    <cellStyle name="Normal 58 5 5 4 2 2" xfId="17904" xr:uid="{00000000-0005-0000-0000-00005F400000}"/>
    <cellStyle name="Normal 58 5 5 4 2 3" xfId="14325" xr:uid="{00000000-0005-0000-0000-000060400000}"/>
    <cellStyle name="Normal 58 5 5 4 2 4" xfId="9068" xr:uid="{00000000-0005-0000-0000-000061400000}"/>
    <cellStyle name="Normal 58 5 5 4 3" xfId="10522" xr:uid="{00000000-0005-0000-0000-000062400000}"/>
    <cellStyle name="Normal 58 5 5 4 3 2" xfId="19349" xr:uid="{00000000-0005-0000-0000-000063400000}"/>
    <cellStyle name="Normal 58 5 5 4 4" xfId="11968" xr:uid="{00000000-0005-0000-0000-000064400000}"/>
    <cellStyle name="Normal 58 5 5 4 5" xfId="6963" xr:uid="{00000000-0005-0000-0000-000065400000}"/>
    <cellStyle name="Normal 58 5 5 5" xfId="1948" xr:uid="{00000000-0005-0000-0000-000066400000}"/>
    <cellStyle name="Normal 58 5 5 5 2" xfId="16859" xr:uid="{00000000-0005-0000-0000-000067400000}"/>
    <cellStyle name="Normal 58 5 5 5 3" xfId="13280" xr:uid="{00000000-0005-0000-0000-000068400000}"/>
    <cellStyle name="Normal 58 5 5 5 4" xfId="8023" xr:uid="{00000000-0005-0000-0000-000069400000}"/>
    <cellStyle name="Normal 58 5 5 6" xfId="6079" xr:uid="{00000000-0005-0000-0000-00006A400000}"/>
    <cellStyle name="Normal 58 5 5 6 2" xfId="15163" xr:uid="{00000000-0005-0000-0000-00006B400000}"/>
    <cellStyle name="Normal 58 5 5 7" xfId="9479" xr:uid="{00000000-0005-0000-0000-00006C400000}"/>
    <cellStyle name="Normal 58 5 5 7 2" xfId="18306" xr:uid="{00000000-0005-0000-0000-00006D400000}"/>
    <cellStyle name="Normal 58 5 5 8" xfId="10923" xr:uid="{00000000-0005-0000-0000-00006E400000}"/>
    <cellStyle name="Normal 58 5 5 9" xfId="4557" xr:uid="{00000000-0005-0000-0000-00006F400000}"/>
    <cellStyle name="Normal 58 5 5_Degree data" xfId="1766" xr:uid="{00000000-0005-0000-0000-000070400000}"/>
    <cellStyle name="Normal 58 5 6" xfId="786" xr:uid="{00000000-0005-0000-0000-000071400000}"/>
    <cellStyle name="Normal 58 5 6 2" xfId="2515" xr:uid="{00000000-0005-0000-0000-000072400000}"/>
    <cellStyle name="Normal 58 5 6 2 2" xfId="16403" xr:uid="{00000000-0005-0000-0000-000073400000}"/>
    <cellStyle name="Normal 58 5 6 2 3" xfId="12825" xr:uid="{00000000-0005-0000-0000-000074400000}"/>
    <cellStyle name="Normal 58 5 6 2 4" xfId="7535" xr:uid="{00000000-0005-0000-0000-000075400000}"/>
    <cellStyle name="Normal 58 5 6 3" xfId="3782" xr:uid="{00000000-0005-0000-0000-000076400000}"/>
    <cellStyle name="Normal 58 5 6 3 2" xfId="17428" xr:uid="{00000000-0005-0000-0000-000077400000}"/>
    <cellStyle name="Normal 58 5 6 3 3" xfId="13849" xr:uid="{00000000-0005-0000-0000-000078400000}"/>
    <cellStyle name="Normal 58 5 6 3 4" xfId="8592" xr:uid="{00000000-0005-0000-0000-000079400000}"/>
    <cellStyle name="Normal 58 5 6 4" xfId="6651" xr:uid="{00000000-0005-0000-0000-00007A400000}"/>
    <cellStyle name="Normal 58 5 6 4 2" xfId="15735" xr:uid="{00000000-0005-0000-0000-00007B400000}"/>
    <cellStyle name="Normal 58 5 6 5" xfId="10046" xr:uid="{00000000-0005-0000-0000-00007C400000}"/>
    <cellStyle name="Normal 58 5 6 5 2" xfId="18873" xr:uid="{00000000-0005-0000-0000-00007D400000}"/>
    <cellStyle name="Normal 58 5 6 6" xfId="11491" xr:uid="{00000000-0005-0000-0000-00007E400000}"/>
    <cellStyle name="Normal 58 5 6 7" xfId="5129" xr:uid="{00000000-0005-0000-0000-00007F400000}"/>
    <cellStyle name="Normal 58 5 7" xfId="1143" xr:uid="{00000000-0005-0000-0000-000080400000}"/>
    <cellStyle name="Normal 58 5 7 2" xfId="2863" xr:uid="{00000000-0005-0000-0000-000081400000}"/>
    <cellStyle name="Normal 58 5 7 2 2" xfId="16495" xr:uid="{00000000-0005-0000-0000-000082400000}"/>
    <cellStyle name="Normal 58 5 7 2 3" xfId="12917" xr:uid="{00000000-0005-0000-0000-000083400000}"/>
    <cellStyle name="Normal 58 5 7 2 4" xfId="7627" xr:uid="{00000000-0005-0000-0000-000084400000}"/>
    <cellStyle name="Normal 58 5 7 3" xfId="4131" xr:uid="{00000000-0005-0000-0000-000085400000}"/>
    <cellStyle name="Normal 58 5 7 3 2" xfId="17776" xr:uid="{00000000-0005-0000-0000-000086400000}"/>
    <cellStyle name="Normal 58 5 7 3 3" xfId="14197" xr:uid="{00000000-0005-0000-0000-000087400000}"/>
    <cellStyle name="Normal 58 5 7 3 4" xfId="8940" xr:uid="{00000000-0005-0000-0000-000088400000}"/>
    <cellStyle name="Normal 58 5 7 4" xfId="5917" xr:uid="{00000000-0005-0000-0000-000089400000}"/>
    <cellStyle name="Normal 58 5 7 4 2" xfId="15003" xr:uid="{00000000-0005-0000-0000-00008A400000}"/>
    <cellStyle name="Normal 58 5 7 5" xfId="10394" xr:uid="{00000000-0005-0000-0000-00008B400000}"/>
    <cellStyle name="Normal 58 5 7 5 2" xfId="19221" xr:uid="{00000000-0005-0000-0000-00008C400000}"/>
    <cellStyle name="Normal 58 5 7 6" xfId="11840" xr:uid="{00000000-0005-0000-0000-00008D400000}"/>
    <cellStyle name="Normal 58 5 7 7" xfId="5221" xr:uid="{00000000-0005-0000-0000-00008E400000}"/>
    <cellStyle name="Normal 58 5 8" xfId="1333" xr:uid="{00000000-0005-0000-0000-00008F400000}"/>
    <cellStyle name="Normal 58 5 8 2" xfId="2946" xr:uid="{00000000-0005-0000-0000-000090400000}"/>
    <cellStyle name="Normal 58 5 8 2 2" xfId="17859" xr:uid="{00000000-0005-0000-0000-000091400000}"/>
    <cellStyle name="Normal 58 5 8 2 3" xfId="14280" xr:uid="{00000000-0005-0000-0000-000092400000}"/>
    <cellStyle name="Normal 58 5 8 2 4" xfId="9023" xr:uid="{00000000-0005-0000-0000-000093400000}"/>
    <cellStyle name="Normal 58 5 8 3" xfId="10477" xr:uid="{00000000-0005-0000-0000-000094400000}"/>
    <cellStyle name="Normal 58 5 8 3 2" xfId="19304" xr:uid="{00000000-0005-0000-0000-000095400000}"/>
    <cellStyle name="Normal 58 5 8 4" xfId="11923" xr:uid="{00000000-0005-0000-0000-000096400000}"/>
    <cellStyle name="Normal 58 5 8 5" xfId="6803" xr:uid="{00000000-0005-0000-0000-000097400000}"/>
    <cellStyle name="Normal 58 5 9" xfId="1903" xr:uid="{00000000-0005-0000-0000-000098400000}"/>
    <cellStyle name="Normal 58 5 9 2" xfId="9434" xr:uid="{00000000-0005-0000-0000-000099400000}"/>
    <cellStyle name="Normal 58 5 9 2 2" xfId="18261" xr:uid="{00000000-0005-0000-0000-00009A400000}"/>
    <cellStyle name="Normal 58 5 9 3" xfId="10878" xr:uid="{00000000-0005-0000-0000-00009B400000}"/>
    <cellStyle name="Normal 58 5 9 4" xfId="7978" xr:uid="{00000000-0005-0000-0000-00009C400000}"/>
    <cellStyle name="Normal 58 5_Degree data" xfId="1760" xr:uid="{00000000-0005-0000-0000-00009D400000}"/>
    <cellStyle name="Normal 58 6" xfId="140" xr:uid="{00000000-0005-0000-0000-00009E400000}"/>
    <cellStyle name="Normal 58 6 10" xfId="5564" xr:uid="{00000000-0005-0000-0000-00009F400000}"/>
    <cellStyle name="Normal 58 6 10 2" xfId="14650" xr:uid="{00000000-0005-0000-0000-0000A0400000}"/>
    <cellStyle name="Normal 58 6 11" xfId="9384" xr:uid="{00000000-0005-0000-0000-0000A1400000}"/>
    <cellStyle name="Normal 58 6 11 2" xfId="18211" xr:uid="{00000000-0005-0000-0000-0000A2400000}"/>
    <cellStyle name="Normal 58 6 12" xfId="10824" xr:uid="{00000000-0005-0000-0000-0000A3400000}"/>
    <cellStyle name="Normal 58 6 13" xfId="4377" xr:uid="{00000000-0005-0000-0000-0000A4400000}"/>
    <cellStyle name="Normal 58 6 2" xfId="252" xr:uid="{00000000-0005-0000-0000-0000A5400000}"/>
    <cellStyle name="Normal 58 6 2 10" xfId="11003" xr:uid="{00000000-0005-0000-0000-0000A6400000}"/>
    <cellStyle name="Normal 58 6 2 11" xfId="4420" xr:uid="{00000000-0005-0000-0000-0000A7400000}"/>
    <cellStyle name="Normal 58 6 2 2" xfId="360" xr:uid="{00000000-0005-0000-0000-0000A8400000}"/>
    <cellStyle name="Normal 58 6 2 2 2" xfId="795" xr:uid="{00000000-0005-0000-0000-0000A9400000}"/>
    <cellStyle name="Normal 58 6 2 2 2 2" xfId="2524" xr:uid="{00000000-0005-0000-0000-0000AA400000}"/>
    <cellStyle name="Normal 58 6 2 2 2 2 2" xfId="16412" xr:uid="{00000000-0005-0000-0000-0000AB400000}"/>
    <cellStyle name="Normal 58 6 2 2 2 2 3" xfId="12834" xr:uid="{00000000-0005-0000-0000-0000AC400000}"/>
    <cellStyle name="Normal 58 6 2 2 2 2 4" xfId="7544" xr:uid="{00000000-0005-0000-0000-0000AD400000}"/>
    <cellStyle name="Normal 58 6 2 2 2 3" xfId="3791" xr:uid="{00000000-0005-0000-0000-0000AE400000}"/>
    <cellStyle name="Normal 58 6 2 2 2 3 2" xfId="17437" xr:uid="{00000000-0005-0000-0000-0000AF400000}"/>
    <cellStyle name="Normal 58 6 2 2 2 3 3" xfId="13858" xr:uid="{00000000-0005-0000-0000-0000B0400000}"/>
    <cellStyle name="Normal 58 6 2 2 2 3 4" xfId="8601" xr:uid="{00000000-0005-0000-0000-0000B1400000}"/>
    <cellStyle name="Normal 58 6 2 2 2 4" xfId="6660" xr:uid="{00000000-0005-0000-0000-0000B2400000}"/>
    <cellStyle name="Normal 58 6 2 2 2 4 2" xfId="15744" xr:uid="{00000000-0005-0000-0000-0000B3400000}"/>
    <cellStyle name="Normal 58 6 2 2 2 5" xfId="10055" xr:uid="{00000000-0005-0000-0000-0000B4400000}"/>
    <cellStyle name="Normal 58 6 2 2 2 5 2" xfId="18882" xr:uid="{00000000-0005-0000-0000-0000B5400000}"/>
    <cellStyle name="Normal 58 6 2 2 2 6" xfId="11500" xr:uid="{00000000-0005-0000-0000-0000B6400000}"/>
    <cellStyle name="Normal 58 6 2 2 2 7" xfId="5138" xr:uid="{00000000-0005-0000-0000-0000B7400000}"/>
    <cellStyle name="Normal 58 6 2 2 3" xfId="1152" xr:uid="{00000000-0005-0000-0000-0000B8400000}"/>
    <cellStyle name="Normal 58 6 2 2 3 2" xfId="2872" xr:uid="{00000000-0005-0000-0000-0000B9400000}"/>
    <cellStyle name="Normal 58 6 2 2 3 2 2" xfId="16720" xr:uid="{00000000-0005-0000-0000-0000BA400000}"/>
    <cellStyle name="Normal 58 6 2 2 3 2 3" xfId="13141" xr:uid="{00000000-0005-0000-0000-0000BB400000}"/>
    <cellStyle name="Normal 58 6 2 2 3 2 4" xfId="7852" xr:uid="{00000000-0005-0000-0000-0000BC400000}"/>
    <cellStyle name="Normal 58 6 2 2 3 3" xfId="4140" xr:uid="{00000000-0005-0000-0000-0000BD400000}"/>
    <cellStyle name="Normal 58 6 2 2 3 3 2" xfId="17785" xr:uid="{00000000-0005-0000-0000-0000BE400000}"/>
    <cellStyle name="Normal 58 6 2 2 3 3 3" xfId="14206" xr:uid="{00000000-0005-0000-0000-0000BF400000}"/>
    <cellStyle name="Normal 58 6 2 2 3 3 4" xfId="8949" xr:uid="{00000000-0005-0000-0000-0000C0400000}"/>
    <cellStyle name="Normal 58 6 2 2 3 4" xfId="6259" xr:uid="{00000000-0005-0000-0000-0000C1400000}"/>
    <cellStyle name="Normal 58 6 2 2 3 4 2" xfId="15343" xr:uid="{00000000-0005-0000-0000-0000C2400000}"/>
    <cellStyle name="Normal 58 6 2 2 3 5" xfId="10403" xr:uid="{00000000-0005-0000-0000-0000C3400000}"/>
    <cellStyle name="Normal 58 6 2 2 3 5 2" xfId="19230" xr:uid="{00000000-0005-0000-0000-0000C4400000}"/>
    <cellStyle name="Normal 58 6 2 2 3 6" xfId="11849" xr:uid="{00000000-0005-0000-0000-0000C5400000}"/>
    <cellStyle name="Normal 58 6 2 2 3 7" xfId="5446" xr:uid="{00000000-0005-0000-0000-0000C6400000}"/>
    <cellStyle name="Normal 58 6 2 2 4" xfId="1573" xr:uid="{00000000-0005-0000-0000-0000C7400000}"/>
    <cellStyle name="Normal 58 6 2 2 4 2" xfId="3171" xr:uid="{00000000-0005-0000-0000-0000C8400000}"/>
    <cellStyle name="Normal 58 6 2 2 4 2 2" xfId="18084" xr:uid="{00000000-0005-0000-0000-0000C9400000}"/>
    <cellStyle name="Normal 58 6 2 2 4 2 3" xfId="14505" xr:uid="{00000000-0005-0000-0000-0000CA400000}"/>
    <cellStyle name="Normal 58 6 2 2 4 2 4" xfId="9248" xr:uid="{00000000-0005-0000-0000-0000CB400000}"/>
    <cellStyle name="Normal 58 6 2 2 4 3" xfId="10702" xr:uid="{00000000-0005-0000-0000-0000CC400000}"/>
    <cellStyle name="Normal 58 6 2 2 4 3 2" xfId="19529" xr:uid="{00000000-0005-0000-0000-0000CD400000}"/>
    <cellStyle name="Normal 58 6 2 2 4 4" xfId="12148" xr:uid="{00000000-0005-0000-0000-0000CE400000}"/>
    <cellStyle name="Normal 58 6 2 2 4 5" xfId="7143" xr:uid="{00000000-0005-0000-0000-0000CF400000}"/>
    <cellStyle name="Normal 58 6 2 2 5" xfId="2128" xr:uid="{00000000-0005-0000-0000-0000D0400000}"/>
    <cellStyle name="Normal 58 6 2 2 5 2" xfId="17041" xr:uid="{00000000-0005-0000-0000-0000D1400000}"/>
    <cellStyle name="Normal 58 6 2 2 5 3" xfId="13462" xr:uid="{00000000-0005-0000-0000-0000D2400000}"/>
    <cellStyle name="Normal 58 6 2 2 5 4" xfId="8205" xr:uid="{00000000-0005-0000-0000-0000D3400000}"/>
    <cellStyle name="Normal 58 6 2 2 6" xfId="5766" xr:uid="{00000000-0005-0000-0000-0000D4400000}"/>
    <cellStyle name="Normal 58 6 2 2 6 2" xfId="14852" xr:uid="{00000000-0005-0000-0000-0000D5400000}"/>
    <cellStyle name="Normal 58 6 2 2 7" xfId="9659" xr:uid="{00000000-0005-0000-0000-0000D6400000}"/>
    <cellStyle name="Normal 58 6 2 2 7 2" xfId="18486" xr:uid="{00000000-0005-0000-0000-0000D7400000}"/>
    <cellStyle name="Normal 58 6 2 2 8" xfId="11103" xr:uid="{00000000-0005-0000-0000-0000D8400000}"/>
    <cellStyle name="Normal 58 6 2 2 9" xfId="4737" xr:uid="{00000000-0005-0000-0000-0000D9400000}"/>
    <cellStyle name="Normal 58 6 2 2_Degree data" xfId="1769" xr:uid="{00000000-0005-0000-0000-0000DA400000}"/>
    <cellStyle name="Normal 58 6 2 3" xfId="794" xr:uid="{00000000-0005-0000-0000-0000DB400000}"/>
    <cellStyle name="Normal 58 6 2 3 2" xfId="2523" xr:uid="{00000000-0005-0000-0000-0000DC400000}"/>
    <cellStyle name="Normal 58 6 2 3 2 2" xfId="16057" xr:uid="{00000000-0005-0000-0000-0000DD400000}"/>
    <cellStyle name="Normal 58 6 2 3 2 3" xfId="12317" xr:uid="{00000000-0005-0000-0000-0000DE400000}"/>
    <cellStyle name="Normal 58 6 2 3 2 4" xfId="7043" xr:uid="{00000000-0005-0000-0000-0000DF400000}"/>
    <cellStyle name="Normal 58 6 2 3 3" xfId="3790" xr:uid="{00000000-0005-0000-0000-0000E0400000}"/>
    <cellStyle name="Normal 58 6 2 3 3 2" xfId="17436" xr:uid="{00000000-0005-0000-0000-0000E1400000}"/>
    <cellStyle name="Normal 58 6 2 3 3 3" xfId="13857" xr:uid="{00000000-0005-0000-0000-0000E2400000}"/>
    <cellStyle name="Normal 58 6 2 3 3 4" xfId="8600" xr:uid="{00000000-0005-0000-0000-0000E3400000}"/>
    <cellStyle name="Normal 58 6 2 3 4" xfId="6159" xr:uid="{00000000-0005-0000-0000-0000E4400000}"/>
    <cellStyle name="Normal 58 6 2 3 4 2" xfId="15243" xr:uid="{00000000-0005-0000-0000-0000E5400000}"/>
    <cellStyle name="Normal 58 6 2 3 5" xfId="10054" xr:uid="{00000000-0005-0000-0000-0000E6400000}"/>
    <cellStyle name="Normal 58 6 2 3 5 2" xfId="18881" xr:uid="{00000000-0005-0000-0000-0000E7400000}"/>
    <cellStyle name="Normal 58 6 2 3 6" xfId="11499" xr:uid="{00000000-0005-0000-0000-0000E8400000}"/>
    <cellStyle name="Normal 58 6 2 3 7" xfId="4637" xr:uid="{00000000-0005-0000-0000-0000E9400000}"/>
    <cellStyle name="Normal 58 6 2 4" xfId="1151" xr:uid="{00000000-0005-0000-0000-0000EA400000}"/>
    <cellStyle name="Normal 58 6 2 4 2" xfId="2871" xr:uid="{00000000-0005-0000-0000-0000EB400000}"/>
    <cellStyle name="Normal 58 6 2 4 2 2" xfId="16411" xr:uid="{00000000-0005-0000-0000-0000EC400000}"/>
    <cellStyle name="Normal 58 6 2 4 2 3" xfId="12833" xr:uid="{00000000-0005-0000-0000-0000ED400000}"/>
    <cellStyle name="Normal 58 6 2 4 2 4" xfId="7543" xr:uid="{00000000-0005-0000-0000-0000EE400000}"/>
    <cellStyle name="Normal 58 6 2 4 3" xfId="4139" xr:uid="{00000000-0005-0000-0000-0000EF400000}"/>
    <cellStyle name="Normal 58 6 2 4 3 2" xfId="17784" xr:uid="{00000000-0005-0000-0000-0000F0400000}"/>
    <cellStyle name="Normal 58 6 2 4 3 3" xfId="14205" xr:uid="{00000000-0005-0000-0000-0000F1400000}"/>
    <cellStyle name="Normal 58 6 2 4 3 4" xfId="8948" xr:uid="{00000000-0005-0000-0000-0000F2400000}"/>
    <cellStyle name="Normal 58 6 2 4 4" xfId="6659" xr:uid="{00000000-0005-0000-0000-0000F3400000}"/>
    <cellStyle name="Normal 58 6 2 4 4 2" xfId="15743" xr:uid="{00000000-0005-0000-0000-0000F4400000}"/>
    <cellStyle name="Normal 58 6 2 4 5" xfId="10402" xr:uid="{00000000-0005-0000-0000-0000F5400000}"/>
    <cellStyle name="Normal 58 6 2 4 5 2" xfId="19229" xr:uid="{00000000-0005-0000-0000-0000F6400000}"/>
    <cellStyle name="Normal 58 6 2 4 6" xfId="11848" xr:uid="{00000000-0005-0000-0000-0000F7400000}"/>
    <cellStyle name="Normal 58 6 2 4 7" xfId="5137" xr:uid="{00000000-0005-0000-0000-0000F8400000}"/>
    <cellStyle name="Normal 58 6 2 5" xfId="1471" xr:uid="{00000000-0005-0000-0000-0000F9400000}"/>
    <cellStyle name="Normal 58 6 2 5 2" xfId="3071" xr:uid="{00000000-0005-0000-0000-0000FA400000}"/>
    <cellStyle name="Normal 58 6 2 5 2 2" xfId="16620" xr:uid="{00000000-0005-0000-0000-0000FB400000}"/>
    <cellStyle name="Normal 58 6 2 5 2 3" xfId="13041" xr:uid="{00000000-0005-0000-0000-0000FC400000}"/>
    <cellStyle name="Normal 58 6 2 5 2 4" xfId="7752" xr:uid="{00000000-0005-0000-0000-0000FD400000}"/>
    <cellStyle name="Normal 58 6 2 5 3" xfId="4279" xr:uid="{00000000-0005-0000-0000-0000FE400000}"/>
    <cellStyle name="Normal 58 6 2 5 3 2" xfId="17984" xr:uid="{00000000-0005-0000-0000-0000FF400000}"/>
    <cellStyle name="Normal 58 6 2 5 3 3" xfId="14405" xr:uid="{00000000-0005-0000-0000-000000410000}"/>
    <cellStyle name="Normal 58 6 2 5 3 4" xfId="9148" xr:uid="{00000000-0005-0000-0000-000001410000}"/>
    <cellStyle name="Normal 58 6 2 5 4" xfId="5940" xr:uid="{00000000-0005-0000-0000-000002410000}"/>
    <cellStyle name="Normal 58 6 2 5 4 2" xfId="15026" xr:uid="{00000000-0005-0000-0000-000003410000}"/>
    <cellStyle name="Normal 58 6 2 5 5" xfId="10602" xr:uid="{00000000-0005-0000-0000-000004410000}"/>
    <cellStyle name="Normal 58 6 2 5 5 2" xfId="19429" xr:uid="{00000000-0005-0000-0000-000005410000}"/>
    <cellStyle name="Normal 58 6 2 5 6" xfId="12048" xr:uid="{00000000-0005-0000-0000-000006410000}"/>
    <cellStyle name="Normal 58 6 2 5 7" xfId="5346" xr:uid="{00000000-0005-0000-0000-000007410000}"/>
    <cellStyle name="Normal 58 6 2 6" xfId="2028" xr:uid="{00000000-0005-0000-0000-000008410000}"/>
    <cellStyle name="Normal 58 6 2 6 2" xfId="15869" xr:uid="{00000000-0005-0000-0000-000009410000}"/>
    <cellStyle name="Normal 58 6 2 6 3" xfId="12423" xr:uid="{00000000-0005-0000-0000-00000A410000}"/>
    <cellStyle name="Normal 58 6 2 6 4" xfId="6826" xr:uid="{00000000-0005-0000-0000-00000B410000}"/>
    <cellStyle name="Normal 58 6 2 7" xfId="3441" xr:uid="{00000000-0005-0000-0000-00000C410000}"/>
    <cellStyle name="Normal 58 6 2 7 2" xfId="16941" xr:uid="{00000000-0005-0000-0000-00000D410000}"/>
    <cellStyle name="Normal 58 6 2 7 3" xfId="13362" xr:uid="{00000000-0005-0000-0000-00000E410000}"/>
    <cellStyle name="Normal 58 6 2 7 4" xfId="8105" xr:uid="{00000000-0005-0000-0000-00000F410000}"/>
    <cellStyle name="Normal 58 6 2 8" xfId="5666" xr:uid="{00000000-0005-0000-0000-000010410000}"/>
    <cellStyle name="Normal 58 6 2 8 2" xfId="14752" xr:uid="{00000000-0005-0000-0000-000011410000}"/>
    <cellStyle name="Normal 58 6 2 9" xfId="9559" xr:uid="{00000000-0005-0000-0000-000012410000}"/>
    <cellStyle name="Normal 58 6 2 9 2" xfId="18386" xr:uid="{00000000-0005-0000-0000-000013410000}"/>
    <cellStyle name="Normal 58 6 2_Degree data" xfId="1768" xr:uid="{00000000-0005-0000-0000-000014410000}"/>
    <cellStyle name="Normal 58 6 3" xfId="209" xr:uid="{00000000-0005-0000-0000-000015410000}"/>
    <cellStyle name="Normal 58 6 3 10" xfId="10960" xr:uid="{00000000-0005-0000-0000-000016410000}"/>
    <cellStyle name="Normal 58 6 3 11" xfId="4482" xr:uid="{00000000-0005-0000-0000-000017410000}"/>
    <cellStyle name="Normal 58 6 3 2" xfId="423" xr:uid="{00000000-0005-0000-0000-000018410000}"/>
    <cellStyle name="Normal 58 6 3 2 2" xfId="797" xr:uid="{00000000-0005-0000-0000-000019410000}"/>
    <cellStyle name="Normal 58 6 3 2 2 2" xfId="2526" xr:uid="{00000000-0005-0000-0000-00001A410000}"/>
    <cellStyle name="Normal 58 6 3 2 2 2 2" xfId="16414" xr:uid="{00000000-0005-0000-0000-00001B410000}"/>
    <cellStyle name="Normal 58 6 3 2 2 2 3" xfId="12836" xr:uid="{00000000-0005-0000-0000-00001C410000}"/>
    <cellStyle name="Normal 58 6 3 2 2 2 4" xfId="7546" xr:uid="{00000000-0005-0000-0000-00001D410000}"/>
    <cellStyle name="Normal 58 6 3 2 2 3" xfId="3793" xr:uid="{00000000-0005-0000-0000-00001E410000}"/>
    <cellStyle name="Normal 58 6 3 2 2 3 2" xfId="17439" xr:uid="{00000000-0005-0000-0000-00001F410000}"/>
    <cellStyle name="Normal 58 6 3 2 2 3 3" xfId="13860" xr:uid="{00000000-0005-0000-0000-000020410000}"/>
    <cellStyle name="Normal 58 6 3 2 2 3 4" xfId="8603" xr:uid="{00000000-0005-0000-0000-000021410000}"/>
    <cellStyle name="Normal 58 6 3 2 2 4" xfId="6662" xr:uid="{00000000-0005-0000-0000-000022410000}"/>
    <cellStyle name="Normal 58 6 3 2 2 4 2" xfId="15746" xr:uid="{00000000-0005-0000-0000-000023410000}"/>
    <cellStyle name="Normal 58 6 3 2 2 5" xfId="10057" xr:uid="{00000000-0005-0000-0000-000024410000}"/>
    <cellStyle name="Normal 58 6 3 2 2 5 2" xfId="18884" xr:uid="{00000000-0005-0000-0000-000025410000}"/>
    <cellStyle name="Normal 58 6 3 2 2 6" xfId="11502" xr:uid="{00000000-0005-0000-0000-000026410000}"/>
    <cellStyle name="Normal 58 6 3 2 2 7" xfId="5140" xr:uid="{00000000-0005-0000-0000-000027410000}"/>
    <cellStyle name="Normal 58 6 3 2 3" xfId="1154" xr:uid="{00000000-0005-0000-0000-000028410000}"/>
    <cellStyle name="Normal 58 6 3 2 3 2" xfId="2874" xr:uid="{00000000-0005-0000-0000-000029410000}"/>
    <cellStyle name="Normal 58 6 3 2 3 2 2" xfId="16782" xr:uid="{00000000-0005-0000-0000-00002A410000}"/>
    <cellStyle name="Normal 58 6 3 2 3 2 3" xfId="13203" xr:uid="{00000000-0005-0000-0000-00002B410000}"/>
    <cellStyle name="Normal 58 6 3 2 3 2 4" xfId="7914" xr:uid="{00000000-0005-0000-0000-00002C410000}"/>
    <cellStyle name="Normal 58 6 3 2 3 3" xfId="4142" xr:uid="{00000000-0005-0000-0000-00002D410000}"/>
    <cellStyle name="Normal 58 6 3 2 3 3 2" xfId="17787" xr:uid="{00000000-0005-0000-0000-00002E410000}"/>
    <cellStyle name="Normal 58 6 3 2 3 3 3" xfId="14208" xr:uid="{00000000-0005-0000-0000-00002F410000}"/>
    <cellStyle name="Normal 58 6 3 2 3 3 4" xfId="8951" xr:uid="{00000000-0005-0000-0000-000030410000}"/>
    <cellStyle name="Normal 58 6 3 2 3 4" xfId="6321" xr:uid="{00000000-0005-0000-0000-000031410000}"/>
    <cellStyle name="Normal 58 6 3 2 3 4 2" xfId="15405" xr:uid="{00000000-0005-0000-0000-000032410000}"/>
    <cellStyle name="Normal 58 6 3 2 3 5" xfId="10405" xr:uid="{00000000-0005-0000-0000-000033410000}"/>
    <cellStyle name="Normal 58 6 3 2 3 5 2" xfId="19232" xr:uid="{00000000-0005-0000-0000-000034410000}"/>
    <cellStyle name="Normal 58 6 3 2 3 6" xfId="11851" xr:uid="{00000000-0005-0000-0000-000035410000}"/>
    <cellStyle name="Normal 58 6 3 2 3 7" xfId="5508" xr:uid="{00000000-0005-0000-0000-000036410000}"/>
    <cellStyle name="Normal 58 6 3 2 4" xfId="1637" xr:uid="{00000000-0005-0000-0000-000037410000}"/>
    <cellStyle name="Normal 58 6 3 2 4 2" xfId="3233" xr:uid="{00000000-0005-0000-0000-000038410000}"/>
    <cellStyle name="Normal 58 6 3 2 4 2 2" xfId="18146" xr:uid="{00000000-0005-0000-0000-000039410000}"/>
    <cellStyle name="Normal 58 6 3 2 4 2 3" xfId="14567" xr:uid="{00000000-0005-0000-0000-00003A410000}"/>
    <cellStyle name="Normal 58 6 3 2 4 2 4" xfId="9310" xr:uid="{00000000-0005-0000-0000-00003B410000}"/>
    <cellStyle name="Normal 58 6 3 2 4 3" xfId="10764" xr:uid="{00000000-0005-0000-0000-00003C410000}"/>
    <cellStyle name="Normal 58 6 3 2 4 3 2" xfId="19591" xr:uid="{00000000-0005-0000-0000-00003D410000}"/>
    <cellStyle name="Normal 58 6 3 2 4 4" xfId="12210" xr:uid="{00000000-0005-0000-0000-00003E410000}"/>
    <cellStyle name="Normal 58 6 3 2 4 5" xfId="7205" xr:uid="{00000000-0005-0000-0000-00003F410000}"/>
    <cellStyle name="Normal 58 6 3 2 5" xfId="2190" xr:uid="{00000000-0005-0000-0000-000040410000}"/>
    <cellStyle name="Normal 58 6 3 2 5 2" xfId="17103" xr:uid="{00000000-0005-0000-0000-000041410000}"/>
    <cellStyle name="Normal 58 6 3 2 5 3" xfId="13524" xr:uid="{00000000-0005-0000-0000-000042410000}"/>
    <cellStyle name="Normal 58 6 3 2 5 4" xfId="8267" xr:uid="{00000000-0005-0000-0000-000043410000}"/>
    <cellStyle name="Normal 58 6 3 2 6" xfId="5828" xr:uid="{00000000-0005-0000-0000-000044410000}"/>
    <cellStyle name="Normal 58 6 3 2 6 2" xfId="14914" xr:uid="{00000000-0005-0000-0000-000045410000}"/>
    <cellStyle name="Normal 58 6 3 2 7" xfId="9721" xr:uid="{00000000-0005-0000-0000-000046410000}"/>
    <cellStyle name="Normal 58 6 3 2 7 2" xfId="18548" xr:uid="{00000000-0005-0000-0000-000047410000}"/>
    <cellStyle name="Normal 58 6 3 2 8" xfId="11165" xr:uid="{00000000-0005-0000-0000-000048410000}"/>
    <cellStyle name="Normal 58 6 3 2 9" xfId="4799" xr:uid="{00000000-0005-0000-0000-000049410000}"/>
    <cellStyle name="Normal 58 6 3 2_Degree data" xfId="1771" xr:uid="{00000000-0005-0000-0000-00004A410000}"/>
    <cellStyle name="Normal 58 6 3 3" xfId="796" xr:uid="{00000000-0005-0000-0000-00004B410000}"/>
    <cellStyle name="Normal 58 6 3 3 2" xfId="2525" xr:uid="{00000000-0005-0000-0000-00004C410000}"/>
    <cellStyle name="Normal 58 6 3 3 2 2" xfId="16014" xr:uid="{00000000-0005-0000-0000-00004D410000}"/>
    <cellStyle name="Normal 58 6 3 3 2 3" xfId="12390" xr:uid="{00000000-0005-0000-0000-00004E410000}"/>
    <cellStyle name="Normal 58 6 3 3 2 4" xfId="7000" xr:uid="{00000000-0005-0000-0000-00004F410000}"/>
    <cellStyle name="Normal 58 6 3 3 3" xfId="3792" xr:uid="{00000000-0005-0000-0000-000050410000}"/>
    <cellStyle name="Normal 58 6 3 3 3 2" xfId="17438" xr:uid="{00000000-0005-0000-0000-000051410000}"/>
    <cellStyle name="Normal 58 6 3 3 3 3" xfId="13859" xr:uid="{00000000-0005-0000-0000-000052410000}"/>
    <cellStyle name="Normal 58 6 3 3 3 4" xfId="8602" xr:uid="{00000000-0005-0000-0000-000053410000}"/>
    <cellStyle name="Normal 58 6 3 3 4" xfId="6116" xr:uid="{00000000-0005-0000-0000-000054410000}"/>
    <cellStyle name="Normal 58 6 3 3 4 2" xfId="15200" xr:uid="{00000000-0005-0000-0000-000055410000}"/>
    <cellStyle name="Normal 58 6 3 3 5" xfId="10056" xr:uid="{00000000-0005-0000-0000-000056410000}"/>
    <cellStyle name="Normal 58 6 3 3 5 2" xfId="18883" xr:uid="{00000000-0005-0000-0000-000057410000}"/>
    <cellStyle name="Normal 58 6 3 3 6" xfId="11501" xr:uid="{00000000-0005-0000-0000-000058410000}"/>
    <cellStyle name="Normal 58 6 3 3 7" xfId="4594" xr:uid="{00000000-0005-0000-0000-000059410000}"/>
    <cellStyle name="Normal 58 6 3 4" xfId="1153" xr:uid="{00000000-0005-0000-0000-00005A410000}"/>
    <cellStyle name="Normal 58 6 3 4 2" xfId="2873" xr:uid="{00000000-0005-0000-0000-00005B410000}"/>
    <cellStyle name="Normal 58 6 3 4 2 2" xfId="16413" xr:uid="{00000000-0005-0000-0000-00005C410000}"/>
    <cellStyle name="Normal 58 6 3 4 2 3" xfId="12835" xr:uid="{00000000-0005-0000-0000-00005D410000}"/>
    <cellStyle name="Normal 58 6 3 4 2 4" xfId="7545" xr:uid="{00000000-0005-0000-0000-00005E410000}"/>
    <cellStyle name="Normal 58 6 3 4 3" xfId="4141" xr:uid="{00000000-0005-0000-0000-00005F410000}"/>
    <cellStyle name="Normal 58 6 3 4 3 2" xfId="17786" xr:uid="{00000000-0005-0000-0000-000060410000}"/>
    <cellStyle name="Normal 58 6 3 4 3 3" xfId="14207" xr:uid="{00000000-0005-0000-0000-000061410000}"/>
    <cellStyle name="Normal 58 6 3 4 3 4" xfId="8950" xr:uid="{00000000-0005-0000-0000-000062410000}"/>
    <cellStyle name="Normal 58 6 3 4 4" xfId="6661" xr:uid="{00000000-0005-0000-0000-000063410000}"/>
    <cellStyle name="Normal 58 6 3 4 4 2" xfId="15745" xr:uid="{00000000-0005-0000-0000-000064410000}"/>
    <cellStyle name="Normal 58 6 3 4 5" xfId="10404" xr:uid="{00000000-0005-0000-0000-000065410000}"/>
    <cellStyle name="Normal 58 6 3 4 5 2" xfId="19231" xr:uid="{00000000-0005-0000-0000-000066410000}"/>
    <cellStyle name="Normal 58 6 3 4 6" xfId="11850" xr:uid="{00000000-0005-0000-0000-000067410000}"/>
    <cellStyle name="Normal 58 6 3 4 7" xfId="5139" xr:uid="{00000000-0005-0000-0000-000068410000}"/>
    <cellStyle name="Normal 58 6 3 5" xfId="1426" xr:uid="{00000000-0005-0000-0000-000069410000}"/>
    <cellStyle name="Normal 58 6 3 5 2" xfId="3028" xr:uid="{00000000-0005-0000-0000-00006A410000}"/>
    <cellStyle name="Normal 58 6 3 5 2 2" xfId="16577" xr:uid="{00000000-0005-0000-0000-00006B410000}"/>
    <cellStyle name="Normal 58 6 3 5 2 3" xfId="12998" xr:uid="{00000000-0005-0000-0000-00006C410000}"/>
    <cellStyle name="Normal 58 6 3 5 2 4" xfId="7709" xr:uid="{00000000-0005-0000-0000-00006D410000}"/>
    <cellStyle name="Normal 58 6 3 5 3" xfId="4236" xr:uid="{00000000-0005-0000-0000-00006E410000}"/>
    <cellStyle name="Normal 58 6 3 5 3 2" xfId="17941" xr:uid="{00000000-0005-0000-0000-00006F410000}"/>
    <cellStyle name="Normal 58 6 3 5 3 3" xfId="14362" xr:uid="{00000000-0005-0000-0000-000070410000}"/>
    <cellStyle name="Normal 58 6 3 5 3 4" xfId="9105" xr:uid="{00000000-0005-0000-0000-000071410000}"/>
    <cellStyle name="Normal 58 6 3 5 4" xfId="6002" xr:uid="{00000000-0005-0000-0000-000072410000}"/>
    <cellStyle name="Normal 58 6 3 5 4 2" xfId="15088" xr:uid="{00000000-0005-0000-0000-000073410000}"/>
    <cellStyle name="Normal 58 6 3 5 5" xfId="10559" xr:uid="{00000000-0005-0000-0000-000074410000}"/>
    <cellStyle name="Normal 58 6 3 5 5 2" xfId="19386" xr:uid="{00000000-0005-0000-0000-000075410000}"/>
    <cellStyle name="Normal 58 6 3 5 6" xfId="12005" xr:uid="{00000000-0005-0000-0000-000076410000}"/>
    <cellStyle name="Normal 58 6 3 5 7" xfId="5303" xr:uid="{00000000-0005-0000-0000-000077410000}"/>
    <cellStyle name="Normal 58 6 3 6" xfId="1985" xr:uid="{00000000-0005-0000-0000-000078410000}"/>
    <cellStyle name="Normal 58 6 3 6 2" xfId="15931" xr:uid="{00000000-0005-0000-0000-000079410000}"/>
    <cellStyle name="Normal 58 6 3 6 3" xfId="12410" xr:uid="{00000000-0005-0000-0000-00007A410000}"/>
    <cellStyle name="Normal 58 6 3 6 4" xfId="6888" xr:uid="{00000000-0005-0000-0000-00007B410000}"/>
    <cellStyle name="Normal 58 6 3 7" xfId="3399" xr:uid="{00000000-0005-0000-0000-00007C410000}"/>
    <cellStyle name="Normal 58 6 3 7 2" xfId="16898" xr:uid="{00000000-0005-0000-0000-00007D410000}"/>
    <cellStyle name="Normal 58 6 3 7 3" xfId="13319" xr:uid="{00000000-0005-0000-0000-00007E410000}"/>
    <cellStyle name="Normal 58 6 3 7 4" xfId="8062" xr:uid="{00000000-0005-0000-0000-00007F410000}"/>
    <cellStyle name="Normal 58 6 3 8" xfId="5623" xr:uid="{00000000-0005-0000-0000-000080410000}"/>
    <cellStyle name="Normal 58 6 3 8 2" xfId="14709" xr:uid="{00000000-0005-0000-0000-000081410000}"/>
    <cellStyle name="Normal 58 6 3 9" xfId="9516" xr:uid="{00000000-0005-0000-0000-000082410000}"/>
    <cellStyle name="Normal 58 6 3 9 2" xfId="18343" xr:uid="{00000000-0005-0000-0000-000083410000}"/>
    <cellStyle name="Normal 58 6 3_Degree data" xfId="1770" xr:uid="{00000000-0005-0000-0000-000084410000}"/>
    <cellStyle name="Normal 58 6 4" xfId="317" xr:uid="{00000000-0005-0000-0000-000085410000}"/>
    <cellStyle name="Normal 58 6 4 2" xfId="798" xr:uid="{00000000-0005-0000-0000-000086410000}"/>
    <cellStyle name="Normal 58 6 4 2 2" xfId="2527" xr:uid="{00000000-0005-0000-0000-000087410000}"/>
    <cellStyle name="Normal 58 6 4 2 2 2" xfId="16415" xr:uid="{00000000-0005-0000-0000-000088410000}"/>
    <cellStyle name="Normal 58 6 4 2 2 3" xfId="12837" xr:uid="{00000000-0005-0000-0000-000089410000}"/>
    <cellStyle name="Normal 58 6 4 2 2 4" xfId="7547" xr:uid="{00000000-0005-0000-0000-00008A410000}"/>
    <cellStyle name="Normal 58 6 4 2 3" xfId="3794" xr:uid="{00000000-0005-0000-0000-00008B410000}"/>
    <cellStyle name="Normal 58 6 4 2 3 2" xfId="17440" xr:uid="{00000000-0005-0000-0000-00008C410000}"/>
    <cellStyle name="Normal 58 6 4 2 3 3" xfId="13861" xr:uid="{00000000-0005-0000-0000-00008D410000}"/>
    <cellStyle name="Normal 58 6 4 2 3 4" xfId="8604" xr:uid="{00000000-0005-0000-0000-00008E410000}"/>
    <cellStyle name="Normal 58 6 4 2 4" xfId="6663" xr:uid="{00000000-0005-0000-0000-00008F410000}"/>
    <cellStyle name="Normal 58 6 4 2 4 2" xfId="15747" xr:uid="{00000000-0005-0000-0000-000090410000}"/>
    <cellStyle name="Normal 58 6 4 2 5" xfId="10058" xr:uid="{00000000-0005-0000-0000-000091410000}"/>
    <cellStyle name="Normal 58 6 4 2 5 2" xfId="18885" xr:uid="{00000000-0005-0000-0000-000092410000}"/>
    <cellStyle name="Normal 58 6 4 2 6" xfId="11503" xr:uid="{00000000-0005-0000-0000-000093410000}"/>
    <cellStyle name="Normal 58 6 4 2 7" xfId="5141" xr:uid="{00000000-0005-0000-0000-000094410000}"/>
    <cellStyle name="Normal 58 6 4 3" xfId="1155" xr:uid="{00000000-0005-0000-0000-000095410000}"/>
    <cellStyle name="Normal 58 6 4 3 2" xfId="2875" xr:uid="{00000000-0005-0000-0000-000096410000}"/>
    <cellStyle name="Normal 58 6 4 3 2 2" xfId="16677" xr:uid="{00000000-0005-0000-0000-000097410000}"/>
    <cellStyle name="Normal 58 6 4 3 2 3" xfId="13098" xr:uid="{00000000-0005-0000-0000-000098410000}"/>
    <cellStyle name="Normal 58 6 4 3 2 4" xfId="7809" xr:uid="{00000000-0005-0000-0000-000099410000}"/>
    <cellStyle name="Normal 58 6 4 3 3" xfId="4143" xr:uid="{00000000-0005-0000-0000-00009A410000}"/>
    <cellStyle name="Normal 58 6 4 3 3 2" xfId="17788" xr:uid="{00000000-0005-0000-0000-00009B410000}"/>
    <cellStyle name="Normal 58 6 4 3 3 3" xfId="14209" xr:uid="{00000000-0005-0000-0000-00009C410000}"/>
    <cellStyle name="Normal 58 6 4 3 3 4" xfId="8952" xr:uid="{00000000-0005-0000-0000-00009D410000}"/>
    <cellStyle name="Normal 58 6 4 3 4" xfId="6216" xr:uid="{00000000-0005-0000-0000-00009E410000}"/>
    <cellStyle name="Normal 58 6 4 3 4 2" xfId="15300" xr:uid="{00000000-0005-0000-0000-00009F410000}"/>
    <cellStyle name="Normal 58 6 4 3 5" xfId="10406" xr:uid="{00000000-0005-0000-0000-0000A0410000}"/>
    <cellStyle name="Normal 58 6 4 3 5 2" xfId="19233" xr:uid="{00000000-0005-0000-0000-0000A1410000}"/>
    <cellStyle name="Normal 58 6 4 3 6" xfId="11852" xr:uid="{00000000-0005-0000-0000-0000A2410000}"/>
    <cellStyle name="Normal 58 6 4 3 7" xfId="5403" xr:uid="{00000000-0005-0000-0000-0000A3410000}"/>
    <cellStyle name="Normal 58 6 4 4" xfId="1529" xr:uid="{00000000-0005-0000-0000-0000A4410000}"/>
    <cellStyle name="Normal 58 6 4 4 2" xfId="3128" xr:uid="{00000000-0005-0000-0000-0000A5410000}"/>
    <cellStyle name="Normal 58 6 4 4 2 2" xfId="18041" xr:uid="{00000000-0005-0000-0000-0000A6410000}"/>
    <cellStyle name="Normal 58 6 4 4 2 3" xfId="14462" xr:uid="{00000000-0005-0000-0000-0000A7410000}"/>
    <cellStyle name="Normal 58 6 4 4 2 4" xfId="9205" xr:uid="{00000000-0005-0000-0000-0000A8410000}"/>
    <cellStyle name="Normal 58 6 4 4 3" xfId="10659" xr:uid="{00000000-0005-0000-0000-0000A9410000}"/>
    <cellStyle name="Normal 58 6 4 4 3 2" xfId="19486" xr:uid="{00000000-0005-0000-0000-0000AA410000}"/>
    <cellStyle name="Normal 58 6 4 4 4" xfId="12105" xr:uid="{00000000-0005-0000-0000-0000AB410000}"/>
    <cellStyle name="Normal 58 6 4 4 5" xfId="7100" xr:uid="{00000000-0005-0000-0000-0000AC410000}"/>
    <cellStyle name="Normal 58 6 4 5" xfId="2085" xr:uid="{00000000-0005-0000-0000-0000AD410000}"/>
    <cellStyle name="Normal 58 6 4 5 2" xfId="16998" xr:uid="{00000000-0005-0000-0000-0000AE410000}"/>
    <cellStyle name="Normal 58 6 4 5 3" xfId="13419" xr:uid="{00000000-0005-0000-0000-0000AF410000}"/>
    <cellStyle name="Normal 58 6 4 5 4" xfId="8162" xr:uid="{00000000-0005-0000-0000-0000B0410000}"/>
    <cellStyle name="Normal 58 6 4 6" xfId="5723" xr:uid="{00000000-0005-0000-0000-0000B1410000}"/>
    <cellStyle name="Normal 58 6 4 6 2" xfId="14809" xr:uid="{00000000-0005-0000-0000-0000B2410000}"/>
    <cellStyle name="Normal 58 6 4 7" xfId="9616" xr:uid="{00000000-0005-0000-0000-0000B3410000}"/>
    <cellStyle name="Normal 58 6 4 7 2" xfId="18443" xr:uid="{00000000-0005-0000-0000-0000B4410000}"/>
    <cellStyle name="Normal 58 6 4 8" xfId="11060" xr:uid="{00000000-0005-0000-0000-0000B5410000}"/>
    <cellStyle name="Normal 58 6 4 9" xfId="4694" xr:uid="{00000000-0005-0000-0000-0000B6410000}"/>
    <cellStyle name="Normal 58 6 4_Degree data" xfId="1772" xr:uid="{00000000-0005-0000-0000-0000B7410000}"/>
    <cellStyle name="Normal 58 6 5" xfId="793" xr:uid="{00000000-0005-0000-0000-0000B8410000}"/>
    <cellStyle name="Normal 58 6 5 2" xfId="2522" xr:uid="{00000000-0005-0000-0000-0000B9410000}"/>
    <cellStyle name="Normal 58 6 5 2 2" xfId="15971" xr:uid="{00000000-0005-0000-0000-0000BA410000}"/>
    <cellStyle name="Normal 58 6 5 2 3" xfId="12490" xr:uid="{00000000-0005-0000-0000-0000BB410000}"/>
    <cellStyle name="Normal 58 6 5 2 4" xfId="6941" xr:uid="{00000000-0005-0000-0000-0000BC410000}"/>
    <cellStyle name="Normal 58 6 5 3" xfId="3789" xr:uid="{00000000-0005-0000-0000-0000BD410000}"/>
    <cellStyle name="Normal 58 6 5 3 2" xfId="17435" xr:uid="{00000000-0005-0000-0000-0000BE410000}"/>
    <cellStyle name="Normal 58 6 5 3 3" xfId="13856" xr:uid="{00000000-0005-0000-0000-0000BF410000}"/>
    <cellStyle name="Normal 58 6 5 3 4" xfId="8599" xr:uid="{00000000-0005-0000-0000-0000C0410000}"/>
    <cellStyle name="Normal 58 6 5 4" xfId="6057" xr:uid="{00000000-0005-0000-0000-0000C1410000}"/>
    <cellStyle name="Normal 58 6 5 4 2" xfId="15141" xr:uid="{00000000-0005-0000-0000-0000C2410000}"/>
    <cellStyle name="Normal 58 6 5 5" xfId="10053" xr:uid="{00000000-0005-0000-0000-0000C3410000}"/>
    <cellStyle name="Normal 58 6 5 5 2" xfId="18880" xr:uid="{00000000-0005-0000-0000-0000C4410000}"/>
    <cellStyle name="Normal 58 6 5 6" xfId="11498" xr:uid="{00000000-0005-0000-0000-0000C5410000}"/>
    <cellStyle name="Normal 58 6 5 7" xfId="4535" xr:uid="{00000000-0005-0000-0000-0000C6410000}"/>
    <cellStyle name="Normal 58 6 6" xfId="1150" xr:uid="{00000000-0005-0000-0000-0000C7410000}"/>
    <cellStyle name="Normal 58 6 6 2" xfId="2870" xr:uid="{00000000-0005-0000-0000-0000C8410000}"/>
    <cellStyle name="Normal 58 6 6 2 2" xfId="16410" xr:uid="{00000000-0005-0000-0000-0000C9410000}"/>
    <cellStyle name="Normal 58 6 6 2 3" xfId="12832" xr:uid="{00000000-0005-0000-0000-0000CA410000}"/>
    <cellStyle name="Normal 58 6 6 2 4" xfId="7542" xr:uid="{00000000-0005-0000-0000-0000CB410000}"/>
    <cellStyle name="Normal 58 6 6 3" xfId="4138" xr:uid="{00000000-0005-0000-0000-0000CC410000}"/>
    <cellStyle name="Normal 58 6 6 3 2" xfId="17783" xr:uid="{00000000-0005-0000-0000-0000CD410000}"/>
    <cellStyle name="Normal 58 6 6 3 3" xfId="14204" xr:uid="{00000000-0005-0000-0000-0000CE410000}"/>
    <cellStyle name="Normal 58 6 6 3 4" xfId="8947" xr:uid="{00000000-0005-0000-0000-0000CF410000}"/>
    <cellStyle name="Normal 58 6 6 4" xfId="6658" xr:uid="{00000000-0005-0000-0000-0000D0410000}"/>
    <cellStyle name="Normal 58 6 6 4 2" xfId="15742" xr:uid="{00000000-0005-0000-0000-0000D1410000}"/>
    <cellStyle name="Normal 58 6 6 5" xfId="10401" xr:uid="{00000000-0005-0000-0000-0000D2410000}"/>
    <cellStyle name="Normal 58 6 6 5 2" xfId="19228" xr:uid="{00000000-0005-0000-0000-0000D3410000}"/>
    <cellStyle name="Normal 58 6 6 6" xfId="11847" xr:uid="{00000000-0005-0000-0000-0000D4410000}"/>
    <cellStyle name="Normal 58 6 6 7" xfId="5136" xr:uid="{00000000-0005-0000-0000-0000D5410000}"/>
    <cellStyle name="Normal 58 6 7" xfId="1358" xr:uid="{00000000-0005-0000-0000-0000D6410000}"/>
    <cellStyle name="Normal 58 6 7 2" xfId="2969" xr:uid="{00000000-0005-0000-0000-0000D7410000}"/>
    <cellStyle name="Normal 58 6 7 2 2" xfId="16518" xr:uid="{00000000-0005-0000-0000-0000D8410000}"/>
    <cellStyle name="Normal 58 6 7 2 3" xfId="12940" xr:uid="{00000000-0005-0000-0000-0000D9410000}"/>
    <cellStyle name="Normal 58 6 7 2 4" xfId="7650" xr:uid="{00000000-0005-0000-0000-0000DA410000}"/>
    <cellStyle name="Normal 58 6 7 3" xfId="4194" xr:uid="{00000000-0005-0000-0000-0000DB410000}"/>
    <cellStyle name="Normal 58 6 7 3 2" xfId="17882" xr:uid="{00000000-0005-0000-0000-0000DC410000}"/>
    <cellStyle name="Normal 58 6 7 3 3" xfId="14303" xr:uid="{00000000-0005-0000-0000-0000DD410000}"/>
    <cellStyle name="Normal 58 6 7 3 4" xfId="9046" xr:uid="{00000000-0005-0000-0000-0000DE410000}"/>
    <cellStyle name="Normal 58 6 7 4" xfId="5896" xr:uid="{00000000-0005-0000-0000-0000DF410000}"/>
    <cellStyle name="Normal 58 6 7 4 2" xfId="14982" xr:uid="{00000000-0005-0000-0000-0000E0410000}"/>
    <cellStyle name="Normal 58 6 7 5" xfId="10500" xr:uid="{00000000-0005-0000-0000-0000E1410000}"/>
    <cellStyle name="Normal 58 6 7 5 2" xfId="19327" xr:uid="{00000000-0005-0000-0000-0000E2410000}"/>
    <cellStyle name="Normal 58 6 7 6" xfId="11946" xr:uid="{00000000-0005-0000-0000-0000E3410000}"/>
    <cellStyle name="Normal 58 6 7 7" xfId="5244" xr:uid="{00000000-0005-0000-0000-0000E4410000}"/>
    <cellStyle name="Normal 58 6 8" xfId="1926" xr:uid="{00000000-0005-0000-0000-0000E5410000}"/>
    <cellStyle name="Normal 58 6 8 2" xfId="9457" xr:uid="{00000000-0005-0000-0000-0000E6410000}"/>
    <cellStyle name="Normal 58 6 8 2 2" xfId="18284" xr:uid="{00000000-0005-0000-0000-0000E7410000}"/>
    <cellStyle name="Normal 58 6 8 3" xfId="10901" xr:uid="{00000000-0005-0000-0000-0000E8410000}"/>
    <cellStyle name="Normal 58 6 8 4" xfId="6783" xr:uid="{00000000-0005-0000-0000-0000E9410000}"/>
    <cellStyle name="Normal 58 6 9" xfId="1850" xr:uid="{00000000-0005-0000-0000-0000EA410000}"/>
    <cellStyle name="Normal 58 6 9 2" xfId="16837" xr:uid="{00000000-0005-0000-0000-0000EB410000}"/>
    <cellStyle name="Normal 58 6 9 3" xfId="13258" xr:uid="{00000000-0005-0000-0000-0000EC410000}"/>
    <cellStyle name="Normal 58 6 9 4" xfId="8001" xr:uid="{00000000-0005-0000-0000-0000ED410000}"/>
    <cellStyle name="Normal 58 6_Degree data" xfId="1767" xr:uid="{00000000-0005-0000-0000-0000EE410000}"/>
    <cellStyle name="Normal 58 7" xfId="235" xr:uid="{00000000-0005-0000-0000-0000EF410000}"/>
    <cellStyle name="Normal 58 7 10" xfId="10986" xr:uid="{00000000-0005-0000-0000-0000F0410000}"/>
    <cellStyle name="Normal 58 7 11" xfId="4403" xr:uid="{00000000-0005-0000-0000-0000F1410000}"/>
    <cellStyle name="Normal 58 7 2" xfId="343" xr:uid="{00000000-0005-0000-0000-0000F2410000}"/>
    <cellStyle name="Normal 58 7 2 2" xfId="800" xr:uid="{00000000-0005-0000-0000-0000F3410000}"/>
    <cellStyle name="Normal 58 7 2 2 2" xfId="2529" xr:uid="{00000000-0005-0000-0000-0000F4410000}"/>
    <cellStyle name="Normal 58 7 2 2 2 2" xfId="16417" xr:uid="{00000000-0005-0000-0000-0000F5410000}"/>
    <cellStyle name="Normal 58 7 2 2 2 3" xfId="12839" xr:uid="{00000000-0005-0000-0000-0000F6410000}"/>
    <cellStyle name="Normal 58 7 2 2 2 4" xfId="7549" xr:uid="{00000000-0005-0000-0000-0000F7410000}"/>
    <cellStyle name="Normal 58 7 2 2 3" xfId="3796" xr:uid="{00000000-0005-0000-0000-0000F8410000}"/>
    <cellStyle name="Normal 58 7 2 2 3 2" xfId="17442" xr:uid="{00000000-0005-0000-0000-0000F9410000}"/>
    <cellStyle name="Normal 58 7 2 2 3 3" xfId="13863" xr:uid="{00000000-0005-0000-0000-0000FA410000}"/>
    <cellStyle name="Normal 58 7 2 2 3 4" xfId="8606" xr:uid="{00000000-0005-0000-0000-0000FB410000}"/>
    <cellStyle name="Normal 58 7 2 2 4" xfId="6665" xr:uid="{00000000-0005-0000-0000-0000FC410000}"/>
    <cellStyle name="Normal 58 7 2 2 4 2" xfId="15749" xr:uid="{00000000-0005-0000-0000-0000FD410000}"/>
    <cellStyle name="Normal 58 7 2 2 5" xfId="10060" xr:uid="{00000000-0005-0000-0000-0000FE410000}"/>
    <cellStyle name="Normal 58 7 2 2 5 2" xfId="18887" xr:uid="{00000000-0005-0000-0000-0000FF410000}"/>
    <cellStyle name="Normal 58 7 2 2 6" xfId="11505" xr:uid="{00000000-0005-0000-0000-000000420000}"/>
    <cellStyle name="Normal 58 7 2 2 7" xfId="5143" xr:uid="{00000000-0005-0000-0000-000001420000}"/>
    <cellStyle name="Normal 58 7 2 3" xfId="1157" xr:uid="{00000000-0005-0000-0000-000002420000}"/>
    <cellStyle name="Normal 58 7 2 3 2" xfId="2877" xr:uid="{00000000-0005-0000-0000-000003420000}"/>
    <cellStyle name="Normal 58 7 2 3 2 2" xfId="16703" xr:uid="{00000000-0005-0000-0000-000004420000}"/>
    <cellStyle name="Normal 58 7 2 3 2 3" xfId="13124" xr:uid="{00000000-0005-0000-0000-000005420000}"/>
    <cellStyle name="Normal 58 7 2 3 2 4" xfId="7835" xr:uid="{00000000-0005-0000-0000-000006420000}"/>
    <cellStyle name="Normal 58 7 2 3 3" xfId="4145" xr:uid="{00000000-0005-0000-0000-000007420000}"/>
    <cellStyle name="Normal 58 7 2 3 3 2" xfId="17790" xr:uid="{00000000-0005-0000-0000-000008420000}"/>
    <cellStyle name="Normal 58 7 2 3 3 3" xfId="14211" xr:uid="{00000000-0005-0000-0000-000009420000}"/>
    <cellStyle name="Normal 58 7 2 3 3 4" xfId="8954" xr:uid="{00000000-0005-0000-0000-00000A420000}"/>
    <cellStyle name="Normal 58 7 2 3 4" xfId="6242" xr:uid="{00000000-0005-0000-0000-00000B420000}"/>
    <cellStyle name="Normal 58 7 2 3 4 2" xfId="15326" xr:uid="{00000000-0005-0000-0000-00000C420000}"/>
    <cellStyle name="Normal 58 7 2 3 5" xfId="10408" xr:uid="{00000000-0005-0000-0000-00000D420000}"/>
    <cellStyle name="Normal 58 7 2 3 5 2" xfId="19235" xr:uid="{00000000-0005-0000-0000-00000E420000}"/>
    <cellStyle name="Normal 58 7 2 3 6" xfId="11854" xr:uid="{00000000-0005-0000-0000-00000F420000}"/>
    <cellStyle name="Normal 58 7 2 3 7" xfId="5429" xr:uid="{00000000-0005-0000-0000-000010420000}"/>
    <cellStyle name="Normal 58 7 2 4" xfId="1556" xr:uid="{00000000-0005-0000-0000-000011420000}"/>
    <cellStyle name="Normal 58 7 2 4 2" xfId="3154" xr:uid="{00000000-0005-0000-0000-000012420000}"/>
    <cellStyle name="Normal 58 7 2 4 2 2" xfId="18067" xr:uid="{00000000-0005-0000-0000-000013420000}"/>
    <cellStyle name="Normal 58 7 2 4 2 3" xfId="14488" xr:uid="{00000000-0005-0000-0000-000014420000}"/>
    <cellStyle name="Normal 58 7 2 4 2 4" xfId="9231" xr:uid="{00000000-0005-0000-0000-000015420000}"/>
    <cellStyle name="Normal 58 7 2 4 3" xfId="10685" xr:uid="{00000000-0005-0000-0000-000016420000}"/>
    <cellStyle name="Normal 58 7 2 4 3 2" xfId="19512" xr:uid="{00000000-0005-0000-0000-000017420000}"/>
    <cellStyle name="Normal 58 7 2 4 4" xfId="12131" xr:uid="{00000000-0005-0000-0000-000018420000}"/>
    <cellStyle name="Normal 58 7 2 4 5" xfId="7126" xr:uid="{00000000-0005-0000-0000-000019420000}"/>
    <cellStyle name="Normal 58 7 2 5" xfId="2111" xr:uid="{00000000-0005-0000-0000-00001A420000}"/>
    <cellStyle name="Normal 58 7 2 5 2" xfId="17024" xr:uid="{00000000-0005-0000-0000-00001B420000}"/>
    <cellStyle name="Normal 58 7 2 5 3" xfId="13445" xr:uid="{00000000-0005-0000-0000-00001C420000}"/>
    <cellStyle name="Normal 58 7 2 5 4" xfId="8188" xr:uid="{00000000-0005-0000-0000-00001D420000}"/>
    <cellStyle name="Normal 58 7 2 6" xfId="5749" xr:uid="{00000000-0005-0000-0000-00001E420000}"/>
    <cellStyle name="Normal 58 7 2 6 2" xfId="14835" xr:uid="{00000000-0005-0000-0000-00001F420000}"/>
    <cellStyle name="Normal 58 7 2 7" xfId="9642" xr:uid="{00000000-0005-0000-0000-000020420000}"/>
    <cellStyle name="Normal 58 7 2 7 2" xfId="18469" xr:uid="{00000000-0005-0000-0000-000021420000}"/>
    <cellStyle name="Normal 58 7 2 8" xfId="11086" xr:uid="{00000000-0005-0000-0000-000022420000}"/>
    <cellStyle name="Normal 58 7 2 9" xfId="4720" xr:uid="{00000000-0005-0000-0000-000023420000}"/>
    <cellStyle name="Normal 58 7 2_Degree data" xfId="1774" xr:uid="{00000000-0005-0000-0000-000024420000}"/>
    <cellStyle name="Normal 58 7 3" xfId="799" xr:uid="{00000000-0005-0000-0000-000025420000}"/>
    <cellStyle name="Normal 58 7 3 2" xfId="2528" xr:uid="{00000000-0005-0000-0000-000026420000}"/>
    <cellStyle name="Normal 58 7 3 2 2" xfId="16040" xr:uid="{00000000-0005-0000-0000-000027420000}"/>
    <cellStyle name="Normal 58 7 3 2 3" xfId="12266" xr:uid="{00000000-0005-0000-0000-000028420000}"/>
    <cellStyle name="Normal 58 7 3 2 4" xfId="7026" xr:uid="{00000000-0005-0000-0000-000029420000}"/>
    <cellStyle name="Normal 58 7 3 3" xfId="3795" xr:uid="{00000000-0005-0000-0000-00002A420000}"/>
    <cellStyle name="Normal 58 7 3 3 2" xfId="17441" xr:uid="{00000000-0005-0000-0000-00002B420000}"/>
    <cellStyle name="Normal 58 7 3 3 3" xfId="13862" xr:uid="{00000000-0005-0000-0000-00002C420000}"/>
    <cellStyle name="Normal 58 7 3 3 4" xfId="8605" xr:uid="{00000000-0005-0000-0000-00002D420000}"/>
    <cellStyle name="Normal 58 7 3 4" xfId="6142" xr:uid="{00000000-0005-0000-0000-00002E420000}"/>
    <cellStyle name="Normal 58 7 3 4 2" xfId="15226" xr:uid="{00000000-0005-0000-0000-00002F420000}"/>
    <cellStyle name="Normal 58 7 3 5" xfId="10059" xr:uid="{00000000-0005-0000-0000-000030420000}"/>
    <cellStyle name="Normal 58 7 3 5 2" xfId="18886" xr:uid="{00000000-0005-0000-0000-000031420000}"/>
    <cellStyle name="Normal 58 7 3 6" xfId="11504" xr:uid="{00000000-0005-0000-0000-000032420000}"/>
    <cellStyle name="Normal 58 7 3 7" xfId="4620" xr:uid="{00000000-0005-0000-0000-000033420000}"/>
    <cellStyle name="Normal 58 7 4" xfId="1156" xr:uid="{00000000-0005-0000-0000-000034420000}"/>
    <cellStyle name="Normal 58 7 4 2" xfId="2876" xr:uid="{00000000-0005-0000-0000-000035420000}"/>
    <cellStyle name="Normal 58 7 4 2 2" xfId="16416" xr:uid="{00000000-0005-0000-0000-000036420000}"/>
    <cellStyle name="Normal 58 7 4 2 3" xfId="12838" xr:uid="{00000000-0005-0000-0000-000037420000}"/>
    <cellStyle name="Normal 58 7 4 2 4" xfId="7548" xr:uid="{00000000-0005-0000-0000-000038420000}"/>
    <cellStyle name="Normal 58 7 4 3" xfId="4144" xr:uid="{00000000-0005-0000-0000-000039420000}"/>
    <cellStyle name="Normal 58 7 4 3 2" xfId="17789" xr:uid="{00000000-0005-0000-0000-00003A420000}"/>
    <cellStyle name="Normal 58 7 4 3 3" xfId="14210" xr:uid="{00000000-0005-0000-0000-00003B420000}"/>
    <cellStyle name="Normal 58 7 4 3 4" xfId="8953" xr:uid="{00000000-0005-0000-0000-00003C420000}"/>
    <cellStyle name="Normal 58 7 4 4" xfId="6664" xr:uid="{00000000-0005-0000-0000-00003D420000}"/>
    <cellStyle name="Normal 58 7 4 4 2" xfId="15748" xr:uid="{00000000-0005-0000-0000-00003E420000}"/>
    <cellStyle name="Normal 58 7 4 5" xfId="10407" xr:uid="{00000000-0005-0000-0000-00003F420000}"/>
    <cellStyle name="Normal 58 7 4 5 2" xfId="19234" xr:uid="{00000000-0005-0000-0000-000040420000}"/>
    <cellStyle name="Normal 58 7 4 6" xfId="11853" xr:uid="{00000000-0005-0000-0000-000041420000}"/>
    <cellStyle name="Normal 58 7 4 7" xfId="5142" xr:uid="{00000000-0005-0000-0000-000042420000}"/>
    <cellStyle name="Normal 58 7 5" xfId="1454" xr:uid="{00000000-0005-0000-0000-000043420000}"/>
    <cellStyle name="Normal 58 7 5 2" xfId="3054" xr:uid="{00000000-0005-0000-0000-000044420000}"/>
    <cellStyle name="Normal 58 7 5 2 2" xfId="16603" xr:uid="{00000000-0005-0000-0000-000045420000}"/>
    <cellStyle name="Normal 58 7 5 2 3" xfId="13024" xr:uid="{00000000-0005-0000-0000-000046420000}"/>
    <cellStyle name="Normal 58 7 5 2 4" xfId="7735" xr:uid="{00000000-0005-0000-0000-000047420000}"/>
    <cellStyle name="Normal 58 7 5 3" xfId="4262" xr:uid="{00000000-0005-0000-0000-000048420000}"/>
    <cellStyle name="Normal 58 7 5 3 2" xfId="17967" xr:uid="{00000000-0005-0000-0000-000049420000}"/>
    <cellStyle name="Normal 58 7 5 3 3" xfId="14388" xr:uid="{00000000-0005-0000-0000-00004A420000}"/>
    <cellStyle name="Normal 58 7 5 3 4" xfId="9131" xr:uid="{00000000-0005-0000-0000-00004B420000}"/>
    <cellStyle name="Normal 58 7 5 4" xfId="5923" xr:uid="{00000000-0005-0000-0000-00004C420000}"/>
    <cellStyle name="Normal 58 7 5 4 2" xfId="15009" xr:uid="{00000000-0005-0000-0000-00004D420000}"/>
    <cellStyle name="Normal 58 7 5 5" xfId="10585" xr:uid="{00000000-0005-0000-0000-00004E420000}"/>
    <cellStyle name="Normal 58 7 5 5 2" xfId="19412" xr:uid="{00000000-0005-0000-0000-00004F420000}"/>
    <cellStyle name="Normal 58 7 5 6" xfId="12031" xr:uid="{00000000-0005-0000-0000-000050420000}"/>
    <cellStyle name="Normal 58 7 5 7" xfId="5329" xr:uid="{00000000-0005-0000-0000-000051420000}"/>
    <cellStyle name="Normal 58 7 6" xfId="2011" xr:uid="{00000000-0005-0000-0000-000052420000}"/>
    <cellStyle name="Normal 58 7 6 2" xfId="15852" xr:uid="{00000000-0005-0000-0000-000053420000}"/>
    <cellStyle name="Normal 58 7 6 3" xfId="12489" xr:uid="{00000000-0005-0000-0000-000054420000}"/>
    <cellStyle name="Normal 58 7 6 4" xfId="6809" xr:uid="{00000000-0005-0000-0000-000055420000}"/>
    <cellStyle name="Normal 58 7 7" xfId="3424" xr:uid="{00000000-0005-0000-0000-000056420000}"/>
    <cellStyle name="Normal 58 7 7 2" xfId="16924" xr:uid="{00000000-0005-0000-0000-000057420000}"/>
    <cellStyle name="Normal 58 7 7 3" xfId="13345" xr:uid="{00000000-0005-0000-0000-000058420000}"/>
    <cellStyle name="Normal 58 7 7 4" xfId="8088" xr:uid="{00000000-0005-0000-0000-000059420000}"/>
    <cellStyle name="Normal 58 7 8" xfId="5649" xr:uid="{00000000-0005-0000-0000-00005A420000}"/>
    <cellStyle name="Normal 58 7 8 2" xfId="14735" xr:uid="{00000000-0005-0000-0000-00005B420000}"/>
    <cellStyle name="Normal 58 7 9" xfId="9542" xr:uid="{00000000-0005-0000-0000-00005C420000}"/>
    <cellStyle name="Normal 58 7 9 2" xfId="18369" xr:uid="{00000000-0005-0000-0000-00005D420000}"/>
    <cellStyle name="Normal 58 7_Degree data" xfId="1773" xr:uid="{00000000-0005-0000-0000-00005E420000}"/>
    <cellStyle name="Normal 58 8" xfId="175" xr:uid="{00000000-0005-0000-0000-00005F420000}"/>
    <cellStyle name="Normal 58 8 10" xfId="10929" xr:uid="{00000000-0005-0000-0000-000060420000}"/>
    <cellStyle name="Normal 58 8 11" xfId="4451" xr:uid="{00000000-0005-0000-0000-000061420000}"/>
    <cellStyle name="Normal 58 8 2" xfId="392" xr:uid="{00000000-0005-0000-0000-000062420000}"/>
    <cellStyle name="Normal 58 8 2 2" xfId="802" xr:uid="{00000000-0005-0000-0000-000063420000}"/>
    <cellStyle name="Normal 58 8 2 2 2" xfId="2531" xr:uid="{00000000-0005-0000-0000-000064420000}"/>
    <cellStyle name="Normal 58 8 2 2 2 2" xfId="16419" xr:uid="{00000000-0005-0000-0000-000065420000}"/>
    <cellStyle name="Normal 58 8 2 2 2 3" xfId="12841" xr:uid="{00000000-0005-0000-0000-000066420000}"/>
    <cellStyle name="Normal 58 8 2 2 2 4" xfId="7551" xr:uid="{00000000-0005-0000-0000-000067420000}"/>
    <cellStyle name="Normal 58 8 2 2 3" xfId="3798" xr:uid="{00000000-0005-0000-0000-000068420000}"/>
    <cellStyle name="Normal 58 8 2 2 3 2" xfId="17444" xr:uid="{00000000-0005-0000-0000-000069420000}"/>
    <cellStyle name="Normal 58 8 2 2 3 3" xfId="13865" xr:uid="{00000000-0005-0000-0000-00006A420000}"/>
    <cellStyle name="Normal 58 8 2 2 3 4" xfId="8608" xr:uid="{00000000-0005-0000-0000-00006B420000}"/>
    <cellStyle name="Normal 58 8 2 2 4" xfId="6667" xr:uid="{00000000-0005-0000-0000-00006C420000}"/>
    <cellStyle name="Normal 58 8 2 2 4 2" xfId="15751" xr:uid="{00000000-0005-0000-0000-00006D420000}"/>
    <cellStyle name="Normal 58 8 2 2 5" xfId="10062" xr:uid="{00000000-0005-0000-0000-00006E420000}"/>
    <cellStyle name="Normal 58 8 2 2 5 2" xfId="18889" xr:uid="{00000000-0005-0000-0000-00006F420000}"/>
    <cellStyle name="Normal 58 8 2 2 6" xfId="11507" xr:uid="{00000000-0005-0000-0000-000070420000}"/>
    <cellStyle name="Normal 58 8 2 2 7" xfId="5145" xr:uid="{00000000-0005-0000-0000-000071420000}"/>
    <cellStyle name="Normal 58 8 2 3" xfId="1159" xr:uid="{00000000-0005-0000-0000-000072420000}"/>
    <cellStyle name="Normal 58 8 2 3 2" xfId="2879" xr:uid="{00000000-0005-0000-0000-000073420000}"/>
    <cellStyle name="Normal 58 8 2 3 2 2" xfId="16751" xr:uid="{00000000-0005-0000-0000-000074420000}"/>
    <cellStyle name="Normal 58 8 2 3 2 3" xfId="13172" xr:uid="{00000000-0005-0000-0000-000075420000}"/>
    <cellStyle name="Normal 58 8 2 3 2 4" xfId="7883" xr:uid="{00000000-0005-0000-0000-000076420000}"/>
    <cellStyle name="Normal 58 8 2 3 3" xfId="4147" xr:uid="{00000000-0005-0000-0000-000077420000}"/>
    <cellStyle name="Normal 58 8 2 3 3 2" xfId="17792" xr:uid="{00000000-0005-0000-0000-000078420000}"/>
    <cellStyle name="Normal 58 8 2 3 3 3" xfId="14213" xr:uid="{00000000-0005-0000-0000-000079420000}"/>
    <cellStyle name="Normal 58 8 2 3 3 4" xfId="8956" xr:uid="{00000000-0005-0000-0000-00007A420000}"/>
    <cellStyle name="Normal 58 8 2 3 4" xfId="6290" xr:uid="{00000000-0005-0000-0000-00007B420000}"/>
    <cellStyle name="Normal 58 8 2 3 4 2" xfId="15374" xr:uid="{00000000-0005-0000-0000-00007C420000}"/>
    <cellStyle name="Normal 58 8 2 3 5" xfId="10410" xr:uid="{00000000-0005-0000-0000-00007D420000}"/>
    <cellStyle name="Normal 58 8 2 3 5 2" xfId="19237" xr:uid="{00000000-0005-0000-0000-00007E420000}"/>
    <cellStyle name="Normal 58 8 2 3 6" xfId="11856" xr:uid="{00000000-0005-0000-0000-00007F420000}"/>
    <cellStyle name="Normal 58 8 2 3 7" xfId="5477" xr:uid="{00000000-0005-0000-0000-000080420000}"/>
    <cellStyle name="Normal 58 8 2 4" xfId="1606" xr:uid="{00000000-0005-0000-0000-000081420000}"/>
    <cellStyle name="Normal 58 8 2 4 2" xfId="3202" xr:uid="{00000000-0005-0000-0000-000082420000}"/>
    <cellStyle name="Normal 58 8 2 4 2 2" xfId="18115" xr:uid="{00000000-0005-0000-0000-000083420000}"/>
    <cellStyle name="Normal 58 8 2 4 2 3" xfId="14536" xr:uid="{00000000-0005-0000-0000-000084420000}"/>
    <cellStyle name="Normal 58 8 2 4 2 4" xfId="9279" xr:uid="{00000000-0005-0000-0000-000085420000}"/>
    <cellStyle name="Normal 58 8 2 4 3" xfId="10733" xr:uid="{00000000-0005-0000-0000-000086420000}"/>
    <cellStyle name="Normal 58 8 2 4 3 2" xfId="19560" xr:uid="{00000000-0005-0000-0000-000087420000}"/>
    <cellStyle name="Normal 58 8 2 4 4" xfId="12179" xr:uid="{00000000-0005-0000-0000-000088420000}"/>
    <cellStyle name="Normal 58 8 2 4 5" xfId="7174" xr:uid="{00000000-0005-0000-0000-000089420000}"/>
    <cellStyle name="Normal 58 8 2 5" xfId="2159" xr:uid="{00000000-0005-0000-0000-00008A420000}"/>
    <cellStyle name="Normal 58 8 2 5 2" xfId="17072" xr:uid="{00000000-0005-0000-0000-00008B420000}"/>
    <cellStyle name="Normal 58 8 2 5 3" xfId="13493" xr:uid="{00000000-0005-0000-0000-00008C420000}"/>
    <cellStyle name="Normal 58 8 2 5 4" xfId="8236" xr:uid="{00000000-0005-0000-0000-00008D420000}"/>
    <cellStyle name="Normal 58 8 2 6" xfId="5797" xr:uid="{00000000-0005-0000-0000-00008E420000}"/>
    <cellStyle name="Normal 58 8 2 6 2" xfId="14883" xr:uid="{00000000-0005-0000-0000-00008F420000}"/>
    <cellStyle name="Normal 58 8 2 7" xfId="9690" xr:uid="{00000000-0005-0000-0000-000090420000}"/>
    <cellStyle name="Normal 58 8 2 7 2" xfId="18517" xr:uid="{00000000-0005-0000-0000-000091420000}"/>
    <cellStyle name="Normal 58 8 2 8" xfId="11134" xr:uid="{00000000-0005-0000-0000-000092420000}"/>
    <cellStyle name="Normal 58 8 2 9" xfId="4768" xr:uid="{00000000-0005-0000-0000-000093420000}"/>
    <cellStyle name="Normal 58 8 2_Degree data" xfId="1776" xr:uid="{00000000-0005-0000-0000-000094420000}"/>
    <cellStyle name="Normal 58 8 3" xfId="801" xr:uid="{00000000-0005-0000-0000-000095420000}"/>
    <cellStyle name="Normal 58 8 3 2" xfId="2530" xr:uid="{00000000-0005-0000-0000-000096420000}"/>
    <cellStyle name="Normal 58 8 3 2 2" xfId="15983" xr:uid="{00000000-0005-0000-0000-000097420000}"/>
    <cellStyle name="Normal 58 8 3 2 3" xfId="12495" xr:uid="{00000000-0005-0000-0000-000098420000}"/>
    <cellStyle name="Normal 58 8 3 2 4" xfId="6969" xr:uid="{00000000-0005-0000-0000-000099420000}"/>
    <cellStyle name="Normal 58 8 3 3" xfId="3797" xr:uid="{00000000-0005-0000-0000-00009A420000}"/>
    <cellStyle name="Normal 58 8 3 3 2" xfId="17443" xr:uid="{00000000-0005-0000-0000-00009B420000}"/>
    <cellStyle name="Normal 58 8 3 3 3" xfId="13864" xr:uid="{00000000-0005-0000-0000-00009C420000}"/>
    <cellStyle name="Normal 58 8 3 3 4" xfId="8607" xr:uid="{00000000-0005-0000-0000-00009D420000}"/>
    <cellStyle name="Normal 58 8 3 4" xfId="6085" xr:uid="{00000000-0005-0000-0000-00009E420000}"/>
    <cellStyle name="Normal 58 8 3 4 2" xfId="15169" xr:uid="{00000000-0005-0000-0000-00009F420000}"/>
    <cellStyle name="Normal 58 8 3 5" xfId="10061" xr:uid="{00000000-0005-0000-0000-0000A0420000}"/>
    <cellStyle name="Normal 58 8 3 5 2" xfId="18888" xr:uid="{00000000-0005-0000-0000-0000A1420000}"/>
    <cellStyle name="Normal 58 8 3 6" xfId="11506" xr:uid="{00000000-0005-0000-0000-0000A2420000}"/>
    <cellStyle name="Normal 58 8 3 7" xfId="4563" xr:uid="{00000000-0005-0000-0000-0000A3420000}"/>
    <cellStyle name="Normal 58 8 4" xfId="1158" xr:uid="{00000000-0005-0000-0000-0000A4420000}"/>
    <cellStyle name="Normal 58 8 4 2" xfId="2878" xr:uid="{00000000-0005-0000-0000-0000A5420000}"/>
    <cellStyle name="Normal 58 8 4 2 2" xfId="16418" xr:uid="{00000000-0005-0000-0000-0000A6420000}"/>
    <cellStyle name="Normal 58 8 4 2 3" xfId="12840" xr:uid="{00000000-0005-0000-0000-0000A7420000}"/>
    <cellStyle name="Normal 58 8 4 2 4" xfId="7550" xr:uid="{00000000-0005-0000-0000-0000A8420000}"/>
    <cellStyle name="Normal 58 8 4 3" xfId="4146" xr:uid="{00000000-0005-0000-0000-0000A9420000}"/>
    <cellStyle name="Normal 58 8 4 3 2" xfId="17791" xr:uid="{00000000-0005-0000-0000-0000AA420000}"/>
    <cellStyle name="Normal 58 8 4 3 3" xfId="14212" xr:uid="{00000000-0005-0000-0000-0000AB420000}"/>
    <cellStyle name="Normal 58 8 4 3 4" xfId="8955" xr:uid="{00000000-0005-0000-0000-0000AC420000}"/>
    <cellStyle name="Normal 58 8 4 4" xfId="6666" xr:uid="{00000000-0005-0000-0000-0000AD420000}"/>
    <cellStyle name="Normal 58 8 4 4 2" xfId="15750" xr:uid="{00000000-0005-0000-0000-0000AE420000}"/>
    <cellStyle name="Normal 58 8 4 5" xfId="10409" xr:uid="{00000000-0005-0000-0000-0000AF420000}"/>
    <cellStyle name="Normal 58 8 4 5 2" xfId="19236" xr:uid="{00000000-0005-0000-0000-0000B0420000}"/>
    <cellStyle name="Normal 58 8 4 6" xfId="11855" xr:uid="{00000000-0005-0000-0000-0000B1420000}"/>
    <cellStyle name="Normal 58 8 4 7" xfId="5144" xr:uid="{00000000-0005-0000-0000-0000B2420000}"/>
    <cellStyle name="Normal 58 8 5" xfId="1392" xr:uid="{00000000-0005-0000-0000-0000B3420000}"/>
    <cellStyle name="Normal 58 8 5 2" xfId="2997" xr:uid="{00000000-0005-0000-0000-0000B4420000}"/>
    <cellStyle name="Normal 58 8 5 2 2" xfId="16546" xr:uid="{00000000-0005-0000-0000-0000B5420000}"/>
    <cellStyle name="Normal 58 8 5 2 3" xfId="12967" xr:uid="{00000000-0005-0000-0000-0000B6420000}"/>
    <cellStyle name="Normal 58 8 5 2 4" xfId="7678" xr:uid="{00000000-0005-0000-0000-0000B7420000}"/>
    <cellStyle name="Normal 58 8 5 3" xfId="4205" xr:uid="{00000000-0005-0000-0000-0000B8420000}"/>
    <cellStyle name="Normal 58 8 5 3 2" xfId="17910" xr:uid="{00000000-0005-0000-0000-0000B9420000}"/>
    <cellStyle name="Normal 58 8 5 3 3" xfId="14331" xr:uid="{00000000-0005-0000-0000-0000BA420000}"/>
    <cellStyle name="Normal 58 8 5 3 4" xfId="9074" xr:uid="{00000000-0005-0000-0000-0000BB420000}"/>
    <cellStyle name="Normal 58 8 5 4" xfId="5971" xr:uid="{00000000-0005-0000-0000-0000BC420000}"/>
    <cellStyle name="Normal 58 8 5 4 2" xfId="15057" xr:uid="{00000000-0005-0000-0000-0000BD420000}"/>
    <cellStyle name="Normal 58 8 5 5" xfId="10528" xr:uid="{00000000-0005-0000-0000-0000BE420000}"/>
    <cellStyle name="Normal 58 8 5 5 2" xfId="19355" xr:uid="{00000000-0005-0000-0000-0000BF420000}"/>
    <cellStyle name="Normal 58 8 5 6" xfId="11974" xr:uid="{00000000-0005-0000-0000-0000C0420000}"/>
    <cellStyle name="Normal 58 8 5 7" xfId="5272" xr:uid="{00000000-0005-0000-0000-0000C1420000}"/>
    <cellStyle name="Normal 58 8 6" xfId="1954" xr:uid="{00000000-0005-0000-0000-0000C2420000}"/>
    <cellStyle name="Normal 58 8 6 2" xfId="15900" xr:uid="{00000000-0005-0000-0000-0000C3420000}"/>
    <cellStyle name="Normal 58 8 6 3" xfId="12418" xr:uid="{00000000-0005-0000-0000-0000C4420000}"/>
    <cellStyle name="Normal 58 8 6 4" xfId="6857" xr:uid="{00000000-0005-0000-0000-0000C5420000}"/>
    <cellStyle name="Normal 58 8 7" xfId="3368" xr:uid="{00000000-0005-0000-0000-0000C6420000}"/>
    <cellStyle name="Normal 58 8 7 2" xfId="16867" xr:uid="{00000000-0005-0000-0000-0000C7420000}"/>
    <cellStyle name="Normal 58 8 7 3" xfId="13288" xr:uid="{00000000-0005-0000-0000-0000C8420000}"/>
    <cellStyle name="Normal 58 8 7 4" xfId="8031" xr:uid="{00000000-0005-0000-0000-0000C9420000}"/>
    <cellStyle name="Normal 58 8 8" xfId="5592" xr:uid="{00000000-0005-0000-0000-0000CA420000}"/>
    <cellStyle name="Normal 58 8 8 2" xfId="14678" xr:uid="{00000000-0005-0000-0000-0000CB420000}"/>
    <cellStyle name="Normal 58 8 9" xfId="9485" xr:uid="{00000000-0005-0000-0000-0000CC420000}"/>
    <cellStyle name="Normal 58 8 9 2" xfId="18312" xr:uid="{00000000-0005-0000-0000-0000CD420000}"/>
    <cellStyle name="Normal 58 8_Degree data" xfId="1775" xr:uid="{00000000-0005-0000-0000-0000CE420000}"/>
    <cellStyle name="Normal 58 9" xfId="448" xr:uid="{00000000-0005-0000-0000-0000CF420000}"/>
    <cellStyle name="Normal 58 9 10" xfId="4507" xr:uid="{00000000-0005-0000-0000-0000D0420000}"/>
    <cellStyle name="Normal 58 9 2" xfId="803" xr:uid="{00000000-0005-0000-0000-0000D1420000}"/>
    <cellStyle name="Normal 58 9 2 2" xfId="2532" xr:uid="{00000000-0005-0000-0000-0000D2420000}"/>
    <cellStyle name="Normal 58 9 2 2 2" xfId="16099" xr:uid="{00000000-0005-0000-0000-0000D3420000}"/>
    <cellStyle name="Normal 58 9 2 2 3" xfId="12521" xr:uid="{00000000-0005-0000-0000-0000D4420000}"/>
    <cellStyle name="Normal 58 9 2 2 4" xfId="7230" xr:uid="{00000000-0005-0000-0000-0000D5420000}"/>
    <cellStyle name="Normal 58 9 2 3" xfId="3799" xr:uid="{00000000-0005-0000-0000-0000D6420000}"/>
    <cellStyle name="Normal 58 9 2 3 2" xfId="17445" xr:uid="{00000000-0005-0000-0000-0000D7420000}"/>
    <cellStyle name="Normal 58 9 2 3 3" xfId="13866" xr:uid="{00000000-0005-0000-0000-0000D8420000}"/>
    <cellStyle name="Normal 58 9 2 3 4" xfId="8609" xr:uid="{00000000-0005-0000-0000-0000D9420000}"/>
    <cellStyle name="Normal 58 9 2 4" xfId="6346" xr:uid="{00000000-0005-0000-0000-0000DA420000}"/>
    <cellStyle name="Normal 58 9 2 4 2" xfId="15430" xr:uid="{00000000-0005-0000-0000-0000DB420000}"/>
    <cellStyle name="Normal 58 9 2 5" xfId="10063" xr:uid="{00000000-0005-0000-0000-0000DC420000}"/>
    <cellStyle name="Normal 58 9 2 5 2" xfId="18890" xr:uid="{00000000-0005-0000-0000-0000DD420000}"/>
    <cellStyle name="Normal 58 9 2 6" xfId="11508" xr:uid="{00000000-0005-0000-0000-0000DE420000}"/>
    <cellStyle name="Normal 58 9 2 7" xfId="4824" xr:uid="{00000000-0005-0000-0000-0000DF420000}"/>
    <cellStyle name="Normal 58 9 3" xfId="1160" xr:uid="{00000000-0005-0000-0000-0000E0420000}"/>
    <cellStyle name="Normal 58 9 3 2" xfId="2880" xr:uid="{00000000-0005-0000-0000-0000E1420000}"/>
    <cellStyle name="Normal 58 9 3 2 2" xfId="16420" xr:uid="{00000000-0005-0000-0000-0000E2420000}"/>
    <cellStyle name="Normal 58 9 3 2 3" xfId="12842" xr:uid="{00000000-0005-0000-0000-0000E3420000}"/>
    <cellStyle name="Normal 58 9 3 2 4" xfId="7552" xr:uid="{00000000-0005-0000-0000-0000E4420000}"/>
    <cellStyle name="Normal 58 9 3 3" xfId="4148" xr:uid="{00000000-0005-0000-0000-0000E5420000}"/>
    <cellStyle name="Normal 58 9 3 3 2" xfId="17793" xr:uid="{00000000-0005-0000-0000-0000E6420000}"/>
    <cellStyle name="Normal 58 9 3 3 3" xfId="14214" xr:uid="{00000000-0005-0000-0000-0000E7420000}"/>
    <cellStyle name="Normal 58 9 3 3 4" xfId="8957" xr:uid="{00000000-0005-0000-0000-0000E8420000}"/>
    <cellStyle name="Normal 58 9 3 4" xfId="6668" xr:uid="{00000000-0005-0000-0000-0000E9420000}"/>
    <cellStyle name="Normal 58 9 3 4 2" xfId="15752" xr:uid="{00000000-0005-0000-0000-0000EA420000}"/>
    <cellStyle name="Normal 58 9 3 5" xfId="10411" xr:uid="{00000000-0005-0000-0000-0000EB420000}"/>
    <cellStyle name="Normal 58 9 3 5 2" xfId="19238" xr:uid="{00000000-0005-0000-0000-0000EC420000}"/>
    <cellStyle name="Normal 58 9 3 6" xfId="11857" xr:uid="{00000000-0005-0000-0000-0000ED420000}"/>
    <cellStyle name="Normal 58 9 3 7" xfId="5146" xr:uid="{00000000-0005-0000-0000-0000EE420000}"/>
    <cellStyle name="Normal 58 9 4" xfId="1662" xr:uid="{00000000-0005-0000-0000-0000EF420000}"/>
    <cellStyle name="Normal 58 9 4 2" xfId="3258" xr:uid="{00000000-0005-0000-0000-0000F0420000}"/>
    <cellStyle name="Normal 58 9 4 2 2" xfId="16807" xr:uid="{00000000-0005-0000-0000-0000F1420000}"/>
    <cellStyle name="Normal 58 9 4 2 3" xfId="13228" xr:uid="{00000000-0005-0000-0000-0000F2420000}"/>
    <cellStyle name="Normal 58 9 4 2 4" xfId="7939" xr:uid="{00000000-0005-0000-0000-0000F3420000}"/>
    <cellStyle name="Normal 58 9 4 3" xfId="4321" xr:uid="{00000000-0005-0000-0000-0000F4420000}"/>
    <cellStyle name="Normal 58 9 4 3 2" xfId="18171" xr:uid="{00000000-0005-0000-0000-0000F5420000}"/>
    <cellStyle name="Normal 58 9 4 3 3" xfId="14592" xr:uid="{00000000-0005-0000-0000-0000F6420000}"/>
    <cellStyle name="Normal 58 9 4 3 4" xfId="9335" xr:uid="{00000000-0005-0000-0000-0000F7420000}"/>
    <cellStyle name="Normal 58 9 4 4" xfId="6027" xr:uid="{00000000-0005-0000-0000-0000F8420000}"/>
    <cellStyle name="Normal 58 9 4 4 2" xfId="15113" xr:uid="{00000000-0005-0000-0000-0000F9420000}"/>
    <cellStyle name="Normal 58 9 4 5" xfId="10789" xr:uid="{00000000-0005-0000-0000-0000FA420000}"/>
    <cellStyle name="Normal 58 9 4 5 2" xfId="19616" xr:uid="{00000000-0005-0000-0000-0000FB420000}"/>
    <cellStyle name="Normal 58 9 4 6" xfId="12235" xr:uid="{00000000-0005-0000-0000-0000FC420000}"/>
    <cellStyle name="Normal 58 9 4 7" xfId="5533" xr:uid="{00000000-0005-0000-0000-0000FD420000}"/>
    <cellStyle name="Normal 58 9 5" xfId="2215" xr:uid="{00000000-0005-0000-0000-0000FE420000}"/>
    <cellStyle name="Normal 58 9 5 2" xfId="15956" xr:uid="{00000000-0005-0000-0000-0000FF420000}"/>
    <cellStyle name="Normal 58 9 5 3" xfId="12260" xr:uid="{00000000-0005-0000-0000-000000430000}"/>
    <cellStyle name="Normal 58 9 5 4" xfId="6913" xr:uid="{00000000-0005-0000-0000-000001430000}"/>
    <cellStyle name="Normal 58 9 6" xfId="3483" xr:uid="{00000000-0005-0000-0000-000002430000}"/>
    <cellStyle name="Normal 58 9 6 2" xfId="17128" xr:uid="{00000000-0005-0000-0000-000003430000}"/>
    <cellStyle name="Normal 58 9 6 3" xfId="13549" xr:uid="{00000000-0005-0000-0000-000004430000}"/>
    <cellStyle name="Normal 58 9 6 4" xfId="8292" xr:uid="{00000000-0005-0000-0000-000005430000}"/>
    <cellStyle name="Normal 58 9 7" xfId="5853" xr:uid="{00000000-0005-0000-0000-000006430000}"/>
    <cellStyle name="Normal 58 9 7 2" xfId="14939" xr:uid="{00000000-0005-0000-0000-000007430000}"/>
    <cellStyle name="Normal 58 9 8" xfId="9746" xr:uid="{00000000-0005-0000-0000-000008430000}"/>
    <cellStyle name="Normal 58 9 8 2" xfId="18573" xr:uid="{00000000-0005-0000-0000-000009430000}"/>
    <cellStyle name="Normal 58 9 9" xfId="11190" xr:uid="{00000000-0005-0000-0000-00000A430000}"/>
    <cellStyle name="Normal 58 9_Degree data" xfId="1777" xr:uid="{00000000-0005-0000-0000-00000B430000}"/>
    <cellStyle name="Normal 58_Degree data" xfId="1735" xr:uid="{00000000-0005-0000-0000-00000C430000}"/>
    <cellStyle name="Normal 59" xfId="32" xr:uid="{00000000-0005-0000-0000-00000D430000}"/>
    <cellStyle name="Normal 6" xfId="17" xr:uid="{00000000-0005-0000-0000-00000E430000}"/>
    <cellStyle name="Normal 6 2 2" xfId="31" xr:uid="{00000000-0005-0000-0000-00000F430000}"/>
    <cellStyle name="Normal 6_sreb progression tab 2 redo" xfId="24" xr:uid="{00000000-0005-0000-0000-000010430000}"/>
    <cellStyle name="Normal 60" xfId="43" xr:uid="{00000000-0005-0000-0000-000011430000}"/>
    <cellStyle name="Normal 60 2" xfId="173" xr:uid="{00000000-0005-0000-0000-000012430000}"/>
    <cellStyle name="Normal 60 2 2" xfId="804" xr:uid="{00000000-0005-0000-0000-000013430000}"/>
    <cellStyle name="Normal 60 3" xfId="455" xr:uid="{00000000-0005-0000-0000-000014430000}"/>
    <cellStyle name="Normal 60_Degree data" xfId="1778" xr:uid="{00000000-0005-0000-0000-000015430000}"/>
    <cellStyle name="Normal 61" xfId="159" xr:uid="{00000000-0005-0000-0000-000016430000}"/>
    <cellStyle name="Normal 61 2" xfId="172" xr:uid="{00000000-0005-0000-0000-000017430000}"/>
    <cellStyle name="Normal 61 2 2" xfId="805" xr:uid="{00000000-0005-0000-0000-000018430000}"/>
    <cellStyle name="Normal 61 3" xfId="460" xr:uid="{00000000-0005-0000-0000-000019430000}"/>
    <cellStyle name="Normal 61_Degree data" xfId="1779" xr:uid="{00000000-0005-0000-0000-00001A430000}"/>
    <cellStyle name="Normal 62" xfId="133" xr:uid="{00000000-0005-0000-0000-00001B430000}"/>
    <cellStyle name="Normal 62 2" xfId="169" xr:uid="{00000000-0005-0000-0000-00001C430000}"/>
    <cellStyle name="Normal 62 2 2" xfId="806" xr:uid="{00000000-0005-0000-0000-00001D430000}"/>
    <cellStyle name="Normal 62 3" xfId="459" xr:uid="{00000000-0005-0000-0000-00001E430000}"/>
    <cellStyle name="Normal 62_Degree data" xfId="1780" xr:uid="{00000000-0005-0000-0000-00001F430000}"/>
    <cellStyle name="Normal 63" xfId="148" xr:uid="{00000000-0005-0000-0000-000020430000}"/>
    <cellStyle name="Normal 63 10" xfId="5575" xr:uid="{00000000-0005-0000-0000-000021430000}"/>
    <cellStyle name="Normal 63 10 2" xfId="14661" xr:uid="{00000000-0005-0000-0000-000022430000}"/>
    <cellStyle name="Normal 63 11" xfId="9468" xr:uid="{00000000-0005-0000-0000-000023430000}"/>
    <cellStyle name="Normal 63 11 2" xfId="18295" xr:uid="{00000000-0005-0000-0000-000024430000}"/>
    <cellStyle name="Normal 63 12" xfId="10912" xr:uid="{00000000-0005-0000-0000-000025430000}"/>
    <cellStyle name="Normal 63 13" xfId="4365" xr:uid="{00000000-0005-0000-0000-000026430000}"/>
    <cellStyle name="Normal 63 2" xfId="194" xr:uid="{00000000-0005-0000-0000-000027430000}"/>
    <cellStyle name="Normal 63 2 10" xfId="10948" xr:uid="{00000000-0005-0000-0000-000028430000}"/>
    <cellStyle name="Normal 63 2 11" xfId="4470" xr:uid="{00000000-0005-0000-0000-000029430000}"/>
    <cellStyle name="Normal 63 2 2" xfId="411" xr:uid="{00000000-0005-0000-0000-00002A430000}"/>
    <cellStyle name="Normal 63 2 2 2" xfId="809" xr:uid="{00000000-0005-0000-0000-00002B430000}"/>
    <cellStyle name="Normal 63 2 2 2 2" xfId="2535" xr:uid="{00000000-0005-0000-0000-00002C430000}"/>
    <cellStyle name="Normal 63 2 2 2 2 2" xfId="16423" xr:uid="{00000000-0005-0000-0000-00002D430000}"/>
    <cellStyle name="Normal 63 2 2 2 2 3" xfId="12845" xr:uid="{00000000-0005-0000-0000-00002E430000}"/>
    <cellStyle name="Normal 63 2 2 2 2 4" xfId="7555" xr:uid="{00000000-0005-0000-0000-00002F430000}"/>
    <cellStyle name="Normal 63 2 2 2 3" xfId="3802" xr:uid="{00000000-0005-0000-0000-000030430000}"/>
    <cellStyle name="Normal 63 2 2 2 3 2" xfId="17448" xr:uid="{00000000-0005-0000-0000-000031430000}"/>
    <cellStyle name="Normal 63 2 2 2 3 3" xfId="13869" xr:uid="{00000000-0005-0000-0000-000032430000}"/>
    <cellStyle name="Normal 63 2 2 2 3 4" xfId="8612" xr:uid="{00000000-0005-0000-0000-000033430000}"/>
    <cellStyle name="Normal 63 2 2 2 4" xfId="6671" xr:uid="{00000000-0005-0000-0000-000034430000}"/>
    <cellStyle name="Normal 63 2 2 2 4 2" xfId="15755" xr:uid="{00000000-0005-0000-0000-000035430000}"/>
    <cellStyle name="Normal 63 2 2 2 5" xfId="10066" xr:uid="{00000000-0005-0000-0000-000036430000}"/>
    <cellStyle name="Normal 63 2 2 2 5 2" xfId="18893" xr:uid="{00000000-0005-0000-0000-000037430000}"/>
    <cellStyle name="Normal 63 2 2 2 6" xfId="11512" xr:uid="{00000000-0005-0000-0000-000038430000}"/>
    <cellStyle name="Normal 63 2 2 2 7" xfId="5149" xr:uid="{00000000-0005-0000-0000-000039430000}"/>
    <cellStyle name="Normal 63 2 2 3" xfId="1163" xr:uid="{00000000-0005-0000-0000-00003A430000}"/>
    <cellStyle name="Normal 63 2 2 3 2" xfId="2883" xr:uid="{00000000-0005-0000-0000-00003B430000}"/>
    <cellStyle name="Normal 63 2 2 3 2 2" xfId="16770" xr:uid="{00000000-0005-0000-0000-00003C430000}"/>
    <cellStyle name="Normal 63 2 2 3 2 3" xfId="13191" xr:uid="{00000000-0005-0000-0000-00003D430000}"/>
    <cellStyle name="Normal 63 2 2 3 2 4" xfId="7902" xr:uid="{00000000-0005-0000-0000-00003E430000}"/>
    <cellStyle name="Normal 63 2 2 3 3" xfId="4151" xr:uid="{00000000-0005-0000-0000-00003F430000}"/>
    <cellStyle name="Normal 63 2 2 3 3 2" xfId="17796" xr:uid="{00000000-0005-0000-0000-000040430000}"/>
    <cellStyle name="Normal 63 2 2 3 3 3" xfId="14217" xr:uid="{00000000-0005-0000-0000-000041430000}"/>
    <cellStyle name="Normal 63 2 2 3 3 4" xfId="8960" xr:uid="{00000000-0005-0000-0000-000042430000}"/>
    <cellStyle name="Normal 63 2 2 3 4" xfId="6309" xr:uid="{00000000-0005-0000-0000-000043430000}"/>
    <cellStyle name="Normal 63 2 2 3 4 2" xfId="15393" xr:uid="{00000000-0005-0000-0000-000044430000}"/>
    <cellStyle name="Normal 63 2 2 3 5" xfId="10414" xr:uid="{00000000-0005-0000-0000-000045430000}"/>
    <cellStyle name="Normal 63 2 2 3 5 2" xfId="19241" xr:uid="{00000000-0005-0000-0000-000046430000}"/>
    <cellStyle name="Normal 63 2 2 3 6" xfId="11860" xr:uid="{00000000-0005-0000-0000-000047430000}"/>
    <cellStyle name="Normal 63 2 2 3 7" xfId="5496" xr:uid="{00000000-0005-0000-0000-000048430000}"/>
    <cellStyle name="Normal 63 2 2 4" xfId="1625" xr:uid="{00000000-0005-0000-0000-000049430000}"/>
    <cellStyle name="Normal 63 2 2 4 2" xfId="3221" xr:uid="{00000000-0005-0000-0000-00004A430000}"/>
    <cellStyle name="Normal 63 2 2 4 2 2" xfId="18134" xr:uid="{00000000-0005-0000-0000-00004B430000}"/>
    <cellStyle name="Normal 63 2 2 4 2 3" xfId="14555" xr:uid="{00000000-0005-0000-0000-00004C430000}"/>
    <cellStyle name="Normal 63 2 2 4 2 4" xfId="9298" xr:uid="{00000000-0005-0000-0000-00004D430000}"/>
    <cellStyle name="Normal 63 2 2 4 3" xfId="10752" xr:uid="{00000000-0005-0000-0000-00004E430000}"/>
    <cellStyle name="Normal 63 2 2 4 3 2" xfId="19579" xr:uid="{00000000-0005-0000-0000-00004F430000}"/>
    <cellStyle name="Normal 63 2 2 4 4" xfId="12198" xr:uid="{00000000-0005-0000-0000-000050430000}"/>
    <cellStyle name="Normal 63 2 2 4 5" xfId="7193" xr:uid="{00000000-0005-0000-0000-000051430000}"/>
    <cellStyle name="Normal 63 2 2 5" xfId="2178" xr:uid="{00000000-0005-0000-0000-000052430000}"/>
    <cellStyle name="Normal 63 2 2 5 2" xfId="17091" xr:uid="{00000000-0005-0000-0000-000053430000}"/>
    <cellStyle name="Normal 63 2 2 5 3" xfId="13512" xr:uid="{00000000-0005-0000-0000-000054430000}"/>
    <cellStyle name="Normal 63 2 2 5 4" xfId="8255" xr:uid="{00000000-0005-0000-0000-000055430000}"/>
    <cellStyle name="Normal 63 2 2 6" xfId="5816" xr:uid="{00000000-0005-0000-0000-000056430000}"/>
    <cellStyle name="Normal 63 2 2 6 2" xfId="14902" xr:uid="{00000000-0005-0000-0000-000057430000}"/>
    <cellStyle name="Normal 63 2 2 7" xfId="9709" xr:uid="{00000000-0005-0000-0000-000058430000}"/>
    <cellStyle name="Normal 63 2 2 7 2" xfId="18536" xr:uid="{00000000-0005-0000-0000-000059430000}"/>
    <cellStyle name="Normal 63 2 2 8" xfId="11153" xr:uid="{00000000-0005-0000-0000-00005A430000}"/>
    <cellStyle name="Normal 63 2 2 9" xfId="4787" xr:uid="{00000000-0005-0000-0000-00005B430000}"/>
    <cellStyle name="Normal 63 2 2_Degree data" xfId="1783" xr:uid="{00000000-0005-0000-0000-00005C430000}"/>
    <cellStyle name="Normal 63 2 3" xfId="808" xr:uid="{00000000-0005-0000-0000-00005D430000}"/>
    <cellStyle name="Normal 63 2 3 2" xfId="2534" xr:uid="{00000000-0005-0000-0000-00005E430000}"/>
    <cellStyle name="Normal 63 2 3 2 2" xfId="16002" xr:uid="{00000000-0005-0000-0000-00005F430000}"/>
    <cellStyle name="Normal 63 2 3 2 3" xfId="12445" xr:uid="{00000000-0005-0000-0000-000060430000}"/>
    <cellStyle name="Normal 63 2 3 2 4" xfId="6988" xr:uid="{00000000-0005-0000-0000-000061430000}"/>
    <cellStyle name="Normal 63 2 3 3" xfId="3801" xr:uid="{00000000-0005-0000-0000-000062430000}"/>
    <cellStyle name="Normal 63 2 3 3 2" xfId="17447" xr:uid="{00000000-0005-0000-0000-000063430000}"/>
    <cellStyle name="Normal 63 2 3 3 3" xfId="13868" xr:uid="{00000000-0005-0000-0000-000064430000}"/>
    <cellStyle name="Normal 63 2 3 3 4" xfId="8611" xr:uid="{00000000-0005-0000-0000-000065430000}"/>
    <cellStyle name="Normal 63 2 3 4" xfId="6104" xr:uid="{00000000-0005-0000-0000-000066430000}"/>
    <cellStyle name="Normal 63 2 3 4 2" xfId="15188" xr:uid="{00000000-0005-0000-0000-000067430000}"/>
    <cellStyle name="Normal 63 2 3 5" xfId="10065" xr:uid="{00000000-0005-0000-0000-000068430000}"/>
    <cellStyle name="Normal 63 2 3 5 2" xfId="18892" xr:uid="{00000000-0005-0000-0000-000069430000}"/>
    <cellStyle name="Normal 63 2 3 6" xfId="11511" xr:uid="{00000000-0005-0000-0000-00006A430000}"/>
    <cellStyle name="Normal 63 2 3 7" xfId="4582" xr:uid="{00000000-0005-0000-0000-00006B430000}"/>
    <cellStyle name="Normal 63 2 4" xfId="1162" xr:uid="{00000000-0005-0000-0000-00006C430000}"/>
    <cellStyle name="Normal 63 2 4 2" xfId="2882" xr:uid="{00000000-0005-0000-0000-00006D430000}"/>
    <cellStyle name="Normal 63 2 4 2 2" xfId="16422" xr:uid="{00000000-0005-0000-0000-00006E430000}"/>
    <cellStyle name="Normal 63 2 4 2 3" xfId="12844" xr:uid="{00000000-0005-0000-0000-00006F430000}"/>
    <cellStyle name="Normal 63 2 4 2 4" xfId="7554" xr:uid="{00000000-0005-0000-0000-000070430000}"/>
    <cellStyle name="Normal 63 2 4 3" xfId="4150" xr:uid="{00000000-0005-0000-0000-000071430000}"/>
    <cellStyle name="Normal 63 2 4 3 2" xfId="17795" xr:uid="{00000000-0005-0000-0000-000072430000}"/>
    <cellStyle name="Normal 63 2 4 3 3" xfId="14216" xr:uid="{00000000-0005-0000-0000-000073430000}"/>
    <cellStyle name="Normal 63 2 4 3 4" xfId="8959" xr:uid="{00000000-0005-0000-0000-000074430000}"/>
    <cellStyle name="Normal 63 2 4 4" xfId="6670" xr:uid="{00000000-0005-0000-0000-000075430000}"/>
    <cellStyle name="Normal 63 2 4 4 2" xfId="15754" xr:uid="{00000000-0005-0000-0000-000076430000}"/>
    <cellStyle name="Normal 63 2 4 5" xfId="10413" xr:uid="{00000000-0005-0000-0000-000077430000}"/>
    <cellStyle name="Normal 63 2 4 5 2" xfId="19240" xr:uid="{00000000-0005-0000-0000-000078430000}"/>
    <cellStyle name="Normal 63 2 4 6" xfId="11859" xr:uid="{00000000-0005-0000-0000-000079430000}"/>
    <cellStyle name="Normal 63 2 4 7" xfId="5148" xr:uid="{00000000-0005-0000-0000-00007A430000}"/>
    <cellStyle name="Normal 63 2 5" xfId="1411" xr:uid="{00000000-0005-0000-0000-00007B430000}"/>
    <cellStyle name="Normal 63 2 5 2" xfId="3016" xr:uid="{00000000-0005-0000-0000-00007C430000}"/>
    <cellStyle name="Normal 63 2 5 2 2" xfId="16565" xr:uid="{00000000-0005-0000-0000-00007D430000}"/>
    <cellStyle name="Normal 63 2 5 2 3" xfId="12986" xr:uid="{00000000-0005-0000-0000-00007E430000}"/>
    <cellStyle name="Normal 63 2 5 2 4" xfId="7697" xr:uid="{00000000-0005-0000-0000-00007F430000}"/>
    <cellStyle name="Normal 63 2 5 3" xfId="4224" xr:uid="{00000000-0005-0000-0000-000080430000}"/>
    <cellStyle name="Normal 63 2 5 3 2" xfId="17929" xr:uid="{00000000-0005-0000-0000-000081430000}"/>
    <cellStyle name="Normal 63 2 5 3 3" xfId="14350" xr:uid="{00000000-0005-0000-0000-000082430000}"/>
    <cellStyle name="Normal 63 2 5 3 4" xfId="9093" xr:uid="{00000000-0005-0000-0000-000083430000}"/>
    <cellStyle name="Normal 63 2 5 4" xfId="5990" xr:uid="{00000000-0005-0000-0000-000084430000}"/>
    <cellStyle name="Normal 63 2 5 4 2" xfId="15076" xr:uid="{00000000-0005-0000-0000-000085430000}"/>
    <cellStyle name="Normal 63 2 5 5" xfId="10547" xr:uid="{00000000-0005-0000-0000-000086430000}"/>
    <cellStyle name="Normal 63 2 5 5 2" xfId="19374" xr:uid="{00000000-0005-0000-0000-000087430000}"/>
    <cellStyle name="Normal 63 2 5 6" xfId="11993" xr:uid="{00000000-0005-0000-0000-000088430000}"/>
    <cellStyle name="Normal 63 2 5 7" xfId="5291" xr:uid="{00000000-0005-0000-0000-000089430000}"/>
    <cellStyle name="Normal 63 2 6" xfId="1973" xr:uid="{00000000-0005-0000-0000-00008A430000}"/>
    <cellStyle name="Normal 63 2 6 2" xfId="15919" xr:uid="{00000000-0005-0000-0000-00008B430000}"/>
    <cellStyle name="Normal 63 2 6 3" xfId="12450" xr:uid="{00000000-0005-0000-0000-00008C430000}"/>
    <cellStyle name="Normal 63 2 6 4" xfId="6876" xr:uid="{00000000-0005-0000-0000-00008D430000}"/>
    <cellStyle name="Normal 63 2 7" xfId="3387" xr:uid="{00000000-0005-0000-0000-00008E430000}"/>
    <cellStyle name="Normal 63 2 7 2" xfId="16886" xr:uid="{00000000-0005-0000-0000-00008F430000}"/>
    <cellStyle name="Normal 63 2 7 3" xfId="13307" xr:uid="{00000000-0005-0000-0000-000090430000}"/>
    <cellStyle name="Normal 63 2 7 4" xfId="8050" xr:uid="{00000000-0005-0000-0000-000091430000}"/>
    <cellStyle name="Normal 63 2 8" xfId="5611" xr:uid="{00000000-0005-0000-0000-000092430000}"/>
    <cellStyle name="Normal 63 2 8 2" xfId="14697" xr:uid="{00000000-0005-0000-0000-000093430000}"/>
    <cellStyle name="Normal 63 2 9" xfId="9504" xr:uid="{00000000-0005-0000-0000-000094430000}"/>
    <cellStyle name="Normal 63 2 9 2" xfId="18331" xr:uid="{00000000-0005-0000-0000-000095430000}"/>
    <cellStyle name="Normal 63 2_Degree data" xfId="1782" xr:uid="{00000000-0005-0000-0000-000096430000}"/>
    <cellStyle name="Normal 63 3" xfId="388" xr:uid="{00000000-0005-0000-0000-000097430000}"/>
    <cellStyle name="Normal 63 3 10" xfId="4447" xr:uid="{00000000-0005-0000-0000-000098430000}"/>
    <cellStyle name="Normal 63 3 2" xfId="810" xr:uid="{00000000-0005-0000-0000-000099430000}"/>
    <cellStyle name="Normal 63 3 2 2" xfId="2536" xr:uid="{00000000-0005-0000-0000-00009A430000}"/>
    <cellStyle name="Normal 63 3 2 2 2" xfId="16084" xr:uid="{00000000-0005-0000-0000-00009B430000}"/>
    <cellStyle name="Normal 63 3 2 2 3" xfId="12442" xr:uid="{00000000-0005-0000-0000-00009C430000}"/>
    <cellStyle name="Normal 63 3 2 2 4" xfId="7170" xr:uid="{00000000-0005-0000-0000-00009D430000}"/>
    <cellStyle name="Normal 63 3 2 3" xfId="3803" xr:uid="{00000000-0005-0000-0000-00009E430000}"/>
    <cellStyle name="Normal 63 3 2 3 2" xfId="17449" xr:uid="{00000000-0005-0000-0000-00009F430000}"/>
    <cellStyle name="Normal 63 3 2 3 3" xfId="13870" xr:uid="{00000000-0005-0000-0000-0000A0430000}"/>
    <cellStyle name="Normal 63 3 2 3 4" xfId="8613" xr:uid="{00000000-0005-0000-0000-0000A1430000}"/>
    <cellStyle name="Normal 63 3 2 4" xfId="6286" xr:uid="{00000000-0005-0000-0000-0000A2430000}"/>
    <cellStyle name="Normal 63 3 2 4 2" xfId="15370" xr:uid="{00000000-0005-0000-0000-0000A3430000}"/>
    <cellStyle name="Normal 63 3 2 5" xfId="10067" xr:uid="{00000000-0005-0000-0000-0000A4430000}"/>
    <cellStyle name="Normal 63 3 2 5 2" xfId="18894" xr:uid="{00000000-0005-0000-0000-0000A5430000}"/>
    <cellStyle name="Normal 63 3 2 6" xfId="11513" xr:uid="{00000000-0005-0000-0000-0000A6430000}"/>
    <cellStyle name="Normal 63 3 2 7" xfId="4764" xr:uid="{00000000-0005-0000-0000-0000A7430000}"/>
    <cellStyle name="Normal 63 3 3" xfId="1164" xr:uid="{00000000-0005-0000-0000-0000A8430000}"/>
    <cellStyle name="Normal 63 3 3 2" xfId="2884" xr:uid="{00000000-0005-0000-0000-0000A9430000}"/>
    <cellStyle name="Normal 63 3 3 2 2" xfId="16424" xr:uid="{00000000-0005-0000-0000-0000AA430000}"/>
    <cellStyle name="Normal 63 3 3 2 3" xfId="12846" xr:uid="{00000000-0005-0000-0000-0000AB430000}"/>
    <cellStyle name="Normal 63 3 3 2 4" xfId="7556" xr:uid="{00000000-0005-0000-0000-0000AC430000}"/>
    <cellStyle name="Normal 63 3 3 3" xfId="4152" xr:uid="{00000000-0005-0000-0000-0000AD430000}"/>
    <cellStyle name="Normal 63 3 3 3 2" xfId="17797" xr:uid="{00000000-0005-0000-0000-0000AE430000}"/>
    <cellStyle name="Normal 63 3 3 3 3" xfId="14218" xr:uid="{00000000-0005-0000-0000-0000AF430000}"/>
    <cellStyle name="Normal 63 3 3 3 4" xfId="8961" xr:uid="{00000000-0005-0000-0000-0000B0430000}"/>
    <cellStyle name="Normal 63 3 3 4" xfId="6672" xr:uid="{00000000-0005-0000-0000-0000B1430000}"/>
    <cellStyle name="Normal 63 3 3 4 2" xfId="15756" xr:uid="{00000000-0005-0000-0000-0000B2430000}"/>
    <cellStyle name="Normal 63 3 3 5" xfId="10415" xr:uid="{00000000-0005-0000-0000-0000B3430000}"/>
    <cellStyle name="Normal 63 3 3 5 2" xfId="19242" xr:uid="{00000000-0005-0000-0000-0000B4430000}"/>
    <cellStyle name="Normal 63 3 3 6" xfId="11861" xr:uid="{00000000-0005-0000-0000-0000B5430000}"/>
    <cellStyle name="Normal 63 3 3 7" xfId="5150" xr:uid="{00000000-0005-0000-0000-0000B6430000}"/>
    <cellStyle name="Normal 63 3 4" xfId="1602" xr:uid="{00000000-0005-0000-0000-0000B7430000}"/>
    <cellStyle name="Normal 63 3 4 2" xfId="3198" xr:uid="{00000000-0005-0000-0000-0000B8430000}"/>
    <cellStyle name="Normal 63 3 4 2 2" xfId="16747" xr:uid="{00000000-0005-0000-0000-0000B9430000}"/>
    <cellStyle name="Normal 63 3 4 2 3" xfId="13168" xr:uid="{00000000-0005-0000-0000-0000BA430000}"/>
    <cellStyle name="Normal 63 3 4 2 4" xfId="7879" xr:uid="{00000000-0005-0000-0000-0000BB430000}"/>
    <cellStyle name="Normal 63 3 4 3" xfId="4306" xr:uid="{00000000-0005-0000-0000-0000BC430000}"/>
    <cellStyle name="Normal 63 3 4 3 2" xfId="18111" xr:uid="{00000000-0005-0000-0000-0000BD430000}"/>
    <cellStyle name="Normal 63 3 4 3 3" xfId="14532" xr:uid="{00000000-0005-0000-0000-0000BE430000}"/>
    <cellStyle name="Normal 63 3 4 3 4" xfId="9275" xr:uid="{00000000-0005-0000-0000-0000BF430000}"/>
    <cellStyle name="Normal 63 3 4 4" xfId="5967" xr:uid="{00000000-0005-0000-0000-0000C0430000}"/>
    <cellStyle name="Normal 63 3 4 4 2" xfId="15053" xr:uid="{00000000-0005-0000-0000-0000C1430000}"/>
    <cellStyle name="Normal 63 3 4 5" xfId="10729" xr:uid="{00000000-0005-0000-0000-0000C2430000}"/>
    <cellStyle name="Normal 63 3 4 5 2" xfId="19556" xr:uid="{00000000-0005-0000-0000-0000C3430000}"/>
    <cellStyle name="Normal 63 3 4 6" xfId="12175" xr:uid="{00000000-0005-0000-0000-0000C4430000}"/>
    <cellStyle name="Normal 63 3 4 7" xfId="5473" xr:uid="{00000000-0005-0000-0000-0000C5430000}"/>
    <cellStyle name="Normal 63 3 5" xfId="2155" xr:uid="{00000000-0005-0000-0000-0000C6430000}"/>
    <cellStyle name="Normal 63 3 5 2" xfId="15896" xr:uid="{00000000-0005-0000-0000-0000C7430000}"/>
    <cellStyle name="Normal 63 3 5 3" xfId="12419" xr:uid="{00000000-0005-0000-0000-0000C8430000}"/>
    <cellStyle name="Normal 63 3 5 4" xfId="6853" xr:uid="{00000000-0005-0000-0000-0000C9430000}"/>
    <cellStyle name="Normal 63 3 6" xfId="3468" xr:uid="{00000000-0005-0000-0000-0000CA430000}"/>
    <cellStyle name="Normal 63 3 6 2" xfId="17068" xr:uid="{00000000-0005-0000-0000-0000CB430000}"/>
    <cellStyle name="Normal 63 3 6 3" xfId="13489" xr:uid="{00000000-0005-0000-0000-0000CC430000}"/>
    <cellStyle name="Normal 63 3 6 4" xfId="8232" xr:uid="{00000000-0005-0000-0000-0000CD430000}"/>
    <cellStyle name="Normal 63 3 7" xfId="5793" xr:uid="{00000000-0005-0000-0000-0000CE430000}"/>
    <cellStyle name="Normal 63 3 7 2" xfId="14879" xr:uid="{00000000-0005-0000-0000-0000CF430000}"/>
    <cellStyle name="Normal 63 3 8" xfId="9686" xr:uid="{00000000-0005-0000-0000-0000D0430000}"/>
    <cellStyle name="Normal 63 3 8 2" xfId="18513" xr:uid="{00000000-0005-0000-0000-0000D1430000}"/>
    <cellStyle name="Normal 63 3 9" xfId="11130" xr:uid="{00000000-0005-0000-0000-0000D2430000}"/>
    <cellStyle name="Normal 63 3_Degree data" xfId="1784" xr:uid="{00000000-0005-0000-0000-0000D3430000}"/>
    <cellStyle name="Normal 63 4" xfId="305" xr:uid="{00000000-0005-0000-0000-0000D4430000}"/>
    <cellStyle name="Normal 63 4 2" xfId="811" xr:uid="{00000000-0005-0000-0000-0000D5430000}"/>
    <cellStyle name="Normal 63 4 2 2" xfId="2537" xr:uid="{00000000-0005-0000-0000-0000D6430000}"/>
    <cellStyle name="Normal 63 4 2 2 2" xfId="16425" xr:uid="{00000000-0005-0000-0000-0000D7430000}"/>
    <cellStyle name="Normal 63 4 2 2 3" xfId="12847" xr:uid="{00000000-0005-0000-0000-0000D8430000}"/>
    <cellStyle name="Normal 63 4 2 2 4" xfId="7557" xr:uid="{00000000-0005-0000-0000-0000D9430000}"/>
    <cellStyle name="Normal 63 4 2 3" xfId="3804" xr:uid="{00000000-0005-0000-0000-0000DA430000}"/>
    <cellStyle name="Normal 63 4 2 3 2" xfId="17450" xr:uid="{00000000-0005-0000-0000-0000DB430000}"/>
    <cellStyle name="Normal 63 4 2 3 3" xfId="13871" xr:uid="{00000000-0005-0000-0000-0000DC430000}"/>
    <cellStyle name="Normal 63 4 2 3 4" xfId="8614" xr:uid="{00000000-0005-0000-0000-0000DD430000}"/>
    <cellStyle name="Normal 63 4 2 4" xfId="6673" xr:uid="{00000000-0005-0000-0000-0000DE430000}"/>
    <cellStyle name="Normal 63 4 2 4 2" xfId="15757" xr:uid="{00000000-0005-0000-0000-0000DF430000}"/>
    <cellStyle name="Normal 63 4 2 5" xfId="10068" xr:uid="{00000000-0005-0000-0000-0000E0430000}"/>
    <cellStyle name="Normal 63 4 2 5 2" xfId="18895" xr:uid="{00000000-0005-0000-0000-0000E1430000}"/>
    <cellStyle name="Normal 63 4 2 6" xfId="11514" xr:uid="{00000000-0005-0000-0000-0000E2430000}"/>
    <cellStyle name="Normal 63 4 2 7" xfId="5151" xr:uid="{00000000-0005-0000-0000-0000E3430000}"/>
    <cellStyle name="Normal 63 4 3" xfId="1165" xr:uid="{00000000-0005-0000-0000-0000E4430000}"/>
    <cellStyle name="Normal 63 4 3 2" xfId="2885" xr:uid="{00000000-0005-0000-0000-0000E5430000}"/>
    <cellStyle name="Normal 63 4 3 2 2" xfId="16665" xr:uid="{00000000-0005-0000-0000-0000E6430000}"/>
    <cellStyle name="Normal 63 4 3 2 3" xfId="13086" xr:uid="{00000000-0005-0000-0000-0000E7430000}"/>
    <cellStyle name="Normal 63 4 3 2 4" xfId="7797" xr:uid="{00000000-0005-0000-0000-0000E8430000}"/>
    <cellStyle name="Normal 63 4 3 3" xfId="4153" xr:uid="{00000000-0005-0000-0000-0000E9430000}"/>
    <cellStyle name="Normal 63 4 3 3 2" xfId="17798" xr:uid="{00000000-0005-0000-0000-0000EA430000}"/>
    <cellStyle name="Normal 63 4 3 3 3" xfId="14219" xr:uid="{00000000-0005-0000-0000-0000EB430000}"/>
    <cellStyle name="Normal 63 4 3 3 4" xfId="8962" xr:uid="{00000000-0005-0000-0000-0000EC430000}"/>
    <cellStyle name="Normal 63 4 3 4" xfId="6204" xr:uid="{00000000-0005-0000-0000-0000ED430000}"/>
    <cellStyle name="Normal 63 4 3 4 2" xfId="15288" xr:uid="{00000000-0005-0000-0000-0000EE430000}"/>
    <cellStyle name="Normal 63 4 3 5" xfId="10416" xr:uid="{00000000-0005-0000-0000-0000EF430000}"/>
    <cellStyle name="Normal 63 4 3 5 2" xfId="19243" xr:uid="{00000000-0005-0000-0000-0000F0430000}"/>
    <cellStyle name="Normal 63 4 3 6" xfId="11862" xr:uid="{00000000-0005-0000-0000-0000F1430000}"/>
    <cellStyle name="Normal 63 4 3 7" xfId="5391" xr:uid="{00000000-0005-0000-0000-0000F2430000}"/>
    <cellStyle name="Normal 63 4 4" xfId="1517" xr:uid="{00000000-0005-0000-0000-0000F3430000}"/>
    <cellStyle name="Normal 63 4 4 2" xfId="3116" xr:uid="{00000000-0005-0000-0000-0000F4430000}"/>
    <cellStyle name="Normal 63 4 4 2 2" xfId="18029" xr:uid="{00000000-0005-0000-0000-0000F5430000}"/>
    <cellStyle name="Normal 63 4 4 2 3" xfId="14450" xr:uid="{00000000-0005-0000-0000-0000F6430000}"/>
    <cellStyle name="Normal 63 4 4 2 4" xfId="9193" xr:uid="{00000000-0005-0000-0000-0000F7430000}"/>
    <cellStyle name="Normal 63 4 4 3" xfId="10647" xr:uid="{00000000-0005-0000-0000-0000F8430000}"/>
    <cellStyle name="Normal 63 4 4 3 2" xfId="19474" xr:uid="{00000000-0005-0000-0000-0000F9430000}"/>
    <cellStyle name="Normal 63 4 4 4" xfId="12093" xr:uid="{00000000-0005-0000-0000-0000FA430000}"/>
    <cellStyle name="Normal 63 4 4 5" xfId="7088" xr:uid="{00000000-0005-0000-0000-0000FB430000}"/>
    <cellStyle name="Normal 63 4 5" xfId="2073" xr:uid="{00000000-0005-0000-0000-0000FC430000}"/>
    <cellStyle name="Normal 63 4 5 2" xfId="16986" xr:uid="{00000000-0005-0000-0000-0000FD430000}"/>
    <cellStyle name="Normal 63 4 5 3" xfId="13407" xr:uid="{00000000-0005-0000-0000-0000FE430000}"/>
    <cellStyle name="Normal 63 4 5 4" xfId="8150" xr:uid="{00000000-0005-0000-0000-0000FF430000}"/>
    <cellStyle name="Normal 63 4 6" xfId="5711" xr:uid="{00000000-0005-0000-0000-000000440000}"/>
    <cellStyle name="Normal 63 4 6 2" xfId="14797" xr:uid="{00000000-0005-0000-0000-000001440000}"/>
    <cellStyle name="Normal 63 4 7" xfId="9604" xr:uid="{00000000-0005-0000-0000-000002440000}"/>
    <cellStyle name="Normal 63 4 7 2" xfId="18431" xr:uid="{00000000-0005-0000-0000-000003440000}"/>
    <cellStyle name="Normal 63 4 8" xfId="11048" xr:uid="{00000000-0005-0000-0000-000004440000}"/>
    <cellStyle name="Normal 63 4 9" xfId="4682" xr:uid="{00000000-0005-0000-0000-000005440000}"/>
    <cellStyle name="Normal 63 4_Degree data" xfId="1785" xr:uid="{00000000-0005-0000-0000-000006440000}"/>
    <cellStyle name="Normal 63 5" xfId="807" xr:uid="{00000000-0005-0000-0000-000007440000}"/>
    <cellStyle name="Normal 63 5 2" xfId="2533" xr:uid="{00000000-0005-0000-0000-000008440000}"/>
    <cellStyle name="Normal 63 5 2 2" xfId="15978" xr:uid="{00000000-0005-0000-0000-000009440000}"/>
    <cellStyle name="Normal 63 5 2 3" xfId="12338" xr:uid="{00000000-0005-0000-0000-00000A440000}"/>
    <cellStyle name="Normal 63 5 2 4" xfId="6952" xr:uid="{00000000-0005-0000-0000-00000B440000}"/>
    <cellStyle name="Normal 63 5 3" xfId="3800" xr:uid="{00000000-0005-0000-0000-00000C440000}"/>
    <cellStyle name="Normal 63 5 3 2" xfId="17446" xr:uid="{00000000-0005-0000-0000-00000D440000}"/>
    <cellStyle name="Normal 63 5 3 3" xfId="13867" xr:uid="{00000000-0005-0000-0000-00000E440000}"/>
    <cellStyle name="Normal 63 5 3 4" xfId="8610" xr:uid="{00000000-0005-0000-0000-00000F440000}"/>
    <cellStyle name="Normal 63 5 4" xfId="6068" xr:uid="{00000000-0005-0000-0000-000010440000}"/>
    <cellStyle name="Normal 63 5 4 2" xfId="15152" xr:uid="{00000000-0005-0000-0000-000011440000}"/>
    <cellStyle name="Normal 63 5 5" xfId="10064" xr:uid="{00000000-0005-0000-0000-000012440000}"/>
    <cellStyle name="Normal 63 5 5 2" xfId="18891" xr:uid="{00000000-0005-0000-0000-000013440000}"/>
    <cellStyle name="Normal 63 5 6" xfId="11510" xr:uid="{00000000-0005-0000-0000-000014440000}"/>
    <cellStyle name="Normal 63 5 7" xfId="4546" xr:uid="{00000000-0005-0000-0000-000015440000}"/>
    <cellStyle name="Normal 63 6" xfId="1161" xr:uid="{00000000-0005-0000-0000-000016440000}"/>
    <cellStyle name="Normal 63 6 2" xfId="2881" xr:uid="{00000000-0005-0000-0000-000017440000}"/>
    <cellStyle name="Normal 63 6 2 2" xfId="16421" xr:uid="{00000000-0005-0000-0000-000018440000}"/>
    <cellStyle name="Normal 63 6 2 3" xfId="12843" xr:uid="{00000000-0005-0000-0000-000019440000}"/>
    <cellStyle name="Normal 63 6 2 4" xfId="7553" xr:uid="{00000000-0005-0000-0000-00001A440000}"/>
    <cellStyle name="Normal 63 6 3" xfId="4149" xr:uid="{00000000-0005-0000-0000-00001B440000}"/>
    <cellStyle name="Normal 63 6 3 2" xfId="17794" xr:uid="{00000000-0005-0000-0000-00001C440000}"/>
    <cellStyle name="Normal 63 6 3 3" xfId="14215" xr:uid="{00000000-0005-0000-0000-00001D440000}"/>
    <cellStyle name="Normal 63 6 3 4" xfId="8958" xr:uid="{00000000-0005-0000-0000-00001E440000}"/>
    <cellStyle name="Normal 63 6 4" xfId="6669" xr:uid="{00000000-0005-0000-0000-00001F440000}"/>
    <cellStyle name="Normal 63 6 4 2" xfId="15753" xr:uid="{00000000-0005-0000-0000-000020440000}"/>
    <cellStyle name="Normal 63 6 5" xfId="10412" xr:uid="{00000000-0005-0000-0000-000021440000}"/>
    <cellStyle name="Normal 63 6 5 2" xfId="19239" xr:uid="{00000000-0005-0000-0000-000022440000}"/>
    <cellStyle name="Normal 63 6 6" xfId="11858" xr:uid="{00000000-0005-0000-0000-000023440000}"/>
    <cellStyle name="Normal 63 6 7" xfId="5147" xr:uid="{00000000-0005-0000-0000-000024440000}"/>
    <cellStyle name="Normal 63 7" xfId="1370" xr:uid="{00000000-0005-0000-0000-000025440000}"/>
    <cellStyle name="Normal 63 7 2" xfId="2980" xr:uid="{00000000-0005-0000-0000-000026440000}"/>
    <cellStyle name="Normal 63 7 2 2" xfId="16529" xr:uid="{00000000-0005-0000-0000-000027440000}"/>
    <cellStyle name="Normal 63 7 2 3" xfId="12950" xr:uid="{00000000-0005-0000-0000-000028440000}"/>
    <cellStyle name="Normal 63 7 2 4" xfId="7661" xr:uid="{00000000-0005-0000-0000-000029440000}"/>
    <cellStyle name="Normal 63 7 3" xfId="4200" xr:uid="{00000000-0005-0000-0000-00002A440000}"/>
    <cellStyle name="Normal 63 7 3 2" xfId="17893" xr:uid="{00000000-0005-0000-0000-00002B440000}"/>
    <cellStyle name="Normal 63 7 3 3" xfId="14314" xr:uid="{00000000-0005-0000-0000-00002C440000}"/>
    <cellStyle name="Normal 63 7 3 4" xfId="9057" xr:uid="{00000000-0005-0000-0000-00002D440000}"/>
    <cellStyle name="Normal 63 7 4" xfId="5884" xr:uid="{00000000-0005-0000-0000-00002E440000}"/>
    <cellStyle name="Normal 63 7 4 2" xfId="14970" xr:uid="{00000000-0005-0000-0000-00002F440000}"/>
    <cellStyle name="Normal 63 7 5" xfId="10511" xr:uid="{00000000-0005-0000-0000-000030440000}"/>
    <cellStyle name="Normal 63 7 5 2" xfId="19338" xr:uid="{00000000-0005-0000-0000-000031440000}"/>
    <cellStyle name="Normal 63 7 6" xfId="11957" xr:uid="{00000000-0005-0000-0000-000032440000}"/>
    <cellStyle name="Normal 63 7 7" xfId="5255" xr:uid="{00000000-0005-0000-0000-000033440000}"/>
    <cellStyle name="Normal 63 8" xfId="1937" xr:uid="{00000000-0005-0000-0000-000034440000}"/>
    <cellStyle name="Normal 63 8 2" xfId="15835" xr:uid="{00000000-0005-0000-0000-000035440000}"/>
    <cellStyle name="Normal 63 8 3" xfId="12430" xr:uid="{00000000-0005-0000-0000-000036440000}"/>
    <cellStyle name="Normal 63 8 4" xfId="6771" xr:uid="{00000000-0005-0000-0000-000037440000}"/>
    <cellStyle name="Normal 63 9" xfId="3362" xr:uid="{00000000-0005-0000-0000-000038440000}"/>
    <cellStyle name="Normal 63 9 2" xfId="16848" xr:uid="{00000000-0005-0000-0000-000039440000}"/>
    <cellStyle name="Normal 63 9 3" xfId="13269" xr:uid="{00000000-0005-0000-0000-00003A440000}"/>
    <cellStyle name="Normal 63 9 4" xfId="8012" xr:uid="{00000000-0005-0000-0000-00003B440000}"/>
    <cellStyle name="Normal 63_Degree data" xfId="1781" xr:uid="{00000000-0005-0000-0000-00003C440000}"/>
    <cellStyle name="Normal 64" xfId="130" xr:uid="{00000000-0005-0000-0000-00003D440000}"/>
    <cellStyle name="Normal 64 2" xfId="201" xr:uid="{00000000-0005-0000-0000-00003E440000}"/>
    <cellStyle name="Normal 64 2 2" xfId="812" xr:uid="{00000000-0005-0000-0000-00003F440000}"/>
    <cellStyle name="Normal 64 3" xfId="456" xr:uid="{00000000-0005-0000-0000-000040440000}"/>
    <cellStyle name="Normal 64_Degree data" xfId="1786" xr:uid="{00000000-0005-0000-0000-000041440000}"/>
    <cellStyle name="Normal 65" xfId="131" xr:uid="{00000000-0005-0000-0000-000042440000}"/>
    <cellStyle name="Normal 65 2" xfId="203" xr:uid="{00000000-0005-0000-0000-000043440000}"/>
    <cellStyle name="Normal 65 2 2" xfId="813" xr:uid="{00000000-0005-0000-0000-000044440000}"/>
    <cellStyle name="Normal 65 3" xfId="457" xr:uid="{00000000-0005-0000-0000-000045440000}"/>
    <cellStyle name="Normal 65_Degree data" xfId="1787" xr:uid="{00000000-0005-0000-0000-000046440000}"/>
    <cellStyle name="Normal 66" xfId="132" xr:uid="{00000000-0005-0000-0000-000047440000}"/>
    <cellStyle name="Normal 66 2" xfId="202" xr:uid="{00000000-0005-0000-0000-000048440000}"/>
    <cellStyle name="Normal 66 2 2" xfId="814" xr:uid="{00000000-0005-0000-0000-000049440000}"/>
    <cellStyle name="Normal 66 3" xfId="458" xr:uid="{00000000-0005-0000-0000-00004A440000}"/>
    <cellStyle name="Normal 66_Degree data" xfId="1788" xr:uid="{00000000-0005-0000-0000-00004B440000}"/>
    <cellStyle name="Normal 67" xfId="163" xr:uid="{00000000-0005-0000-0000-00004C440000}"/>
    <cellStyle name="Normal 67 2" xfId="815" xr:uid="{00000000-0005-0000-0000-00004D440000}"/>
    <cellStyle name="Normal 67 3" xfId="3327" xr:uid="{00000000-0005-0000-0000-00004E440000}"/>
    <cellStyle name="Normal 67 4" xfId="491" xr:uid="{00000000-0005-0000-0000-00004F440000}"/>
    <cellStyle name="Normal 67_Degree data" xfId="1789" xr:uid="{00000000-0005-0000-0000-000050440000}"/>
    <cellStyle name="Normal 68" xfId="162" xr:uid="{00000000-0005-0000-0000-000051440000}"/>
    <cellStyle name="Normal 68 2" xfId="816" xr:uid="{00000000-0005-0000-0000-000052440000}"/>
    <cellStyle name="Normal 68 3" xfId="3304" xr:uid="{00000000-0005-0000-0000-000053440000}"/>
    <cellStyle name="Normal 68 4" xfId="492" xr:uid="{00000000-0005-0000-0000-000054440000}"/>
    <cellStyle name="Normal 68_Degree data" xfId="1790" xr:uid="{00000000-0005-0000-0000-000055440000}"/>
    <cellStyle name="Normal 69" xfId="168" xr:uid="{00000000-0005-0000-0000-000056440000}"/>
    <cellStyle name="Normal 69 2" xfId="817" xr:uid="{00000000-0005-0000-0000-000057440000}"/>
    <cellStyle name="Normal 69 3" xfId="3269" xr:uid="{00000000-0005-0000-0000-000058440000}"/>
    <cellStyle name="Normal 69 4" xfId="493" xr:uid="{00000000-0005-0000-0000-000059440000}"/>
    <cellStyle name="Normal 69_Degree data" xfId="1791" xr:uid="{00000000-0005-0000-0000-00005A440000}"/>
    <cellStyle name="Normal 7" xfId="8" xr:uid="{00000000-0005-0000-0000-00005B440000}"/>
    <cellStyle name="Normal 7 10" xfId="818" xr:uid="{00000000-0005-0000-0000-00005C440000}"/>
    <cellStyle name="Normal 7 10 2" xfId="2538" xr:uid="{00000000-0005-0000-0000-00005D440000}"/>
    <cellStyle name="Normal 7 10 2 2" xfId="16426" xr:uid="{00000000-0005-0000-0000-00005E440000}"/>
    <cellStyle name="Normal 7 10 2 3" xfId="12848" xr:uid="{00000000-0005-0000-0000-00005F440000}"/>
    <cellStyle name="Normal 7 10 2 4" xfId="7558" xr:uid="{00000000-0005-0000-0000-000060440000}"/>
    <cellStyle name="Normal 7 10 3" xfId="3806" xr:uid="{00000000-0005-0000-0000-000061440000}"/>
    <cellStyle name="Normal 7 10 3 2" xfId="17451" xr:uid="{00000000-0005-0000-0000-000062440000}"/>
    <cellStyle name="Normal 7 10 3 3" xfId="13872" xr:uid="{00000000-0005-0000-0000-000063440000}"/>
    <cellStyle name="Normal 7 10 3 4" xfId="8615" xr:uid="{00000000-0005-0000-0000-000064440000}"/>
    <cellStyle name="Normal 7 10 4" xfId="6674" xr:uid="{00000000-0005-0000-0000-000065440000}"/>
    <cellStyle name="Normal 7 10 4 2" xfId="15758" xr:uid="{00000000-0005-0000-0000-000066440000}"/>
    <cellStyle name="Normal 7 10 5" xfId="10069" xr:uid="{00000000-0005-0000-0000-000067440000}"/>
    <cellStyle name="Normal 7 10 5 2" xfId="18896" xr:uid="{00000000-0005-0000-0000-000068440000}"/>
    <cellStyle name="Normal 7 10 6" xfId="11515" xr:uid="{00000000-0005-0000-0000-000069440000}"/>
    <cellStyle name="Normal 7 10 7" xfId="5152" xr:uid="{00000000-0005-0000-0000-00006A440000}"/>
    <cellStyle name="Normal 7 11" xfId="1166" xr:uid="{00000000-0005-0000-0000-00006B440000}"/>
    <cellStyle name="Normal 7 11 2" xfId="2886" xr:uid="{00000000-0005-0000-0000-00006C440000}"/>
    <cellStyle name="Normal 7 11 2 2" xfId="16478" xr:uid="{00000000-0005-0000-0000-00006D440000}"/>
    <cellStyle name="Normal 7 11 2 3" xfId="12900" xr:uid="{00000000-0005-0000-0000-00006E440000}"/>
    <cellStyle name="Normal 7 11 2 4" xfId="7610" xr:uid="{00000000-0005-0000-0000-00006F440000}"/>
    <cellStyle name="Normal 7 11 3" xfId="4154" xr:uid="{00000000-0005-0000-0000-000070440000}"/>
    <cellStyle name="Normal 7 11 3 2" xfId="17799" xr:uid="{00000000-0005-0000-0000-000071440000}"/>
    <cellStyle name="Normal 7 11 3 3" xfId="14220" xr:uid="{00000000-0005-0000-0000-000072440000}"/>
    <cellStyle name="Normal 7 11 3 4" xfId="8963" xr:uid="{00000000-0005-0000-0000-000073440000}"/>
    <cellStyle name="Normal 7 11 4" xfId="5868" xr:uid="{00000000-0005-0000-0000-000074440000}"/>
    <cellStyle name="Normal 7 11 4 2" xfId="14954" xr:uid="{00000000-0005-0000-0000-000075440000}"/>
    <cellStyle name="Normal 7 11 5" xfId="10417" xr:uid="{00000000-0005-0000-0000-000076440000}"/>
    <cellStyle name="Normal 7 11 5 2" xfId="19244" xr:uid="{00000000-0005-0000-0000-000077440000}"/>
    <cellStyle name="Normal 7 11 6" xfId="11863" xr:uid="{00000000-0005-0000-0000-000078440000}"/>
    <cellStyle name="Normal 7 11 7" xfId="5204" xr:uid="{00000000-0005-0000-0000-000079440000}"/>
    <cellStyle name="Normal 7 12" xfId="1277" xr:uid="{00000000-0005-0000-0000-00007A440000}"/>
    <cellStyle name="Normal 7 12 2" xfId="2929" xr:uid="{00000000-0005-0000-0000-00007B440000}"/>
    <cellStyle name="Normal 7 12 2 2" xfId="17842" xr:uid="{00000000-0005-0000-0000-00007C440000}"/>
    <cellStyle name="Normal 7 12 2 3" xfId="14263" xr:uid="{00000000-0005-0000-0000-00007D440000}"/>
    <cellStyle name="Normal 7 12 2 4" xfId="9006" xr:uid="{00000000-0005-0000-0000-00007E440000}"/>
    <cellStyle name="Normal 7 12 3" xfId="10460" xr:uid="{00000000-0005-0000-0000-00007F440000}"/>
    <cellStyle name="Normal 7 12 3 2" xfId="19287" xr:uid="{00000000-0005-0000-0000-000080440000}"/>
    <cellStyle name="Normal 7 12 4" xfId="11906" xr:uid="{00000000-0005-0000-0000-000081440000}"/>
    <cellStyle name="Normal 7 12 5" xfId="6754" xr:uid="{00000000-0005-0000-0000-000082440000}"/>
    <cellStyle name="Normal 7 13" xfId="1886" xr:uid="{00000000-0005-0000-0000-000083440000}"/>
    <cellStyle name="Normal 7 13 2" xfId="9417" xr:uid="{00000000-0005-0000-0000-000084440000}"/>
    <cellStyle name="Normal 7 13 2 2" xfId="18244" xr:uid="{00000000-0005-0000-0000-000085440000}"/>
    <cellStyle name="Normal 7 13 3" xfId="10861" xr:uid="{00000000-0005-0000-0000-000086440000}"/>
    <cellStyle name="Normal 7 13 4" xfId="7961" xr:uid="{00000000-0005-0000-0000-000087440000}"/>
    <cellStyle name="Normal 7 14" xfId="1843" xr:uid="{00000000-0005-0000-0000-000088440000}"/>
    <cellStyle name="Normal 7 14 2" xfId="14642" xr:uid="{00000000-0005-0000-0000-000089440000}"/>
    <cellStyle name="Normal 7 14 3" xfId="5556" xr:uid="{00000000-0005-0000-0000-00008A440000}"/>
    <cellStyle name="Normal 7 15" xfId="9377" xr:uid="{00000000-0005-0000-0000-00008B440000}"/>
    <cellStyle name="Normal 7 15 2" xfId="18204" xr:uid="{00000000-0005-0000-0000-00008C440000}"/>
    <cellStyle name="Normal 7 16" xfId="10816" xr:uid="{00000000-0005-0000-0000-00008D440000}"/>
    <cellStyle name="Normal 7 17" xfId="4349" xr:uid="{00000000-0005-0000-0000-00008E440000}"/>
    <cellStyle name="Normal 7 2" xfId="124" xr:uid="{00000000-0005-0000-0000-00008F440000}"/>
    <cellStyle name="Normal 7 2 10" xfId="1898" xr:uid="{00000000-0005-0000-0000-000090440000}"/>
    <cellStyle name="Normal 7 2 10 2" xfId="9429" xr:uid="{00000000-0005-0000-0000-000091440000}"/>
    <cellStyle name="Normal 7 2 10 2 2" xfId="18256" xr:uid="{00000000-0005-0000-0000-000092440000}"/>
    <cellStyle name="Normal 7 2 10 3" xfId="10873" xr:uid="{00000000-0005-0000-0000-000093440000}"/>
    <cellStyle name="Normal 7 2 10 4" xfId="7973" xr:uid="{00000000-0005-0000-0000-000094440000}"/>
    <cellStyle name="Normal 7 2 11" xfId="1868" xr:uid="{00000000-0005-0000-0000-000095440000}"/>
    <cellStyle name="Normal 7 2 11 2" xfId="14667" xr:uid="{00000000-0005-0000-0000-000096440000}"/>
    <cellStyle name="Normal 7 2 11 3" xfId="5581" xr:uid="{00000000-0005-0000-0000-000097440000}"/>
    <cellStyle name="Normal 7 2 12" xfId="9399" xr:uid="{00000000-0005-0000-0000-000098440000}"/>
    <cellStyle name="Normal 7 2 12 2" xfId="18226" xr:uid="{00000000-0005-0000-0000-000099440000}"/>
    <cellStyle name="Normal 7 2 13" xfId="10843" xr:uid="{00000000-0005-0000-0000-00009A440000}"/>
    <cellStyle name="Normal 7 2 14" xfId="4362" xr:uid="{00000000-0005-0000-0000-00009B440000}"/>
    <cellStyle name="Normal 7 2 2" xfId="224" xr:uid="{00000000-0005-0000-0000-00009C440000}"/>
    <cellStyle name="Normal 7 2 2 10" xfId="9531" xr:uid="{00000000-0005-0000-0000-00009D440000}"/>
    <cellStyle name="Normal 7 2 2 10 2" xfId="18358" xr:uid="{00000000-0005-0000-0000-00009E440000}"/>
    <cellStyle name="Normal 7 2 2 11" xfId="10975" xr:uid="{00000000-0005-0000-0000-00009F440000}"/>
    <cellStyle name="Normal 7 2 2 12" xfId="4392" xr:uid="{00000000-0005-0000-0000-0000A0440000}"/>
    <cellStyle name="Normal 7 2 2 2" xfId="437" xr:uid="{00000000-0005-0000-0000-0000A1440000}"/>
    <cellStyle name="Normal 7 2 2 2 10" xfId="4496" xr:uid="{00000000-0005-0000-0000-0000A2440000}"/>
    <cellStyle name="Normal 7 2 2 2 2" xfId="821" xr:uid="{00000000-0005-0000-0000-0000A3440000}"/>
    <cellStyle name="Normal 7 2 2 2 2 2" xfId="2541" xr:uid="{00000000-0005-0000-0000-0000A4440000}"/>
    <cellStyle name="Normal 7 2 2 2 2 2 2" xfId="16092" xr:uid="{00000000-0005-0000-0000-0000A5440000}"/>
    <cellStyle name="Normal 7 2 2 2 2 2 3" xfId="12514" xr:uid="{00000000-0005-0000-0000-0000A6440000}"/>
    <cellStyle name="Normal 7 2 2 2 2 2 4" xfId="7219" xr:uid="{00000000-0005-0000-0000-0000A7440000}"/>
    <cellStyle name="Normal 7 2 2 2 2 3" xfId="3809" xr:uid="{00000000-0005-0000-0000-0000A8440000}"/>
    <cellStyle name="Normal 7 2 2 2 2 3 2" xfId="17454" xr:uid="{00000000-0005-0000-0000-0000A9440000}"/>
    <cellStyle name="Normal 7 2 2 2 2 3 3" xfId="13875" xr:uid="{00000000-0005-0000-0000-0000AA440000}"/>
    <cellStyle name="Normal 7 2 2 2 2 3 4" xfId="8618" xr:uid="{00000000-0005-0000-0000-0000AB440000}"/>
    <cellStyle name="Normal 7 2 2 2 2 4" xfId="6335" xr:uid="{00000000-0005-0000-0000-0000AC440000}"/>
    <cellStyle name="Normal 7 2 2 2 2 4 2" xfId="15419" xr:uid="{00000000-0005-0000-0000-0000AD440000}"/>
    <cellStyle name="Normal 7 2 2 2 2 5" xfId="10072" xr:uid="{00000000-0005-0000-0000-0000AE440000}"/>
    <cellStyle name="Normal 7 2 2 2 2 5 2" xfId="18899" xr:uid="{00000000-0005-0000-0000-0000AF440000}"/>
    <cellStyle name="Normal 7 2 2 2 2 6" xfId="11518" xr:uid="{00000000-0005-0000-0000-0000B0440000}"/>
    <cellStyle name="Normal 7 2 2 2 2 7" xfId="4813" xr:uid="{00000000-0005-0000-0000-0000B1440000}"/>
    <cellStyle name="Normal 7 2 2 2 3" xfId="1169" xr:uid="{00000000-0005-0000-0000-0000B2440000}"/>
    <cellStyle name="Normal 7 2 2 2 3 2" xfId="2889" xr:uid="{00000000-0005-0000-0000-0000B3440000}"/>
    <cellStyle name="Normal 7 2 2 2 3 2 2" xfId="16429" xr:uid="{00000000-0005-0000-0000-0000B4440000}"/>
    <cellStyle name="Normal 7 2 2 2 3 2 3" xfId="12851" xr:uid="{00000000-0005-0000-0000-0000B5440000}"/>
    <cellStyle name="Normal 7 2 2 2 3 2 4" xfId="7561" xr:uid="{00000000-0005-0000-0000-0000B6440000}"/>
    <cellStyle name="Normal 7 2 2 2 3 3" xfId="4157" xr:uid="{00000000-0005-0000-0000-0000B7440000}"/>
    <cellStyle name="Normal 7 2 2 2 3 3 2" xfId="17802" xr:uid="{00000000-0005-0000-0000-0000B8440000}"/>
    <cellStyle name="Normal 7 2 2 2 3 3 3" xfId="14223" xr:uid="{00000000-0005-0000-0000-0000B9440000}"/>
    <cellStyle name="Normal 7 2 2 2 3 3 4" xfId="8966" xr:uid="{00000000-0005-0000-0000-0000BA440000}"/>
    <cellStyle name="Normal 7 2 2 2 3 4" xfId="6677" xr:uid="{00000000-0005-0000-0000-0000BB440000}"/>
    <cellStyle name="Normal 7 2 2 2 3 4 2" xfId="15761" xr:uid="{00000000-0005-0000-0000-0000BC440000}"/>
    <cellStyle name="Normal 7 2 2 2 3 5" xfId="10420" xr:uid="{00000000-0005-0000-0000-0000BD440000}"/>
    <cellStyle name="Normal 7 2 2 2 3 5 2" xfId="19247" xr:uid="{00000000-0005-0000-0000-0000BE440000}"/>
    <cellStyle name="Normal 7 2 2 2 3 6" xfId="11866" xr:uid="{00000000-0005-0000-0000-0000BF440000}"/>
    <cellStyle name="Normal 7 2 2 2 3 7" xfId="5155" xr:uid="{00000000-0005-0000-0000-0000C0440000}"/>
    <cellStyle name="Normal 7 2 2 2 4" xfId="1651" xr:uid="{00000000-0005-0000-0000-0000C1440000}"/>
    <cellStyle name="Normal 7 2 2 2 4 2" xfId="3247" xr:uid="{00000000-0005-0000-0000-0000C2440000}"/>
    <cellStyle name="Normal 7 2 2 2 4 2 2" xfId="16796" xr:uid="{00000000-0005-0000-0000-0000C3440000}"/>
    <cellStyle name="Normal 7 2 2 2 4 2 3" xfId="13217" xr:uid="{00000000-0005-0000-0000-0000C4440000}"/>
    <cellStyle name="Normal 7 2 2 2 4 2 4" xfId="7928" xr:uid="{00000000-0005-0000-0000-0000C5440000}"/>
    <cellStyle name="Normal 7 2 2 2 4 3" xfId="4314" xr:uid="{00000000-0005-0000-0000-0000C6440000}"/>
    <cellStyle name="Normal 7 2 2 2 4 3 2" xfId="18160" xr:uid="{00000000-0005-0000-0000-0000C7440000}"/>
    <cellStyle name="Normal 7 2 2 2 4 3 3" xfId="14581" xr:uid="{00000000-0005-0000-0000-0000C8440000}"/>
    <cellStyle name="Normal 7 2 2 2 4 3 4" xfId="9324" xr:uid="{00000000-0005-0000-0000-0000C9440000}"/>
    <cellStyle name="Normal 7 2 2 2 4 4" xfId="6016" xr:uid="{00000000-0005-0000-0000-0000CA440000}"/>
    <cellStyle name="Normal 7 2 2 2 4 4 2" xfId="15102" xr:uid="{00000000-0005-0000-0000-0000CB440000}"/>
    <cellStyle name="Normal 7 2 2 2 4 5" xfId="10778" xr:uid="{00000000-0005-0000-0000-0000CC440000}"/>
    <cellStyle name="Normal 7 2 2 2 4 5 2" xfId="19605" xr:uid="{00000000-0005-0000-0000-0000CD440000}"/>
    <cellStyle name="Normal 7 2 2 2 4 6" xfId="12224" xr:uid="{00000000-0005-0000-0000-0000CE440000}"/>
    <cellStyle name="Normal 7 2 2 2 4 7" xfId="5522" xr:uid="{00000000-0005-0000-0000-0000CF440000}"/>
    <cellStyle name="Normal 7 2 2 2 5" xfId="2204" xr:uid="{00000000-0005-0000-0000-0000D0440000}"/>
    <cellStyle name="Normal 7 2 2 2 5 2" xfId="15945" xr:uid="{00000000-0005-0000-0000-0000D1440000}"/>
    <cellStyle name="Normal 7 2 2 2 5 3" xfId="12507" xr:uid="{00000000-0005-0000-0000-0000D2440000}"/>
    <cellStyle name="Normal 7 2 2 2 5 4" xfId="6902" xr:uid="{00000000-0005-0000-0000-0000D3440000}"/>
    <cellStyle name="Normal 7 2 2 2 6" xfId="3476" xr:uid="{00000000-0005-0000-0000-0000D4440000}"/>
    <cellStyle name="Normal 7 2 2 2 6 2" xfId="17117" xr:uid="{00000000-0005-0000-0000-0000D5440000}"/>
    <cellStyle name="Normal 7 2 2 2 6 3" xfId="13538" xr:uid="{00000000-0005-0000-0000-0000D6440000}"/>
    <cellStyle name="Normal 7 2 2 2 6 4" xfId="8281" xr:uid="{00000000-0005-0000-0000-0000D7440000}"/>
    <cellStyle name="Normal 7 2 2 2 7" xfId="5842" xr:uid="{00000000-0005-0000-0000-0000D8440000}"/>
    <cellStyle name="Normal 7 2 2 2 7 2" xfId="14928" xr:uid="{00000000-0005-0000-0000-0000D9440000}"/>
    <cellStyle name="Normal 7 2 2 2 8" xfId="9735" xr:uid="{00000000-0005-0000-0000-0000DA440000}"/>
    <cellStyle name="Normal 7 2 2 2 8 2" xfId="18562" xr:uid="{00000000-0005-0000-0000-0000DB440000}"/>
    <cellStyle name="Normal 7 2 2 2 9" xfId="11179" xr:uid="{00000000-0005-0000-0000-0000DC440000}"/>
    <cellStyle name="Normal 7 2 2 2_Degree data" xfId="1795" xr:uid="{00000000-0005-0000-0000-0000DD440000}"/>
    <cellStyle name="Normal 7 2 2 3" xfId="332" xr:uid="{00000000-0005-0000-0000-0000DE440000}"/>
    <cellStyle name="Normal 7 2 2 3 2" xfId="822" xr:uid="{00000000-0005-0000-0000-0000DF440000}"/>
    <cellStyle name="Normal 7 2 2 3 2 2" xfId="2542" xr:uid="{00000000-0005-0000-0000-0000E0440000}"/>
    <cellStyle name="Normal 7 2 2 3 2 2 2" xfId="16430" xr:uid="{00000000-0005-0000-0000-0000E1440000}"/>
    <cellStyle name="Normal 7 2 2 3 2 2 3" xfId="12852" xr:uid="{00000000-0005-0000-0000-0000E2440000}"/>
    <cellStyle name="Normal 7 2 2 3 2 2 4" xfId="7562" xr:uid="{00000000-0005-0000-0000-0000E3440000}"/>
    <cellStyle name="Normal 7 2 2 3 2 3" xfId="3810" xr:uid="{00000000-0005-0000-0000-0000E4440000}"/>
    <cellStyle name="Normal 7 2 2 3 2 3 2" xfId="17455" xr:uid="{00000000-0005-0000-0000-0000E5440000}"/>
    <cellStyle name="Normal 7 2 2 3 2 3 3" xfId="13876" xr:uid="{00000000-0005-0000-0000-0000E6440000}"/>
    <cellStyle name="Normal 7 2 2 3 2 3 4" xfId="8619" xr:uid="{00000000-0005-0000-0000-0000E7440000}"/>
    <cellStyle name="Normal 7 2 2 3 2 4" xfId="6678" xr:uid="{00000000-0005-0000-0000-0000E8440000}"/>
    <cellStyle name="Normal 7 2 2 3 2 4 2" xfId="15762" xr:uid="{00000000-0005-0000-0000-0000E9440000}"/>
    <cellStyle name="Normal 7 2 2 3 2 5" xfId="10073" xr:uid="{00000000-0005-0000-0000-0000EA440000}"/>
    <cellStyle name="Normal 7 2 2 3 2 5 2" xfId="18900" xr:uid="{00000000-0005-0000-0000-0000EB440000}"/>
    <cellStyle name="Normal 7 2 2 3 2 6" xfId="11519" xr:uid="{00000000-0005-0000-0000-0000EC440000}"/>
    <cellStyle name="Normal 7 2 2 3 2 7" xfId="5156" xr:uid="{00000000-0005-0000-0000-0000ED440000}"/>
    <cellStyle name="Normal 7 2 2 3 3" xfId="1170" xr:uid="{00000000-0005-0000-0000-0000EE440000}"/>
    <cellStyle name="Normal 7 2 2 3 3 2" xfId="2890" xr:uid="{00000000-0005-0000-0000-0000EF440000}"/>
    <cellStyle name="Normal 7 2 2 3 3 2 2" xfId="16692" xr:uid="{00000000-0005-0000-0000-0000F0440000}"/>
    <cellStyle name="Normal 7 2 2 3 3 2 3" xfId="13113" xr:uid="{00000000-0005-0000-0000-0000F1440000}"/>
    <cellStyle name="Normal 7 2 2 3 3 2 4" xfId="7824" xr:uid="{00000000-0005-0000-0000-0000F2440000}"/>
    <cellStyle name="Normal 7 2 2 3 3 3" xfId="4158" xr:uid="{00000000-0005-0000-0000-0000F3440000}"/>
    <cellStyle name="Normal 7 2 2 3 3 3 2" xfId="17803" xr:uid="{00000000-0005-0000-0000-0000F4440000}"/>
    <cellStyle name="Normal 7 2 2 3 3 3 3" xfId="14224" xr:uid="{00000000-0005-0000-0000-0000F5440000}"/>
    <cellStyle name="Normal 7 2 2 3 3 3 4" xfId="8967" xr:uid="{00000000-0005-0000-0000-0000F6440000}"/>
    <cellStyle name="Normal 7 2 2 3 3 4" xfId="6231" xr:uid="{00000000-0005-0000-0000-0000F7440000}"/>
    <cellStyle name="Normal 7 2 2 3 3 4 2" xfId="15315" xr:uid="{00000000-0005-0000-0000-0000F8440000}"/>
    <cellStyle name="Normal 7 2 2 3 3 5" xfId="10421" xr:uid="{00000000-0005-0000-0000-0000F9440000}"/>
    <cellStyle name="Normal 7 2 2 3 3 5 2" xfId="19248" xr:uid="{00000000-0005-0000-0000-0000FA440000}"/>
    <cellStyle name="Normal 7 2 2 3 3 6" xfId="11867" xr:uid="{00000000-0005-0000-0000-0000FB440000}"/>
    <cellStyle name="Normal 7 2 2 3 3 7" xfId="5418" xr:uid="{00000000-0005-0000-0000-0000FC440000}"/>
    <cellStyle name="Normal 7 2 2 3 4" xfId="1544" xr:uid="{00000000-0005-0000-0000-0000FD440000}"/>
    <cellStyle name="Normal 7 2 2 3 4 2" xfId="3143" xr:uid="{00000000-0005-0000-0000-0000FE440000}"/>
    <cellStyle name="Normal 7 2 2 3 4 2 2" xfId="18056" xr:uid="{00000000-0005-0000-0000-0000FF440000}"/>
    <cellStyle name="Normal 7 2 2 3 4 2 3" xfId="14477" xr:uid="{00000000-0005-0000-0000-000000450000}"/>
    <cellStyle name="Normal 7 2 2 3 4 2 4" xfId="9220" xr:uid="{00000000-0005-0000-0000-000001450000}"/>
    <cellStyle name="Normal 7 2 2 3 4 3" xfId="10674" xr:uid="{00000000-0005-0000-0000-000002450000}"/>
    <cellStyle name="Normal 7 2 2 3 4 3 2" xfId="19501" xr:uid="{00000000-0005-0000-0000-000003450000}"/>
    <cellStyle name="Normal 7 2 2 3 4 4" xfId="12120" xr:uid="{00000000-0005-0000-0000-000004450000}"/>
    <cellStyle name="Normal 7 2 2 3 4 5" xfId="7115" xr:uid="{00000000-0005-0000-0000-000005450000}"/>
    <cellStyle name="Normal 7 2 2 3 5" xfId="2100" xr:uid="{00000000-0005-0000-0000-000006450000}"/>
    <cellStyle name="Normal 7 2 2 3 5 2" xfId="17013" xr:uid="{00000000-0005-0000-0000-000007450000}"/>
    <cellStyle name="Normal 7 2 2 3 5 3" xfId="13434" xr:uid="{00000000-0005-0000-0000-000008450000}"/>
    <cellStyle name="Normal 7 2 2 3 5 4" xfId="8177" xr:uid="{00000000-0005-0000-0000-000009450000}"/>
    <cellStyle name="Normal 7 2 2 3 6" xfId="5738" xr:uid="{00000000-0005-0000-0000-00000A450000}"/>
    <cellStyle name="Normal 7 2 2 3 6 2" xfId="14824" xr:uid="{00000000-0005-0000-0000-00000B450000}"/>
    <cellStyle name="Normal 7 2 2 3 7" xfId="9631" xr:uid="{00000000-0005-0000-0000-00000C450000}"/>
    <cellStyle name="Normal 7 2 2 3 7 2" xfId="18458" xr:uid="{00000000-0005-0000-0000-00000D450000}"/>
    <cellStyle name="Normal 7 2 2 3 8" xfId="11075" xr:uid="{00000000-0005-0000-0000-00000E450000}"/>
    <cellStyle name="Normal 7 2 2 3 9" xfId="4709" xr:uid="{00000000-0005-0000-0000-00000F450000}"/>
    <cellStyle name="Normal 7 2 2 3_Degree data" xfId="1796" xr:uid="{00000000-0005-0000-0000-000010450000}"/>
    <cellStyle name="Normal 7 2 2 4" xfId="820" xr:uid="{00000000-0005-0000-0000-000011450000}"/>
    <cellStyle name="Normal 7 2 2 4 2" xfId="2540" xr:uid="{00000000-0005-0000-0000-000012450000}"/>
    <cellStyle name="Normal 7 2 2 4 2 2" xfId="16029" xr:uid="{00000000-0005-0000-0000-000013450000}"/>
    <cellStyle name="Normal 7 2 2 4 2 3" xfId="12466" xr:uid="{00000000-0005-0000-0000-000014450000}"/>
    <cellStyle name="Normal 7 2 2 4 2 4" xfId="7015" xr:uid="{00000000-0005-0000-0000-000015450000}"/>
    <cellStyle name="Normal 7 2 2 4 3" xfId="3808" xr:uid="{00000000-0005-0000-0000-000016450000}"/>
    <cellStyle name="Normal 7 2 2 4 3 2" xfId="17453" xr:uid="{00000000-0005-0000-0000-000017450000}"/>
    <cellStyle name="Normal 7 2 2 4 3 3" xfId="13874" xr:uid="{00000000-0005-0000-0000-000018450000}"/>
    <cellStyle name="Normal 7 2 2 4 3 4" xfId="8617" xr:uid="{00000000-0005-0000-0000-000019450000}"/>
    <cellStyle name="Normal 7 2 2 4 4" xfId="6131" xr:uid="{00000000-0005-0000-0000-00001A450000}"/>
    <cellStyle name="Normal 7 2 2 4 4 2" xfId="15215" xr:uid="{00000000-0005-0000-0000-00001B450000}"/>
    <cellStyle name="Normal 7 2 2 4 5" xfId="10071" xr:uid="{00000000-0005-0000-0000-00001C450000}"/>
    <cellStyle name="Normal 7 2 2 4 5 2" xfId="18898" xr:uid="{00000000-0005-0000-0000-00001D450000}"/>
    <cellStyle name="Normal 7 2 2 4 6" xfId="11517" xr:uid="{00000000-0005-0000-0000-00001E450000}"/>
    <cellStyle name="Normal 7 2 2 4 7" xfId="4609" xr:uid="{00000000-0005-0000-0000-00001F450000}"/>
    <cellStyle name="Normal 7 2 2 5" xfId="1168" xr:uid="{00000000-0005-0000-0000-000020450000}"/>
    <cellStyle name="Normal 7 2 2 5 2" xfId="2888" xr:uid="{00000000-0005-0000-0000-000021450000}"/>
    <cellStyle name="Normal 7 2 2 5 2 2" xfId="16428" xr:uid="{00000000-0005-0000-0000-000022450000}"/>
    <cellStyle name="Normal 7 2 2 5 2 3" xfId="12850" xr:uid="{00000000-0005-0000-0000-000023450000}"/>
    <cellStyle name="Normal 7 2 2 5 2 4" xfId="7560" xr:uid="{00000000-0005-0000-0000-000024450000}"/>
    <cellStyle name="Normal 7 2 2 5 3" xfId="4156" xr:uid="{00000000-0005-0000-0000-000025450000}"/>
    <cellStyle name="Normal 7 2 2 5 3 2" xfId="17801" xr:uid="{00000000-0005-0000-0000-000026450000}"/>
    <cellStyle name="Normal 7 2 2 5 3 3" xfId="14222" xr:uid="{00000000-0005-0000-0000-000027450000}"/>
    <cellStyle name="Normal 7 2 2 5 3 4" xfId="8965" xr:uid="{00000000-0005-0000-0000-000028450000}"/>
    <cellStyle name="Normal 7 2 2 5 4" xfId="6676" xr:uid="{00000000-0005-0000-0000-000029450000}"/>
    <cellStyle name="Normal 7 2 2 5 4 2" xfId="15760" xr:uid="{00000000-0005-0000-0000-00002A450000}"/>
    <cellStyle name="Normal 7 2 2 5 5" xfId="10419" xr:uid="{00000000-0005-0000-0000-00002B450000}"/>
    <cellStyle name="Normal 7 2 2 5 5 2" xfId="19246" xr:uid="{00000000-0005-0000-0000-00002C450000}"/>
    <cellStyle name="Normal 7 2 2 5 6" xfId="11865" xr:uid="{00000000-0005-0000-0000-00002D450000}"/>
    <cellStyle name="Normal 7 2 2 5 7" xfId="5154" xr:uid="{00000000-0005-0000-0000-00002E450000}"/>
    <cellStyle name="Normal 7 2 2 6" xfId="1442" xr:uid="{00000000-0005-0000-0000-00002F450000}"/>
    <cellStyle name="Normal 7 2 2 6 2" xfId="3043" xr:uid="{00000000-0005-0000-0000-000030450000}"/>
    <cellStyle name="Normal 7 2 2 6 2 2" xfId="16592" xr:uid="{00000000-0005-0000-0000-000031450000}"/>
    <cellStyle name="Normal 7 2 2 6 2 3" xfId="13013" xr:uid="{00000000-0005-0000-0000-000032450000}"/>
    <cellStyle name="Normal 7 2 2 6 2 4" xfId="7724" xr:uid="{00000000-0005-0000-0000-000033450000}"/>
    <cellStyle name="Normal 7 2 2 6 3" xfId="4251" xr:uid="{00000000-0005-0000-0000-000034450000}"/>
    <cellStyle name="Normal 7 2 2 6 3 2" xfId="17956" xr:uid="{00000000-0005-0000-0000-000035450000}"/>
    <cellStyle name="Normal 7 2 2 6 3 3" xfId="14377" xr:uid="{00000000-0005-0000-0000-000036450000}"/>
    <cellStyle name="Normal 7 2 2 6 3 4" xfId="9120" xr:uid="{00000000-0005-0000-0000-000037450000}"/>
    <cellStyle name="Normal 7 2 2 6 4" xfId="5912" xr:uid="{00000000-0005-0000-0000-000038450000}"/>
    <cellStyle name="Normal 7 2 2 6 4 2" xfId="14998" xr:uid="{00000000-0005-0000-0000-000039450000}"/>
    <cellStyle name="Normal 7 2 2 6 5" xfId="10574" xr:uid="{00000000-0005-0000-0000-00003A450000}"/>
    <cellStyle name="Normal 7 2 2 6 5 2" xfId="19401" xr:uid="{00000000-0005-0000-0000-00003B450000}"/>
    <cellStyle name="Normal 7 2 2 6 6" xfId="12020" xr:uid="{00000000-0005-0000-0000-00003C450000}"/>
    <cellStyle name="Normal 7 2 2 6 7" xfId="5318" xr:uid="{00000000-0005-0000-0000-00003D450000}"/>
    <cellStyle name="Normal 7 2 2 7" xfId="2000" xr:uid="{00000000-0005-0000-0000-00003E450000}"/>
    <cellStyle name="Normal 7 2 2 7 2" xfId="15844" xr:uid="{00000000-0005-0000-0000-00003F450000}"/>
    <cellStyle name="Normal 7 2 2 7 3" xfId="12437" xr:uid="{00000000-0005-0000-0000-000040450000}"/>
    <cellStyle name="Normal 7 2 2 7 4" xfId="6798" xr:uid="{00000000-0005-0000-0000-000041450000}"/>
    <cellStyle name="Normal 7 2 2 8" xfId="3413" xr:uid="{00000000-0005-0000-0000-000042450000}"/>
    <cellStyle name="Normal 7 2 2 8 2" xfId="16913" xr:uid="{00000000-0005-0000-0000-000043450000}"/>
    <cellStyle name="Normal 7 2 2 8 3" xfId="13334" xr:uid="{00000000-0005-0000-0000-000044450000}"/>
    <cellStyle name="Normal 7 2 2 8 4" xfId="8077" xr:uid="{00000000-0005-0000-0000-000045450000}"/>
    <cellStyle name="Normal 7 2 2 9" xfId="5638" xr:uid="{00000000-0005-0000-0000-000046450000}"/>
    <cellStyle name="Normal 7 2 2 9 2" xfId="14724" xr:uid="{00000000-0005-0000-0000-000047450000}"/>
    <cellStyle name="Normal 7 2 2_Degree data" xfId="1794" xr:uid="{00000000-0005-0000-0000-000048450000}"/>
    <cellStyle name="Normal 7 2 3" xfId="267" xr:uid="{00000000-0005-0000-0000-000049450000}"/>
    <cellStyle name="Normal 7 2 3 10" xfId="11018" xr:uid="{00000000-0005-0000-0000-00004A450000}"/>
    <cellStyle name="Normal 7 2 3 11" xfId="4435" xr:uid="{00000000-0005-0000-0000-00004B450000}"/>
    <cellStyle name="Normal 7 2 3 2" xfId="375" xr:uid="{00000000-0005-0000-0000-00004C450000}"/>
    <cellStyle name="Normal 7 2 3 2 2" xfId="824" xr:uid="{00000000-0005-0000-0000-00004D450000}"/>
    <cellStyle name="Normal 7 2 3 2 2 2" xfId="2544" xr:uid="{00000000-0005-0000-0000-00004E450000}"/>
    <cellStyle name="Normal 7 2 3 2 2 2 2" xfId="16432" xr:uid="{00000000-0005-0000-0000-00004F450000}"/>
    <cellStyle name="Normal 7 2 3 2 2 2 3" xfId="12854" xr:uid="{00000000-0005-0000-0000-000050450000}"/>
    <cellStyle name="Normal 7 2 3 2 2 2 4" xfId="7564" xr:uid="{00000000-0005-0000-0000-000051450000}"/>
    <cellStyle name="Normal 7 2 3 2 2 3" xfId="3812" xr:uid="{00000000-0005-0000-0000-000052450000}"/>
    <cellStyle name="Normal 7 2 3 2 2 3 2" xfId="17457" xr:uid="{00000000-0005-0000-0000-000053450000}"/>
    <cellStyle name="Normal 7 2 3 2 2 3 3" xfId="13878" xr:uid="{00000000-0005-0000-0000-000054450000}"/>
    <cellStyle name="Normal 7 2 3 2 2 3 4" xfId="8621" xr:uid="{00000000-0005-0000-0000-000055450000}"/>
    <cellStyle name="Normal 7 2 3 2 2 4" xfId="6680" xr:uid="{00000000-0005-0000-0000-000056450000}"/>
    <cellStyle name="Normal 7 2 3 2 2 4 2" xfId="15764" xr:uid="{00000000-0005-0000-0000-000057450000}"/>
    <cellStyle name="Normal 7 2 3 2 2 5" xfId="10075" xr:uid="{00000000-0005-0000-0000-000058450000}"/>
    <cellStyle name="Normal 7 2 3 2 2 5 2" xfId="18902" xr:uid="{00000000-0005-0000-0000-000059450000}"/>
    <cellStyle name="Normal 7 2 3 2 2 6" xfId="11521" xr:uid="{00000000-0005-0000-0000-00005A450000}"/>
    <cellStyle name="Normal 7 2 3 2 2 7" xfId="5158" xr:uid="{00000000-0005-0000-0000-00005B450000}"/>
    <cellStyle name="Normal 7 2 3 2 3" xfId="1172" xr:uid="{00000000-0005-0000-0000-00005C450000}"/>
    <cellStyle name="Normal 7 2 3 2 3 2" xfId="2892" xr:uid="{00000000-0005-0000-0000-00005D450000}"/>
    <cellStyle name="Normal 7 2 3 2 3 2 2" xfId="16735" xr:uid="{00000000-0005-0000-0000-00005E450000}"/>
    <cellStyle name="Normal 7 2 3 2 3 2 3" xfId="13156" xr:uid="{00000000-0005-0000-0000-00005F450000}"/>
    <cellStyle name="Normal 7 2 3 2 3 2 4" xfId="7867" xr:uid="{00000000-0005-0000-0000-000060450000}"/>
    <cellStyle name="Normal 7 2 3 2 3 3" xfId="4160" xr:uid="{00000000-0005-0000-0000-000061450000}"/>
    <cellStyle name="Normal 7 2 3 2 3 3 2" xfId="17805" xr:uid="{00000000-0005-0000-0000-000062450000}"/>
    <cellStyle name="Normal 7 2 3 2 3 3 3" xfId="14226" xr:uid="{00000000-0005-0000-0000-000063450000}"/>
    <cellStyle name="Normal 7 2 3 2 3 3 4" xfId="8969" xr:uid="{00000000-0005-0000-0000-000064450000}"/>
    <cellStyle name="Normal 7 2 3 2 3 4" xfId="6274" xr:uid="{00000000-0005-0000-0000-000065450000}"/>
    <cellStyle name="Normal 7 2 3 2 3 4 2" xfId="15358" xr:uid="{00000000-0005-0000-0000-000066450000}"/>
    <cellStyle name="Normal 7 2 3 2 3 5" xfId="10423" xr:uid="{00000000-0005-0000-0000-000067450000}"/>
    <cellStyle name="Normal 7 2 3 2 3 5 2" xfId="19250" xr:uid="{00000000-0005-0000-0000-000068450000}"/>
    <cellStyle name="Normal 7 2 3 2 3 6" xfId="11869" xr:uid="{00000000-0005-0000-0000-000069450000}"/>
    <cellStyle name="Normal 7 2 3 2 3 7" xfId="5461" xr:uid="{00000000-0005-0000-0000-00006A450000}"/>
    <cellStyle name="Normal 7 2 3 2 4" xfId="1589" xr:uid="{00000000-0005-0000-0000-00006B450000}"/>
    <cellStyle name="Normal 7 2 3 2 4 2" xfId="3186" xr:uid="{00000000-0005-0000-0000-00006C450000}"/>
    <cellStyle name="Normal 7 2 3 2 4 2 2" xfId="18099" xr:uid="{00000000-0005-0000-0000-00006D450000}"/>
    <cellStyle name="Normal 7 2 3 2 4 2 3" xfId="14520" xr:uid="{00000000-0005-0000-0000-00006E450000}"/>
    <cellStyle name="Normal 7 2 3 2 4 2 4" xfId="9263" xr:uid="{00000000-0005-0000-0000-00006F450000}"/>
    <cellStyle name="Normal 7 2 3 2 4 3" xfId="10717" xr:uid="{00000000-0005-0000-0000-000070450000}"/>
    <cellStyle name="Normal 7 2 3 2 4 3 2" xfId="19544" xr:uid="{00000000-0005-0000-0000-000071450000}"/>
    <cellStyle name="Normal 7 2 3 2 4 4" xfId="12163" xr:uid="{00000000-0005-0000-0000-000072450000}"/>
    <cellStyle name="Normal 7 2 3 2 4 5" xfId="7158" xr:uid="{00000000-0005-0000-0000-000073450000}"/>
    <cellStyle name="Normal 7 2 3 2 5" xfId="2143" xr:uid="{00000000-0005-0000-0000-000074450000}"/>
    <cellStyle name="Normal 7 2 3 2 5 2" xfId="17056" xr:uid="{00000000-0005-0000-0000-000075450000}"/>
    <cellStyle name="Normal 7 2 3 2 5 3" xfId="13477" xr:uid="{00000000-0005-0000-0000-000076450000}"/>
    <cellStyle name="Normal 7 2 3 2 5 4" xfId="8220" xr:uid="{00000000-0005-0000-0000-000077450000}"/>
    <cellStyle name="Normal 7 2 3 2 6" xfId="5781" xr:uid="{00000000-0005-0000-0000-000078450000}"/>
    <cellStyle name="Normal 7 2 3 2 6 2" xfId="14867" xr:uid="{00000000-0005-0000-0000-000079450000}"/>
    <cellStyle name="Normal 7 2 3 2 7" xfId="9674" xr:uid="{00000000-0005-0000-0000-00007A450000}"/>
    <cellStyle name="Normal 7 2 3 2 7 2" xfId="18501" xr:uid="{00000000-0005-0000-0000-00007B450000}"/>
    <cellStyle name="Normal 7 2 3 2 8" xfId="11118" xr:uid="{00000000-0005-0000-0000-00007C450000}"/>
    <cellStyle name="Normal 7 2 3 2 9" xfId="4752" xr:uid="{00000000-0005-0000-0000-00007D450000}"/>
    <cellStyle name="Normal 7 2 3 2_Degree data" xfId="1798" xr:uid="{00000000-0005-0000-0000-00007E450000}"/>
    <cellStyle name="Normal 7 2 3 3" xfId="823" xr:uid="{00000000-0005-0000-0000-00007F450000}"/>
    <cellStyle name="Normal 7 2 3 3 2" xfId="2543" xr:uid="{00000000-0005-0000-0000-000080450000}"/>
    <cellStyle name="Normal 7 2 3 3 2 2" xfId="16072" xr:uid="{00000000-0005-0000-0000-000081450000}"/>
    <cellStyle name="Normal 7 2 3 3 2 3" xfId="12449" xr:uid="{00000000-0005-0000-0000-000082450000}"/>
    <cellStyle name="Normal 7 2 3 3 2 4" xfId="7058" xr:uid="{00000000-0005-0000-0000-000083450000}"/>
    <cellStyle name="Normal 7 2 3 3 3" xfId="3811" xr:uid="{00000000-0005-0000-0000-000084450000}"/>
    <cellStyle name="Normal 7 2 3 3 3 2" xfId="17456" xr:uid="{00000000-0005-0000-0000-000085450000}"/>
    <cellStyle name="Normal 7 2 3 3 3 3" xfId="13877" xr:uid="{00000000-0005-0000-0000-000086450000}"/>
    <cellStyle name="Normal 7 2 3 3 3 4" xfId="8620" xr:uid="{00000000-0005-0000-0000-000087450000}"/>
    <cellStyle name="Normal 7 2 3 3 4" xfId="6174" xr:uid="{00000000-0005-0000-0000-000088450000}"/>
    <cellStyle name="Normal 7 2 3 3 4 2" xfId="15258" xr:uid="{00000000-0005-0000-0000-000089450000}"/>
    <cellStyle name="Normal 7 2 3 3 5" xfId="10074" xr:uid="{00000000-0005-0000-0000-00008A450000}"/>
    <cellStyle name="Normal 7 2 3 3 5 2" xfId="18901" xr:uid="{00000000-0005-0000-0000-00008B450000}"/>
    <cellStyle name="Normal 7 2 3 3 6" xfId="11520" xr:uid="{00000000-0005-0000-0000-00008C450000}"/>
    <cellStyle name="Normal 7 2 3 3 7" xfId="4652" xr:uid="{00000000-0005-0000-0000-00008D450000}"/>
    <cellStyle name="Normal 7 2 3 4" xfId="1171" xr:uid="{00000000-0005-0000-0000-00008E450000}"/>
    <cellStyle name="Normal 7 2 3 4 2" xfId="2891" xr:uid="{00000000-0005-0000-0000-00008F450000}"/>
    <cellStyle name="Normal 7 2 3 4 2 2" xfId="16431" xr:uid="{00000000-0005-0000-0000-000090450000}"/>
    <cellStyle name="Normal 7 2 3 4 2 3" xfId="12853" xr:uid="{00000000-0005-0000-0000-000091450000}"/>
    <cellStyle name="Normal 7 2 3 4 2 4" xfId="7563" xr:uid="{00000000-0005-0000-0000-000092450000}"/>
    <cellStyle name="Normal 7 2 3 4 3" xfId="4159" xr:uid="{00000000-0005-0000-0000-000093450000}"/>
    <cellStyle name="Normal 7 2 3 4 3 2" xfId="17804" xr:uid="{00000000-0005-0000-0000-000094450000}"/>
    <cellStyle name="Normal 7 2 3 4 3 3" xfId="14225" xr:uid="{00000000-0005-0000-0000-000095450000}"/>
    <cellStyle name="Normal 7 2 3 4 3 4" xfId="8968" xr:uid="{00000000-0005-0000-0000-000096450000}"/>
    <cellStyle name="Normal 7 2 3 4 4" xfId="6679" xr:uid="{00000000-0005-0000-0000-000097450000}"/>
    <cellStyle name="Normal 7 2 3 4 4 2" xfId="15763" xr:uid="{00000000-0005-0000-0000-000098450000}"/>
    <cellStyle name="Normal 7 2 3 4 5" xfId="10422" xr:uid="{00000000-0005-0000-0000-000099450000}"/>
    <cellStyle name="Normal 7 2 3 4 5 2" xfId="19249" xr:uid="{00000000-0005-0000-0000-00009A450000}"/>
    <cellStyle name="Normal 7 2 3 4 6" xfId="11868" xr:uid="{00000000-0005-0000-0000-00009B450000}"/>
    <cellStyle name="Normal 7 2 3 4 7" xfId="5157" xr:uid="{00000000-0005-0000-0000-00009C450000}"/>
    <cellStyle name="Normal 7 2 3 5" xfId="1487" xr:uid="{00000000-0005-0000-0000-00009D450000}"/>
    <cellStyle name="Normal 7 2 3 5 2" xfId="3086" xr:uid="{00000000-0005-0000-0000-00009E450000}"/>
    <cellStyle name="Normal 7 2 3 5 2 2" xfId="16635" xr:uid="{00000000-0005-0000-0000-00009F450000}"/>
    <cellStyle name="Normal 7 2 3 5 2 3" xfId="13056" xr:uid="{00000000-0005-0000-0000-0000A0450000}"/>
    <cellStyle name="Normal 7 2 3 5 2 4" xfId="7767" xr:uid="{00000000-0005-0000-0000-0000A1450000}"/>
    <cellStyle name="Normal 7 2 3 5 3" xfId="4294" xr:uid="{00000000-0005-0000-0000-0000A2450000}"/>
    <cellStyle name="Normal 7 2 3 5 3 2" xfId="17999" xr:uid="{00000000-0005-0000-0000-0000A3450000}"/>
    <cellStyle name="Normal 7 2 3 5 3 3" xfId="14420" xr:uid="{00000000-0005-0000-0000-0000A4450000}"/>
    <cellStyle name="Normal 7 2 3 5 3 4" xfId="9163" xr:uid="{00000000-0005-0000-0000-0000A5450000}"/>
    <cellStyle name="Normal 7 2 3 5 4" xfId="5955" xr:uid="{00000000-0005-0000-0000-0000A6450000}"/>
    <cellStyle name="Normal 7 2 3 5 4 2" xfId="15041" xr:uid="{00000000-0005-0000-0000-0000A7450000}"/>
    <cellStyle name="Normal 7 2 3 5 5" xfId="10617" xr:uid="{00000000-0005-0000-0000-0000A8450000}"/>
    <cellStyle name="Normal 7 2 3 5 5 2" xfId="19444" xr:uid="{00000000-0005-0000-0000-0000A9450000}"/>
    <cellStyle name="Normal 7 2 3 5 6" xfId="12063" xr:uid="{00000000-0005-0000-0000-0000AA450000}"/>
    <cellStyle name="Normal 7 2 3 5 7" xfId="5361" xr:uid="{00000000-0005-0000-0000-0000AB450000}"/>
    <cellStyle name="Normal 7 2 3 6" xfId="2043" xr:uid="{00000000-0005-0000-0000-0000AC450000}"/>
    <cellStyle name="Normal 7 2 3 6 2" xfId="15884" xr:uid="{00000000-0005-0000-0000-0000AD450000}"/>
    <cellStyle name="Normal 7 2 3 6 3" xfId="12361" xr:uid="{00000000-0005-0000-0000-0000AE450000}"/>
    <cellStyle name="Normal 7 2 3 6 4" xfId="6841" xr:uid="{00000000-0005-0000-0000-0000AF450000}"/>
    <cellStyle name="Normal 7 2 3 7" xfId="3456" xr:uid="{00000000-0005-0000-0000-0000B0450000}"/>
    <cellStyle name="Normal 7 2 3 7 2" xfId="16956" xr:uid="{00000000-0005-0000-0000-0000B1450000}"/>
    <cellStyle name="Normal 7 2 3 7 3" xfId="13377" xr:uid="{00000000-0005-0000-0000-0000B2450000}"/>
    <cellStyle name="Normal 7 2 3 7 4" xfId="8120" xr:uid="{00000000-0005-0000-0000-0000B3450000}"/>
    <cellStyle name="Normal 7 2 3 8" xfId="5681" xr:uid="{00000000-0005-0000-0000-0000B4450000}"/>
    <cellStyle name="Normal 7 2 3 8 2" xfId="14767" xr:uid="{00000000-0005-0000-0000-0000B5450000}"/>
    <cellStyle name="Normal 7 2 3 9" xfId="9574" xr:uid="{00000000-0005-0000-0000-0000B6450000}"/>
    <cellStyle name="Normal 7 2 3 9 2" xfId="18401" xr:uid="{00000000-0005-0000-0000-0000B7450000}"/>
    <cellStyle name="Normal 7 2 3_Degree data" xfId="1797" xr:uid="{00000000-0005-0000-0000-0000B8450000}"/>
    <cellStyle name="Normal 7 2 4" xfId="191" xr:uid="{00000000-0005-0000-0000-0000B9450000}"/>
    <cellStyle name="Normal 7 2 4 10" xfId="10945" xr:uid="{00000000-0005-0000-0000-0000BA450000}"/>
    <cellStyle name="Normal 7 2 4 11" xfId="4467" xr:uid="{00000000-0005-0000-0000-0000BB450000}"/>
    <cellStyle name="Normal 7 2 4 2" xfId="408" xr:uid="{00000000-0005-0000-0000-0000BC450000}"/>
    <cellStyle name="Normal 7 2 4 2 2" xfId="826" xr:uid="{00000000-0005-0000-0000-0000BD450000}"/>
    <cellStyle name="Normal 7 2 4 2 2 2" xfId="2546" xr:uid="{00000000-0005-0000-0000-0000BE450000}"/>
    <cellStyle name="Normal 7 2 4 2 2 2 2" xfId="16434" xr:uid="{00000000-0005-0000-0000-0000BF450000}"/>
    <cellStyle name="Normal 7 2 4 2 2 2 3" xfId="12856" xr:uid="{00000000-0005-0000-0000-0000C0450000}"/>
    <cellStyle name="Normal 7 2 4 2 2 2 4" xfId="7566" xr:uid="{00000000-0005-0000-0000-0000C1450000}"/>
    <cellStyle name="Normal 7 2 4 2 2 3" xfId="3814" xr:uid="{00000000-0005-0000-0000-0000C2450000}"/>
    <cellStyle name="Normal 7 2 4 2 2 3 2" xfId="17459" xr:uid="{00000000-0005-0000-0000-0000C3450000}"/>
    <cellStyle name="Normal 7 2 4 2 2 3 3" xfId="13880" xr:uid="{00000000-0005-0000-0000-0000C4450000}"/>
    <cellStyle name="Normal 7 2 4 2 2 3 4" xfId="8623" xr:uid="{00000000-0005-0000-0000-0000C5450000}"/>
    <cellStyle name="Normal 7 2 4 2 2 4" xfId="6682" xr:uid="{00000000-0005-0000-0000-0000C6450000}"/>
    <cellStyle name="Normal 7 2 4 2 2 4 2" xfId="15766" xr:uid="{00000000-0005-0000-0000-0000C7450000}"/>
    <cellStyle name="Normal 7 2 4 2 2 5" xfId="10077" xr:uid="{00000000-0005-0000-0000-0000C8450000}"/>
    <cellStyle name="Normal 7 2 4 2 2 5 2" xfId="18904" xr:uid="{00000000-0005-0000-0000-0000C9450000}"/>
    <cellStyle name="Normal 7 2 4 2 2 6" xfId="11523" xr:uid="{00000000-0005-0000-0000-0000CA450000}"/>
    <cellStyle name="Normal 7 2 4 2 2 7" xfId="5160" xr:uid="{00000000-0005-0000-0000-0000CB450000}"/>
    <cellStyle name="Normal 7 2 4 2 3" xfId="1174" xr:uid="{00000000-0005-0000-0000-0000CC450000}"/>
    <cellStyle name="Normal 7 2 4 2 3 2" xfId="2894" xr:uid="{00000000-0005-0000-0000-0000CD450000}"/>
    <cellStyle name="Normal 7 2 4 2 3 2 2" xfId="16767" xr:uid="{00000000-0005-0000-0000-0000CE450000}"/>
    <cellStyle name="Normal 7 2 4 2 3 2 3" xfId="13188" xr:uid="{00000000-0005-0000-0000-0000CF450000}"/>
    <cellStyle name="Normal 7 2 4 2 3 2 4" xfId="7899" xr:uid="{00000000-0005-0000-0000-0000D0450000}"/>
    <cellStyle name="Normal 7 2 4 2 3 3" xfId="4162" xr:uid="{00000000-0005-0000-0000-0000D1450000}"/>
    <cellStyle name="Normal 7 2 4 2 3 3 2" xfId="17807" xr:uid="{00000000-0005-0000-0000-0000D2450000}"/>
    <cellStyle name="Normal 7 2 4 2 3 3 3" xfId="14228" xr:uid="{00000000-0005-0000-0000-0000D3450000}"/>
    <cellStyle name="Normal 7 2 4 2 3 3 4" xfId="8971" xr:uid="{00000000-0005-0000-0000-0000D4450000}"/>
    <cellStyle name="Normal 7 2 4 2 3 4" xfId="6306" xr:uid="{00000000-0005-0000-0000-0000D5450000}"/>
    <cellStyle name="Normal 7 2 4 2 3 4 2" xfId="15390" xr:uid="{00000000-0005-0000-0000-0000D6450000}"/>
    <cellStyle name="Normal 7 2 4 2 3 5" xfId="10425" xr:uid="{00000000-0005-0000-0000-0000D7450000}"/>
    <cellStyle name="Normal 7 2 4 2 3 5 2" xfId="19252" xr:uid="{00000000-0005-0000-0000-0000D8450000}"/>
    <cellStyle name="Normal 7 2 4 2 3 6" xfId="11871" xr:uid="{00000000-0005-0000-0000-0000D9450000}"/>
    <cellStyle name="Normal 7 2 4 2 3 7" xfId="5493" xr:uid="{00000000-0005-0000-0000-0000DA450000}"/>
    <cellStyle name="Normal 7 2 4 2 4" xfId="1622" xr:uid="{00000000-0005-0000-0000-0000DB450000}"/>
    <cellStyle name="Normal 7 2 4 2 4 2" xfId="3218" xr:uid="{00000000-0005-0000-0000-0000DC450000}"/>
    <cellStyle name="Normal 7 2 4 2 4 2 2" xfId="18131" xr:uid="{00000000-0005-0000-0000-0000DD450000}"/>
    <cellStyle name="Normal 7 2 4 2 4 2 3" xfId="14552" xr:uid="{00000000-0005-0000-0000-0000DE450000}"/>
    <cellStyle name="Normal 7 2 4 2 4 2 4" xfId="9295" xr:uid="{00000000-0005-0000-0000-0000DF450000}"/>
    <cellStyle name="Normal 7 2 4 2 4 3" xfId="10749" xr:uid="{00000000-0005-0000-0000-0000E0450000}"/>
    <cellStyle name="Normal 7 2 4 2 4 3 2" xfId="19576" xr:uid="{00000000-0005-0000-0000-0000E1450000}"/>
    <cellStyle name="Normal 7 2 4 2 4 4" xfId="12195" xr:uid="{00000000-0005-0000-0000-0000E2450000}"/>
    <cellStyle name="Normal 7 2 4 2 4 5" xfId="7190" xr:uid="{00000000-0005-0000-0000-0000E3450000}"/>
    <cellStyle name="Normal 7 2 4 2 5" xfId="2175" xr:uid="{00000000-0005-0000-0000-0000E4450000}"/>
    <cellStyle name="Normal 7 2 4 2 5 2" xfId="17088" xr:uid="{00000000-0005-0000-0000-0000E5450000}"/>
    <cellStyle name="Normal 7 2 4 2 5 3" xfId="13509" xr:uid="{00000000-0005-0000-0000-0000E6450000}"/>
    <cellStyle name="Normal 7 2 4 2 5 4" xfId="8252" xr:uid="{00000000-0005-0000-0000-0000E7450000}"/>
    <cellStyle name="Normal 7 2 4 2 6" xfId="5813" xr:uid="{00000000-0005-0000-0000-0000E8450000}"/>
    <cellStyle name="Normal 7 2 4 2 6 2" xfId="14899" xr:uid="{00000000-0005-0000-0000-0000E9450000}"/>
    <cellStyle name="Normal 7 2 4 2 7" xfId="9706" xr:uid="{00000000-0005-0000-0000-0000EA450000}"/>
    <cellStyle name="Normal 7 2 4 2 7 2" xfId="18533" xr:uid="{00000000-0005-0000-0000-0000EB450000}"/>
    <cellStyle name="Normal 7 2 4 2 8" xfId="11150" xr:uid="{00000000-0005-0000-0000-0000EC450000}"/>
    <cellStyle name="Normal 7 2 4 2 9" xfId="4784" xr:uid="{00000000-0005-0000-0000-0000ED450000}"/>
    <cellStyle name="Normal 7 2 4 2_Degree data" xfId="1800" xr:uid="{00000000-0005-0000-0000-0000EE450000}"/>
    <cellStyle name="Normal 7 2 4 3" xfId="825" xr:uid="{00000000-0005-0000-0000-0000EF450000}"/>
    <cellStyle name="Normal 7 2 4 3 2" xfId="2545" xr:uid="{00000000-0005-0000-0000-0000F0450000}"/>
    <cellStyle name="Normal 7 2 4 3 2 2" xfId="15999" xr:uid="{00000000-0005-0000-0000-0000F1450000}"/>
    <cellStyle name="Normal 7 2 4 3 2 3" xfId="12269" xr:uid="{00000000-0005-0000-0000-0000F2450000}"/>
    <cellStyle name="Normal 7 2 4 3 2 4" xfId="6985" xr:uid="{00000000-0005-0000-0000-0000F3450000}"/>
    <cellStyle name="Normal 7 2 4 3 3" xfId="3813" xr:uid="{00000000-0005-0000-0000-0000F4450000}"/>
    <cellStyle name="Normal 7 2 4 3 3 2" xfId="17458" xr:uid="{00000000-0005-0000-0000-0000F5450000}"/>
    <cellStyle name="Normal 7 2 4 3 3 3" xfId="13879" xr:uid="{00000000-0005-0000-0000-0000F6450000}"/>
    <cellStyle name="Normal 7 2 4 3 3 4" xfId="8622" xr:uid="{00000000-0005-0000-0000-0000F7450000}"/>
    <cellStyle name="Normal 7 2 4 3 4" xfId="6101" xr:uid="{00000000-0005-0000-0000-0000F8450000}"/>
    <cellStyle name="Normal 7 2 4 3 4 2" xfId="15185" xr:uid="{00000000-0005-0000-0000-0000F9450000}"/>
    <cellStyle name="Normal 7 2 4 3 5" xfId="10076" xr:uid="{00000000-0005-0000-0000-0000FA450000}"/>
    <cellStyle name="Normal 7 2 4 3 5 2" xfId="18903" xr:uid="{00000000-0005-0000-0000-0000FB450000}"/>
    <cellStyle name="Normal 7 2 4 3 6" xfId="11522" xr:uid="{00000000-0005-0000-0000-0000FC450000}"/>
    <cellStyle name="Normal 7 2 4 3 7" xfId="4579" xr:uid="{00000000-0005-0000-0000-0000FD450000}"/>
    <cellStyle name="Normal 7 2 4 4" xfId="1173" xr:uid="{00000000-0005-0000-0000-0000FE450000}"/>
    <cellStyle name="Normal 7 2 4 4 2" xfId="2893" xr:uid="{00000000-0005-0000-0000-0000FF450000}"/>
    <cellStyle name="Normal 7 2 4 4 2 2" xfId="16433" xr:uid="{00000000-0005-0000-0000-000000460000}"/>
    <cellStyle name="Normal 7 2 4 4 2 3" xfId="12855" xr:uid="{00000000-0005-0000-0000-000001460000}"/>
    <cellStyle name="Normal 7 2 4 4 2 4" xfId="7565" xr:uid="{00000000-0005-0000-0000-000002460000}"/>
    <cellStyle name="Normal 7 2 4 4 3" xfId="4161" xr:uid="{00000000-0005-0000-0000-000003460000}"/>
    <cellStyle name="Normal 7 2 4 4 3 2" xfId="17806" xr:uid="{00000000-0005-0000-0000-000004460000}"/>
    <cellStyle name="Normal 7 2 4 4 3 3" xfId="14227" xr:uid="{00000000-0005-0000-0000-000005460000}"/>
    <cellStyle name="Normal 7 2 4 4 3 4" xfId="8970" xr:uid="{00000000-0005-0000-0000-000006460000}"/>
    <cellStyle name="Normal 7 2 4 4 4" xfId="6681" xr:uid="{00000000-0005-0000-0000-000007460000}"/>
    <cellStyle name="Normal 7 2 4 4 4 2" xfId="15765" xr:uid="{00000000-0005-0000-0000-000008460000}"/>
    <cellStyle name="Normal 7 2 4 4 5" xfId="10424" xr:uid="{00000000-0005-0000-0000-000009460000}"/>
    <cellStyle name="Normal 7 2 4 4 5 2" xfId="19251" xr:uid="{00000000-0005-0000-0000-00000A460000}"/>
    <cellStyle name="Normal 7 2 4 4 6" xfId="11870" xr:uid="{00000000-0005-0000-0000-00000B460000}"/>
    <cellStyle name="Normal 7 2 4 4 7" xfId="5159" xr:uid="{00000000-0005-0000-0000-00000C460000}"/>
    <cellStyle name="Normal 7 2 4 5" xfId="1408" xr:uid="{00000000-0005-0000-0000-00000D460000}"/>
    <cellStyle name="Normal 7 2 4 5 2" xfId="3013" xr:uid="{00000000-0005-0000-0000-00000E460000}"/>
    <cellStyle name="Normal 7 2 4 5 2 2" xfId="16562" xr:uid="{00000000-0005-0000-0000-00000F460000}"/>
    <cellStyle name="Normal 7 2 4 5 2 3" xfId="12983" xr:uid="{00000000-0005-0000-0000-000010460000}"/>
    <cellStyle name="Normal 7 2 4 5 2 4" xfId="7694" xr:uid="{00000000-0005-0000-0000-000011460000}"/>
    <cellStyle name="Normal 7 2 4 5 3" xfId="4221" xr:uid="{00000000-0005-0000-0000-000012460000}"/>
    <cellStyle name="Normal 7 2 4 5 3 2" xfId="17926" xr:uid="{00000000-0005-0000-0000-000013460000}"/>
    <cellStyle name="Normal 7 2 4 5 3 3" xfId="14347" xr:uid="{00000000-0005-0000-0000-000014460000}"/>
    <cellStyle name="Normal 7 2 4 5 3 4" xfId="9090" xr:uid="{00000000-0005-0000-0000-000015460000}"/>
    <cellStyle name="Normal 7 2 4 5 4" xfId="5987" xr:uid="{00000000-0005-0000-0000-000016460000}"/>
    <cellStyle name="Normal 7 2 4 5 4 2" xfId="15073" xr:uid="{00000000-0005-0000-0000-000017460000}"/>
    <cellStyle name="Normal 7 2 4 5 5" xfId="10544" xr:uid="{00000000-0005-0000-0000-000018460000}"/>
    <cellStyle name="Normal 7 2 4 5 5 2" xfId="19371" xr:uid="{00000000-0005-0000-0000-000019460000}"/>
    <cellStyle name="Normal 7 2 4 5 6" xfId="11990" xr:uid="{00000000-0005-0000-0000-00001A460000}"/>
    <cellStyle name="Normal 7 2 4 5 7" xfId="5288" xr:uid="{00000000-0005-0000-0000-00001B460000}"/>
    <cellStyle name="Normal 7 2 4 6" xfId="1970" xr:uid="{00000000-0005-0000-0000-00001C460000}"/>
    <cellStyle name="Normal 7 2 4 6 2" xfId="15916" xr:uid="{00000000-0005-0000-0000-00001D460000}"/>
    <cellStyle name="Normal 7 2 4 6 3" xfId="12354" xr:uid="{00000000-0005-0000-0000-00001E460000}"/>
    <cellStyle name="Normal 7 2 4 6 4" xfId="6873" xr:uid="{00000000-0005-0000-0000-00001F460000}"/>
    <cellStyle name="Normal 7 2 4 7" xfId="3384" xr:uid="{00000000-0005-0000-0000-000020460000}"/>
    <cellStyle name="Normal 7 2 4 7 2" xfId="16883" xr:uid="{00000000-0005-0000-0000-000021460000}"/>
    <cellStyle name="Normal 7 2 4 7 3" xfId="13304" xr:uid="{00000000-0005-0000-0000-000022460000}"/>
    <cellStyle name="Normal 7 2 4 7 4" xfId="8047" xr:uid="{00000000-0005-0000-0000-000023460000}"/>
    <cellStyle name="Normal 7 2 4 8" xfId="5608" xr:uid="{00000000-0005-0000-0000-000024460000}"/>
    <cellStyle name="Normal 7 2 4 8 2" xfId="14694" xr:uid="{00000000-0005-0000-0000-000025460000}"/>
    <cellStyle name="Normal 7 2 4 9" xfId="9501" xr:uid="{00000000-0005-0000-0000-000026460000}"/>
    <cellStyle name="Normal 7 2 4 9 2" xfId="18328" xr:uid="{00000000-0005-0000-0000-000027460000}"/>
    <cellStyle name="Normal 7 2 4_Degree data" xfId="1799" xr:uid="{00000000-0005-0000-0000-000028460000}"/>
    <cellStyle name="Normal 7 2 5" xfId="302" xr:uid="{00000000-0005-0000-0000-000029460000}"/>
    <cellStyle name="Normal 7 2 5 2" xfId="827" xr:uid="{00000000-0005-0000-0000-00002A460000}"/>
    <cellStyle name="Normal 7 2 5 2 2" xfId="2547" xr:uid="{00000000-0005-0000-0000-00002B460000}"/>
    <cellStyle name="Normal 7 2 5 2 2 2" xfId="16435" xr:uid="{00000000-0005-0000-0000-00002C460000}"/>
    <cellStyle name="Normal 7 2 5 2 2 3" xfId="12857" xr:uid="{00000000-0005-0000-0000-00002D460000}"/>
    <cellStyle name="Normal 7 2 5 2 2 4" xfId="7567" xr:uid="{00000000-0005-0000-0000-00002E460000}"/>
    <cellStyle name="Normal 7 2 5 2 3" xfId="3815" xr:uid="{00000000-0005-0000-0000-00002F460000}"/>
    <cellStyle name="Normal 7 2 5 2 3 2" xfId="17460" xr:uid="{00000000-0005-0000-0000-000030460000}"/>
    <cellStyle name="Normal 7 2 5 2 3 3" xfId="13881" xr:uid="{00000000-0005-0000-0000-000031460000}"/>
    <cellStyle name="Normal 7 2 5 2 3 4" xfId="8624" xr:uid="{00000000-0005-0000-0000-000032460000}"/>
    <cellStyle name="Normal 7 2 5 2 4" xfId="6683" xr:uid="{00000000-0005-0000-0000-000033460000}"/>
    <cellStyle name="Normal 7 2 5 2 4 2" xfId="15767" xr:uid="{00000000-0005-0000-0000-000034460000}"/>
    <cellStyle name="Normal 7 2 5 2 5" xfId="10078" xr:uid="{00000000-0005-0000-0000-000035460000}"/>
    <cellStyle name="Normal 7 2 5 2 5 2" xfId="18905" xr:uid="{00000000-0005-0000-0000-000036460000}"/>
    <cellStyle name="Normal 7 2 5 2 6" xfId="11524" xr:uid="{00000000-0005-0000-0000-000037460000}"/>
    <cellStyle name="Normal 7 2 5 2 7" xfId="5161" xr:uid="{00000000-0005-0000-0000-000038460000}"/>
    <cellStyle name="Normal 7 2 5 3" xfId="1175" xr:uid="{00000000-0005-0000-0000-000039460000}"/>
    <cellStyle name="Normal 7 2 5 3 2" xfId="2895" xr:uid="{00000000-0005-0000-0000-00003A460000}"/>
    <cellStyle name="Normal 7 2 5 3 2 2" xfId="16662" xr:uid="{00000000-0005-0000-0000-00003B460000}"/>
    <cellStyle name="Normal 7 2 5 3 2 3" xfId="13083" xr:uid="{00000000-0005-0000-0000-00003C460000}"/>
    <cellStyle name="Normal 7 2 5 3 2 4" xfId="7794" xr:uid="{00000000-0005-0000-0000-00003D460000}"/>
    <cellStyle name="Normal 7 2 5 3 3" xfId="4163" xr:uid="{00000000-0005-0000-0000-00003E460000}"/>
    <cellStyle name="Normal 7 2 5 3 3 2" xfId="17808" xr:uid="{00000000-0005-0000-0000-00003F460000}"/>
    <cellStyle name="Normal 7 2 5 3 3 3" xfId="14229" xr:uid="{00000000-0005-0000-0000-000040460000}"/>
    <cellStyle name="Normal 7 2 5 3 3 4" xfId="8972" xr:uid="{00000000-0005-0000-0000-000041460000}"/>
    <cellStyle name="Normal 7 2 5 3 4" xfId="6201" xr:uid="{00000000-0005-0000-0000-000042460000}"/>
    <cellStyle name="Normal 7 2 5 3 4 2" xfId="15285" xr:uid="{00000000-0005-0000-0000-000043460000}"/>
    <cellStyle name="Normal 7 2 5 3 5" xfId="10426" xr:uid="{00000000-0005-0000-0000-000044460000}"/>
    <cellStyle name="Normal 7 2 5 3 5 2" xfId="19253" xr:uid="{00000000-0005-0000-0000-000045460000}"/>
    <cellStyle name="Normal 7 2 5 3 6" xfId="11872" xr:uid="{00000000-0005-0000-0000-000046460000}"/>
    <cellStyle name="Normal 7 2 5 3 7" xfId="5388" xr:uid="{00000000-0005-0000-0000-000047460000}"/>
    <cellStyle name="Normal 7 2 5 4" xfId="1514" xr:uid="{00000000-0005-0000-0000-000048460000}"/>
    <cellStyle name="Normal 7 2 5 4 2" xfId="3113" xr:uid="{00000000-0005-0000-0000-000049460000}"/>
    <cellStyle name="Normal 7 2 5 4 2 2" xfId="18026" xr:uid="{00000000-0005-0000-0000-00004A460000}"/>
    <cellStyle name="Normal 7 2 5 4 2 3" xfId="14447" xr:uid="{00000000-0005-0000-0000-00004B460000}"/>
    <cellStyle name="Normal 7 2 5 4 2 4" xfId="9190" xr:uid="{00000000-0005-0000-0000-00004C460000}"/>
    <cellStyle name="Normal 7 2 5 4 3" xfId="10644" xr:uid="{00000000-0005-0000-0000-00004D460000}"/>
    <cellStyle name="Normal 7 2 5 4 3 2" xfId="19471" xr:uid="{00000000-0005-0000-0000-00004E460000}"/>
    <cellStyle name="Normal 7 2 5 4 4" xfId="12090" xr:uid="{00000000-0005-0000-0000-00004F460000}"/>
    <cellStyle name="Normal 7 2 5 4 5" xfId="7085" xr:uid="{00000000-0005-0000-0000-000050460000}"/>
    <cellStyle name="Normal 7 2 5 5" xfId="2070" xr:uid="{00000000-0005-0000-0000-000051460000}"/>
    <cellStyle name="Normal 7 2 5 5 2" xfId="16983" xr:uid="{00000000-0005-0000-0000-000052460000}"/>
    <cellStyle name="Normal 7 2 5 5 3" xfId="13404" xr:uid="{00000000-0005-0000-0000-000053460000}"/>
    <cellStyle name="Normal 7 2 5 5 4" xfId="8147" xr:uid="{00000000-0005-0000-0000-000054460000}"/>
    <cellStyle name="Normal 7 2 5 6" xfId="5708" xr:uid="{00000000-0005-0000-0000-000055460000}"/>
    <cellStyle name="Normal 7 2 5 6 2" xfId="14794" xr:uid="{00000000-0005-0000-0000-000056460000}"/>
    <cellStyle name="Normal 7 2 5 7" xfId="9601" xr:uid="{00000000-0005-0000-0000-000057460000}"/>
    <cellStyle name="Normal 7 2 5 7 2" xfId="18428" xr:uid="{00000000-0005-0000-0000-000058460000}"/>
    <cellStyle name="Normal 7 2 5 8" xfId="11045" xr:uid="{00000000-0005-0000-0000-000059460000}"/>
    <cellStyle name="Normal 7 2 5 9" xfId="4679" xr:uid="{00000000-0005-0000-0000-00005A460000}"/>
    <cellStyle name="Normal 7 2 5_Degree data" xfId="1801" xr:uid="{00000000-0005-0000-0000-00005B460000}"/>
    <cellStyle name="Normal 7 2 6" xfId="482" xr:uid="{00000000-0005-0000-0000-00005C460000}"/>
    <cellStyle name="Normal 7 2 6 2" xfId="828" xr:uid="{00000000-0005-0000-0000-00005D460000}"/>
    <cellStyle name="Normal 7 2 6 2 2" xfId="2548" xr:uid="{00000000-0005-0000-0000-00005E460000}"/>
    <cellStyle name="Normal 7 2 6 2 2 2" xfId="16436" xr:uid="{00000000-0005-0000-0000-00005F460000}"/>
    <cellStyle name="Normal 7 2 6 2 2 3" xfId="12858" xr:uid="{00000000-0005-0000-0000-000060460000}"/>
    <cellStyle name="Normal 7 2 6 2 2 4" xfId="7568" xr:uid="{00000000-0005-0000-0000-000061460000}"/>
    <cellStyle name="Normal 7 2 6 2 3" xfId="3816" xr:uid="{00000000-0005-0000-0000-000062460000}"/>
    <cellStyle name="Normal 7 2 6 2 3 2" xfId="17461" xr:uid="{00000000-0005-0000-0000-000063460000}"/>
    <cellStyle name="Normal 7 2 6 2 3 3" xfId="13882" xr:uid="{00000000-0005-0000-0000-000064460000}"/>
    <cellStyle name="Normal 7 2 6 2 3 4" xfId="8625" xr:uid="{00000000-0005-0000-0000-000065460000}"/>
    <cellStyle name="Normal 7 2 6 2 4" xfId="6684" xr:uid="{00000000-0005-0000-0000-000066460000}"/>
    <cellStyle name="Normal 7 2 6 2 4 2" xfId="15768" xr:uid="{00000000-0005-0000-0000-000067460000}"/>
    <cellStyle name="Normal 7 2 6 2 5" xfId="10079" xr:uid="{00000000-0005-0000-0000-000068460000}"/>
    <cellStyle name="Normal 7 2 6 2 5 2" xfId="18906" xr:uid="{00000000-0005-0000-0000-000069460000}"/>
    <cellStyle name="Normal 7 2 6 2 6" xfId="11525" xr:uid="{00000000-0005-0000-0000-00006A460000}"/>
    <cellStyle name="Normal 7 2 6 2 7" xfId="5162" xr:uid="{00000000-0005-0000-0000-00006B460000}"/>
    <cellStyle name="Normal 7 2 6 3" xfId="1176" xr:uid="{00000000-0005-0000-0000-00006C460000}"/>
    <cellStyle name="Normal 7 2 6 3 2" xfId="2896" xr:uid="{00000000-0005-0000-0000-00006D460000}"/>
    <cellStyle name="Normal 7 2 6 3 2 2" xfId="16535" xr:uid="{00000000-0005-0000-0000-00006E460000}"/>
    <cellStyle name="Normal 7 2 6 3 2 3" xfId="12956" xr:uid="{00000000-0005-0000-0000-00006F460000}"/>
    <cellStyle name="Normal 7 2 6 3 2 4" xfId="7667" xr:uid="{00000000-0005-0000-0000-000070460000}"/>
    <cellStyle name="Normal 7 2 6 3 3" xfId="4164" xr:uid="{00000000-0005-0000-0000-000071460000}"/>
    <cellStyle name="Normal 7 2 6 3 3 2" xfId="17809" xr:uid="{00000000-0005-0000-0000-000072460000}"/>
    <cellStyle name="Normal 7 2 6 3 3 3" xfId="14230" xr:uid="{00000000-0005-0000-0000-000073460000}"/>
    <cellStyle name="Normal 7 2 6 3 3 4" xfId="8973" xr:uid="{00000000-0005-0000-0000-000074460000}"/>
    <cellStyle name="Normal 7 2 6 3 4" xfId="6747" xr:uid="{00000000-0005-0000-0000-000075460000}"/>
    <cellStyle name="Normal 7 2 6 3 4 2" xfId="15830" xr:uid="{00000000-0005-0000-0000-000076460000}"/>
    <cellStyle name="Normal 7 2 6 3 5" xfId="10427" xr:uid="{00000000-0005-0000-0000-000077460000}"/>
    <cellStyle name="Normal 7 2 6 3 5 2" xfId="19254" xr:uid="{00000000-0005-0000-0000-000078460000}"/>
    <cellStyle name="Normal 7 2 6 3 6" xfId="11873" xr:uid="{00000000-0005-0000-0000-000079460000}"/>
    <cellStyle name="Normal 7 2 6 3 7" xfId="5261" xr:uid="{00000000-0005-0000-0000-00007A460000}"/>
    <cellStyle name="Normal 7 2 6 4" xfId="1377" xr:uid="{00000000-0005-0000-0000-00007B460000}"/>
    <cellStyle name="Normal 7 2 6 4 2" xfId="2986" xr:uid="{00000000-0005-0000-0000-00007C460000}"/>
    <cellStyle name="Normal 7 2 6 4 2 2" xfId="17899" xr:uid="{00000000-0005-0000-0000-00007D460000}"/>
    <cellStyle name="Normal 7 2 6 4 2 3" xfId="14320" xr:uid="{00000000-0005-0000-0000-00007E460000}"/>
    <cellStyle name="Normal 7 2 6 4 2 4" xfId="9063" xr:uid="{00000000-0005-0000-0000-00007F460000}"/>
    <cellStyle name="Normal 7 2 6 4 3" xfId="10517" xr:uid="{00000000-0005-0000-0000-000080460000}"/>
    <cellStyle name="Normal 7 2 6 4 3 2" xfId="19344" xr:uid="{00000000-0005-0000-0000-000081460000}"/>
    <cellStyle name="Normal 7 2 6 4 4" xfId="11963" xr:uid="{00000000-0005-0000-0000-000082460000}"/>
    <cellStyle name="Normal 7 2 6 4 5" xfId="6958" xr:uid="{00000000-0005-0000-0000-000083460000}"/>
    <cellStyle name="Normal 7 2 6 5" xfId="1943" xr:uid="{00000000-0005-0000-0000-000084460000}"/>
    <cellStyle name="Normal 7 2 6 5 2" xfId="16854" xr:uid="{00000000-0005-0000-0000-000085460000}"/>
    <cellStyle name="Normal 7 2 6 5 3" xfId="13275" xr:uid="{00000000-0005-0000-0000-000086460000}"/>
    <cellStyle name="Normal 7 2 6 5 4" xfId="8018" xr:uid="{00000000-0005-0000-0000-000087460000}"/>
    <cellStyle name="Normal 7 2 6 6" xfId="6074" xr:uid="{00000000-0005-0000-0000-000088460000}"/>
    <cellStyle name="Normal 7 2 6 6 2" xfId="15158" xr:uid="{00000000-0005-0000-0000-000089460000}"/>
    <cellStyle name="Normal 7 2 6 7" xfId="9474" xr:uid="{00000000-0005-0000-0000-00008A460000}"/>
    <cellStyle name="Normal 7 2 6 7 2" xfId="18301" xr:uid="{00000000-0005-0000-0000-00008B460000}"/>
    <cellStyle name="Normal 7 2 6 8" xfId="10918" xr:uid="{00000000-0005-0000-0000-00008C460000}"/>
    <cellStyle name="Normal 7 2 6 9" xfId="4552" xr:uid="{00000000-0005-0000-0000-00008D460000}"/>
    <cellStyle name="Normal 7 2 6_Degree data" xfId="1802" xr:uid="{00000000-0005-0000-0000-00008E460000}"/>
    <cellStyle name="Normal 7 2 7" xfId="819" xr:uid="{00000000-0005-0000-0000-00008F460000}"/>
    <cellStyle name="Normal 7 2 7 2" xfId="2539" xr:uid="{00000000-0005-0000-0000-000090460000}"/>
    <cellStyle name="Normal 7 2 7 2 2" xfId="16427" xr:uid="{00000000-0005-0000-0000-000091460000}"/>
    <cellStyle name="Normal 7 2 7 2 3" xfId="12849" xr:uid="{00000000-0005-0000-0000-000092460000}"/>
    <cellStyle name="Normal 7 2 7 2 4" xfId="7559" xr:uid="{00000000-0005-0000-0000-000093460000}"/>
    <cellStyle name="Normal 7 2 7 3" xfId="3807" xr:uid="{00000000-0005-0000-0000-000094460000}"/>
    <cellStyle name="Normal 7 2 7 3 2" xfId="17452" xr:uid="{00000000-0005-0000-0000-000095460000}"/>
    <cellStyle name="Normal 7 2 7 3 3" xfId="13873" xr:uid="{00000000-0005-0000-0000-000096460000}"/>
    <cellStyle name="Normal 7 2 7 3 4" xfId="8616" xr:uid="{00000000-0005-0000-0000-000097460000}"/>
    <cellStyle name="Normal 7 2 7 4" xfId="6675" xr:uid="{00000000-0005-0000-0000-000098460000}"/>
    <cellStyle name="Normal 7 2 7 4 2" xfId="15759" xr:uid="{00000000-0005-0000-0000-000099460000}"/>
    <cellStyle name="Normal 7 2 7 5" xfId="10070" xr:uid="{00000000-0005-0000-0000-00009A460000}"/>
    <cellStyle name="Normal 7 2 7 5 2" xfId="18897" xr:uid="{00000000-0005-0000-0000-00009B460000}"/>
    <cellStyle name="Normal 7 2 7 6" xfId="11516" xr:uid="{00000000-0005-0000-0000-00009C460000}"/>
    <cellStyle name="Normal 7 2 7 7" xfId="5153" xr:uid="{00000000-0005-0000-0000-00009D460000}"/>
    <cellStyle name="Normal 7 2 8" xfId="1167" xr:uid="{00000000-0005-0000-0000-00009E460000}"/>
    <cellStyle name="Normal 7 2 8 2" xfId="2887" xr:uid="{00000000-0005-0000-0000-00009F460000}"/>
    <cellStyle name="Normal 7 2 8 2 2" xfId="16490" xr:uid="{00000000-0005-0000-0000-0000A0460000}"/>
    <cellStyle name="Normal 7 2 8 2 3" xfId="12912" xr:uid="{00000000-0005-0000-0000-0000A1460000}"/>
    <cellStyle name="Normal 7 2 8 2 4" xfId="7622" xr:uid="{00000000-0005-0000-0000-0000A2460000}"/>
    <cellStyle name="Normal 7 2 8 3" xfId="4155" xr:uid="{00000000-0005-0000-0000-0000A3460000}"/>
    <cellStyle name="Normal 7 2 8 3 2" xfId="17800" xr:uid="{00000000-0005-0000-0000-0000A4460000}"/>
    <cellStyle name="Normal 7 2 8 3 3" xfId="14221" xr:uid="{00000000-0005-0000-0000-0000A5460000}"/>
    <cellStyle name="Normal 7 2 8 3 4" xfId="8964" xr:uid="{00000000-0005-0000-0000-0000A6460000}"/>
    <cellStyle name="Normal 7 2 8 4" xfId="5881" xr:uid="{00000000-0005-0000-0000-0000A7460000}"/>
    <cellStyle name="Normal 7 2 8 4 2" xfId="14967" xr:uid="{00000000-0005-0000-0000-0000A8460000}"/>
    <cellStyle name="Normal 7 2 8 5" xfId="10418" xr:uid="{00000000-0005-0000-0000-0000A9460000}"/>
    <cellStyle name="Normal 7 2 8 5 2" xfId="19245" xr:uid="{00000000-0005-0000-0000-0000AA460000}"/>
    <cellStyle name="Normal 7 2 8 6" xfId="11864" xr:uid="{00000000-0005-0000-0000-0000AB460000}"/>
    <cellStyle name="Normal 7 2 8 7" xfId="5216" xr:uid="{00000000-0005-0000-0000-0000AC460000}"/>
    <cellStyle name="Normal 7 2 9" xfId="1326" xr:uid="{00000000-0005-0000-0000-0000AD460000}"/>
    <cellStyle name="Normal 7 2 9 2" xfId="2941" xr:uid="{00000000-0005-0000-0000-0000AE460000}"/>
    <cellStyle name="Normal 7 2 9 2 2" xfId="17854" xr:uid="{00000000-0005-0000-0000-0000AF460000}"/>
    <cellStyle name="Normal 7 2 9 2 3" xfId="14275" xr:uid="{00000000-0005-0000-0000-0000B0460000}"/>
    <cellStyle name="Normal 7 2 9 2 4" xfId="9018" xr:uid="{00000000-0005-0000-0000-0000B1460000}"/>
    <cellStyle name="Normal 7 2 9 3" xfId="10472" xr:uid="{00000000-0005-0000-0000-0000B2460000}"/>
    <cellStyle name="Normal 7 2 9 3 2" xfId="19299" xr:uid="{00000000-0005-0000-0000-0000B3460000}"/>
    <cellStyle name="Normal 7 2 9 4" xfId="11918" xr:uid="{00000000-0005-0000-0000-0000B4460000}"/>
    <cellStyle name="Normal 7 2 9 5" xfId="6767" xr:uid="{00000000-0005-0000-0000-0000B5460000}"/>
    <cellStyle name="Normal 7 2_Degree data" xfId="1793" xr:uid="{00000000-0005-0000-0000-0000B6460000}"/>
    <cellStyle name="Normal 7 3" xfId="157" xr:uid="{00000000-0005-0000-0000-0000B7460000}"/>
    <cellStyle name="Normal 7 3 10" xfId="1906" xr:uid="{00000000-0005-0000-0000-0000B8460000}"/>
    <cellStyle name="Normal 7 3 10 2" xfId="9437" xr:uid="{00000000-0005-0000-0000-0000B9460000}"/>
    <cellStyle name="Normal 7 3 10 2 2" xfId="18264" xr:uid="{00000000-0005-0000-0000-0000BA460000}"/>
    <cellStyle name="Normal 7 3 10 3" xfId="10881" xr:uid="{00000000-0005-0000-0000-0000BB460000}"/>
    <cellStyle name="Normal 7 3 10 4" xfId="7981" xr:uid="{00000000-0005-0000-0000-0000BC460000}"/>
    <cellStyle name="Normal 7 3 11" xfId="1876" xr:uid="{00000000-0005-0000-0000-0000BD460000}"/>
    <cellStyle name="Normal 7 3 11 2" xfId="14675" xr:uid="{00000000-0005-0000-0000-0000BE460000}"/>
    <cellStyle name="Normal 7 3 11 3" xfId="5589" xr:uid="{00000000-0005-0000-0000-0000BF460000}"/>
    <cellStyle name="Normal 7 3 12" xfId="9407" xr:uid="{00000000-0005-0000-0000-0000C0460000}"/>
    <cellStyle name="Normal 7 3 12 2" xfId="18234" xr:uid="{00000000-0005-0000-0000-0000C1460000}"/>
    <cellStyle name="Normal 7 3 13" xfId="10851" xr:uid="{00000000-0005-0000-0000-0000C2460000}"/>
    <cellStyle name="Normal 7 3 14" xfId="4371" xr:uid="{00000000-0005-0000-0000-0000C3460000}"/>
    <cellStyle name="Normal 7 3 2" xfId="232" xr:uid="{00000000-0005-0000-0000-0000C4460000}"/>
    <cellStyle name="Normal 7 3 2 10" xfId="9539" xr:uid="{00000000-0005-0000-0000-0000C5460000}"/>
    <cellStyle name="Normal 7 3 2 10 2" xfId="18366" xr:uid="{00000000-0005-0000-0000-0000C6460000}"/>
    <cellStyle name="Normal 7 3 2 11" xfId="10983" xr:uid="{00000000-0005-0000-0000-0000C7460000}"/>
    <cellStyle name="Normal 7 3 2 12" xfId="4400" xr:uid="{00000000-0005-0000-0000-0000C8460000}"/>
    <cellStyle name="Normal 7 3 2 2" xfId="445" xr:uid="{00000000-0005-0000-0000-0000C9460000}"/>
    <cellStyle name="Normal 7 3 2 2 10" xfId="4504" xr:uid="{00000000-0005-0000-0000-0000CA460000}"/>
    <cellStyle name="Normal 7 3 2 2 2" xfId="831" xr:uid="{00000000-0005-0000-0000-0000CB460000}"/>
    <cellStyle name="Normal 7 3 2 2 2 2" xfId="2551" xr:uid="{00000000-0005-0000-0000-0000CC460000}"/>
    <cellStyle name="Normal 7 3 2 2 2 2 2" xfId="16096" xr:uid="{00000000-0005-0000-0000-0000CD460000}"/>
    <cellStyle name="Normal 7 3 2 2 2 2 3" xfId="12518" xr:uid="{00000000-0005-0000-0000-0000CE460000}"/>
    <cellStyle name="Normal 7 3 2 2 2 2 4" xfId="7227" xr:uid="{00000000-0005-0000-0000-0000CF460000}"/>
    <cellStyle name="Normal 7 3 2 2 2 3" xfId="3819" xr:uid="{00000000-0005-0000-0000-0000D0460000}"/>
    <cellStyle name="Normal 7 3 2 2 2 3 2" xfId="17464" xr:uid="{00000000-0005-0000-0000-0000D1460000}"/>
    <cellStyle name="Normal 7 3 2 2 2 3 3" xfId="13885" xr:uid="{00000000-0005-0000-0000-0000D2460000}"/>
    <cellStyle name="Normal 7 3 2 2 2 3 4" xfId="8628" xr:uid="{00000000-0005-0000-0000-0000D3460000}"/>
    <cellStyle name="Normal 7 3 2 2 2 4" xfId="6343" xr:uid="{00000000-0005-0000-0000-0000D4460000}"/>
    <cellStyle name="Normal 7 3 2 2 2 4 2" xfId="15427" xr:uid="{00000000-0005-0000-0000-0000D5460000}"/>
    <cellStyle name="Normal 7 3 2 2 2 5" xfId="10082" xr:uid="{00000000-0005-0000-0000-0000D6460000}"/>
    <cellStyle name="Normal 7 3 2 2 2 5 2" xfId="18909" xr:uid="{00000000-0005-0000-0000-0000D7460000}"/>
    <cellStyle name="Normal 7 3 2 2 2 6" xfId="11528" xr:uid="{00000000-0005-0000-0000-0000D8460000}"/>
    <cellStyle name="Normal 7 3 2 2 2 7" xfId="4821" xr:uid="{00000000-0005-0000-0000-0000D9460000}"/>
    <cellStyle name="Normal 7 3 2 2 3" xfId="1179" xr:uid="{00000000-0005-0000-0000-0000DA460000}"/>
    <cellStyle name="Normal 7 3 2 2 3 2" xfId="2899" xr:uid="{00000000-0005-0000-0000-0000DB460000}"/>
    <cellStyle name="Normal 7 3 2 2 3 2 2" xfId="16439" xr:uid="{00000000-0005-0000-0000-0000DC460000}"/>
    <cellStyle name="Normal 7 3 2 2 3 2 3" xfId="12861" xr:uid="{00000000-0005-0000-0000-0000DD460000}"/>
    <cellStyle name="Normal 7 3 2 2 3 2 4" xfId="7571" xr:uid="{00000000-0005-0000-0000-0000DE460000}"/>
    <cellStyle name="Normal 7 3 2 2 3 3" xfId="4167" xr:uid="{00000000-0005-0000-0000-0000DF460000}"/>
    <cellStyle name="Normal 7 3 2 2 3 3 2" xfId="17812" xr:uid="{00000000-0005-0000-0000-0000E0460000}"/>
    <cellStyle name="Normal 7 3 2 2 3 3 3" xfId="14233" xr:uid="{00000000-0005-0000-0000-0000E1460000}"/>
    <cellStyle name="Normal 7 3 2 2 3 3 4" xfId="8976" xr:uid="{00000000-0005-0000-0000-0000E2460000}"/>
    <cellStyle name="Normal 7 3 2 2 3 4" xfId="6687" xr:uid="{00000000-0005-0000-0000-0000E3460000}"/>
    <cellStyle name="Normal 7 3 2 2 3 4 2" xfId="15771" xr:uid="{00000000-0005-0000-0000-0000E4460000}"/>
    <cellStyle name="Normal 7 3 2 2 3 5" xfId="10430" xr:uid="{00000000-0005-0000-0000-0000E5460000}"/>
    <cellStyle name="Normal 7 3 2 2 3 5 2" xfId="19257" xr:uid="{00000000-0005-0000-0000-0000E6460000}"/>
    <cellStyle name="Normal 7 3 2 2 3 6" xfId="11876" xr:uid="{00000000-0005-0000-0000-0000E7460000}"/>
    <cellStyle name="Normal 7 3 2 2 3 7" xfId="5165" xr:uid="{00000000-0005-0000-0000-0000E8460000}"/>
    <cellStyle name="Normal 7 3 2 2 4" xfId="1659" xr:uid="{00000000-0005-0000-0000-0000E9460000}"/>
    <cellStyle name="Normal 7 3 2 2 4 2" xfId="3255" xr:uid="{00000000-0005-0000-0000-0000EA460000}"/>
    <cellStyle name="Normal 7 3 2 2 4 2 2" xfId="16804" xr:uid="{00000000-0005-0000-0000-0000EB460000}"/>
    <cellStyle name="Normal 7 3 2 2 4 2 3" xfId="13225" xr:uid="{00000000-0005-0000-0000-0000EC460000}"/>
    <cellStyle name="Normal 7 3 2 2 4 2 4" xfId="7936" xr:uid="{00000000-0005-0000-0000-0000ED460000}"/>
    <cellStyle name="Normal 7 3 2 2 4 3" xfId="4318" xr:uid="{00000000-0005-0000-0000-0000EE460000}"/>
    <cellStyle name="Normal 7 3 2 2 4 3 2" xfId="18168" xr:uid="{00000000-0005-0000-0000-0000EF460000}"/>
    <cellStyle name="Normal 7 3 2 2 4 3 3" xfId="14589" xr:uid="{00000000-0005-0000-0000-0000F0460000}"/>
    <cellStyle name="Normal 7 3 2 2 4 3 4" xfId="9332" xr:uid="{00000000-0005-0000-0000-0000F1460000}"/>
    <cellStyle name="Normal 7 3 2 2 4 4" xfId="6024" xr:uid="{00000000-0005-0000-0000-0000F2460000}"/>
    <cellStyle name="Normal 7 3 2 2 4 4 2" xfId="15110" xr:uid="{00000000-0005-0000-0000-0000F3460000}"/>
    <cellStyle name="Normal 7 3 2 2 4 5" xfId="10786" xr:uid="{00000000-0005-0000-0000-0000F4460000}"/>
    <cellStyle name="Normal 7 3 2 2 4 5 2" xfId="19613" xr:uid="{00000000-0005-0000-0000-0000F5460000}"/>
    <cellStyle name="Normal 7 3 2 2 4 6" xfId="12232" xr:uid="{00000000-0005-0000-0000-0000F6460000}"/>
    <cellStyle name="Normal 7 3 2 2 4 7" xfId="5530" xr:uid="{00000000-0005-0000-0000-0000F7460000}"/>
    <cellStyle name="Normal 7 3 2 2 5" xfId="2212" xr:uid="{00000000-0005-0000-0000-0000F8460000}"/>
    <cellStyle name="Normal 7 3 2 2 5 2" xfId="15953" xr:uid="{00000000-0005-0000-0000-0000F9460000}"/>
    <cellStyle name="Normal 7 3 2 2 5 3" xfId="12405" xr:uid="{00000000-0005-0000-0000-0000FA460000}"/>
    <cellStyle name="Normal 7 3 2 2 5 4" xfId="6910" xr:uid="{00000000-0005-0000-0000-0000FB460000}"/>
    <cellStyle name="Normal 7 3 2 2 6" xfId="3480" xr:uid="{00000000-0005-0000-0000-0000FC460000}"/>
    <cellStyle name="Normal 7 3 2 2 6 2" xfId="17125" xr:uid="{00000000-0005-0000-0000-0000FD460000}"/>
    <cellStyle name="Normal 7 3 2 2 6 3" xfId="13546" xr:uid="{00000000-0005-0000-0000-0000FE460000}"/>
    <cellStyle name="Normal 7 3 2 2 6 4" xfId="8289" xr:uid="{00000000-0005-0000-0000-0000FF460000}"/>
    <cellStyle name="Normal 7 3 2 2 7" xfId="5850" xr:uid="{00000000-0005-0000-0000-000000470000}"/>
    <cellStyle name="Normal 7 3 2 2 7 2" xfId="14936" xr:uid="{00000000-0005-0000-0000-000001470000}"/>
    <cellStyle name="Normal 7 3 2 2 8" xfId="9743" xr:uid="{00000000-0005-0000-0000-000002470000}"/>
    <cellStyle name="Normal 7 3 2 2 8 2" xfId="18570" xr:uid="{00000000-0005-0000-0000-000003470000}"/>
    <cellStyle name="Normal 7 3 2 2 9" xfId="11187" xr:uid="{00000000-0005-0000-0000-000004470000}"/>
    <cellStyle name="Normal 7 3 2 2_Degree data" xfId="1805" xr:uid="{00000000-0005-0000-0000-000005470000}"/>
    <cellStyle name="Normal 7 3 2 3" xfId="340" xr:uid="{00000000-0005-0000-0000-000006470000}"/>
    <cellStyle name="Normal 7 3 2 3 2" xfId="832" xr:uid="{00000000-0005-0000-0000-000007470000}"/>
    <cellStyle name="Normal 7 3 2 3 2 2" xfId="2552" xr:uid="{00000000-0005-0000-0000-000008470000}"/>
    <cellStyle name="Normal 7 3 2 3 2 2 2" xfId="16440" xr:uid="{00000000-0005-0000-0000-000009470000}"/>
    <cellStyle name="Normal 7 3 2 3 2 2 3" xfId="12862" xr:uid="{00000000-0005-0000-0000-00000A470000}"/>
    <cellStyle name="Normal 7 3 2 3 2 2 4" xfId="7572" xr:uid="{00000000-0005-0000-0000-00000B470000}"/>
    <cellStyle name="Normal 7 3 2 3 2 3" xfId="3820" xr:uid="{00000000-0005-0000-0000-00000C470000}"/>
    <cellStyle name="Normal 7 3 2 3 2 3 2" xfId="17465" xr:uid="{00000000-0005-0000-0000-00000D470000}"/>
    <cellStyle name="Normal 7 3 2 3 2 3 3" xfId="13886" xr:uid="{00000000-0005-0000-0000-00000E470000}"/>
    <cellStyle name="Normal 7 3 2 3 2 3 4" xfId="8629" xr:uid="{00000000-0005-0000-0000-00000F470000}"/>
    <cellStyle name="Normal 7 3 2 3 2 4" xfId="6688" xr:uid="{00000000-0005-0000-0000-000010470000}"/>
    <cellStyle name="Normal 7 3 2 3 2 4 2" xfId="15772" xr:uid="{00000000-0005-0000-0000-000011470000}"/>
    <cellStyle name="Normal 7 3 2 3 2 5" xfId="10083" xr:uid="{00000000-0005-0000-0000-000012470000}"/>
    <cellStyle name="Normal 7 3 2 3 2 5 2" xfId="18910" xr:uid="{00000000-0005-0000-0000-000013470000}"/>
    <cellStyle name="Normal 7 3 2 3 2 6" xfId="11529" xr:uid="{00000000-0005-0000-0000-000014470000}"/>
    <cellStyle name="Normal 7 3 2 3 2 7" xfId="5166" xr:uid="{00000000-0005-0000-0000-000015470000}"/>
    <cellStyle name="Normal 7 3 2 3 3" xfId="1180" xr:uid="{00000000-0005-0000-0000-000016470000}"/>
    <cellStyle name="Normal 7 3 2 3 3 2" xfId="2900" xr:uid="{00000000-0005-0000-0000-000017470000}"/>
    <cellStyle name="Normal 7 3 2 3 3 2 2" xfId="16700" xr:uid="{00000000-0005-0000-0000-000018470000}"/>
    <cellStyle name="Normal 7 3 2 3 3 2 3" xfId="13121" xr:uid="{00000000-0005-0000-0000-000019470000}"/>
    <cellStyle name="Normal 7 3 2 3 3 2 4" xfId="7832" xr:uid="{00000000-0005-0000-0000-00001A470000}"/>
    <cellStyle name="Normal 7 3 2 3 3 3" xfId="4168" xr:uid="{00000000-0005-0000-0000-00001B470000}"/>
    <cellStyle name="Normal 7 3 2 3 3 3 2" xfId="17813" xr:uid="{00000000-0005-0000-0000-00001C470000}"/>
    <cellStyle name="Normal 7 3 2 3 3 3 3" xfId="14234" xr:uid="{00000000-0005-0000-0000-00001D470000}"/>
    <cellStyle name="Normal 7 3 2 3 3 3 4" xfId="8977" xr:uid="{00000000-0005-0000-0000-00001E470000}"/>
    <cellStyle name="Normal 7 3 2 3 3 4" xfId="6239" xr:uid="{00000000-0005-0000-0000-00001F470000}"/>
    <cellStyle name="Normal 7 3 2 3 3 4 2" xfId="15323" xr:uid="{00000000-0005-0000-0000-000020470000}"/>
    <cellStyle name="Normal 7 3 2 3 3 5" xfId="10431" xr:uid="{00000000-0005-0000-0000-000021470000}"/>
    <cellStyle name="Normal 7 3 2 3 3 5 2" xfId="19258" xr:uid="{00000000-0005-0000-0000-000022470000}"/>
    <cellStyle name="Normal 7 3 2 3 3 6" xfId="11877" xr:uid="{00000000-0005-0000-0000-000023470000}"/>
    <cellStyle name="Normal 7 3 2 3 3 7" xfId="5426" xr:uid="{00000000-0005-0000-0000-000024470000}"/>
    <cellStyle name="Normal 7 3 2 3 4" xfId="1552" xr:uid="{00000000-0005-0000-0000-000025470000}"/>
    <cellStyle name="Normal 7 3 2 3 4 2" xfId="3151" xr:uid="{00000000-0005-0000-0000-000026470000}"/>
    <cellStyle name="Normal 7 3 2 3 4 2 2" xfId="18064" xr:uid="{00000000-0005-0000-0000-000027470000}"/>
    <cellStyle name="Normal 7 3 2 3 4 2 3" xfId="14485" xr:uid="{00000000-0005-0000-0000-000028470000}"/>
    <cellStyle name="Normal 7 3 2 3 4 2 4" xfId="9228" xr:uid="{00000000-0005-0000-0000-000029470000}"/>
    <cellStyle name="Normal 7 3 2 3 4 3" xfId="10682" xr:uid="{00000000-0005-0000-0000-00002A470000}"/>
    <cellStyle name="Normal 7 3 2 3 4 3 2" xfId="19509" xr:uid="{00000000-0005-0000-0000-00002B470000}"/>
    <cellStyle name="Normal 7 3 2 3 4 4" xfId="12128" xr:uid="{00000000-0005-0000-0000-00002C470000}"/>
    <cellStyle name="Normal 7 3 2 3 4 5" xfId="7123" xr:uid="{00000000-0005-0000-0000-00002D470000}"/>
    <cellStyle name="Normal 7 3 2 3 5" xfId="2108" xr:uid="{00000000-0005-0000-0000-00002E470000}"/>
    <cellStyle name="Normal 7 3 2 3 5 2" xfId="17021" xr:uid="{00000000-0005-0000-0000-00002F470000}"/>
    <cellStyle name="Normal 7 3 2 3 5 3" xfId="13442" xr:uid="{00000000-0005-0000-0000-000030470000}"/>
    <cellStyle name="Normal 7 3 2 3 5 4" xfId="8185" xr:uid="{00000000-0005-0000-0000-000031470000}"/>
    <cellStyle name="Normal 7 3 2 3 6" xfId="5746" xr:uid="{00000000-0005-0000-0000-000032470000}"/>
    <cellStyle name="Normal 7 3 2 3 6 2" xfId="14832" xr:uid="{00000000-0005-0000-0000-000033470000}"/>
    <cellStyle name="Normal 7 3 2 3 7" xfId="9639" xr:uid="{00000000-0005-0000-0000-000034470000}"/>
    <cellStyle name="Normal 7 3 2 3 7 2" xfId="18466" xr:uid="{00000000-0005-0000-0000-000035470000}"/>
    <cellStyle name="Normal 7 3 2 3 8" xfId="11083" xr:uid="{00000000-0005-0000-0000-000036470000}"/>
    <cellStyle name="Normal 7 3 2 3 9" xfId="4717" xr:uid="{00000000-0005-0000-0000-000037470000}"/>
    <cellStyle name="Normal 7 3 2 3_Degree data" xfId="1806" xr:uid="{00000000-0005-0000-0000-000038470000}"/>
    <cellStyle name="Normal 7 3 2 4" xfId="830" xr:uid="{00000000-0005-0000-0000-000039470000}"/>
    <cellStyle name="Normal 7 3 2 4 2" xfId="2550" xr:uid="{00000000-0005-0000-0000-00003A470000}"/>
    <cellStyle name="Normal 7 3 2 4 2 2" xfId="16037" xr:uid="{00000000-0005-0000-0000-00003B470000}"/>
    <cellStyle name="Normal 7 3 2 4 2 3" xfId="12386" xr:uid="{00000000-0005-0000-0000-00003C470000}"/>
    <cellStyle name="Normal 7 3 2 4 2 4" xfId="7023" xr:uid="{00000000-0005-0000-0000-00003D470000}"/>
    <cellStyle name="Normal 7 3 2 4 3" xfId="3818" xr:uid="{00000000-0005-0000-0000-00003E470000}"/>
    <cellStyle name="Normal 7 3 2 4 3 2" xfId="17463" xr:uid="{00000000-0005-0000-0000-00003F470000}"/>
    <cellStyle name="Normal 7 3 2 4 3 3" xfId="13884" xr:uid="{00000000-0005-0000-0000-000040470000}"/>
    <cellStyle name="Normal 7 3 2 4 3 4" xfId="8627" xr:uid="{00000000-0005-0000-0000-000041470000}"/>
    <cellStyle name="Normal 7 3 2 4 4" xfId="6139" xr:uid="{00000000-0005-0000-0000-000042470000}"/>
    <cellStyle name="Normal 7 3 2 4 4 2" xfId="15223" xr:uid="{00000000-0005-0000-0000-000043470000}"/>
    <cellStyle name="Normal 7 3 2 4 5" xfId="10081" xr:uid="{00000000-0005-0000-0000-000044470000}"/>
    <cellStyle name="Normal 7 3 2 4 5 2" xfId="18908" xr:uid="{00000000-0005-0000-0000-000045470000}"/>
    <cellStyle name="Normal 7 3 2 4 6" xfId="11527" xr:uid="{00000000-0005-0000-0000-000046470000}"/>
    <cellStyle name="Normal 7 3 2 4 7" xfId="4617" xr:uid="{00000000-0005-0000-0000-000047470000}"/>
    <cellStyle name="Normal 7 3 2 5" xfId="1178" xr:uid="{00000000-0005-0000-0000-000048470000}"/>
    <cellStyle name="Normal 7 3 2 5 2" xfId="2898" xr:uid="{00000000-0005-0000-0000-000049470000}"/>
    <cellStyle name="Normal 7 3 2 5 2 2" xfId="16438" xr:uid="{00000000-0005-0000-0000-00004A470000}"/>
    <cellStyle name="Normal 7 3 2 5 2 3" xfId="12860" xr:uid="{00000000-0005-0000-0000-00004B470000}"/>
    <cellStyle name="Normal 7 3 2 5 2 4" xfId="7570" xr:uid="{00000000-0005-0000-0000-00004C470000}"/>
    <cellStyle name="Normal 7 3 2 5 3" xfId="4166" xr:uid="{00000000-0005-0000-0000-00004D470000}"/>
    <cellStyle name="Normal 7 3 2 5 3 2" xfId="17811" xr:uid="{00000000-0005-0000-0000-00004E470000}"/>
    <cellStyle name="Normal 7 3 2 5 3 3" xfId="14232" xr:uid="{00000000-0005-0000-0000-00004F470000}"/>
    <cellStyle name="Normal 7 3 2 5 3 4" xfId="8975" xr:uid="{00000000-0005-0000-0000-000050470000}"/>
    <cellStyle name="Normal 7 3 2 5 4" xfId="6686" xr:uid="{00000000-0005-0000-0000-000051470000}"/>
    <cellStyle name="Normal 7 3 2 5 4 2" xfId="15770" xr:uid="{00000000-0005-0000-0000-000052470000}"/>
    <cellStyle name="Normal 7 3 2 5 5" xfId="10429" xr:uid="{00000000-0005-0000-0000-000053470000}"/>
    <cellStyle name="Normal 7 3 2 5 5 2" xfId="19256" xr:uid="{00000000-0005-0000-0000-000054470000}"/>
    <cellStyle name="Normal 7 3 2 5 6" xfId="11875" xr:uid="{00000000-0005-0000-0000-000055470000}"/>
    <cellStyle name="Normal 7 3 2 5 7" xfId="5164" xr:uid="{00000000-0005-0000-0000-000056470000}"/>
    <cellStyle name="Normal 7 3 2 6" xfId="1450" xr:uid="{00000000-0005-0000-0000-000057470000}"/>
    <cellStyle name="Normal 7 3 2 6 2" xfId="3051" xr:uid="{00000000-0005-0000-0000-000058470000}"/>
    <cellStyle name="Normal 7 3 2 6 2 2" xfId="16600" xr:uid="{00000000-0005-0000-0000-000059470000}"/>
    <cellStyle name="Normal 7 3 2 6 2 3" xfId="13021" xr:uid="{00000000-0005-0000-0000-00005A470000}"/>
    <cellStyle name="Normal 7 3 2 6 2 4" xfId="7732" xr:uid="{00000000-0005-0000-0000-00005B470000}"/>
    <cellStyle name="Normal 7 3 2 6 3" xfId="4259" xr:uid="{00000000-0005-0000-0000-00005C470000}"/>
    <cellStyle name="Normal 7 3 2 6 3 2" xfId="17964" xr:uid="{00000000-0005-0000-0000-00005D470000}"/>
    <cellStyle name="Normal 7 3 2 6 3 3" xfId="14385" xr:uid="{00000000-0005-0000-0000-00005E470000}"/>
    <cellStyle name="Normal 7 3 2 6 3 4" xfId="9128" xr:uid="{00000000-0005-0000-0000-00005F470000}"/>
    <cellStyle name="Normal 7 3 2 6 4" xfId="5920" xr:uid="{00000000-0005-0000-0000-000060470000}"/>
    <cellStyle name="Normal 7 3 2 6 4 2" xfId="15006" xr:uid="{00000000-0005-0000-0000-000061470000}"/>
    <cellStyle name="Normal 7 3 2 6 5" xfId="10582" xr:uid="{00000000-0005-0000-0000-000062470000}"/>
    <cellStyle name="Normal 7 3 2 6 5 2" xfId="19409" xr:uid="{00000000-0005-0000-0000-000063470000}"/>
    <cellStyle name="Normal 7 3 2 6 6" xfId="12028" xr:uid="{00000000-0005-0000-0000-000064470000}"/>
    <cellStyle name="Normal 7 3 2 6 7" xfId="5326" xr:uid="{00000000-0005-0000-0000-000065470000}"/>
    <cellStyle name="Normal 7 3 2 7" xfId="2008" xr:uid="{00000000-0005-0000-0000-000066470000}"/>
    <cellStyle name="Normal 7 3 2 7 2" xfId="15849" xr:uid="{00000000-0005-0000-0000-000067470000}"/>
    <cellStyle name="Normal 7 3 2 7 3" xfId="12426" xr:uid="{00000000-0005-0000-0000-000068470000}"/>
    <cellStyle name="Normal 7 3 2 7 4" xfId="6806" xr:uid="{00000000-0005-0000-0000-000069470000}"/>
    <cellStyle name="Normal 7 3 2 8" xfId="3421" xr:uid="{00000000-0005-0000-0000-00006A470000}"/>
    <cellStyle name="Normal 7 3 2 8 2" xfId="16921" xr:uid="{00000000-0005-0000-0000-00006B470000}"/>
    <cellStyle name="Normal 7 3 2 8 3" xfId="13342" xr:uid="{00000000-0005-0000-0000-00006C470000}"/>
    <cellStyle name="Normal 7 3 2 8 4" xfId="8085" xr:uid="{00000000-0005-0000-0000-00006D470000}"/>
    <cellStyle name="Normal 7 3 2 9" xfId="5646" xr:uid="{00000000-0005-0000-0000-00006E470000}"/>
    <cellStyle name="Normal 7 3 2 9 2" xfId="14732" xr:uid="{00000000-0005-0000-0000-00006F470000}"/>
    <cellStyle name="Normal 7 3 2_Degree data" xfId="1804" xr:uid="{00000000-0005-0000-0000-000070470000}"/>
    <cellStyle name="Normal 7 3 3" xfId="275" xr:uid="{00000000-0005-0000-0000-000071470000}"/>
    <cellStyle name="Normal 7 3 3 10" xfId="11026" xr:uid="{00000000-0005-0000-0000-000072470000}"/>
    <cellStyle name="Normal 7 3 3 11" xfId="4443" xr:uid="{00000000-0005-0000-0000-000073470000}"/>
    <cellStyle name="Normal 7 3 3 2" xfId="383" xr:uid="{00000000-0005-0000-0000-000074470000}"/>
    <cellStyle name="Normal 7 3 3 2 2" xfId="834" xr:uid="{00000000-0005-0000-0000-000075470000}"/>
    <cellStyle name="Normal 7 3 3 2 2 2" xfId="2554" xr:uid="{00000000-0005-0000-0000-000076470000}"/>
    <cellStyle name="Normal 7 3 3 2 2 2 2" xfId="16442" xr:uid="{00000000-0005-0000-0000-000077470000}"/>
    <cellStyle name="Normal 7 3 3 2 2 2 3" xfId="12864" xr:uid="{00000000-0005-0000-0000-000078470000}"/>
    <cellStyle name="Normal 7 3 3 2 2 2 4" xfId="7574" xr:uid="{00000000-0005-0000-0000-000079470000}"/>
    <cellStyle name="Normal 7 3 3 2 2 3" xfId="3822" xr:uid="{00000000-0005-0000-0000-00007A470000}"/>
    <cellStyle name="Normal 7 3 3 2 2 3 2" xfId="17467" xr:uid="{00000000-0005-0000-0000-00007B470000}"/>
    <cellStyle name="Normal 7 3 3 2 2 3 3" xfId="13888" xr:uid="{00000000-0005-0000-0000-00007C470000}"/>
    <cellStyle name="Normal 7 3 3 2 2 3 4" xfId="8631" xr:uid="{00000000-0005-0000-0000-00007D470000}"/>
    <cellStyle name="Normal 7 3 3 2 2 4" xfId="6690" xr:uid="{00000000-0005-0000-0000-00007E470000}"/>
    <cellStyle name="Normal 7 3 3 2 2 4 2" xfId="15774" xr:uid="{00000000-0005-0000-0000-00007F470000}"/>
    <cellStyle name="Normal 7 3 3 2 2 5" xfId="10085" xr:uid="{00000000-0005-0000-0000-000080470000}"/>
    <cellStyle name="Normal 7 3 3 2 2 5 2" xfId="18912" xr:uid="{00000000-0005-0000-0000-000081470000}"/>
    <cellStyle name="Normal 7 3 3 2 2 6" xfId="11531" xr:uid="{00000000-0005-0000-0000-000082470000}"/>
    <cellStyle name="Normal 7 3 3 2 2 7" xfId="5168" xr:uid="{00000000-0005-0000-0000-000083470000}"/>
    <cellStyle name="Normal 7 3 3 2 3" xfId="1182" xr:uid="{00000000-0005-0000-0000-000084470000}"/>
    <cellStyle name="Normal 7 3 3 2 3 2" xfId="2902" xr:uid="{00000000-0005-0000-0000-000085470000}"/>
    <cellStyle name="Normal 7 3 3 2 3 2 2" xfId="16743" xr:uid="{00000000-0005-0000-0000-000086470000}"/>
    <cellStyle name="Normal 7 3 3 2 3 2 3" xfId="13164" xr:uid="{00000000-0005-0000-0000-000087470000}"/>
    <cellStyle name="Normal 7 3 3 2 3 2 4" xfId="7875" xr:uid="{00000000-0005-0000-0000-000088470000}"/>
    <cellStyle name="Normal 7 3 3 2 3 3" xfId="4170" xr:uid="{00000000-0005-0000-0000-000089470000}"/>
    <cellStyle name="Normal 7 3 3 2 3 3 2" xfId="17815" xr:uid="{00000000-0005-0000-0000-00008A470000}"/>
    <cellStyle name="Normal 7 3 3 2 3 3 3" xfId="14236" xr:uid="{00000000-0005-0000-0000-00008B470000}"/>
    <cellStyle name="Normal 7 3 3 2 3 3 4" xfId="8979" xr:uid="{00000000-0005-0000-0000-00008C470000}"/>
    <cellStyle name="Normal 7 3 3 2 3 4" xfId="6282" xr:uid="{00000000-0005-0000-0000-00008D470000}"/>
    <cellStyle name="Normal 7 3 3 2 3 4 2" xfId="15366" xr:uid="{00000000-0005-0000-0000-00008E470000}"/>
    <cellStyle name="Normal 7 3 3 2 3 5" xfId="10433" xr:uid="{00000000-0005-0000-0000-00008F470000}"/>
    <cellStyle name="Normal 7 3 3 2 3 5 2" xfId="19260" xr:uid="{00000000-0005-0000-0000-000090470000}"/>
    <cellStyle name="Normal 7 3 3 2 3 6" xfId="11879" xr:uid="{00000000-0005-0000-0000-000091470000}"/>
    <cellStyle name="Normal 7 3 3 2 3 7" xfId="5469" xr:uid="{00000000-0005-0000-0000-000092470000}"/>
    <cellStyle name="Normal 7 3 3 2 4" xfId="1597" xr:uid="{00000000-0005-0000-0000-000093470000}"/>
    <cellStyle name="Normal 7 3 3 2 4 2" xfId="3194" xr:uid="{00000000-0005-0000-0000-000094470000}"/>
    <cellStyle name="Normal 7 3 3 2 4 2 2" xfId="18107" xr:uid="{00000000-0005-0000-0000-000095470000}"/>
    <cellStyle name="Normal 7 3 3 2 4 2 3" xfId="14528" xr:uid="{00000000-0005-0000-0000-000096470000}"/>
    <cellStyle name="Normal 7 3 3 2 4 2 4" xfId="9271" xr:uid="{00000000-0005-0000-0000-000097470000}"/>
    <cellStyle name="Normal 7 3 3 2 4 3" xfId="10725" xr:uid="{00000000-0005-0000-0000-000098470000}"/>
    <cellStyle name="Normal 7 3 3 2 4 3 2" xfId="19552" xr:uid="{00000000-0005-0000-0000-000099470000}"/>
    <cellStyle name="Normal 7 3 3 2 4 4" xfId="12171" xr:uid="{00000000-0005-0000-0000-00009A470000}"/>
    <cellStyle name="Normal 7 3 3 2 4 5" xfId="7166" xr:uid="{00000000-0005-0000-0000-00009B470000}"/>
    <cellStyle name="Normal 7 3 3 2 5" xfId="2151" xr:uid="{00000000-0005-0000-0000-00009C470000}"/>
    <cellStyle name="Normal 7 3 3 2 5 2" xfId="17064" xr:uid="{00000000-0005-0000-0000-00009D470000}"/>
    <cellStyle name="Normal 7 3 3 2 5 3" xfId="13485" xr:uid="{00000000-0005-0000-0000-00009E470000}"/>
    <cellStyle name="Normal 7 3 3 2 5 4" xfId="8228" xr:uid="{00000000-0005-0000-0000-00009F470000}"/>
    <cellStyle name="Normal 7 3 3 2 6" xfId="5789" xr:uid="{00000000-0005-0000-0000-0000A0470000}"/>
    <cellStyle name="Normal 7 3 3 2 6 2" xfId="14875" xr:uid="{00000000-0005-0000-0000-0000A1470000}"/>
    <cellStyle name="Normal 7 3 3 2 7" xfId="9682" xr:uid="{00000000-0005-0000-0000-0000A2470000}"/>
    <cellStyle name="Normal 7 3 3 2 7 2" xfId="18509" xr:uid="{00000000-0005-0000-0000-0000A3470000}"/>
    <cellStyle name="Normal 7 3 3 2 8" xfId="11126" xr:uid="{00000000-0005-0000-0000-0000A4470000}"/>
    <cellStyle name="Normal 7 3 3 2 9" xfId="4760" xr:uid="{00000000-0005-0000-0000-0000A5470000}"/>
    <cellStyle name="Normal 7 3 3 2_Degree data" xfId="1808" xr:uid="{00000000-0005-0000-0000-0000A6470000}"/>
    <cellStyle name="Normal 7 3 3 3" xfId="833" xr:uid="{00000000-0005-0000-0000-0000A7470000}"/>
    <cellStyle name="Normal 7 3 3 3 2" xfId="2553" xr:uid="{00000000-0005-0000-0000-0000A8470000}"/>
    <cellStyle name="Normal 7 3 3 3 2 2" xfId="16080" xr:uid="{00000000-0005-0000-0000-0000A9470000}"/>
    <cellStyle name="Normal 7 3 3 3 2 3" xfId="12375" xr:uid="{00000000-0005-0000-0000-0000AA470000}"/>
    <cellStyle name="Normal 7 3 3 3 2 4" xfId="7066" xr:uid="{00000000-0005-0000-0000-0000AB470000}"/>
    <cellStyle name="Normal 7 3 3 3 3" xfId="3821" xr:uid="{00000000-0005-0000-0000-0000AC470000}"/>
    <cellStyle name="Normal 7 3 3 3 3 2" xfId="17466" xr:uid="{00000000-0005-0000-0000-0000AD470000}"/>
    <cellStyle name="Normal 7 3 3 3 3 3" xfId="13887" xr:uid="{00000000-0005-0000-0000-0000AE470000}"/>
    <cellStyle name="Normal 7 3 3 3 3 4" xfId="8630" xr:uid="{00000000-0005-0000-0000-0000AF470000}"/>
    <cellStyle name="Normal 7 3 3 3 4" xfId="6182" xr:uid="{00000000-0005-0000-0000-0000B0470000}"/>
    <cellStyle name="Normal 7 3 3 3 4 2" xfId="15266" xr:uid="{00000000-0005-0000-0000-0000B1470000}"/>
    <cellStyle name="Normal 7 3 3 3 5" xfId="10084" xr:uid="{00000000-0005-0000-0000-0000B2470000}"/>
    <cellStyle name="Normal 7 3 3 3 5 2" xfId="18911" xr:uid="{00000000-0005-0000-0000-0000B3470000}"/>
    <cellStyle name="Normal 7 3 3 3 6" xfId="11530" xr:uid="{00000000-0005-0000-0000-0000B4470000}"/>
    <cellStyle name="Normal 7 3 3 3 7" xfId="4660" xr:uid="{00000000-0005-0000-0000-0000B5470000}"/>
    <cellStyle name="Normal 7 3 3 4" xfId="1181" xr:uid="{00000000-0005-0000-0000-0000B6470000}"/>
    <cellStyle name="Normal 7 3 3 4 2" xfId="2901" xr:uid="{00000000-0005-0000-0000-0000B7470000}"/>
    <cellStyle name="Normal 7 3 3 4 2 2" xfId="16441" xr:uid="{00000000-0005-0000-0000-0000B8470000}"/>
    <cellStyle name="Normal 7 3 3 4 2 3" xfId="12863" xr:uid="{00000000-0005-0000-0000-0000B9470000}"/>
    <cellStyle name="Normal 7 3 3 4 2 4" xfId="7573" xr:uid="{00000000-0005-0000-0000-0000BA470000}"/>
    <cellStyle name="Normal 7 3 3 4 3" xfId="4169" xr:uid="{00000000-0005-0000-0000-0000BB470000}"/>
    <cellStyle name="Normal 7 3 3 4 3 2" xfId="17814" xr:uid="{00000000-0005-0000-0000-0000BC470000}"/>
    <cellStyle name="Normal 7 3 3 4 3 3" xfId="14235" xr:uid="{00000000-0005-0000-0000-0000BD470000}"/>
    <cellStyle name="Normal 7 3 3 4 3 4" xfId="8978" xr:uid="{00000000-0005-0000-0000-0000BE470000}"/>
    <cellStyle name="Normal 7 3 3 4 4" xfId="6689" xr:uid="{00000000-0005-0000-0000-0000BF470000}"/>
    <cellStyle name="Normal 7 3 3 4 4 2" xfId="15773" xr:uid="{00000000-0005-0000-0000-0000C0470000}"/>
    <cellStyle name="Normal 7 3 3 4 5" xfId="10432" xr:uid="{00000000-0005-0000-0000-0000C1470000}"/>
    <cellStyle name="Normal 7 3 3 4 5 2" xfId="19259" xr:uid="{00000000-0005-0000-0000-0000C2470000}"/>
    <cellStyle name="Normal 7 3 3 4 6" xfId="11878" xr:uid="{00000000-0005-0000-0000-0000C3470000}"/>
    <cellStyle name="Normal 7 3 3 4 7" xfId="5167" xr:uid="{00000000-0005-0000-0000-0000C4470000}"/>
    <cellStyle name="Normal 7 3 3 5" xfId="1495" xr:uid="{00000000-0005-0000-0000-0000C5470000}"/>
    <cellStyle name="Normal 7 3 3 5 2" xfId="3094" xr:uid="{00000000-0005-0000-0000-0000C6470000}"/>
    <cellStyle name="Normal 7 3 3 5 2 2" xfId="16643" xr:uid="{00000000-0005-0000-0000-0000C7470000}"/>
    <cellStyle name="Normal 7 3 3 5 2 3" xfId="13064" xr:uid="{00000000-0005-0000-0000-0000C8470000}"/>
    <cellStyle name="Normal 7 3 3 5 2 4" xfId="7775" xr:uid="{00000000-0005-0000-0000-0000C9470000}"/>
    <cellStyle name="Normal 7 3 3 5 3" xfId="4302" xr:uid="{00000000-0005-0000-0000-0000CA470000}"/>
    <cellStyle name="Normal 7 3 3 5 3 2" xfId="18007" xr:uid="{00000000-0005-0000-0000-0000CB470000}"/>
    <cellStyle name="Normal 7 3 3 5 3 3" xfId="14428" xr:uid="{00000000-0005-0000-0000-0000CC470000}"/>
    <cellStyle name="Normal 7 3 3 5 3 4" xfId="9171" xr:uid="{00000000-0005-0000-0000-0000CD470000}"/>
    <cellStyle name="Normal 7 3 3 5 4" xfId="5963" xr:uid="{00000000-0005-0000-0000-0000CE470000}"/>
    <cellStyle name="Normal 7 3 3 5 4 2" xfId="15049" xr:uid="{00000000-0005-0000-0000-0000CF470000}"/>
    <cellStyle name="Normal 7 3 3 5 5" xfId="10625" xr:uid="{00000000-0005-0000-0000-0000D0470000}"/>
    <cellStyle name="Normal 7 3 3 5 5 2" xfId="19452" xr:uid="{00000000-0005-0000-0000-0000D1470000}"/>
    <cellStyle name="Normal 7 3 3 5 6" xfId="12071" xr:uid="{00000000-0005-0000-0000-0000D2470000}"/>
    <cellStyle name="Normal 7 3 3 5 7" xfId="5369" xr:uid="{00000000-0005-0000-0000-0000D3470000}"/>
    <cellStyle name="Normal 7 3 3 6" xfId="2051" xr:uid="{00000000-0005-0000-0000-0000D4470000}"/>
    <cellStyle name="Normal 7 3 3 6 2" xfId="15892" xr:uid="{00000000-0005-0000-0000-0000D5470000}"/>
    <cellStyle name="Normal 7 3 3 6 3" xfId="12443" xr:uid="{00000000-0005-0000-0000-0000D6470000}"/>
    <cellStyle name="Normal 7 3 3 6 4" xfId="6849" xr:uid="{00000000-0005-0000-0000-0000D7470000}"/>
    <cellStyle name="Normal 7 3 3 7" xfId="3464" xr:uid="{00000000-0005-0000-0000-0000D8470000}"/>
    <cellStyle name="Normal 7 3 3 7 2" xfId="16964" xr:uid="{00000000-0005-0000-0000-0000D9470000}"/>
    <cellStyle name="Normal 7 3 3 7 3" xfId="13385" xr:uid="{00000000-0005-0000-0000-0000DA470000}"/>
    <cellStyle name="Normal 7 3 3 7 4" xfId="8128" xr:uid="{00000000-0005-0000-0000-0000DB470000}"/>
    <cellStyle name="Normal 7 3 3 8" xfId="5689" xr:uid="{00000000-0005-0000-0000-0000DC470000}"/>
    <cellStyle name="Normal 7 3 3 8 2" xfId="14775" xr:uid="{00000000-0005-0000-0000-0000DD470000}"/>
    <cellStyle name="Normal 7 3 3 9" xfId="9582" xr:uid="{00000000-0005-0000-0000-0000DE470000}"/>
    <cellStyle name="Normal 7 3 3 9 2" xfId="18409" xr:uid="{00000000-0005-0000-0000-0000DF470000}"/>
    <cellStyle name="Normal 7 3 3_Degree data" xfId="1807" xr:uid="{00000000-0005-0000-0000-0000E0470000}"/>
    <cellStyle name="Normal 7 3 4" xfId="200" xr:uid="{00000000-0005-0000-0000-0000E1470000}"/>
    <cellStyle name="Normal 7 3 4 10" xfId="10954" xr:uid="{00000000-0005-0000-0000-0000E2470000}"/>
    <cellStyle name="Normal 7 3 4 11" xfId="4476" xr:uid="{00000000-0005-0000-0000-0000E3470000}"/>
    <cellStyle name="Normal 7 3 4 2" xfId="417" xr:uid="{00000000-0005-0000-0000-0000E4470000}"/>
    <cellStyle name="Normal 7 3 4 2 2" xfId="836" xr:uid="{00000000-0005-0000-0000-0000E5470000}"/>
    <cellStyle name="Normal 7 3 4 2 2 2" xfId="2556" xr:uid="{00000000-0005-0000-0000-0000E6470000}"/>
    <cellStyle name="Normal 7 3 4 2 2 2 2" xfId="16444" xr:uid="{00000000-0005-0000-0000-0000E7470000}"/>
    <cellStyle name="Normal 7 3 4 2 2 2 3" xfId="12866" xr:uid="{00000000-0005-0000-0000-0000E8470000}"/>
    <cellStyle name="Normal 7 3 4 2 2 2 4" xfId="7576" xr:uid="{00000000-0005-0000-0000-0000E9470000}"/>
    <cellStyle name="Normal 7 3 4 2 2 3" xfId="3824" xr:uid="{00000000-0005-0000-0000-0000EA470000}"/>
    <cellStyle name="Normal 7 3 4 2 2 3 2" xfId="17469" xr:uid="{00000000-0005-0000-0000-0000EB470000}"/>
    <cellStyle name="Normal 7 3 4 2 2 3 3" xfId="13890" xr:uid="{00000000-0005-0000-0000-0000EC470000}"/>
    <cellStyle name="Normal 7 3 4 2 2 3 4" xfId="8633" xr:uid="{00000000-0005-0000-0000-0000ED470000}"/>
    <cellStyle name="Normal 7 3 4 2 2 4" xfId="6692" xr:uid="{00000000-0005-0000-0000-0000EE470000}"/>
    <cellStyle name="Normal 7 3 4 2 2 4 2" xfId="15776" xr:uid="{00000000-0005-0000-0000-0000EF470000}"/>
    <cellStyle name="Normal 7 3 4 2 2 5" xfId="10087" xr:uid="{00000000-0005-0000-0000-0000F0470000}"/>
    <cellStyle name="Normal 7 3 4 2 2 5 2" xfId="18914" xr:uid="{00000000-0005-0000-0000-0000F1470000}"/>
    <cellStyle name="Normal 7 3 4 2 2 6" xfId="11533" xr:uid="{00000000-0005-0000-0000-0000F2470000}"/>
    <cellStyle name="Normal 7 3 4 2 2 7" xfId="5170" xr:uid="{00000000-0005-0000-0000-0000F3470000}"/>
    <cellStyle name="Normal 7 3 4 2 3" xfId="1184" xr:uid="{00000000-0005-0000-0000-0000F4470000}"/>
    <cellStyle name="Normal 7 3 4 2 3 2" xfId="2904" xr:uid="{00000000-0005-0000-0000-0000F5470000}"/>
    <cellStyle name="Normal 7 3 4 2 3 2 2" xfId="16776" xr:uid="{00000000-0005-0000-0000-0000F6470000}"/>
    <cellStyle name="Normal 7 3 4 2 3 2 3" xfId="13197" xr:uid="{00000000-0005-0000-0000-0000F7470000}"/>
    <cellStyle name="Normal 7 3 4 2 3 2 4" xfId="7908" xr:uid="{00000000-0005-0000-0000-0000F8470000}"/>
    <cellStyle name="Normal 7 3 4 2 3 3" xfId="4172" xr:uid="{00000000-0005-0000-0000-0000F9470000}"/>
    <cellStyle name="Normal 7 3 4 2 3 3 2" xfId="17817" xr:uid="{00000000-0005-0000-0000-0000FA470000}"/>
    <cellStyle name="Normal 7 3 4 2 3 3 3" xfId="14238" xr:uid="{00000000-0005-0000-0000-0000FB470000}"/>
    <cellStyle name="Normal 7 3 4 2 3 3 4" xfId="8981" xr:uid="{00000000-0005-0000-0000-0000FC470000}"/>
    <cellStyle name="Normal 7 3 4 2 3 4" xfId="6315" xr:uid="{00000000-0005-0000-0000-0000FD470000}"/>
    <cellStyle name="Normal 7 3 4 2 3 4 2" xfId="15399" xr:uid="{00000000-0005-0000-0000-0000FE470000}"/>
    <cellStyle name="Normal 7 3 4 2 3 5" xfId="10435" xr:uid="{00000000-0005-0000-0000-0000FF470000}"/>
    <cellStyle name="Normal 7 3 4 2 3 5 2" xfId="19262" xr:uid="{00000000-0005-0000-0000-000000480000}"/>
    <cellStyle name="Normal 7 3 4 2 3 6" xfId="11881" xr:uid="{00000000-0005-0000-0000-000001480000}"/>
    <cellStyle name="Normal 7 3 4 2 3 7" xfId="5502" xr:uid="{00000000-0005-0000-0000-000002480000}"/>
    <cellStyle name="Normal 7 3 4 2 4" xfId="1631" xr:uid="{00000000-0005-0000-0000-000003480000}"/>
    <cellStyle name="Normal 7 3 4 2 4 2" xfId="3227" xr:uid="{00000000-0005-0000-0000-000004480000}"/>
    <cellStyle name="Normal 7 3 4 2 4 2 2" xfId="18140" xr:uid="{00000000-0005-0000-0000-000005480000}"/>
    <cellStyle name="Normal 7 3 4 2 4 2 3" xfId="14561" xr:uid="{00000000-0005-0000-0000-000006480000}"/>
    <cellStyle name="Normal 7 3 4 2 4 2 4" xfId="9304" xr:uid="{00000000-0005-0000-0000-000007480000}"/>
    <cellStyle name="Normal 7 3 4 2 4 3" xfId="10758" xr:uid="{00000000-0005-0000-0000-000008480000}"/>
    <cellStyle name="Normal 7 3 4 2 4 3 2" xfId="19585" xr:uid="{00000000-0005-0000-0000-000009480000}"/>
    <cellStyle name="Normal 7 3 4 2 4 4" xfId="12204" xr:uid="{00000000-0005-0000-0000-00000A480000}"/>
    <cellStyle name="Normal 7 3 4 2 4 5" xfId="7199" xr:uid="{00000000-0005-0000-0000-00000B480000}"/>
    <cellStyle name="Normal 7 3 4 2 5" xfId="2184" xr:uid="{00000000-0005-0000-0000-00000C480000}"/>
    <cellStyle name="Normal 7 3 4 2 5 2" xfId="17097" xr:uid="{00000000-0005-0000-0000-00000D480000}"/>
    <cellStyle name="Normal 7 3 4 2 5 3" xfId="13518" xr:uid="{00000000-0005-0000-0000-00000E480000}"/>
    <cellStyle name="Normal 7 3 4 2 5 4" xfId="8261" xr:uid="{00000000-0005-0000-0000-00000F480000}"/>
    <cellStyle name="Normal 7 3 4 2 6" xfId="5822" xr:uid="{00000000-0005-0000-0000-000010480000}"/>
    <cellStyle name="Normal 7 3 4 2 6 2" xfId="14908" xr:uid="{00000000-0005-0000-0000-000011480000}"/>
    <cellStyle name="Normal 7 3 4 2 7" xfId="9715" xr:uid="{00000000-0005-0000-0000-000012480000}"/>
    <cellStyle name="Normal 7 3 4 2 7 2" xfId="18542" xr:uid="{00000000-0005-0000-0000-000013480000}"/>
    <cellStyle name="Normal 7 3 4 2 8" xfId="11159" xr:uid="{00000000-0005-0000-0000-000014480000}"/>
    <cellStyle name="Normal 7 3 4 2 9" xfId="4793" xr:uid="{00000000-0005-0000-0000-000015480000}"/>
    <cellStyle name="Normal 7 3 4 2_Degree data" xfId="1810" xr:uid="{00000000-0005-0000-0000-000016480000}"/>
    <cellStyle name="Normal 7 3 4 3" xfId="835" xr:uid="{00000000-0005-0000-0000-000017480000}"/>
    <cellStyle name="Normal 7 3 4 3 2" xfId="2555" xr:uid="{00000000-0005-0000-0000-000018480000}"/>
    <cellStyle name="Normal 7 3 4 3 2 2" xfId="16008" xr:uid="{00000000-0005-0000-0000-000019480000}"/>
    <cellStyle name="Normal 7 3 4 3 2 3" xfId="12257" xr:uid="{00000000-0005-0000-0000-00001A480000}"/>
    <cellStyle name="Normal 7 3 4 3 2 4" xfId="6994" xr:uid="{00000000-0005-0000-0000-00001B480000}"/>
    <cellStyle name="Normal 7 3 4 3 3" xfId="3823" xr:uid="{00000000-0005-0000-0000-00001C480000}"/>
    <cellStyle name="Normal 7 3 4 3 3 2" xfId="17468" xr:uid="{00000000-0005-0000-0000-00001D480000}"/>
    <cellStyle name="Normal 7 3 4 3 3 3" xfId="13889" xr:uid="{00000000-0005-0000-0000-00001E480000}"/>
    <cellStyle name="Normal 7 3 4 3 3 4" xfId="8632" xr:uid="{00000000-0005-0000-0000-00001F480000}"/>
    <cellStyle name="Normal 7 3 4 3 4" xfId="6110" xr:uid="{00000000-0005-0000-0000-000020480000}"/>
    <cellStyle name="Normal 7 3 4 3 4 2" xfId="15194" xr:uid="{00000000-0005-0000-0000-000021480000}"/>
    <cellStyle name="Normal 7 3 4 3 5" xfId="10086" xr:uid="{00000000-0005-0000-0000-000022480000}"/>
    <cellStyle name="Normal 7 3 4 3 5 2" xfId="18913" xr:uid="{00000000-0005-0000-0000-000023480000}"/>
    <cellStyle name="Normal 7 3 4 3 6" xfId="11532" xr:uid="{00000000-0005-0000-0000-000024480000}"/>
    <cellStyle name="Normal 7 3 4 3 7" xfId="4588" xr:uid="{00000000-0005-0000-0000-000025480000}"/>
    <cellStyle name="Normal 7 3 4 4" xfId="1183" xr:uid="{00000000-0005-0000-0000-000026480000}"/>
    <cellStyle name="Normal 7 3 4 4 2" xfId="2903" xr:uid="{00000000-0005-0000-0000-000027480000}"/>
    <cellStyle name="Normal 7 3 4 4 2 2" xfId="16443" xr:uid="{00000000-0005-0000-0000-000028480000}"/>
    <cellStyle name="Normal 7 3 4 4 2 3" xfId="12865" xr:uid="{00000000-0005-0000-0000-000029480000}"/>
    <cellStyle name="Normal 7 3 4 4 2 4" xfId="7575" xr:uid="{00000000-0005-0000-0000-00002A480000}"/>
    <cellStyle name="Normal 7 3 4 4 3" xfId="4171" xr:uid="{00000000-0005-0000-0000-00002B480000}"/>
    <cellStyle name="Normal 7 3 4 4 3 2" xfId="17816" xr:uid="{00000000-0005-0000-0000-00002C480000}"/>
    <cellStyle name="Normal 7 3 4 4 3 3" xfId="14237" xr:uid="{00000000-0005-0000-0000-00002D480000}"/>
    <cellStyle name="Normal 7 3 4 4 3 4" xfId="8980" xr:uid="{00000000-0005-0000-0000-00002E480000}"/>
    <cellStyle name="Normal 7 3 4 4 4" xfId="6691" xr:uid="{00000000-0005-0000-0000-00002F480000}"/>
    <cellStyle name="Normal 7 3 4 4 4 2" xfId="15775" xr:uid="{00000000-0005-0000-0000-000030480000}"/>
    <cellStyle name="Normal 7 3 4 4 5" xfId="10434" xr:uid="{00000000-0005-0000-0000-000031480000}"/>
    <cellStyle name="Normal 7 3 4 4 5 2" xfId="19261" xr:uid="{00000000-0005-0000-0000-000032480000}"/>
    <cellStyle name="Normal 7 3 4 4 6" xfId="11880" xr:uid="{00000000-0005-0000-0000-000033480000}"/>
    <cellStyle name="Normal 7 3 4 4 7" xfId="5169" xr:uid="{00000000-0005-0000-0000-000034480000}"/>
    <cellStyle name="Normal 7 3 4 5" xfId="1417" xr:uid="{00000000-0005-0000-0000-000035480000}"/>
    <cellStyle name="Normal 7 3 4 5 2" xfId="3022" xr:uid="{00000000-0005-0000-0000-000036480000}"/>
    <cellStyle name="Normal 7 3 4 5 2 2" xfId="16571" xr:uid="{00000000-0005-0000-0000-000037480000}"/>
    <cellStyle name="Normal 7 3 4 5 2 3" xfId="12992" xr:uid="{00000000-0005-0000-0000-000038480000}"/>
    <cellStyle name="Normal 7 3 4 5 2 4" xfId="7703" xr:uid="{00000000-0005-0000-0000-000039480000}"/>
    <cellStyle name="Normal 7 3 4 5 3" xfId="4230" xr:uid="{00000000-0005-0000-0000-00003A480000}"/>
    <cellStyle name="Normal 7 3 4 5 3 2" xfId="17935" xr:uid="{00000000-0005-0000-0000-00003B480000}"/>
    <cellStyle name="Normal 7 3 4 5 3 3" xfId="14356" xr:uid="{00000000-0005-0000-0000-00003C480000}"/>
    <cellStyle name="Normal 7 3 4 5 3 4" xfId="9099" xr:uid="{00000000-0005-0000-0000-00003D480000}"/>
    <cellStyle name="Normal 7 3 4 5 4" xfId="5996" xr:uid="{00000000-0005-0000-0000-00003E480000}"/>
    <cellStyle name="Normal 7 3 4 5 4 2" xfId="15082" xr:uid="{00000000-0005-0000-0000-00003F480000}"/>
    <cellStyle name="Normal 7 3 4 5 5" xfId="10553" xr:uid="{00000000-0005-0000-0000-000040480000}"/>
    <cellStyle name="Normal 7 3 4 5 5 2" xfId="19380" xr:uid="{00000000-0005-0000-0000-000041480000}"/>
    <cellStyle name="Normal 7 3 4 5 6" xfId="11999" xr:uid="{00000000-0005-0000-0000-000042480000}"/>
    <cellStyle name="Normal 7 3 4 5 7" xfId="5297" xr:uid="{00000000-0005-0000-0000-000043480000}"/>
    <cellStyle name="Normal 7 3 4 6" xfId="1979" xr:uid="{00000000-0005-0000-0000-000044480000}"/>
    <cellStyle name="Normal 7 3 4 6 2" xfId="15925" xr:uid="{00000000-0005-0000-0000-000045480000}"/>
    <cellStyle name="Normal 7 3 4 6 3" xfId="12284" xr:uid="{00000000-0005-0000-0000-000046480000}"/>
    <cellStyle name="Normal 7 3 4 6 4" xfId="6882" xr:uid="{00000000-0005-0000-0000-000047480000}"/>
    <cellStyle name="Normal 7 3 4 7" xfId="3393" xr:uid="{00000000-0005-0000-0000-000048480000}"/>
    <cellStyle name="Normal 7 3 4 7 2" xfId="16892" xr:uid="{00000000-0005-0000-0000-000049480000}"/>
    <cellStyle name="Normal 7 3 4 7 3" xfId="13313" xr:uid="{00000000-0005-0000-0000-00004A480000}"/>
    <cellStyle name="Normal 7 3 4 7 4" xfId="8056" xr:uid="{00000000-0005-0000-0000-00004B480000}"/>
    <cellStyle name="Normal 7 3 4 8" xfId="5617" xr:uid="{00000000-0005-0000-0000-00004C480000}"/>
    <cellStyle name="Normal 7 3 4 8 2" xfId="14703" xr:uid="{00000000-0005-0000-0000-00004D480000}"/>
    <cellStyle name="Normal 7 3 4 9" xfId="9510" xr:uid="{00000000-0005-0000-0000-00004E480000}"/>
    <cellStyle name="Normal 7 3 4 9 2" xfId="18337" xr:uid="{00000000-0005-0000-0000-00004F480000}"/>
    <cellStyle name="Normal 7 3 4_Degree data" xfId="1809" xr:uid="{00000000-0005-0000-0000-000050480000}"/>
    <cellStyle name="Normal 7 3 5" xfId="311" xr:uid="{00000000-0005-0000-0000-000051480000}"/>
    <cellStyle name="Normal 7 3 5 2" xfId="837" xr:uid="{00000000-0005-0000-0000-000052480000}"/>
    <cellStyle name="Normal 7 3 5 2 2" xfId="2557" xr:uid="{00000000-0005-0000-0000-000053480000}"/>
    <cellStyle name="Normal 7 3 5 2 2 2" xfId="16445" xr:uid="{00000000-0005-0000-0000-000054480000}"/>
    <cellStyle name="Normal 7 3 5 2 2 3" xfId="12867" xr:uid="{00000000-0005-0000-0000-000055480000}"/>
    <cellStyle name="Normal 7 3 5 2 2 4" xfId="7577" xr:uid="{00000000-0005-0000-0000-000056480000}"/>
    <cellStyle name="Normal 7 3 5 2 3" xfId="3825" xr:uid="{00000000-0005-0000-0000-000057480000}"/>
    <cellStyle name="Normal 7 3 5 2 3 2" xfId="17470" xr:uid="{00000000-0005-0000-0000-000058480000}"/>
    <cellStyle name="Normal 7 3 5 2 3 3" xfId="13891" xr:uid="{00000000-0005-0000-0000-000059480000}"/>
    <cellStyle name="Normal 7 3 5 2 3 4" xfId="8634" xr:uid="{00000000-0005-0000-0000-00005A480000}"/>
    <cellStyle name="Normal 7 3 5 2 4" xfId="6693" xr:uid="{00000000-0005-0000-0000-00005B480000}"/>
    <cellStyle name="Normal 7 3 5 2 4 2" xfId="15777" xr:uid="{00000000-0005-0000-0000-00005C480000}"/>
    <cellStyle name="Normal 7 3 5 2 5" xfId="10088" xr:uid="{00000000-0005-0000-0000-00005D480000}"/>
    <cellStyle name="Normal 7 3 5 2 5 2" xfId="18915" xr:uid="{00000000-0005-0000-0000-00005E480000}"/>
    <cellStyle name="Normal 7 3 5 2 6" xfId="11534" xr:uid="{00000000-0005-0000-0000-00005F480000}"/>
    <cellStyle name="Normal 7 3 5 2 7" xfId="5171" xr:uid="{00000000-0005-0000-0000-000060480000}"/>
    <cellStyle name="Normal 7 3 5 3" xfId="1185" xr:uid="{00000000-0005-0000-0000-000061480000}"/>
    <cellStyle name="Normal 7 3 5 3 2" xfId="2905" xr:uid="{00000000-0005-0000-0000-000062480000}"/>
    <cellStyle name="Normal 7 3 5 3 2 2" xfId="16671" xr:uid="{00000000-0005-0000-0000-000063480000}"/>
    <cellStyle name="Normal 7 3 5 3 2 3" xfId="13092" xr:uid="{00000000-0005-0000-0000-000064480000}"/>
    <cellStyle name="Normal 7 3 5 3 2 4" xfId="7803" xr:uid="{00000000-0005-0000-0000-000065480000}"/>
    <cellStyle name="Normal 7 3 5 3 3" xfId="4173" xr:uid="{00000000-0005-0000-0000-000066480000}"/>
    <cellStyle name="Normal 7 3 5 3 3 2" xfId="17818" xr:uid="{00000000-0005-0000-0000-000067480000}"/>
    <cellStyle name="Normal 7 3 5 3 3 3" xfId="14239" xr:uid="{00000000-0005-0000-0000-000068480000}"/>
    <cellStyle name="Normal 7 3 5 3 3 4" xfId="8982" xr:uid="{00000000-0005-0000-0000-000069480000}"/>
    <cellStyle name="Normal 7 3 5 3 4" xfId="6210" xr:uid="{00000000-0005-0000-0000-00006A480000}"/>
    <cellStyle name="Normal 7 3 5 3 4 2" xfId="15294" xr:uid="{00000000-0005-0000-0000-00006B480000}"/>
    <cellStyle name="Normal 7 3 5 3 5" xfId="10436" xr:uid="{00000000-0005-0000-0000-00006C480000}"/>
    <cellStyle name="Normal 7 3 5 3 5 2" xfId="19263" xr:uid="{00000000-0005-0000-0000-00006D480000}"/>
    <cellStyle name="Normal 7 3 5 3 6" xfId="11882" xr:uid="{00000000-0005-0000-0000-00006E480000}"/>
    <cellStyle name="Normal 7 3 5 3 7" xfId="5397" xr:uid="{00000000-0005-0000-0000-00006F480000}"/>
    <cellStyle name="Normal 7 3 5 4" xfId="1523" xr:uid="{00000000-0005-0000-0000-000070480000}"/>
    <cellStyle name="Normal 7 3 5 4 2" xfId="3122" xr:uid="{00000000-0005-0000-0000-000071480000}"/>
    <cellStyle name="Normal 7 3 5 4 2 2" xfId="18035" xr:uid="{00000000-0005-0000-0000-000072480000}"/>
    <cellStyle name="Normal 7 3 5 4 2 3" xfId="14456" xr:uid="{00000000-0005-0000-0000-000073480000}"/>
    <cellStyle name="Normal 7 3 5 4 2 4" xfId="9199" xr:uid="{00000000-0005-0000-0000-000074480000}"/>
    <cellStyle name="Normal 7 3 5 4 3" xfId="10653" xr:uid="{00000000-0005-0000-0000-000075480000}"/>
    <cellStyle name="Normal 7 3 5 4 3 2" xfId="19480" xr:uid="{00000000-0005-0000-0000-000076480000}"/>
    <cellStyle name="Normal 7 3 5 4 4" xfId="12099" xr:uid="{00000000-0005-0000-0000-000077480000}"/>
    <cellStyle name="Normal 7 3 5 4 5" xfId="7094" xr:uid="{00000000-0005-0000-0000-000078480000}"/>
    <cellStyle name="Normal 7 3 5 5" xfId="2079" xr:uid="{00000000-0005-0000-0000-000079480000}"/>
    <cellStyle name="Normal 7 3 5 5 2" xfId="16992" xr:uid="{00000000-0005-0000-0000-00007A480000}"/>
    <cellStyle name="Normal 7 3 5 5 3" xfId="13413" xr:uid="{00000000-0005-0000-0000-00007B480000}"/>
    <cellStyle name="Normal 7 3 5 5 4" xfId="8156" xr:uid="{00000000-0005-0000-0000-00007C480000}"/>
    <cellStyle name="Normal 7 3 5 6" xfId="5717" xr:uid="{00000000-0005-0000-0000-00007D480000}"/>
    <cellStyle name="Normal 7 3 5 6 2" xfId="14803" xr:uid="{00000000-0005-0000-0000-00007E480000}"/>
    <cellStyle name="Normal 7 3 5 7" xfId="9610" xr:uid="{00000000-0005-0000-0000-00007F480000}"/>
    <cellStyle name="Normal 7 3 5 7 2" xfId="18437" xr:uid="{00000000-0005-0000-0000-000080480000}"/>
    <cellStyle name="Normal 7 3 5 8" xfId="11054" xr:uid="{00000000-0005-0000-0000-000081480000}"/>
    <cellStyle name="Normal 7 3 5 9" xfId="4688" xr:uid="{00000000-0005-0000-0000-000082480000}"/>
    <cellStyle name="Normal 7 3 5_Degree data" xfId="1811" xr:uid="{00000000-0005-0000-0000-000083480000}"/>
    <cellStyle name="Normal 7 3 6" xfId="489" xr:uid="{00000000-0005-0000-0000-000084480000}"/>
    <cellStyle name="Normal 7 3 6 2" xfId="838" xr:uid="{00000000-0005-0000-0000-000085480000}"/>
    <cellStyle name="Normal 7 3 6 2 2" xfId="2558" xr:uid="{00000000-0005-0000-0000-000086480000}"/>
    <cellStyle name="Normal 7 3 6 2 2 2" xfId="16446" xr:uid="{00000000-0005-0000-0000-000087480000}"/>
    <cellStyle name="Normal 7 3 6 2 2 3" xfId="12868" xr:uid="{00000000-0005-0000-0000-000088480000}"/>
    <cellStyle name="Normal 7 3 6 2 2 4" xfId="7578" xr:uid="{00000000-0005-0000-0000-000089480000}"/>
    <cellStyle name="Normal 7 3 6 2 3" xfId="3826" xr:uid="{00000000-0005-0000-0000-00008A480000}"/>
    <cellStyle name="Normal 7 3 6 2 3 2" xfId="17471" xr:uid="{00000000-0005-0000-0000-00008B480000}"/>
    <cellStyle name="Normal 7 3 6 2 3 3" xfId="13892" xr:uid="{00000000-0005-0000-0000-00008C480000}"/>
    <cellStyle name="Normal 7 3 6 2 3 4" xfId="8635" xr:uid="{00000000-0005-0000-0000-00008D480000}"/>
    <cellStyle name="Normal 7 3 6 2 4" xfId="6694" xr:uid="{00000000-0005-0000-0000-00008E480000}"/>
    <cellStyle name="Normal 7 3 6 2 4 2" xfId="15778" xr:uid="{00000000-0005-0000-0000-00008F480000}"/>
    <cellStyle name="Normal 7 3 6 2 5" xfId="10089" xr:uid="{00000000-0005-0000-0000-000090480000}"/>
    <cellStyle name="Normal 7 3 6 2 5 2" xfId="18916" xr:uid="{00000000-0005-0000-0000-000091480000}"/>
    <cellStyle name="Normal 7 3 6 2 6" xfId="11535" xr:uid="{00000000-0005-0000-0000-000092480000}"/>
    <cellStyle name="Normal 7 3 6 2 7" xfId="5172" xr:uid="{00000000-0005-0000-0000-000093480000}"/>
    <cellStyle name="Normal 7 3 6 3" xfId="1186" xr:uid="{00000000-0005-0000-0000-000094480000}"/>
    <cellStyle name="Normal 7 3 6 3 2" xfId="2906" xr:uid="{00000000-0005-0000-0000-000095480000}"/>
    <cellStyle name="Normal 7 3 6 3 2 2" xfId="16543" xr:uid="{00000000-0005-0000-0000-000096480000}"/>
    <cellStyle name="Normal 7 3 6 3 2 3" xfId="12964" xr:uid="{00000000-0005-0000-0000-000097480000}"/>
    <cellStyle name="Normal 7 3 6 3 2 4" xfId="7675" xr:uid="{00000000-0005-0000-0000-000098480000}"/>
    <cellStyle name="Normal 7 3 6 3 3" xfId="4174" xr:uid="{00000000-0005-0000-0000-000099480000}"/>
    <cellStyle name="Normal 7 3 6 3 3 2" xfId="17819" xr:uid="{00000000-0005-0000-0000-00009A480000}"/>
    <cellStyle name="Normal 7 3 6 3 3 3" xfId="14240" xr:uid="{00000000-0005-0000-0000-00009B480000}"/>
    <cellStyle name="Normal 7 3 6 3 3 4" xfId="8983" xr:uid="{00000000-0005-0000-0000-00009C480000}"/>
    <cellStyle name="Normal 7 3 6 3 4" xfId="6748" xr:uid="{00000000-0005-0000-0000-00009D480000}"/>
    <cellStyle name="Normal 7 3 6 3 4 2" xfId="15831" xr:uid="{00000000-0005-0000-0000-00009E480000}"/>
    <cellStyle name="Normal 7 3 6 3 5" xfId="10437" xr:uid="{00000000-0005-0000-0000-00009F480000}"/>
    <cellStyle name="Normal 7 3 6 3 5 2" xfId="19264" xr:uid="{00000000-0005-0000-0000-0000A0480000}"/>
    <cellStyle name="Normal 7 3 6 3 6" xfId="11883" xr:uid="{00000000-0005-0000-0000-0000A1480000}"/>
    <cellStyle name="Normal 7 3 6 3 7" xfId="5269" xr:uid="{00000000-0005-0000-0000-0000A2480000}"/>
    <cellStyle name="Normal 7 3 6 4" xfId="1385" xr:uid="{00000000-0005-0000-0000-0000A3480000}"/>
    <cellStyle name="Normal 7 3 6 4 2" xfId="2994" xr:uid="{00000000-0005-0000-0000-0000A4480000}"/>
    <cellStyle name="Normal 7 3 6 4 2 2" xfId="17907" xr:uid="{00000000-0005-0000-0000-0000A5480000}"/>
    <cellStyle name="Normal 7 3 6 4 2 3" xfId="14328" xr:uid="{00000000-0005-0000-0000-0000A6480000}"/>
    <cellStyle name="Normal 7 3 6 4 2 4" xfId="9071" xr:uid="{00000000-0005-0000-0000-0000A7480000}"/>
    <cellStyle name="Normal 7 3 6 4 3" xfId="10525" xr:uid="{00000000-0005-0000-0000-0000A8480000}"/>
    <cellStyle name="Normal 7 3 6 4 3 2" xfId="19352" xr:uid="{00000000-0005-0000-0000-0000A9480000}"/>
    <cellStyle name="Normal 7 3 6 4 4" xfId="11971" xr:uid="{00000000-0005-0000-0000-0000AA480000}"/>
    <cellStyle name="Normal 7 3 6 4 5" xfId="6966" xr:uid="{00000000-0005-0000-0000-0000AB480000}"/>
    <cellStyle name="Normal 7 3 6 5" xfId="1951" xr:uid="{00000000-0005-0000-0000-0000AC480000}"/>
    <cellStyle name="Normal 7 3 6 5 2" xfId="16862" xr:uid="{00000000-0005-0000-0000-0000AD480000}"/>
    <cellStyle name="Normal 7 3 6 5 3" xfId="13283" xr:uid="{00000000-0005-0000-0000-0000AE480000}"/>
    <cellStyle name="Normal 7 3 6 5 4" xfId="8026" xr:uid="{00000000-0005-0000-0000-0000AF480000}"/>
    <cellStyle name="Normal 7 3 6 6" xfId="6082" xr:uid="{00000000-0005-0000-0000-0000B0480000}"/>
    <cellStyle name="Normal 7 3 6 6 2" xfId="15166" xr:uid="{00000000-0005-0000-0000-0000B1480000}"/>
    <cellStyle name="Normal 7 3 6 7" xfId="9482" xr:uid="{00000000-0005-0000-0000-0000B2480000}"/>
    <cellStyle name="Normal 7 3 6 7 2" xfId="18309" xr:uid="{00000000-0005-0000-0000-0000B3480000}"/>
    <cellStyle name="Normal 7 3 6 8" xfId="10926" xr:uid="{00000000-0005-0000-0000-0000B4480000}"/>
    <cellStyle name="Normal 7 3 6 9" xfId="4560" xr:uid="{00000000-0005-0000-0000-0000B5480000}"/>
    <cellStyle name="Normal 7 3 6_Degree data" xfId="1812" xr:uid="{00000000-0005-0000-0000-0000B6480000}"/>
    <cellStyle name="Normal 7 3 7" xfId="829" xr:uid="{00000000-0005-0000-0000-0000B7480000}"/>
    <cellStyle name="Normal 7 3 7 2" xfId="2549" xr:uid="{00000000-0005-0000-0000-0000B8480000}"/>
    <cellStyle name="Normal 7 3 7 2 2" xfId="16437" xr:uid="{00000000-0005-0000-0000-0000B9480000}"/>
    <cellStyle name="Normal 7 3 7 2 3" xfId="12859" xr:uid="{00000000-0005-0000-0000-0000BA480000}"/>
    <cellStyle name="Normal 7 3 7 2 4" xfId="7569" xr:uid="{00000000-0005-0000-0000-0000BB480000}"/>
    <cellStyle name="Normal 7 3 7 3" xfId="3817" xr:uid="{00000000-0005-0000-0000-0000BC480000}"/>
    <cellStyle name="Normal 7 3 7 3 2" xfId="17462" xr:uid="{00000000-0005-0000-0000-0000BD480000}"/>
    <cellStyle name="Normal 7 3 7 3 3" xfId="13883" xr:uid="{00000000-0005-0000-0000-0000BE480000}"/>
    <cellStyle name="Normal 7 3 7 3 4" xfId="8626" xr:uid="{00000000-0005-0000-0000-0000BF480000}"/>
    <cellStyle name="Normal 7 3 7 4" xfId="6685" xr:uid="{00000000-0005-0000-0000-0000C0480000}"/>
    <cellStyle name="Normal 7 3 7 4 2" xfId="15769" xr:uid="{00000000-0005-0000-0000-0000C1480000}"/>
    <cellStyle name="Normal 7 3 7 5" xfId="10080" xr:uid="{00000000-0005-0000-0000-0000C2480000}"/>
    <cellStyle name="Normal 7 3 7 5 2" xfId="18907" xr:uid="{00000000-0005-0000-0000-0000C3480000}"/>
    <cellStyle name="Normal 7 3 7 6" xfId="11526" xr:uid="{00000000-0005-0000-0000-0000C4480000}"/>
    <cellStyle name="Normal 7 3 7 7" xfId="5163" xr:uid="{00000000-0005-0000-0000-0000C5480000}"/>
    <cellStyle name="Normal 7 3 8" xfId="1177" xr:uid="{00000000-0005-0000-0000-0000C6480000}"/>
    <cellStyle name="Normal 7 3 8 2" xfId="2897" xr:uid="{00000000-0005-0000-0000-0000C7480000}"/>
    <cellStyle name="Normal 7 3 8 2 2" xfId="16498" xr:uid="{00000000-0005-0000-0000-0000C8480000}"/>
    <cellStyle name="Normal 7 3 8 2 3" xfId="12920" xr:uid="{00000000-0005-0000-0000-0000C9480000}"/>
    <cellStyle name="Normal 7 3 8 2 4" xfId="7630" xr:uid="{00000000-0005-0000-0000-0000CA480000}"/>
    <cellStyle name="Normal 7 3 8 3" xfId="4165" xr:uid="{00000000-0005-0000-0000-0000CB480000}"/>
    <cellStyle name="Normal 7 3 8 3 2" xfId="17810" xr:uid="{00000000-0005-0000-0000-0000CC480000}"/>
    <cellStyle name="Normal 7 3 8 3 3" xfId="14231" xr:uid="{00000000-0005-0000-0000-0000CD480000}"/>
    <cellStyle name="Normal 7 3 8 3 4" xfId="8974" xr:uid="{00000000-0005-0000-0000-0000CE480000}"/>
    <cellStyle name="Normal 7 3 8 4" xfId="5890" xr:uid="{00000000-0005-0000-0000-0000CF480000}"/>
    <cellStyle name="Normal 7 3 8 4 2" xfId="14976" xr:uid="{00000000-0005-0000-0000-0000D0480000}"/>
    <cellStyle name="Normal 7 3 8 5" xfId="10428" xr:uid="{00000000-0005-0000-0000-0000D1480000}"/>
    <cellStyle name="Normal 7 3 8 5 2" xfId="19255" xr:uid="{00000000-0005-0000-0000-0000D2480000}"/>
    <cellStyle name="Normal 7 3 8 6" xfId="11874" xr:uid="{00000000-0005-0000-0000-0000D3480000}"/>
    <cellStyle name="Normal 7 3 8 7" xfId="5224" xr:uid="{00000000-0005-0000-0000-0000D4480000}"/>
    <cellStyle name="Normal 7 3 9" xfId="1336" xr:uid="{00000000-0005-0000-0000-0000D5480000}"/>
    <cellStyle name="Normal 7 3 9 2" xfId="2949" xr:uid="{00000000-0005-0000-0000-0000D6480000}"/>
    <cellStyle name="Normal 7 3 9 2 2" xfId="17862" xr:uid="{00000000-0005-0000-0000-0000D7480000}"/>
    <cellStyle name="Normal 7 3 9 2 3" xfId="14283" xr:uid="{00000000-0005-0000-0000-0000D8480000}"/>
    <cellStyle name="Normal 7 3 9 2 4" xfId="9026" xr:uid="{00000000-0005-0000-0000-0000D9480000}"/>
    <cellStyle name="Normal 7 3 9 3" xfId="10480" xr:uid="{00000000-0005-0000-0000-0000DA480000}"/>
    <cellStyle name="Normal 7 3 9 3 2" xfId="19307" xr:uid="{00000000-0005-0000-0000-0000DB480000}"/>
    <cellStyle name="Normal 7 3 9 4" xfId="11926" xr:uid="{00000000-0005-0000-0000-0000DC480000}"/>
    <cellStyle name="Normal 7 3 9 5" xfId="6777" xr:uid="{00000000-0005-0000-0000-0000DD480000}"/>
    <cellStyle name="Normal 7 3_Degree data" xfId="1803" xr:uid="{00000000-0005-0000-0000-0000DE480000}"/>
    <cellStyle name="Normal 7 4" xfId="143" xr:uid="{00000000-0005-0000-0000-0000DF480000}"/>
    <cellStyle name="Normal 7 4 10" xfId="5567" xr:uid="{00000000-0005-0000-0000-0000E0480000}"/>
    <cellStyle name="Normal 7 4 10 2" xfId="14653" xr:uid="{00000000-0005-0000-0000-0000E1480000}"/>
    <cellStyle name="Normal 7 4 11" xfId="9387" xr:uid="{00000000-0005-0000-0000-0000E2480000}"/>
    <cellStyle name="Normal 7 4 11 2" xfId="18214" xr:uid="{00000000-0005-0000-0000-0000E3480000}"/>
    <cellStyle name="Normal 7 4 12" xfId="10827" xr:uid="{00000000-0005-0000-0000-0000E4480000}"/>
    <cellStyle name="Normal 7 4 13" xfId="4380" xr:uid="{00000000-0005-0000-0000-0000E5480000}"/>
    <cellStyle name="Normal 7 4 2" xfId="255" xr:uid="{00000000-0005-0000-0000-0000E6480000}"/>
    <cellStyle name="Normal 7 4 2 10" xfId="11006" xr:uid="{00000000-0005-0000-0000-0000E7480000}"/>
    <cellStyle name="Normal 7 4 2 11" xfId="4423" xr:uid="{00000000-0005-0000-0000-0000E8480000}"/>
    <cellStyle name="Normal 7 4 2 2" xfId="363" xr:uid="{00000000-0005-0000-0000-0000E9480000}"/>
    <cellStyle name="Normal 7 4 2 2 2" xfId="841" xr:uid="{00000000-0005-0000-0000-0000EA480000}"/>
    <cellStyle name="Normal 7 4 2 2 2 2" xfId="2561" xr:uid="{00000000-0005-0000-0000-0000EB480000}"/>
    <cellStyle name="Normal 7 4 2 2 2 2 2" xfId="16449" xr:uid="{00000000-0005-0000-0000-0000EC480000}"/>
    <cellStyle name="Normal 7 4 2 2 2 2 3" xfId="12871" xr:uid="{00000000-0005-0000-0000-0000ED480000}"/>
    <cellStyle name="Normal 7 4 2 2 2 2 4" xfId="7581" xr:uid="{00000000-0005-0000-0000-0000EE480000}"/>
    <cellStyle name="Normal 7 4 2 2 2 3" xfId="3829" xr:uid="{00000000-0005-0000-0000-0000EF480000}"/>
    <cellStyle name="Normal 7 4 2 2 2 3 2" xfId="17474" xr:uid="{00000000-0005-0000-0000-0000F0480000}"/>
    <cellStyle name="Normal 7 4 2 2 2 3 3" xfId="13895" xr:uid="{00000000-0005-0000-0000-0000F1480000}"/>
    <cellStyle name="Normal 7 4 2 2 2 3 4" xfId="8638" xr:uid="{00000000-0005-0000-0000-0000F2480000}"/>
    <cellStyle name="Normal 7 4 2 2 2 4" xfId="6697" xr:uid="{00000000-0005-0000-0000-0000F3480000}"/>
    <cellStyle name="Normal 7 4 2 2 2 4 2" xfId="15781" xr:uid="{00000000-0005-0000-0000-0000F4480000}"/>
    <cellStyle name="Normal 7 4 2 2 2 5" xfId="10092" xr:uid="{00000000-0005-0000-0000-0000F5480000}"/>
    <cellStyle name="Normal 7 4 2 2 2 5 2" xfId="18919" xr:uid="{00000000-0005-0000-0000-0000F6480000}"/>
    <cellStyle name="Normal 7 4 2 2 2 6" xfId="11538" xr:uid="{00000000-0005-0000-0000-0000F7480000}"/>
    <cellStyle name="Normal 7 4 2 2 2 7" xfId="5175" xr:uid="{00000000-0005-0000-0000-0000F8480000}"/>
    <cellStyle name="Normal 7 4 2 2 3" xfId="1189" xr:uid="{00000000-0005-0000-0000-0000F9480000}"/>
    <cellStyle name="Normal 7 4 2 2 3 2" xfId="2909" xr:uid="{00000000-0005-0000-0000-0000FA480000}"/>
    <cellStyle name="Normal 7 4 2 2 3 2 2" xfId="16723" xr:uid="{00000000-0005-0000-0000-0000FB480000}"/>
    <cellStyle name="Normal 7 4 2 2 3 2 3" xfId="13144" xr:uid="{00000000-0005-0000-0000-0000FC480000}"/>
    <cellStyle name="Normal 7 4 2 2 3 2 4" xfId="7855" xr:uid="{00000000-0005-0000-0000-0000FD480000}"/>
    <cellStyle name="Normal 7 4 2 2 3 3" xfId="4177" xr:uid="{00000000-0005-0000-0000-0000FE480000}"/>
    <cellStyle name="Normal 7 4 2 2 3 3 2" xfId="17822" xr:uid="{00000000-0005-0000-0000-0000FF480000}"/>
    <cellStyle name="Normal 7 4 2 2 3 3 3" xfId="14243" xr:uid="{00000000-0005-0000-0000-000000490000}"/>
    <cellStyle name="Normal 7 4 2 2 3 3 4" xfId="8986" xr:uid="{00000000-0005-0000-0000-000001490000}"/>
    <cellStyle name="Normal 7 4 2 2 3 4" xfId="6262" xr:uid="{00000000-0005-0000-0000-000002490000}"/>
    <cellStyle name="Normal 7 4 2 2 3 4 2" xfId="15346" xr:uid="{00000000-0005-0000-0000-000003490000}"/>
    <cellStyle name="Normal 7 4 2 2 3 5" xfId="10440" xr:uid="{00000000-0005-0000-0000-000004490000}"/>
    <cellStyle name="Normal 7 4 2 2 3 5 2" xfId="19267" xr:uid="{00000000-0005-0000-0000-000005490000}"/>
    <cellStyle name="Normal 7 4 2 2 3 6" xfId="11886" xr:uid="{00000000-0005-0000-0000-000006490000}"/>
    <cellStyle name="Normal 7 4 2 2 3 7" xfId="5449" xr:uid="{00000000-0005-0000-0000-000007490000}"/>
    <cellStyle name="Normal 7 4 2 2 4" xfId="1576" xr:uid="{00000000-0005-0000-0000-000008490000}"/>
    <cellStyle name="Normal 7 4 2 2 4 2" xfId="3174" xr:uid="{00000000-0005-0000-0000-000009490000}"/>
    <cellStyle name="Normal 7 4 2 2 4 2 2" xfId="18087" xr:uid="{00000000-0005-0000-0000-00000A490000}"/>
    <cellStyle name="Normal 7 4 2 2 4 2 3" xfId="14508" xr:uid="{00000000-0005-0000-0000-00000B490000}"/>
    <cellStyle name="Normal 7 4 2 2 4 2 4" xfId="9251" xr:uid="{00000000-0005-0000-0000-00000C490000}"/>
    <cellStyle name="Normal 7 4 2 2 4 3" xfId="10705" xr:uid="{00000000-0005-0000-0000-00000D490000}"/>
    <cellStyle name="Normal 7 4 2 2 4 3 2" xfId="19532" xr:uid="{00000000-0005-0000-0000-00000E490000}"/>
    <cellStyle name="Normal 7 4 2 2 4 4" xfId="12151" xr:uid="{00000000-0005-0000-0000-00000F490000}"/>
    <cellStyle name="Normal 7 4 2 2 4 5" xfId="7146" xr:uid="{00000000-0005-0000-0000-000010490000}"/>
    <cellStyle name="Normal 7 4 2 2 5" xfId="2131" xr:uid="{00000000-0005-0000-0000-000011490000}"/>
    <cellStyle name="Normal 7 4 2 2 5 2" xfId="17044" xr:uid="{00000000-0005-0000-0000-000012490000}"/>
    <cellStyle name="Normal 7 4 2 2 5 3" xfId="13465" xr:uid="{00000000-0005-0000-0000-000013490000}"/>
    <cellStyle name="Normal 7 4 2 2 5 4" xfId="8208" xr:uid="{00000000-0005-0000-0000-000014490000}"/>
    <cellStyle name="Normal 7 4 2 2 6" xfId="5769" xr:uid="{00000000-0005-0000-0000-000015490000}"/>
    <cellStyle name="Normal 7 4 2 2 6 2" xfId="14855" xr:uid="{00000000-0005-0000-0000-000016490000}"/>
    <cellStyle name="Normal 7 4 2 2 7" xfId="9662" xr:uid="{00000000-0005-0000-0000-000017490000}"/>
    <cellStyle name="Normal 7 4 2 2 7 2" xfId="18489" xr:uid="{00000000-0005-0000-0000-000018490000}"/>
    <cellStyle name="Normal 7 4 2 2 8" xfId="11106" xr:uid="{00000000-0005-0000-0000-000019490000}"/>
    <cellStyle name="Normal 7 4 2 2 9" xfId="4740" xr:uid="{00000000-0005-0000-0000-00001A490000}"/>
    <cellStyle name="Normal 7 4 2 2_Degree data" xfId="1815" xr:uid="{00000000-0005-0000-0000-00001B490000}"/>
    <cellStyle name="Normal 7 4 2 3" xfId="840" xr:uid="{00000000-0005-0000-0000-00001C490000}"/>
    <cellStyle name="Normal 7 4 2 3 2" xfId="2560" xr:uid="{00000000-0005-0000-0000-00001D490000}"/>
    <cellStyle name="Normal 7 4 2 3 2 2" xfId="16060" xr:uid="{00000000-0005-0000-0000-00001E490000}"/>
    <cellStyle name="Normal 7 4 2 3 2 3" xfId="12318" xr:uid="{00000000-0005-0000-0000-00001F490000}"/>
    <cellStyle name="Normal 7 4 2 3 2 4" xfId="7046" xr:uid="{00000000-0005-0000-0000-000020490000}"/>
    <cellStyle name="Normal 7 4 2 3 3" xfId="3828" xr:uid="{00000000-0005-0000-0000-000021490000}"/>
    <cellStyle name="Normal 7 4 2 3 3 2" xfId="17473" xr:uid="{00000000-0005-0000-0000-000022490000}"/>
    <cellStyle name="Normal 7 4 2 3 3 3" xfId="13894" xr:uid="{00000000-0005-0000-0000-000023490000}"/>
    <cellStyle name="Normal 7 4 2 3 3 4" xfId="8637" xr:uid="{00000000-0005-0000-0000-000024490000}"/>
    <cellStyle name="Normal 7 4 2 3 4" xfId="6162" xr:uid="{00000000-0005-0000-0000-000025490000}"/>
    <cellStyle name="Normal 7 4 2 3 4 2" xfId="15246" xr:uid="{00000000-0005-0000-0000-000026490000}"/>
    <cellStyle name="Normal 7 4 2 3 5" xfId="10091" xr:uid="{00000000-0005-0000-0000-000027490000}"/>
    <cellStyle name="Normal 7 4 2 3 5 2" xfId="18918" xr:uid="{00000000-0005-0000-0000-000028490000}"/>
    <cellStyle name="Normal 7 4 2 3 6" xfId="11537" xr:uid="{00000000-0005-0000-0000-000029490000}"/>
    <cellStyle name="Normal 7 4 2 3 7" xfId="4640" xr:uid="{00000000-0005-0000-0000-00002A490000}"/>
    <cellStyle name="Normal 7 4 2 4" xfId="1188" xr:uid="{00000000-0005-0000-0000-00002B490000}"/>
    <cellStyle name="Normal 7 4 2 4 2" xfId="2908" xr:uid="{00000000-0005-0000-0000-00002C490000}"/>
    <cellStyle name="Normal 7 4 2 4 2 2" xfId="16448" xr:uid="{00000000-0005-0000-0000-00002D490000}"/>
    <cellStyle name="Normal 7 4 2 4 2 3" xfId="12870" xr:uid="{00000000-0005-0000-0000-00002E490000}"/>
    <cellStyle name="Normal 7 4 2 4 2 4" xfId="7580" xr:uid="{00000000-0005-0000-0000-00002F490000}"/>
    <cellStyle name="Normal 7 4 2 4 3" xfId="4176" xr:uid="{00000000-0005-0000-0000-000030490000}"/>
    <cellStyle name="Normal 7 4 2 4 3 2" xfId="17821" xr:uid="{00000000-0005-0000-0000-000031490000}"/>
    <cellStyle name="Normal 7 4 2 4 3 3" xfId="14242" xr:uid="{00000000-0005-0000-0000-000032490000}"/>
    <cellStyle name="Normal 7 4 2 4 3 4" xfId="8985" xr:uid="{00000000-0005-0000-0000-000033490000}"/>
    <cellStyle name="Normal 7 4 2 4 4" xfId="6696" xr:uid="{00000000-0005-0000-0000-000034490000}"/>
    <cellStyle name="Normal 7 4 2 4 4 2" xfId="15780" xr:uid="{00000000-0005-0000-0000-000035490000}"/>
    <cellStyle name="Normal 7 4 2 4 5" xfId="10439" xr:uid="{00000000-0005-0000-0000-000036490000}"/>
    <cellStyle name="Normal 7 4 2 4 5 2" xfId="19266" xr:uid="{00000000-0005-0000-0000-000037490000}"/>
    <cellStyle name="Normal 7 4 2 4 6" xfId="11885" xr:uid="{00000000-0005-0000-0000-000038490000}"/>
    <cellStyle name="Normal 7 4 2 4 7" xfId="5174" xr:uid="{00000000-0005-0000-0000-000039490000}"/>
    <cellStyle name="Normal 7 4 2 5" xfId="1474" xr:uid="{00000000-0005-0000-0000-00003A490000}"/>
    <cellStyle name="Normal 7 4 2 5 2" xfId="3074" xr:uid="{00000000-0005-0000-0000-00003B490000}"/>
    <cellStyle name="Normal 7 4 2 5 2 2" xfId="16623" xr:uid="{00000000-0005-0000-0000-00003C490000}"/>
    <cellStyle name="Normal 7 4 2 5 2 3" xfId="13044" xr:uid="{00000000-0005-0000-0000-00003D490000}"/>
    <cellStyle name="Normal 7 4 2 5 2 4" xfId="7755" xr:uid="{00000000-0005-0000-0000-00003E490000}"/>
    <cellStyle name="Normal 7 4 2 5 3" xfId="4282" xr:uid="{00000000-0005-0000-0000-00003F490000}"/>
    <cellStyle name="Normal 7 4 2 5 3 2" xfId="17987" xr:uid="{00000000-0005-0000-0000-000040490000}"/>
    <cellStyle name="Normal 7 4 2 5 3 3" xfId="14408" xr:uid="{00000000-0005-0000-0000-000041490000}"/>
    <cellStyle name="Normal 7 4 2 5 3 4" xfId="9151" xr:uid="{00000000-0005-0000-0000-000042490000}"/>
    <cellStyle name="Normal 7 4 2 5 4" xfId="5943" xr:uid="{00000000-0005-0000-0000-000043490000}"/>
    <cellStyle name="Normal 7 4 2 5 4 2" xfId="15029" xr:uid="{00000000-0005-0000-0000-000044490000}"/>
    <cellStyle name="Normal 7 4 2 5 5" xfId="10605" xr:uid="{00000000-0005-0000-0000-000045490000}"/>
    <cellStyle name="Normal 7 4 2 5 5 2" xfId="19432" xr:uid="{00000000-0005-0000-0000-000046490000}"/>
    <cellStyle name="Normal 7 4 2 5 6" xfId="12051" xr:uid="{00000000-0005-0000-0000-000047490000}"/>
    <cellStyle name="Normal 7 4 2 5 7" xfId="5349" xr:uid="{00000000-0005-0000-0000-000048490000}"/>
    <cellStyle name="Normal 7 4 2 6" xfId="2031" xr:uid="{00000000-0005-0000-0000-000049490000}"/>
    <cellStyle name="Normal 7 4 2 6 2" xfId="15872" xr:uid="{00000000-0005-0000-0000-00004A490000}"/>
    <cellStyle name="Normal 7 4 2 6 3" xfId="12505" xr:uid="{00000000-0005-0000-0000-00004B490000}"/>
    <cellStyle name="Normal 7 4 2 6 4" xfId="6829" xr:uid="{00000000-0005-0000-0000-00004C490000}"/>
    <cellStyle name="Normal 7 4 2 7" xfId="3444" xr:uid="{00000000-0005-0000-0000-00004D490000}"/>
    <cellStyle name="Normal 7 4 2 7 2" xfId="16944" xr:uid="{00000000-0005-0000-0000-00004E490000}"/>
    <cellStyle name="Normal 7 4 2 7 3" xfId="13365" xr:uid="{00000000-0005-0000-0000-00004F490000}"/>
    <cellStyle name="Normal 7 4 2 7 4" xfId="8108" xr:uid="{00000000-0005-0000-0000-000050490000}"/>
    <cellStyle name="Normal 7 4 2 8" xfId="5669" xr:uid="{00000000-0005-0000-0000-000051490000}"/>
    <cellStyle name="Normal 7 4 2 8 2" xfId="14755" xr:uid="{00000000-0005-0000-0000-000052490000}"/>
    <cellStyle name="Normal 7 4 2 9" xfId="9562" xr:uid="{00000000-0005-0000-0000-000053490000}"/>
    <cellStyle name="Normal 7 4 2 9 2" xfId="18389" xr:uid="{00000000-0005-0000-0000-000054490000}"/>
    <cellStyle name="Normal 7 4 2_Degree data" xfId="1814" xr:uid="{00000000-0005-0000-0000-000055490000}"/>
    <cellStyle name="Normal 7 4 3" xfId="212" xr:uid="{00000000-0005-0000-0000-000056490000}"/>
    <cellStyle name="Normal 7 4 3 10" xfId="10963" xr:uid="{00000000-0005-0000-0000-000057490000}"/>
    <cellStyle name="Normal 7 4 3 11" xfId="4485" xr:uid="{00000000-0005-0000-0000-000058490000}"/>
    <cellStyle name="Normal 7 4 3 2" xfId="426" xr:uid="{00000000-0005-0000-0000-000059490000}"/>
    <cellStyle name="Normal 7 4 3 2 2" xfId="843" xr:uid="{00000000-0005-0000-0000-00005A490000}"/>
    <cellStyle name="Normal 7 4 3 2 2 2" xfId="2563" xr:uid="{00000000-0005-0000-0000-00005B490000}"/>
    <cellStyle name="Normal 7 4 3 2 2 2 2" xfId="16451" xr:uid="{00000000-0005-0000-0000-00005C490000}"/>
    <cellStyle name="Normal 7 4 3 2 2 2 3" xfId="12873" xr:uid="{00000000-0005-0000-0000-00005D490000}"/>
    <cellStyle name="Normal 7 4 3 2 2 2 4" xfId="7583" xr:uid="{00000000-0005-0000-0000-00005E490000}"/>
    <cellStyle name="Normal 7 4 3 2 2 3" xfId="3831" xr:uid="{00000000-0005-0000-0000-00005F490000}"/>
    <cellStyle name="Normal 7 4 3 2 2 3 2" xfId="17476" xr:uid="{00000000-0005-0000-0000-000060490000}"/>
    <cellStyle name="Normal 7 4 3 2 2 3 3" xfId="13897" xr:uid="{00000000-0005-0000-0000-000061490000}"/>
    <cellStyle name="Normal 7 4 3 2 2 3 4" xfId="8640" xr:uid="{00000000-0005-0000-0000-000062490000}"/>
    <cellStyle name="Normal 7 4 3 2 2 4" xfId="6699" xr:uid="{00000000-0005-0000-0000-000063490000}"/>
    <cellStyle name="Normal 7 4 3 2 2 4 2" xfId="15783" xr:uid="{00000000-0005-0000-0000-000064490000}"/>
    <cellStyle name="Normal 7 4 3 2 2 5" xfId="10094" xr:uid="{00000000-0005-0000-0000-000065490000}"/>
    <cellStyle name="Normal 7 4 3 2 2 5 2" xfId="18921" xr:uid="{00000000-0005-0000-0000-000066490000}"/>
    <cellStyle name="Normal 7 4 3 2 2 6" xfId="11540" xr:uid="{00000000-0005-0000-0000-000067490000}"/>
    <cellStyle name="Normal 7 4 3 2 2 7" xfId="5177" xr:uid="{00000000-0005-0000-0000-000068490000}"/>
    <cellStyle name="Normal 7 4 3 2 3" xfId="1191" xr:uid="{00000000-0005-0000-0000-000069490000}"/>
    <cellStyle name="Normal 7 4 3 2 3 2" xfId="2911" xr:uid="{00000000-0005-0000-0000-00006A490000}"/>
    <cellStyle name="Normal 7 4 3 2 3 2 2" xfId="16785" xr:uid="{00000000-0005-0000-0000-00006B490000}"/>
    <cellStyle name="Normal 7 4 3 2 3 2 3" xfId="13206" xr:uid="{00000000-0005-0000-0000-00006C490000}"/>
    <cellStyle name="Normal 7 4 3 2 3 2 4" xfId="7917" xr:uid="{00000000-0005-0000-0000-00006D490000}"/>
    <cellStyle name="Normal 7 4 3 2 3 3" xfId="4179" xr:uid="{00000000-0005-0000-0000-00006E490000}"/>
    <cellStyle name="Normal 7 4 3 2 3 3 2" xfId="17824" xr:uid="{00000000-0005-0000-0000-00006F490000}"/>
    <cellStyle name="Normal 7 4 3 2 3 3 3" xfId="14245" xr:uid="{00000000-0005-0000-0000-000070490000}"/>
    <cellStyle name="Normal 7 4 3 2 3 3 4" xfId="8988" xr:uid="{00000000-0005-0000-0000-000071490000}"/>
    <cellStyle name="Normal 7 4 3 2 3 4" xfId="6324" xr:uid="{00000000-0005-0000-0000-000072490000}"/>
    <cellStyle name="Normal 7 4 3 2 3 4 2" xfId="15408" xr:uid="{00000000-0005-0000-0000-000073490000}"/>
    <cellStyle name="Normal 7 4 3 2 3 5" xfId="10442" xr:uid="{00000000-0005-0000-0000-000074490000}"/>
    <cellStyle name="Normal 7 4 3 2 3 5 2" xfId="19269" xr:uid="{00000000-0005-0000-0000-000075490000}"/>
    <cellStyle name="Normal 7 4 3 2 3 6" xfId="11888" xr:uid="{00000000-0005-0000-0000-000076490000}"/>
    <cellStyle name="Normal 7 4 3 2 3 7" xfId="5511" xr:uid="{00000000-0005-0000-0000-000077490000}"/>
    <cellStyle name="Normal 7 4 3 2 4" xfId="1640" xr:uid="{00000000-0005-0000-0000-000078490000}"/>
    <cellStyle name="Normal 7 4 3 2 4 2" xfId="3236" xr:uid="{00000000-0005-0000-0000-000079490000}"/>
    <cellStyle name="Normal 7 4 3 2 4 2 2" xfId="18149" xr:uid="{00000000-0005-0000-0000-00007A490000}"/>
    <cellStyle name="Normal 7 4 3 2 4 2 3" xfId="14570" xr:uid="{00000000-0005-0000-0000-00007B490000}"/>
    <cellStyle name="Normal 7 4 3 2 4 2 4" xfId="9313" xr:uid="{00000000-0005-0000-0000-00007C490000}"/>
    <cellStyle name="Normal 7 4 3 2 4 3" xfId="10767" xr:uid="{00000000-0005-0000-0000-00007D490000}"/>
    <cellStyle name="Normal 7 4 3 2 4 3 2" xfId="19594" xr:uid="{00000000-0005-0000-0000-00007E490000}"/>
    <cellStyle name="Normal 7 4 3 2 4 4" xfId="12213" xr:uid="{00000000-0005-0000-0000-00007F490000}"/>
    <cellStyle name="Normal 7 4 3 2 4 5" xfId="7208" xr:uid="{00000000-0005-0000-0000-000080490000}"/>
    <cellStyle name="Normal 7 4 3 2 5" xfId="2193" xr:uid="{00000000-0005-0000-0000-000081490000}"/>
    <cellStyle name="Normal 7 4 3 2 5 2" xfId="17106" xr:uid="{00000000-0005-0000-0000-000082490000}"/>
    <cellStyle name="Normal 7 4 3 2 5 3" xfId="13527" xr:uid="{00000000-0005-0000-0000-000083490000}"/>
    <cellStyle name="Normal 7 4 3 2 5 4" xfId="8270" xr:uid="{00000000-0005-0000-0000-000084490000}"/>
    <cellStyle name="Normal 7 4 3 2 6" xfId="5831" xr:uid="{00000000-0005-0000-0000-000085490000}"/>
    <cellStyle name="Normal 7 4 3 2 6 2" xfId="14917" xr:uid="{00000000-0005-0000-0000-000086490000}"/>
    <cellStyle name="Normal 7 4 3 2 7" xfId="9724" xr:uid="{00000000-0005-0000-0000-000087490000}"/>
    <cellStyle name="Normal 7 4 3 2 7 2" xfId="18551" xr:uid="{00000000-0005-0000-0000-000088490000}"/>
    <cellStyle name="Normal 7 4 3 2 8" xfId="11168" xr:uid="{00000000-0005-0000-0000-000089490000}"/>
    <cellStyle name="Normal 7 4 3 2 9" xfId="4802" xr:uid="{00000000-0005-0000-0000-00008A490000}"/>
    <cellStyle name="Normal 7 4 3 2_Degree data" xfId="1817" xr:uid="{00000000-0005-0000-0000-00008B490000}"/>
    <cellStyle name="Normal 7 4 3 3" xfId="842" xr:uid="{00000000-0005-0000-0000-00008C490000}"/>
    <cellStyle name="Normal 7 4 3 3 2" xfId="2562" xr:uid="{00000000-0005-0000-0000-00008D490000}"/>
    <cellStyle name="Normal 7 4 3 3 2 2" xfId="16017" xr:uid="{00000000-0005-0000-0000-00008E490000}"/>
    <cellStyle name="Normal 7 4 3 3 2 3" xfId="12391" xr:uid="{00000000-0005-0000-0000-00008F490000}"/>
    <cellStyle name="Normal 7 4 3 3 2 4" xfId="7003" xr:uid="{00000000-0005-0000-0000-000090490000}"/>
    <cellStyle name="Normal 7 4 3 3 3" xfId="3830" xr:uid="{00000000-0005-0000-0000-000091490000}"/>
    <cellStyle name="Normal 7 4 3 3 3 2" xfId="17475" xr:uid="{00000000-0005-0000-0000-000092490000}"/>
    <cellStyle name="Normal 7 4 3 3 3 3" xfId="13896" xr:uid="{00000000-0005-0000-0000-000093490000}"/>
    <cellStyle name="Normal 7 4 3 3 3 4" xfId="8639" xr:uid="{00000000-0005-0000-0000-000094490000}"/>
    <cellStyle name="Normal 7 4 3 3 4" xfId="6119" xr:uid="{00000000-0005-0000-0000-000095490000}"/>
    <cellStyle name="Normal 7 4 3 3 4 2" xfId="15203" xr:uid="{00000000-0005-0000-0000-000096490000}"/>
    <cellStyle name="Normal 7 4 3 3 5" xfId="10093" xr:uid="{00000000-0005-0000-0000-000097490000}"/>
    <cellStyle name="Normal 7 4 3 3 5 2" xfId="18920" xr:uid="{00000000-0005-0000-0000-000098490000}"/>
    <cellStyle name="Normal 7 4 3 3 6" xfId="11539" xr:uid="{00000000-0005-0000-0000-000099490000}"/>
    <cellStyle name="Normal 7 4 3 3 7" xfId="4597" xr:uid="{00000000-0005-0000-0000-00009A490000}"/>
    <cellStyle name="Normal 7 4 3 4" xfId="1190" xr:uid="{00000000-0005-0000-0000-00009B490000}"/>
    <cellStyle name="Normal 7 4 3 4 2" xfId="2910" xr:uid="{00000000-0005-0000-0000-00009C490000}"/>
    <cellStyle name="Normal 7 4 3 4 2 2" xfId="16450" xr:uid="{00000000-0005-0000-0000-00009D490000}"/>
    <cellStyle name="Normal 7 4 3 4 2 3" xfId="12872" xr:uid="{00000000-0005-0000-0000-00009E490000}"/>
    <cellStyle name="Normal 7 4 3 4 2 4" xfId="7582" xr:uid="{00000000-0005-0000-0000-00009F490000}"/>
    <cellStyle name="Normal 7 4 3 4 3" xfId="4178" xr:uid="{00000000-0005-0000-0000-0000A0490000}"/>
    <cellStyle name="Normal 7 4 3 4 3 2" xfId="17823" xr:uid="{00000000-0005-0000-0000-0000A1490000}"/>
    <cellStyle name="Normal 7 4 3 4 3 3" xfId="14244" xr:uid="{00000000-0005-0000-0000-0000A2490000}"/>
    <cellStyle name="Normal 7 4 3 4 3 4" xfId="8987" xr:uid="{00000000-0005-0000-0000-0000A3490000}"/>
    <cellStyle name="Normal 7 4 3 4 4" xfId="6698" xr:uid="{00000000-0005-0000-0000-0000A4490000}"/>
    <cellStyle name="Normal 7 4 3 4 4 2" xfId="15782" xr:uid="{00000000-0005-0000-0000-0000A5490000}"/>
    <cellStyle name="Normal 7 4 3 4 5" xfId="10441" xr:uid="{00000000-0005-0000-0000-0000A6490000}"/>
    <cellStyle name="Normal 7 4 3 4 5 2" xfId="19268" xr:uid="{00000000-0005-0000-0000-0000A7490000}"/>
    <cellStyle name="Normal 7 4 3 4 6" xfId="11887" xr:uid="{00000000-0005-0000-0000-0000A8490000}"/>
    <cellStyle name="Normal 7 4 3 4 7" xfId="5176" xr:uid="{00000000-0005-0000-0000-0000A9490000}"/>
    <cellStyle name="Normal 7 4 3 5" xfId="1429" xr:uid="{00000000-0005-0000-0000-0000AA490000}"/>
    <cellStyle name="Normal 7 4 3 5 2" xfId="3031" xr:uid="{00000000-0005-0000-0000-0000AB490000}"/>
    <cellStyle name="Normal 7 4 3 5 2 2" xfId="16580" xr:uid="{00000000-0005-0000-0000-0000AC490000}"/>
    <cellStyle name="Normal 7 4 3 5 2 3" xfId="13001" xr:uid="{00000000-0005-0000-0000-0000AD490000}"/>
    <cellStyle name="Normal 7 4 3 5 2 4" xfId="7712" xr:uid="{00000000-0005-0000-0000-0000AE490000}"/>
    <cellStyle name="Normal 7 4 3 5 3" xfId="4239" xr:uid="{00000000-0005-0000-0000-0000AF490000}"/>
    <cellStyle name="Normal 7 4 3 5 3 2" xfId="17944" xr:uid="{00000000-0005-0000-0000-0000B0490000}"/>
    <cellStyle name="Normal 7 4 3 5 3 3" xfId="14365" xr:uid="{00000000-0005-0000-0000-0000B1490000}"/>
    <cellStyle name="Normal 7 4 3 5 3 4" xfId="9108" xr:uid="{00000000-0005-0000-0000-0000B2490000}"/>
    <cellStyle name="Normal 7 4 3 5 4" xfId="6005" xr:uid="{00000000-0005-0000-0000-0000B3490000}"/>
    <cellStyle name="Normal 7 4 3 5 4 2" xfId="15091" xr:uid="{00000000-0005-0000-0000-0000B4490000}"/>
    <cellStyle name="Normal 7 4 3 5 5" xfId="10562" xr:uid="{00000000-0005-0000-0000-0000B5490000}"/>
    <cellStyle name="Normal 7 4 3 5 5 2" xfId="19389" xr:uid="{00000000-0005-0000-0000-0000B6490000}"/>
    <cellStyle name="Normal 7 4 3 5 6" xfId="12008" xr:uid="{00000000-0005-0000-0000-0000B7490000}"/>
    <cellStyle name="Normal 7 4 3 5 7" xfId="5306" xr:uid="{00000000-0005-0000-0000-0000B8490000}"/>
    <cellStyle name="Normal 7 4 3 6" xfId="1988" xr:uid="{00000000-0005-0000-0000-0000B9490000}"/>
    <cellStyle name="Normal 7 4 3 6 2" xfId="15934" xr:uid="{00000000-0005-0000-0000-0000BA490000}"/>
    <cellStyle name="Normal 7 4 3 6 3" xfId="12411" xr:uid="{00000000-0005-0000-0000-0000BB490000}"/>
    <cellStyle name="Normal 7 4 3 6 4" xfId="6891" xr:uid="{00000000-0005-0000-0000-0000BC490000}"/>
    <cellStyle name="Normal 7 4 3 7" xfId="3402" xr:uid="{00000000-0005-0000-0000-0000BD490000}"/>
    <cellStyle name="Normal 7 4 3 7 2" xfId="16901" xr:uid="{00000000-0005-0000-0000-0000BE490000}"/>
    <cellStyle name="Normal 7 4 3 7 3" xfId="13322" xr:uid="{00000000-0005-0000-0000-0000BF490000}"/>
    <cellStyle name="Normal 7 4 3 7 4" xfId="8065" xr:uid="{00000000-0005-0000-0000-0000C0490000}"/>
    <cellStyle name="Normal 7 4 3 8" xfId="5626" xr:uid="{00000000-0005-0000-0000-0000C1490000}"/>
    <cellStyle name="Normal 7 4 3 8 2" xfId="14712" xr:uid="{00000000-0005-0000-0000-0000C2490000}"/>
    <cellStyle name="Normal 7 4 3 9" xfId="9519" xr:uid="{00000000-0005-0000-0000-0000C3490000}"/>
    <cellStyle name="Normal 7 4 3 9 2" xfId="18346" xr:uid="{00000000-0005-0000-0000-0000C4490000}"/>
    <cellStyle name="Normal 7 4 3_Degree data" xfId="1816" xr:uid="{00000000-0005-0000-0000-0000C5490000}"/>
    <cellStyle name="Normal 7 4 4" xfId="320" xr:uid="{00000000-0005-0000-0000-0000C6490000}"/>
    <cellStyle name="Normal 7 4 4 2" xfId="844" xr:uid="{00000000-0005-0000-0000-0000C7490000}"/>
    <cellStyle name="Normal 7 4 4 2 2" xfId="2564" xr:uid="{00000000-0005-0000-0000-0000C8490000}"/>
    <cellStyle name="Normal 7 4 4 2 2 2" xfId="16452" xr:uid="{00000000-0005-0000-0000-0000C9490000}"/>
    <cellStyle name="Normal 7 4 4 2 2 3" xfId="12874" xr:uid="{00000000-0005-0000-0000-0000CA490000}"/>
    <cellStyle name="Normal 7 4 4 2 2 4" xfId="7584" xr:uid="{00000000-0005-0000-0000-0000CB490000}"/>
    <cellStyle name="Normal 7 4 4 2 3" xfId="3832" xr:uid="{00000000-0005-0000-0000-0000CC490000}"/>
    <cellStyle name="Normal 7 4 4 2 3 2" xfId="17477" xr:uid="{00000000-0005-0000-0000-0000CD490000}"/>
    <cellStyle name="Normal 7 4 4 2 3 3" xfId="13898" xr:uid="{00000000-0005-0000-0000-0000CE490000}"/>
    <cellStyle name="Normal 7 4 4 2 3 4" xfId="8641" xr:uid="{00000000-0005-0000-0000-0000CF490000}"/>
    <cellStyle name="Normal 7 4 4 2 4" xfId="6700" xr:uid="{00000000-0005-0000-0000-0000D0490000}"/>
    <cellStyle name="Normal 7 4 4 2 4 2" xfId="15784" xr:uid="{00000000-0005-0000-0000-0000D1490000}"/>
    <cellStyle name="Normal 7 4 4 2 5" xfId="10095" xr:uid="{00000000-0005-0000-0000-0000D2490000}"/>
    <cellStyle name="Normal 7 4 4 2 5 2" xfId="18922" xr:uid="{00000000-0005-0000-0000-0000D3490000}"/>
    <cellStyle name="Normal 7 4 4 2 6" xfId="11541" xr:uid="{00000000-0005-0000-0000-0000D4490000}"/>
    <cellStyle name="Normal 7 4 4 2 7" xfId="5178" xr:uid="{00000000-0005-0000-0000-0000D5490000}"/>
    <cellStyle name="Normal 7 4 4 3" xfId="1192" xr:uid="{00000000-0005-0000-0000-0000D6490000}"/>
    <cellStyle name="Normal 7 4 4 3 2" xfId="2912" xr:uid="{00000000-0005-0000-0000-0000D7490000}"/>
    <cellStyle name="Normal 7 4 4 3 2 2" xfId="16680" xr:uid="{00000000-0005-0000-0000-0000D8490000}"/>
    <cellStyle name="Normal 7 4 4 3 2 3" xfId="13101" xr:uid="{00000000-0005-0000-0000-0000D9490000}"/>
    <cellStyle name="Normal 7 4 4 3 2 4" xfId="7812" xr:uid="{00000000-0005-0000-0000-0000DA490000}"/>
    <cellStyle name="Normal 7 4 4 3 3" xfId="4180" xr:uid="{00000000-0005-0000-0000-0000DB490000}"/>
    <cellStyle name="Normal 7 4 4 3 3 2" xfId="17825" xr:uid="{00000000-0005-0000-0000-0000DC490000}"/>
    <cellStyle name="Normal 7 4 4 3 3 3" xfId="14246" xr:uid="{00000000-0005-0000-0000-0000DD490000}"/>
    <cellStyle name="Normal 7 4 4 3 3 4" xfId="8989" xr:uid="{00000000-0005-0000-0000-0000DE490000}"/>
    <cellStyle name="Normal 7 4 4 3 4" xfId="6219" xr:uid="{00000000-0005-0000-0000-0000DF490000}"/>
    <cellStyle name="Normal 7 4 4 3 4 2" xfId="15303" xr:uid="{00000000-0005-0000-0000-0000E0490000}"/>
    <cellStyle name="Normal 7 4 4 3 5" xfId="10443" xr:uid="{00000000-0005-0000-0000-0000E1490000}"/>
    <cellStyle name="Normal 7 4 4 3 5 2" xfId="19270" xr:uid="{00000000-0005-0000-0000-0000E2490000}"/>
    <cellStyle name="Normal 7 4 4 3 6" xfId="11889" xr:uid="{00000000-0005-0000-0000-0000E3490000}"/>
    <cellStyle name="Normal 7 4 4 3 7" xfId="5406" xr:uid="{00000000-0005-0000-0000-0000E4490000}"/>
    <cellStyle name="Normal 7 4 4 4" xfId="1532" xr:uid="{00000000-0005-0000-0000-0000E5490000}"/>
    <cellStyle name="Normal 7 4 4 4 2" xfId="3131" xr:uid="{00000000-0005-0000-0000-0000E6490000}"/>
    <cellStyle name="Normal 7 4 4 4 2 2" xfId="18044" xr:uid="{00000000-0005-0000-0000-0000E7490000}"/>
    <cellStyle name="Normal 7 4 4 4 2 3" xfId="14465" xr:uid="{00000000-0005-0000-0000-0000E8490000}"/>
    <cellStyle name="Normal 7 4 4 4 2 4" xfId="9208" xr:uid="{00000000-0005-0000-0000-0000E9490000}"/>
    <cellStyle name="Normal 7 4 4 4 3" xfId="10662" xr:uid="{00000000-0005-0000-0000-0000EA490000}"/>
    <cellStyle name="Normal 7 4 4 4 3 2" xfId="19489" xr:uid="{00000000-0005-0000-0000-0000EB490000}"/>
    <cellStyle name="Normal 7 4 4 4 4" xfId="12108" xr:uid="{00000000-0005-0000-0000-0000EC490000}"/>
    <cellStyle name="Normal 7 4 4 4 5" xfId="7103" xr:uid="{00000000-0005-0000-0000-0000ED490000}"/>
    <cellStyle name="Normal 7 4 4 5" xfId="2088" xr:uid="{00000000-0005-0000-0000-0000EE490000}"/>
    <cellStyle name="Normal 7 4 4 5 2" xfId="17001" xr:uid="{00000000-0005-0000-0000-0000EF490000}"/>
    <cellStyle name="Normal 7 4 4 5 3" xfId="13422" xr:uid="{00000000-0005-0000-0000-0000F0490000}"/>
    <cellStyle name="Normal 7 4 4 5 4" xfId="8165" xr:uid="{00000000-0005-0000-0000-0000F1490000}"/>
    <cellStyle name="Normal 7 4 4 6" xfId="5726" xr:uid="{00000000-0005-0000-0000-0000F2490000}"/>
    <cellStyle name="Normal 7 4 4 6 2" xfId="14812" xr:uid="{00000000-0005-0000-0000-0000F3490000}"/>
    <cellStyle name="Normal 7 4 4 7" xfId="9619" xr:uid="{00000000-0005-0000-0000-0000F4490000}"/>
    <cellStyle name="Normal 7 4 4 7 2" xfId="18446" xr:uid="{00000000-0005-0000-0000-0000F5490000}"/>
    <cellStyle name="Normal 7 4 4 8" xfId="11063" xr:uid="{00000000-0005-0000-0000-0000F6490000}"/>
    <cellStyle name="Normal 7 4 4 9" xfId="4697" xr:uid="{00000000-0005-0000-0000-0000F7490000}"/>
    <cellStyle name="Normal 7 4 4_Degree data" xfId="1818" xr:uid="{00000000-0005-0000-0000-0000F8490000}"/>
    <cellStyle name="Normal 7 4 5" xfId="839" xr:uid="{00000000-0005-0000-0000-0000F9490000}"/>
    <cellStyle name="Normal 7 4 5 2" xfId="2559" xr:uid="{00000000-0005-0000-0000-0000FA490000}"/>
    <cellStyle name="Normal 7 4 5 2 2" xfId="15974" xr:uid="{00000000-0005-0000-0000-0000FB490000}"/>
    <cellStyle name="Normal 7 4 5 2 3" xfId="12291" xr:uid="{00000000-0005-0000-0000-0000FC490000}"/>
    <cellStyle name="Normal 7 4 5 2 4" xfId="6944" xr:uid="{00000000-0005-0000-0000-0000FD490000}"/>
    <cellStyle name="Normal 7 4 5 3" xfId="3827" xr:uid="{00000000-0005-0000-0000-0000FE490000}"/>
    <cellStyle name="Normal 7 4 5 3 2" xfId="17472" xr:uid="{00000000-0005-0000-0000-0000FF490000}"/>
    <cellStyle name="Normal 7 4 5 3 3" xfId="13893" xr:uid="{00000000-0005-0000-0000-0000004A0000}"/>
    <cellStyle name="Normal 7 4 5 3 4" xfId="8636" xr:uid="{00000000-0005-0000-0000-0000014A0000}"/>
    <cellStyle name="Normal 7 4 5 4" xfId="6060" xr:uid="{00000000-0005-0000-0000-0000024A0000}"/>
    <cellStyle name="Normal 7 4 5 4 2" xfId="15144" xr:uid="{00000000-0005-0000-0000-0000034A0000}"/>
    <cellStyle name="Normal 7 4 5 5" xfId="10090" xr:uid="{00000000-0005-0000-0000-0000044A0000}"/>
    <cellStyle name="Normal 7 4 5 5 2" xfId="18917" xr:uid="{00000000-0005-0000-0000-0000054A0000}"/>
    <cellStyle name="Normal 7 4 5 6" xfId="11536" xr:uid="{00000000-0005-0000-0000-0000064A0000}"/>
    <cellStyle name="Normal 7 4 5 7" xfId="4538" xr:uid="{00000000-0005-0000-0000-0000074A0000}"/>
    <cellStyle name="Normal 7 4 6" xfId="1187" xr:uid="{00000000-0005-0000-0000-0000084A0000}"/>
    <cellStyle name="Normal 7 4 6 2" xfId="2907" xr:uid="{00000000-0005-0000-0000-0000094A0000}"/>
    <cellStyle name="Normal 7 4 6 2 2" xfId="16447" xr:uid="{00000000-0005-0000-0000-00000A4A0000}"/>
    <cellStyle name="Normal 7 4 6 2 3" xfId="12869" xr:uid="{00000000-0005-0000-0000-00000B4A0000}"/>
    <cellStyle name="Normal 7 4 6 2 4" xfId="7579" xr:uid="{00000000-0005-0000-0000-00000C4A0000}"/>
    <cellStyle name="Normal 7 4 6 3" xfId="4175" xr:uid="{00000000-0005-0000-0000-00000D4A0000}"/>
    <cellStyle name="Normal 7 4 6 3 2" xfId="17820" xr:uid="{00000000-0005-0000-0000-00000E4A0000}"/>
    <cellStyle name="Normal 7 4 6 3 3" xfId="14241" xr:uid="{00000000-0005-0000-0000-00000F4A0000}"/>
    <cellStyle name="Normal 7 4 6 3 4" xfId="8984" xr:uid="{00000000-0005-0000-0000-0000104A0000}"/>
    <cellStyle name="Normal 7 4 6 4" xfId="6695" xr:uid="{00000000-0005-0000-0000-0000114A0000}"/>
    <cellStyle name="Normal 7 4 6 4 2" xfId="15779" xr:uid="{00000000-0005-0000-0000-0000124A0000}"/>
    <cellStyle name="Normal 7 4 6 5" xfId="10438" xr:uid="{00000000-0005-0000-0000-0000134A0000}"/>
    <cellStyle name="Normal 7 4 6 5 2" xfId="19265" xr:uid="{00000000-0005-0000-0000-0000144A0000}"/>
    <cellStyle name="Normal 7 4 6 6" xfId="11884" xr:uid="{00000000-0005-0000-0000-0000154A0000}"/>
    <cellStyle name="Normal 7 4 6 7" xfId="5173" xr:uid="{00000000-0005-0000-0000-0000164A0000}"/>
    <cellStyle name="Normal 7 4 7" xfId="1361" xr:uid="{00000000-0005-0000-0000-0000174A0000}"/>
    <cellStyle name="Normal 7 4 7 2" xfId="2972" xr:uid="{00000000-0005-0000-0000-0000184A0000}"/>
    <cellStyle name="Normal 7 4 7 2 2" xfId="16521" xr:uid="{00000000-0005-0000-0000-0000194A0000}"/>
    <cellStyle name="Normal 7 4 7 2 3" xfId="12943" xr:uid="{00000000-0005-0000-0000-00001A4A0000}"/>
    <cellStyle name="Normal 7 4 7 2 4" xfId="7653" xr:uid="{00000000-0005-0000-0000-00001B4A0000}"/>
    <cellStyle name="Normal 7 4 7 3" xfId="4197" xr:uid="{00000000-0005-0000-0000-00001C4A0000}"/>
    <cellStyle name="Normal 7 4 7 3 2" xfId="17885" xr:uid="{00000000-0005-0000-0000-00001D4A0000}"/>
    <cellStyle name="Normal 7 4 7 3 3" xfId="14306" xr:uid="{00000000-0005-0000-0000-00001E4A0000}"/>
    <cellStyle name="Normal 7 4 7 3 4" xfId="9049" xr:uid="{00000000-0005-0000-0000-00001F4A0000}"/>
    <cellStyle name="Normal 7 4 7 4" xfId="5899" xr:uid="{00000000-0005-0000-0000-0000204A0000}"/>
    <cellStyle name="Normal 7 4 7 4 2" xfId="14985" xr:uid="{00000000-0005-0000-0000-0000214A0000}"/>
    <cellStyle name="Normal 7 4 7 5" xfId="10503" xr:uid="{00000000-0005-0000-0000-0000224A0000}"/>
    <cellStyle name="Normal 7 4 7 5 2" xfId="19330" xr:uid="{00000000-0005-0000-0000-0000234A0000}"/>
    <cellStyle name="Normal 7 4 7 6" xfId="11949" xr:uid="{00000000-0005-0000-0000-0000244A0000}"/>
    <cellStyle name="Normal 7 4 7 7" xfId="5247" xr:uid="{00000000-0005-0000-0000-0000254A0000}"/>
    <cellStyle name="Normal 7 4 8" xfId="1929" xr:uid="{00000000-0005-0000-0000-0000264A0000}"/>
    <cellStyle name="Normal 7 4 8 2" xfId="9460" xr:uid="{00000000-0005-0000-0000-0000274A0000}"/>
    <cellStyle name="Normal 7 4 8 2 2" xfId="18287" xr:uid="{00000000-0005-0000-0000-0000284A0000}"/>
    <cellStyle name="Normal 7 4 8 3" xfId="10904" xr:uid="{00000000-0005-0000-0000-0000294A0000}"/>
    <cellStyle name="Normal 7 4 8 4" xfId="6786" xr:uid="{00000000-0005-0000-0000-00002A4A0000}"/>
    <cellStyle name="Normal 7 4 9" xfId="1853" xr:uid="{00000000-0005-0000-0000-00002B4A0000}"/>
    <cellStyle name="Normal 7 4 9 2" xfId="16840" xr:uid="{00000000-0005-0000-0000-00002C4A0000}"/>
    <cellStyle name="Normal 7 4 9 3" xfId="13261" xr:uid="{00000000-0005-0000-0000-00002D4A0000}"/>
    <cellStyle name="Normal 7 4 9 4" xfId="8004" xr:uid="{00000000-0005-0000-0000-00002E4A0000}"/>
    <cellStyle name="Normal 7 4_Degree data" xfId="1813" xr:uid="{00000000-0005-0000-0000-00002F4A0000}"/>
    <cellStyle name="Normal 7 5" xfId="238" xr:uid="{00000000-0005-0000-0000-0000304A0000}"/>
    <cellStyle name="Normal 7 5 10" xfId="10989" xr:uid="{00000000-0005-0000-0000-0000314A0000}"/>
    <cellStyle name="Normal 7 5 11" xfId="4406" xr:uid="{00000000-0005-0000-0000-0000324A0000}"/>
    <cellStyle name="Normal 7 5 2" xfId="346" xr:uid="{00000000-0005-0000-0000-0000334A0000}"/>
    <cellStyle name="Normal 7 5 2 2" xfId="846" xr:uid="{00000000-0005-0000-0000-0000344A0000}"/>
    <cellStyle name="Normal 7 5 2 2 2" xfId="2566" xr:uid="{00000000-0005-0000-0000-0000354A0000}"/>
    <cellStyle name="Normal 7 5 2 2 2 2" xfId="16454" xr:uid="{00000000-0005-0000-0000-0000364A0000}"/>
    <cellStyle name="Normal 7 5 2 2 2 3" xfId="12876" xr:uid="{00000000-0005-0000-0000-0000374A0000}"/>
    <cellStyle name="Normal 7 5 2 2 2 4" xfId="7586" xr:uid="{00000000-0005-0000-0000-0000384A0000}"/>
    <cellStyle name="Normal 7 5 2 2 3" xfId="3834" xr:uid="{00000000-0005-0000-0000-0000394A0000}"/>
    <cellStyle name="Normal 7 5 2 2 3 2" xfId="17479" xr:uid="{00000000-0005-0000-0000-00003A4A0000}"/>
    <cellStyle name="Normal 7 5 2 2 3 3" xfId="13900" xr:uid="{00000000-0005-0000-0000-00003B4A0000}"/>
    <cellStyle name="Normal 7 5 2 2 3 4" xfId="8643" xr:uid="{00000000-0005-0000-0000-00003C4A0000}"/>
    <cellStyle name="Normal 7 5 2 2 4" xfId="6702" xr:uid="{00000000-0005-0000-0000-00003D4A0000}"/>
    <cellStyle name="Normal 7 5 2 2 4 2" xfId="15786" xr:uid="{00000000-0005-0000-0000-00003E4A0000}"/>
    <cellStyle name="Normal 7 5 2 2 5" xfId="10097" xr:uid="{00000000-0005-0000-0000-00003F4A0000}"/>
    <cellStyle name="Normal 7 5 2 2 5 2" xfId="18924" xr:uid="{00000000-0005-0000-0000-0000404A0000}"/>
    <cellStyle name="Normal 7 5 2 2 6" xfId="11543" xr:uid="{00000000-0005-0000-0000-0000414A0000}"/>
    <cellStyle name="Normal 7 5 2 2 7" xfId="5180" xr:uid="{00000000-0005-0000-0000-0000424A0000}"/>
    <cellStyle name="Normal 7 5 2 3" xfId="1194" xr:uid="{00000000-0005-0000-0000-0000434A0000}"/>
    <cellStyle name="Normal 7 5 2 3 2" xfId="2914" xr:uid="{00000000-0005-0000-0000-0000444A0000}"/>
    <cellStyle name="Normal 7 5 2 3 2 2" xfId="16706" xr:uid="{00000000-0005-0000-0000-0000454A0000}"/>
    <cellStyle name="Normal 7 5 2 3 2 3" xfId="13127" xr:uid="{00000000-0005-0000-0000-0000464A0000}"/>
    <cellStyle name="Normal 7 5 2 3 2 4" xfId="7838" xr:uid="{00000000-0005-0000-0000-0000474A0000}"/>
    <cellStyle name="Normal 7 5 2 3 3" xfId="4182" xr:uid="{00000000-0005-0000-0000-0000484A0000}"/>
    <cellStyle name="Normal 7 5 2 3 3 2" xfId="17827" xr:uid="{00000000-0005-0000-0000-0000494A0000}"/>
    <cellStyle name="Normal 7 5 2 3 3 3" xfId="14248" xr:uid="{00000000-0005-0000-0000-00004A4A0000}"/>
    <cellStyle name="Normal 7 5 2 3 3 4" xfId="8991" xr:uid="{00000000-0005-0000-0000-00004B4A0000}"/>
    <cellStyle name="Normal 7 5 2 3 4" xfId="6245" xr:uid="{00000000-0005-0000-0000-00004C4A0000}"/>
    <cellStyle name="Normal 7 5 2 3 4 2" xfId="15329" xr:uid="{00000000-0005-0000-0000-00004D4A0000}"/>
    <cellStyle name="Normal 7 5 2 3 5" xfId="10445" xr:uid="{00000000-0005-0000-0000-00004E4A0000}"/>
    <cellStyle name="Normal 7 5 2 3 5 2" xfId="19272" xr:uid="{00000000-0005-0000-0000-00004F4A0000}"/>
    <cellStyle name="Normal 7 5 2 3 6" xfId="11891" xr:uid="{00000000-0005-0000-0000-0000504A0000}"/>
    <cellStyle name="Normal 7 5 2 3 7" xfId="5432" xr:uid="{00000000-0005-0000-0000-0000514A0000}"/>
    <cellStyle name="Normal 7 5 2 4" xfId="1559" xr:uid="{00000000-0005-0000-0000-0000524A0000}"/>
    <cellStyle name="Normal 7 5 2 4 2" xfId="3157" xr:uid="{00000000-0005-0000-0000-0000534A0000}"/>
    <cellStyle name="Normal 7 5 2 4 2 2" xfId="18070" xr:uid="{00000000-0005-0000-0000-0000544A0000}"/>
    <cellStyle name="Normal 7 5 2 4 2 3" xfId="14491" xr:uid="{00000000-0005-0000-0000-0000554A0000}"/>
    <cellStyle name="Normal 7 5 2 4 2 4" xfId="9234" xr:uid="{00000000-0005-0000-0000-0000564A0000}"/>
    <cellStyle name="Normal 7 5 2 4 3" xfId="10688" xr:uid="{00000000-0005-0000-0000-0000574A0000}"/>
    <cellStyle name="Normal 7 5 2 4 3 2" xfId="19515" xr:uid="{00000000-0005-0000-0000-0000584A0000}"/>
    <cellStyle name="Normal 7 5 2 4 4" xfId="12134" xr:uid="{00000000-0005-0000-0000-0000594A0000}"/>
    <cellStyle name="Normal 7 5 2 4 5" xfId="7129" xr:uid="{00000000-0005-0000-0000-00005A4A0000}"/>
    <cellStyle name="Normal 7 5 2 5" xfId="2114" xr:uid="{00000000-0005-0000-0000-00005B4A0000}"/>
    <cellStyle name="Normal 7 5 2 5 2" xfId="17027" xr:uid="{00000000-0005-0000-0000-00005C4A0000}"/>
    <cellStyle name="Normal 7 5 2 5 3" xfId="13448" xr:uid="{00000000-0005-0000-0000-00005D4A0000}"/>
    <cellStyle name="Normal 7 5 2 5 4" xfId="8191" xr:uid="{00000000-0005-0000-0000-00005E4A0000}"/>
    <cellStyle name="Normal 7 5 2 6" xfId="5752" xr:uid="{00000000-0005-0000-0000-00005F4A0000}"/>
    <cellStyle name="Normal 7 5 2 6 2" xfId="14838" xr:uid="{00000000-0005-0000-0000-0000604A0000}"/>
    <cellStyle name="Normal 7 5 2 7" xfId="9645" xr:uid="{00000000-0005-0000-0000-0000614A0000}"/>
    <cellStyle name="Normal 7 5 2 7 2" xfId="18472" xr:uid="{00000000-0005-0000-0000-0000624A0000}"/>
    <cellStyle name="Normal 7 5 2 8" xfId="11089" xr:uid="{00000000-0005-0000-0000-0000634A0000}"/>
    <cellStyle name="Normal 7 5 2 9" xfId="4723" xr:uid="{00000000-0005-0000-0000-0000644A0000}"/>
    <cellStyle name="Normal 7 5 2_Degree data" xfId="1820" xr:uid="{00000000-0005-0000-0000-0000654A0000}"/>
    <cellStyle name="Normal 7 5 3" xfId="845" xr:uid="{00000000-0005-0000-0000-0000664A0000}"/>
    <cellStyle name="Normal 7 5 3 2" xfId="2565" xr:uid="{00000000-0005-0000-0000-0000674A0000}"/>
    <cellStyle name="Normal 7 5 3 2 2" xfId="16043" xr:uid="{00000000-0005-0000-0000-0000684A0000}"/>
    <cellStyle name="Normal 7 5 3 2 3" xfId="12448" xr:uid="{00000000-0005-0000-0000-0000694A0000}"/>
    <cellStyle name="Normal 7 5 3 2 4" xfId="7029" xr:uid="{00000000-0005-0000-0000-00006A4A0000}"/>
    <cellStyle name="Normal 7 5 3 3" xfId="3833" xr:uid="{00000000-0005-0000-0000-00006B4A0000}"/>
    <cellStyle name="Normal 7 5 3 3 2" xfId="17478" xr:uid="{00000000-0005-0000-0000-00006C4A0000}"/>
    <cellStyle name="Normal 7 5 3 3 3" xfId="13899" xr:uid="{00000000-0005-0000-0000-00006D4A0000}"/>
    <cellStyle name="Normal 7 5 3 3 4" xfId="8642" xr:uid="{00000000-0005-0000-0000-00006E4A0000}"/>
    <cellStyle name="Normal 7 5 3 4" xfId="6145" xr:uid="{00000000-0005-0000-0000-00006F4A0000}"/>
    <cellStyle name="Normal 7 5 3 4 2" xfId="15229" xr:uid="{00000000-0005-0000-0000-0000704A0000}"/>
    <cellStyle name="Normal 7 5 3 5" xfId="10096" xr:uid="{00000000-0005-0000-0000-0000714A0000}"/>
    <cellStyle name="Normal 7 5 3 5 2" xfId="18923" xr:uid="{00000000-0005-0000-0000-0000724A0000}"/>
    <cellStyle name="Normal 7 5 3 6" xfId="11542" xr:uid="{00000000-0005-0000-0000-0000734A0000}"/>
    <cellStyle name="Normal 7 5 3 7" xfId="4623" xr:uid="{00000000-0005-0000-0000-0000744A0000}"/>
    <cellStyle name="Normal 7 5 4" xfId="1193" xr:uid="{00000000-0005-0000-0000-0000754A0000}"/>
    <cellStyle name="Normal 7 5 4 2" xfId="2913" xr:uid="{00000000-0005-0000-0000-0000764A0000}"/>
    <cellStyle name="Normal 7 5 4 2 2" xfId="16453" xr:uid="{00000000-0005-0000-0000-0000774A0000}"/>
    <cellStyle name="Normal 7 5 4 2 3" xfId="12875" xr:uid="{00000000-0005-0000-0000-0000784A0000}"/>
    <cellStyle name="Normal 7 5 4 2 4" xfId="7585" xr:uid="{00000000-0005-0000-0000-0000794A0000}"/>
    <cellStyle name="Normal 7 5 4 3" xfId="4181" xr:uid="{00000000-0005-0000-0000-00007A4A0000}"/>
    <cellStyle name="Normal 7 5 4 3 2" xfId="17826" xr:uid="{00000000-0005-0000-0000-00007B4A0000}"/>
    <cellStyle name="Normal 7 5 4 3 3" xfId="14247" xr:uid="{00000000-0005-0000-0000-00007C4A0000}"/>
    <cellStyle name="Normal 7 5 4 3 4" xfId="8990" xr:uid="{00000000-0005-0000-0000-00007D4A0000}"/>
    <cellStyle name="Normal 7 5 4 4" xfId="6701" xr:uid="{00000000-0005-0000-0000-00007E4A0000}"/>
    <cellStyle name="Normal 7 5 4 4 2" xfId="15785" xr:uid="{00000000-0005-0000-0000-00007F4A0000}"/>
    <cellStyle name="Normal 7 5 4 5" xfId="10444" xr:uid="{00000000-0005-0000-0000-0000804A0000}"/>
    <cellStyle name="Normal 7 5 4 5 2" xfId="19271" xr:uid="{00000000-0005-0000-0000-0000814A0000}"/>
    <cellStyle name="Normal 7 5 4 6" xfId="11890" xr:uid="{00000000-0005-0000-0000-0000824A0000}"/>
    <cellStyle name="Normal 7 5 4 7" xfId="5179" xr:uid="{00000000-0005-0000-0000-0000834A0000}"/>
    <cellStyle name="Normal 7 5 5" xfId="1457" xr:uid="{00000000-0005-0000-0000-0000844A0000}"/>
    <cellStyle name="Normal 7 5 5 2" xfId="3057" xr:uid="{00000000-0005-0000-0000-0000854A0000}"/>
    <cellStyle name="Normal 7 5 5 2 2" xfId="16606" xr:uid="{00000000-0005-0000-0000-0000864A0000}"/>
    <cellStyle name="Normal 7 5 5 2 3" xfId="13027" xr:uid="{00000000-0005-0000-0000-0000874A0000}"/>
    <cellStyle name="Normal 7 5 5 2 4" xfId="7738" xr:uid="{00000000-0005-0000-0000-0000884A0000}"/>
    <cellStyle name="Normal 7 5 5 3" xfId="4265" xr:uid="{00000000-0005-0000-0000-0000894A0000}"/>
    <cellStyle name="Normal 7 5 5 3 2" xfId="17970" xr:uid="{00000000-0005-0000-0000-00008A4A0000}"/>
    <cellStyle name="Normal 7 5 5 3 3" xfId="14391" xr:uid="{00000000-0005-0000-0000-00008B4A0000}"/>
    <cellStyle name="Normal 7 5 5 3 4" xfId="9134" xr:uid="{00000000-0005-0000-0000-00008C4A0000}"/>
    <cellStyle name="Normal 7 5 5 4" xfId="5926" xr:uid="{00000000-0005-0000-0000-00008D4A0000}"/>
    <cellStyle name="Normal 7 5 5 4 2" xfId="15012" xr:uid="{00000000-0005-0000-0000-00008E4A0000}"/>
    <cellStyle name="Normal 7 5 5 5" xfId="10588" xr:uid="{00000000-0005-0000-0000-00008F4A0000}"/>
    <cellStyle name="Normal 7 5 5 5 2" xfId="19415" xr:uid="{00000000-0005-0000-0000-0000904A0000}"/>
    <cellStyle name="Normal 7 5 5 6" xfId="12034" xr:uid="{00000000-0005-0000-0000-0000914A0000}"/>
    <cellStyle name="Normal 7 5 5 7" xfId="5332" xr:uid="{00000000-0005-0000-0000-0000924A0000}"/>
    <cellStyle name="Normal 7 5 6" xfId="2014" xr:uid="{00000000-0005-0000-0000-0000934A0000}"/>
    <cellStyle name="Normal 7 5 6 2" xfId="15855" xr:uid="{00000000-0005-0000-0000-0000944A0000}"/>
    <cellStyle name="Normal 7 5 6 3" xfId="12290" xr:uid="{00000000-0005-0000-0000-0000954A0000}"/>
    <cellStyle name="Normal 7 5 6 4" xfId="6812" xr:uid="{00000000-0005-0000-0000-0000964A0000}"/>
    <cellStyle name="Normal 7 5 7" xfId="3427" xr:uid="{00000000-0005-0000-0000-0000974A0000}"/>
    <cellStyle name="Normal 7 5 7 2" xfId="16927" xr:uid="{00000000-0005-0000-0000-0000984A0000}"/>
    <cellStyle name="Normal 7 5 7 3" xfId="13348" xr:uid="{00000000-0005-0000-0000-0000994A0000}"/>
    <cellStyle name="Normal 7 5 7 4" xfId="8091" xr:uid="{00000000-0005-0000-0000-00009A4A0000}"/>
    <cellStyle name="Normal 7 5 8" xfId="5652" xr:uid="{00000000-0005-0000-0000-00009B4A0000}"/>
    <cellStyle name="Normal 7 5 8 2" xfId="14738" xr:uid="{00000000-0005-0000-0000-00009C4A0000}"/>
    <cellStyle name="Normal 7 5 9" xfId="9545" xr:uid="{00000000-0005-0000-0000-00009D4A0000}"/>
    <cellStyle name="Normal 7 5 9 2" xfId="18372" xr:uid="{00000000-0005-0000-0000-00009E4A0000}"/>
    <cellStyle name="Normal 7 5_Degree data" xfId="1819" xr:uid="{00000000-0005-0000-0000-00009F4A0000}"/>
    <cellStyle name="Normal 7 6" xfId="178" xr:uid="{00000000-0005-0000-0000-0000A04A0000}"/>
    <cellStyle name="Normal 7 6 10" xfId="10932" xr:uid="{00000000-0005-0000-0000-0000A14A0000}"/>
    <cellStyle name="Normal 7 6 11" xfId="4454" xr:uid="{00000000-0005-0000-0000-0000A24A0000}"/>
    <cellStyle name="Normal 7 6 2" xfId="395" xr:uid="{00000000-0005-0000-0000-0000A34A0000}"/>
    <cellStyle name="Normal 7 6 2 2" xfId="848" xr:uid="{00000000-0005-0000-0000-0000A44A0000}"/>
    <cellStyle name="Normal 7 6 2 2 2" xfId="2568" xr:uid="{00000000-0005-0000-0000-0000A54A0000}"/>
    <cellStyle name="Normal 7 6 2 2 2 2" xfId="16456" xr:uid="{00000000-0005-0000-0000-0000A64A0000}"/>
    <cellStyle name="Normal 7 6 2 2 2 3" xfId="12878" xr:uid="{00000000-0005-0000-0000-0000A74A0000}"/>
    <cellStyle name="Normal 7 6 2 2 2 4" xfId="7588" xr:uid="{00000000-0005-0000-0000-0000A84A0000}"/>
    <cellStyle name="Normal 7 6 2 2 3" xfId="3836" xr:uid="{00000000-0005-0000-0000-0000A94A0000}"/>
    <cellStyle name="Normal 7 6 2 2 3 2" xfId="17481" xr:uid="{00000000-0005-0000-0000-0000AA4A0000}"/>
    <cellStyle name="Normal 7 6 2 2 3 3" xfId="13902" xr:uid="{00000000-0005-0000-0000-0000AB4A0000}"/>
    <cellStyle name="Normal 7 6 2 2 3 4" xfId="8645" xr:uid="{00000000-0005-0000-0000-0000AC4A0000}"/>
    <cellStyle name="Normal 7 6 2 2 4" xfId="6704" xr:uid="{00000000-0005-0000-0000-0000AD4A0000}"/>
    <cellStyle name="Normal 7 6 2 2 4 2" xfId="15788" xr:uid="{00000000-0005-0000-0000-0000AE4A0000}"/>
    <cellStyle name="Normal 7 6 2 2 5" xfId="10099" xr:uid="{00000000-0005-0000-0000-0000AF4A0000}"/>
    <cellStyle name="Normal 7 6 2 2 5 2" xfId="18926" xr:uid="{00000000-0005-0000-0000-0000B04A0000}"/>
    <cellStyle name="Normal 7 6 2 2 6" xfId="11545" xr:uid="{00000000-0005-0000-0000-0000B14A0000}"/>
    <cellStyle name="Normal 7 6 2 2 7" xfId="5182" xr:uid="{00000000-0005-0000-0000-0000B24A0000}"/>
    <cellStyle name="Normal 7 6 2 3" xfId="1196" xr:uid="{00000000-0005-0000-0000-0000B34A0000}"/>
    <cellStyle name="Normal 7 6 2 3 2" xfId="2916" xr:uid="{00000000-0005-0000-0000-0000B44A0000}"/>
    <cellStyle name="Normal 7 6 2 3 2 2" xfId="16754" xr:uid="{00000000-0005-0000-0000-0000B54A0000}"/>
    <cellStyle name="Normal 7 6 2 3 2 3" xfId="13175" xr:uid="{00000000-0005-0000-0000-0000B64A0000}"/>
    <cellStyle name="Normal 7 6 2 3 2 4" xfId="7886" xr:uid="{00000000-0005-0000-0000-0000B74A0000}"/>
    <cellStyle name="Normal 7 6 2 3 3" xfId="4184" xr:uid="{00000000-0005-0000-0000-0000B84A0000}"/>
    <cellStyle name="Normal 7 6 2 3 3 2" xfId="17829" xr:uid="{00000000-0005-0000-0000-0000B94A0000}"/>
    <cellStyle name="Normal 7 6 2 3 3 3" xfId="14250" xr:uid="{00000000-0005-0000-0000-0000BA4A0000}"/>
    <cellStyle name="Normal 7 6 2 3 3 4" xfId="8993" xr:uid="{00000000-0005-0000-0000-0000BB4A0000}"/>
    <cellStyle name="Normal 7 6 2 3 4" xfId="6293" xr:uid="{00000000-0005-0000-0000-0000BC4A0000}"/>
    <cellStyle name="Normal 7 6 2 3 4 2" xfId="15377" xr:uid="{00000000-0005-0000-0000-0000BD4A0000}"/>
    <cellStyle name="Normal 7 6 2 3 5" xfId="10447" xr:uid="{00000000-0005-0000-0000-0000BE4A0000}"/>
    <cellStyle name="Normal 7 6 2 3 5 2" xfId="19274" xr:uid="{00000000-0005-0000-0000-0000BF4A0000}"/>
    <cellStyle name="Normal 7 6 2 3 6" xfId="11893" xr:uid="{00000000-0005-0000-0000-0000C04A0000}"/>
    <cellStyle name="Normal 7 6 2 3 7" xfId="5480" xr:uid="{00000000-0005-0000-0000-0000C14A0000}"/>
    <cellStyle name="Normal 7 6 2 4" xfId="1609" xr:uid="{00000000-0005-0000-0000-0000C24A0000}"/>
    <cellStyle name="Normal 7 6 2 4 2" xfId="3205" xr:uid="{00000000-0005-0000-0000-0000C34A0000}"/>
    <cellStyle name="Normal 7 6 2 4 2 2" xfId="18118" xr:uid="{00000000-0005-0000-0000-0000C44A0000}"/>
    <cellStyle name="Normal 7 6 2 4 2 3" xfId="14539" xr:uid="{00000000-0005-0000-0000-0000C54A0000}"/>
    <cellStyle name="Normal 7 6 2 4 2 4" xfId="9282" xr:uid="{00000000-0005-0000-0000-0000C64A0000}"/>
    <cellStyle name="Normal 7 6 2 4 3" xfId="10736" xr:uid="{00000000-0005-0000-0000-0000C74A0000}"/>
    <cellStyle name="Normal 7 6 2 4 3 2" xfId="19563" xr:uid="{00000000-0005-0000-0000-0000C84A0000}"/>
    <cellStyle name="Normal 7 6 2 4 4" xfId="12182" xr:uid="{00000000-0005-0000-0000-0000C94A0000}"/>
    <cellStyle name="Normal 7 6 2 4 5" xfId="7177" xr:uid="{00000000-0005-0000-0000-0000CA4A0000}"/>
    <cellStyle name="Normal 7 6 2 5" xfId="2162" xr:uid="{00000000-0005-0000-0000-0000CB4A0000}"/>
    <cellStyle name="Normal 7 6 2 5 2" xfId="17075" xr:uid="{00000000-0005-0000-0000-0000CC4A0000}"/>
    <cellStyle name="Normal 7 6 2 5 3" xfId="13496" xr:uid="{00000000-0005-0000-0000-0000CD4A0000}"/>
    <cellStyle name="Normal 7 6 2 5 4" xfId="8239" xr:uid="{00000000-0005-0000-0000-0000CE4A0000}"/>
    <cellStyle name="Normal 7 6 2 6" xfId="5800" xr:uid="{00000000-0005-0000-0000-0000CF4A0000}"/>
    <cellStyle name="Normal 7 6 2 6 2" xfId="14886" xr:uid="{00000000-0005-0000-0000-0000D04A0000}"/>
    <cellStyle name="Normal 7 6 2 7" xfId="9693" xr:uid="{00000000-0005-0000-0000-0000D14A0000}"/>
    <cellStyle name="Normal 7 6 2 7 2" xfId="18520" xr:uid="{00000000-0005-0000-0000-0000D24A0000}"/>
    <cellStyle name="Normal 7 6 2 8" xfId="11137" xr:uid="{00000000-0005-0000-0000-0000D34A0000}"/>
    <cellStyle name="Normal 7 6 2 9" xfId="4771" xr:uid="{00000000-0005-0000-0000-0000D44A0000}"/>
    <cellStyle name="Normal 7 6 2_Degree data" xfId="1822" xr:uid="{00000000-0005-0000-0000-0000D54A0000}"/>
    <cellStyle name="Normal 7 6 3" xfId="847" xr:uid="{00000000-0005-0000-0000-0000D64A0000}"/>
    <cellStyle name="Normal 7 6 3 2" xfId="2567" xr:uid="{00000000-0005-0000-0000-0000D74A0000}"/>
    <cellStyle name="Normal 7 6 3 2 2" xfId="15986" xr:uid="{00000000-0005-0000-0000-0000D84A0000}"/>
    <cellStyle name="Normal 7 6 3 2 3" xfId="12295" xr:uid="{00000000-0005-0000-0000-0000D94A0000}"/>
    <cellStyle name="Normal 7 6 3 2 4" xfId="6972" xr:uid="{00000000-0005-0000-0000-0000DA4A0000}"/>
    <cellStyle name="Normal 7 6 3 3" xfId="3835" xr:uid="{00000000-0005-0000-0000-0000DB4A0000}"/>
    <cellStyle name="Normal 7 6 3 3 2" xfId="17480" xr:uid="{00000000-0005-0000-0000-0000DC4A0000}"/>
    <cellStyle name="Normal 7 6 3 3 3" xfId="13901" xr:uid="{00000000-0005-0000-0000-0000DD4A0000}"/>
    <cellStyle name="Normal 7 6 3 3 4" xfId="8644" xr:uid="{00000000-0005-0000-0000-0000DE4A0000}"/>
    <cellStyle name="Normal 7 6 3 4" xfId="6088" xr:uid="{00000000-0005-0000-0000-0000DF4A0000}"/>
    <cellStyle name="Normal 7 6 3 4 2" xfId="15172" xr:uid="{00000000-0005-0000-0000-0000E04A0000}"/>
    <cellStyle name="Normal 7 6 3 5" xfId="10098" xr:uid="{00000000-0005-0000-0000-0000E14A0000}"/>
    <cellStyle name="Normal 7 6 3 5 2" xfId="18925" xr:uid="{00000000-0005-0000-0000-0000E24A0000}"/>
    <cellStyle name="Normal 7 6 3 6" xfId="11544" xr:uid="{00000000-0005-0000-0000-0000E34A0000}"/>
    <cellStyle name="Normal 7 6 3 7" xfId="4566" xr:uid="{00000000-0005-0000-0000-0000E44A0000}"/>
    <cellStyle name="Normal 7 6 4" xfId="1195" xr:uid="{00000000-0005-0000-0000-0000E54A0000}"/>
    <cellStyle name="Normal 7 6 4 2" xfId="2915" xr:uid="{00000000-0005-0000-0000-0000E64A0000}"/>
    <cellStyle name="Normal 7 6 4 2 2" xfId="16455" xr:uid="{00000000-0005-0000-0000-0000E74A0000}"/>
    <cellStyle name="Normal 7 6 4 2 3" xfId="12877" xr:uid="{00000000-0005-0000-0000-0000E84A0000}"/>
    <cellStyle name="Normal 7 6 4 2 4" xfId="7587" xr:uid="{00000000-0005-0000-0000-0000E94A0000}"/>
    <cellStyle name="Normal 7 6 4 3" xfId="4183" xr:uid="{00000000-0005-0000-0000-0000EA4A0000}"/>
    <cellStyle name="Normal 7 6 4 3 2" xfId="17828" xr:uid="{00000000-0005-0000-0000-0000EB4A0000}"/>
    <cellStyle name="Normal 7 6 4 3 3" xfId="14249" xr:uid="{00000000-0005-0000-0000-0000EC4A0000}"/>
    <cellStyle name="Normal 7 6 4 3 4" xfId="8992" xr:uid="{00000000-0005-0000-0000-0000ED4A0000}"/>
    <cellStyle name="Normal 7 6 4 4" xfId="6703" xr:uid="{00000000-0005-0000-0000-0000EE4A0000}"/>
    <cellStyle name="Normal 7 6 4 4 2" xfId="15787" xr:uid="{00000000-0005-0000-0000-0000EF4A0000}"/>
    <cellStyle name="Normal 7 6 4 5" xfId="10446" xr:uid="{00000000-0005-0000-0000-0000F04A0000}"/>
    <cellStyle name="Normal 7 6 4 5 2" xfId="19273" xr:uid="{00000000-0005-0000-0000-0000F14A0000}"/>
    <cellStyle name="Normal 7 6 4 6" xfId="11892" xr:uid="{00000000-0005-0000-0000-0000F24A0000}"/>
    <cellStyle name="Normal 7 6 4 7" xfId="5181" xr:uid="{00000000-0005-0000-0000-0000F34A0000}"/>
    <cellStyle name="Normal 7 6 5" xfId="1395" xr:uid="{00000000-0005-0000-0000-0000F44A0000}"/>
    <cellStyle name="Normal 7 6 5 2" xfId="3000" xr:uid="{00000000-0005-0000-0000-0000F54A0000}"/>
    <cellStyle name="Normal 7 6 5 2 2" xfId="16549" xr:uid="{00000000-0005-0000-0000-0000F64A0000}"/>
    <cellStyle name="Normal 7 6 5 2 3" xfId="12970" xr:uid="{00000000-0005-0000-0000-0000F74A0000}"/>
    <cellStyle name="Normal 7 6 5 2 4" xfId="7681" xr:uid="{00000000-0005-0000-0000-0000F84A0000}"/>
    <cellStyle name="Normal 7 6 5 3" xfId="4208" xr:uid="{00000000-0005-0000-0000-0000F94A0000}"/>
    <cellStyle name="Normal 7 6 5 3 2" xfId="17913" xr:uid="{00000000-0005-0000-0000-0000FA4A0000}"/>
    <cellStyle name="Normal 7 6 5 3 3" xfId="14334" xr:uid="{00000000-0005-0000-0000-0000FB4A0000}"/>
    <cellStyle name="Normal 7 6 5 3 4" xfId="9077" xr:uid="{00000000-0005-0000-0000-0000FC4A0000}"/>
    <cellStyle name="Normal 7 6 5 4" xfId="5974" xr:uid="{00000000-0005-0000-0000-0000FD4A0000}"/>
    <cellStyle name="Normal 7 6 5 4 2" xfId="15060" xr:uid="{00000000-0005-0000-0000-0000FE4A0000}"/>
    <cellStyle name="Normal 7 6 5 5" xfId="10531" xr:uid="{00000000-0005-0000-0000-0000FF4A0000}"/>
    <cellStyle name="Normal 7 6 5 5 2" xfId="19358" xr:uid="{00000000-0005-0000-0000-0000004B0000}"/>
    <cellStyle name="Normal 7 6 5 6" xfId="11977" xr:uid="{00000000-0005-0000-0000-0000014B0000}"/>
    <cellStyle name="Normal 7 6 5 7" xfId="5275" xr:uid="{00000000-0005-0000-0000-0000024B0000}"/>
    <cellStyle name="Normal 7 6 6" xfId="1957" xr:uid="{00000000-0005-0000-0000-0000034B0000}"/>
    <cellStyle name="Normal 7 6 6 2" xfId="15903" xr:uid="{00000000-0005-0000-0000-0000044B0000}"/>
    <cellStyle name="Normal 7 6 6 3" xfId="12461" xr:uid="{00000000-0005-0000-0000-0000054B0000}"/>
    <cellStyle name="Normal 7 6 6 4" xfId="6860" xr:uid="{00000000-0005-0000-0000-0000064B0000}"/>
    <cellStyle name="Normal 7 6 7" xfId="3371" xr:uid="{00000000-0005-0000-0000-0000074B0000}"/>
    <cellStyle name="Normal 7 6 7 2" xfId="16870" xr:uid="{00000000-0005-0000-0000-0000084B0000}"/>
    <cellStyle name="Normal 7 6 7 3" xfId="13291" xr:uid="{00000000-0005-0000-0000-0000094B0000}"/>
    <cellStyle name="Normal 7 6 7 4" xfId="8034" xr:uid="{00000000-0005-0000-0000-00000A4B0000}"/>
    <cellStyle name="Normal 7 6 8" xfId="5595" xr:uid="{00000000-0005-0000-0000-00000B4B0000}"/>
    <cellStyle name="Normal 7 6 8 2" xfId="14681" xr:uid="{00000000-0005-0000-0000-00000C4B0000}"/>
    <cellStyle name="Normal 7 6 9" xfId="9488" xr:uid="{00000000-0005-0000-0000-00000D4B0000}"/>
    <cellStyle name="Normal 7 6 9 2" xfId="18315" xr:uid="{00000000-0005-0000-0000-00000E4B0000}"/>
    <cellStyle name="Normal 7 6_Degree data" xfId="1821" xr:uid="{00000000-0005-0000-0000-00000F4B0000}"/>
    <cellStyle name="Normal 7 7" xfId="451" xr:uid="{00000000-0005-0000-0000-0000104B0000}"/>
    <cellStyle name="Normal 7 7 10" xfId="4510" xr:uid="{00000000-0005-0000-0000-0000114B0000}"/>
    <cellStyle name="Normal 7 7 2" xfId="849" xr:uid="{00000000-0005-0000-0000-0000124B0000}"/>
    <cellStyle name="Normal 7 7 2 2" xfId="2569" xr:uid="{00000000-0005-0000-0000-0000134B0000}"/>
    <cellStyle name="Normal 7 7 2 2 2" xfId="16102" xr:uid="{00000000-0005-0000-0000-0000144B0000}"/>
    <cellStyle name="Normal 7 7 2 2 3" xfId="12524" xr:uid="{00000000-0005-0000-0000-0000154B0000}"/>
    <cellStyle name="Normal 7 7 2 2 4" xfId="7233" xr:uid="{00000000-0005-0000-0000-0000164B0000}"/>
    <cellStyle name="Normal 7 7 2 3" xfId="3837" xr:uid="{00000000-0005-0000-0000-0000174B0000}"/>
    <cellStyle name="Normal 7 7 2 3 2" xfId="17482" xr:uid="{00000000-0005-0000-0000-0000184B0000}"/>
    <cellStyle name="Normal 7 7 2 3 3" xfId="13903" xr:uid="{00000000-0005-0000-0000-0000194B0000}"/>
    <cellStyle name="Normal 7 7 2 3 4" xfId="8646" xr:uid="{00000000-0005-0000-0000-00001A4B0000}"/>
    <cellStyle name="Normal 7 7 2 4" xfId="6349" xr:uid="{00000000-0005-0000-0000-00001B4B0000}"/>
    <cellStyle name="Normal 7 7 2 4 2" xfId="15433" xr:uid="{00000000-0005-0000-0000-00001C4B0000}"/>
    <cellStyle name="Normal 7 7 2 5" xfId="10100" xr:uid="{00000000-0005-0000-0000-00001D4B0000}"/>
    <cellStyle name="Normal 7 7 2 5 2" xfId="18927" xr:uid="{00000000-0005-0000-0000-00001E4B0000}"/>
    <cellStyle name="Normal 7 7 2 6" xfId="11546" xr:uid="{00000000-0005-0000-0000-00001F4B0000}"/>
    <cellStyle name="Normal 7 7 2 7" xfId="4827" xr:uid="{00000000-0005-0000-0000-0000204B0000}"/>
    <cellStyle name="Normal 7 7 3" xfId="1197" xr:uid="{00000000-0005-0000-0000-0000214B0000}"/>
    <cellStyle name="Normal 7 7 3 2" xfId="2917" xr:uid="{00000000-0005-0000-0000-0000224B0000}"/>
    <cellStyle name="Normal 7 7 3 2 2" xfId="16457" xr:uid="{00000000-0005-0000-0000-0000234B0000}"/>
    <cellStyle name="Normal 7 7 3 2 3" xfId="12879" xr:uid="{00000000-0005-0000-0000-0000244B0000}"/>
    <cellStyle name="Normal 7 7 3 2 4" xfId="7589" xr:uid="{00000000-0005-0000-0000-0000254B0000}"/>
    <cellStyle name="Normal 7 7 3 3" xfId="4185" xr:uid="{00000000-0005-0000-0000-0000264B0000}"/>
    <cellStyle name="Normal 7 7 3 3 2" xfId="17830" xr:uid="{00000000-0005-0000-0000-0000274B0000}"/>
    <cellStyle name="Normal 7 7 3 3 3" xfId="14251" xr:uid="{00000000-0005-0000-0000-0000284B0000}"/>
    <cellStyle name="Normal 7 7 3 3 4" xfId="8994" xr:uid="{00000000-0005-0000-0000-0000294B0000}"/>
    <cellStyle name="Normal 7 7 3 4" xfId="6705" xr:uid="{00000000-0005-0000-0000-00002A4B0000}"/>
    <cellStyle name="Normal 7 7 3 4 2" xfId="15789" xr:uid="{00000000-0005-0000-0000-00002B4B0000}"/>
    <cellStyle name="Normal 7 7 3 5" xfId="10448" xr:uid="{00000000-0005-0000-0000-00002C4B0000}"/>
    <cellStyle name="Normal 7 7 3 5 2" xfId="19275" xr:uid="{00000000-0005-0000-0000-00002D4B0000}"/>
    <cellStyle name="Normal 7 7 3 6" xfId="11894" xr:uid="{00000000-0005-0000-0000-00002E4B0000}"/>
    <cellStyle name="Normal 7 7 3 7" xfId="5183" xr:uid="{00000000-0005-0000-0000-00002F4B0000}"/>
    <cellStyle name="Normal 7 7 4" xfId="1665" xr:uid="{00000000-0005-0000-0000-0000304B0000}"/>
    <cellStyle name="Normal 7 7 4 2" xfId="3261" xr:uid="{00000000-0005-0000-0000-0000314B0000}"/>
    <cellStyle name="Normal 7 7 4 2 2" xfId="16810" xr:uid="{00000000-0005-0000-0000-0000324B0000}"/>
    <cellStyle name="Normal 7 7 4 2 3" xfId="13231" xr:uid="{00000000-0005-0000-0000-0000334B0000}"/>
    <cellStyle name="Normal 7 7 4 2 4" xfId="7942" xr:uid="{00000000-0005-0000-0000-0000344B0000}"/>
    <cellStyle name="Normal 7 7 4 3" xfId="4324" xr:uid="{00000000-0005-0000-0000-0000354B0000}"/>
    <cellStyle name="Normal 7 7 4 3 2" xfId="18174" xr:uid="{00000000-0005-0000-0000-0000364B0000}"/>
    <cellStyle name="Normal 7 7 4 3 3" xfId="14595" xr:uid="{00000000-0005-0000-0000-0000374B0000}"/>
    <cellStyle name="Normal 7 7 4 3 4" xfId="9338" xr:uid="{00000000-0005-0000-0000-0000384B0000}"/>
    <cellStyle name="Normal 7 7 4 4" xfId="6030" xr:uid="{00000000-0005-0000-0000-0000394B0000}"/>
    <cellStyle name="Normal 7 7 4 4 2" xfId="15116" xr:uid="{00000000-0005-0000-0000-00003A4B0000}"/>
    <cellStyle name="Normal 7 7 4 5" xfId="10792" xr:uid="{00000000-0005-0000-0000-00003B4B0000}"/>
    <cellStyle name="Normal 7 7 4 5 2" xfId="19619" xr:uid="{00000000-0005-0000-0000-00003C4B0000}"/>
    <cellStyle name="Normal 7 7 4 6" xfId="12238" xr:uid="{00000000-0005-0000-0000-00003D4B0000}"/>
    <cellStyle name="Normal 7 7 4 7" xfId="5536" xr:uid="{00000000-0005-0000-0000-00003E4B0000}"/>
    <cellStyle name="Normal 7 7 5" xfId="2218" xr:uid="{00000000-0005-0000-0000-00003F4B0000}"/>
    <cellStyle name="Normal 7 7 5 2" xfId="15959" xr:uid="{00000000-0005-0000-0000-0000404B0000}"/>
    <cellStyle name="Normal 7 7 5 3" xfId="12341" xr:uid="{00000000-0005-0000-0000-0000414B0000}"/>
    <cellStyle name="Normal 7 7 5 4" xfId="6916" xr:uid="{00000000-0005-0000-0000-0000424B0000}"/>
    <cellStyle name="Normal 7 7 6" xfId="3486" xr:uid="{00000000-0005-0000-0000-0000434B0000}"/>
    <cellStyle name="Normal 7 7 6 2" xfId="17131" xr:uid="{00000000-0005-0000-0000-0000444B0000}"/>
    <cellStyle name="Normal 7 7 6 3" xfId="13552" xr:uid="{00000000-0005-0000-0000-0000454B0000}"/>
    <cellStyle name="Normal 7 7 6 4" xfId="8295" xr:uid="{00000000-0005-0000-0000-0000464B0000}"/>
    <cellStyle name="Normal 7 7 7" xfId="5856" xr:uid="{00000000-0005-0000-0000-0000474B0000}"/>
    <cellStyle name="Normal 7 7 7 2" xfId="14942" xr:uid="{00000000-0005-0000-0000-0000484B0000}"/>
    <cellStyle name="Normal 7 7 8" xfId="9749" xr:uid="{00000000-0005-0000-0000-0000494B0000}"/>
    <cellStyle name="Normal 7 7 8 2" xfId="18576" xr:uid="{00000000-0005-0000-0000-00004A4B0000}"/>
    <cellStyle name="Normal 7 7 9" xfId="11193" xr:uid="{00000000-0005-0000-0000-00004B4B0000}"/>
    <cellStyle name="Normal 7 7_Degree data" xfId="1823" xr:uid="{00000000-0005-0000-0000-00004C4B0000}"/>
    <cellStyle name="Normal 7 8" xfId="289" xr:uid="{00000000-0005-0000-0000-00004D4B0000}"/>
    <cellStyle name="Normal 7 8 2" xfId="850" xr:uid="{00000000-0005-0000-0000-00004E4B0000}"/>
    <cellStyle name="Normal 7 8 2 2" xfId="2570" xr:uid="{00000000-0005-0000-0000-00004F4B0000}"/>
    <cellStyle name="Normal 7 8 2 2 2" xfId="16458" xr:uid="{00000000-0005-0000-0000-0000504B0000}"/>
    <cellStyle name="Normal 7 8 2 2 3" xfId="12880" xr:uid="{00000000-0005-0000-0000-0000514B0000}"/>
    <cellStyle name="Normal 7 8 2 2 4" xfId="7590" xr:uid="{00000000-0005-0000-0000-0000524B0000}"/>
    <cellStyle name="Normal 7 8 2 3" xfId="3838" xr:uid="{00000000-0005-0000-0000-0000534B0000}"/>
    <cellStyle name="Normal 7 8 2 3 2" xfId="17483" xr:uid="{00000000-0005-0000-0000-0000544B0000}"/>
    <cellStyle name="Normal 7 8 2 3 3" xfId="13904" xr:uid="{00000000-0005-0000-0000-0000554B0000}"/>
    <cellStyle name="Normal 7 8 2 3 4" xfId="8647" xr:uid="{00000000-0005-0000-0000-0000564B0000}"/>
    <cellStyle name="Normal 7 8 2 4" xfId="6706" xr:uid="{00000000-0005-0000-0000-0000574B0000}"/>
    <cellStyle name="Normal 7 8 2 4 2" xfId="15790" xr:uid="{00000000-0005-0000-0000-0000584B0000}"/>
    <cellStyle name="Normal 7 8 2 5" xfId="10101" xr:uid="{00000000-0005-0000-0000-0000594B0000}"/>
    <cellStyle name="Normal 7 8 2 5 2" xfId="18928" xr:uid="{00000000-0005-0000-0000-00005A4B0000}"/>
    <cellStyle name="Normal 7 8 2 6" xfId="11547" xr:uid="{00000000-0005-0000-0000-00005B4B0000}"/>
    <cellStyle name="Normal 7 8 2 7" xfId="5184" xr:uid="{00000000-0005-0000-0000-00005C4B0000}"/>
    <cellStyle name="Normal 7 8 3" xfId="1198" xr:uid="{00000000-0005-0000-0000-00005D4B0000}"/>
    <cellStyle name="Normal 7 8 3 2" xfId="2918" xr:uid="{00000000-0005-0000-0000-00005E4B0000}"/>
    <cellStyle name="Normal 7 8 3 2 2" xfId="16649" xr:uid="{00000000-0005-0000-0000-00005F4B0000}"/>
    <cellStyle name="Normal 7 8 3 2 3" xfId="13070" xr:uid="{00000000-0005-0000-0000-0000604B0000}"/>
    <cellStyle name="Normal 7 8 3 2 4" xfId="7781" xr:uid="{00000000-0005-0000-0000-0000614B0000}"/>
    <cellStyle name="Normal 7 8 3 3" xfId="4186" xr:uid="{00000000-0005-0000-0000-0000624B0000}"/>
    <cellStyle name="Normal 7 8 3 3 2" xfId="17831" xr:uid="{00000000-0005-0000-0000-0000634B0000}"/>
    <cellStyle name="Normal 7 8 3 3 3" xfId="14252" xr:uid="{00000000-0005-0000-0000-0000644B0000}"/>
    <cellStyle name="Normal 7 8 3 3 4" xfId="8995" xr:uid="{00000000-0005-0000-0000-0000654B0000}"/>
    <cellStyle name="Normal 7 8 3 4" xfId="6188" xr:uid="{00000000-0005-0000-0000-0000664B0000}"/>
    <cellStyle name="Normal 7 8 3 4 2" xfId="15272" xr:uid="{00000000-0005-0000-0000-0000674B0000}"/>
    <cellStyle name="Normal 7 8 3 5" xfId="10449" xr:uid="{00000000-0005-0000-0000-0000684B0000}"/>
    <cellStyle name="Normal 7 8 3 5 2" xfId="19276" xr:uid="{00000000-0005-0000-0000-0000694B0000}"/>
    <cellStyle name="Normal 7 8 3 6" xfId="11895" xr:uid="{00000000-0005-0000-0000-00006A4B0000}"/>
    <cellStyle name="Normal 7 8 3 7" xfId="5375" xr:uid="{00000000-0005-0000-0000-00006B4B0000}"/>
    <cellStyle name="Normal 7 8 4" xfId="1501" xr:uid="{00000000-0005-0000-0000-00006C4B0000}"/>
    <cellStyle name="Normal 7 8 4 2" xfId="3100" xr:uid="{00000000-0005-0000-0000-00006D4B0000}"/>
    <cellStyle name="Normal 7 8 4 2 2" xfId="18013" xr:uid="{00000000-0005-0000-0000-00006E4B0000}"/>
    <cellStyle name="Normal 7 8 4 2 3" xfId="14434" xr:uid="{00000000-0005-0000-0000-00006F4B0000}"/>
    <cellStyle name="Normal 7 8 4 2 4" xfId="9177" xr:uid="{00000000-0005-0000-0000-0000704B0000}"/>
    <cellStyle name="Normal 7 8 4 3" xfId="10631" xr:uid="{00000000-0005-0000-0000-0000714B0000}"/>
    <cellStyle name="Normal 7 8 4 3 2" xfId="19458" xr:uid="{00000000-0005-0000-0000-0000724B0000}"/>
    <cellStyle name="Normal 7 8 4 4" xfId="12077" xr:uid="{00000000-0005-0000-0000-0000734B0000}"/>
    <cellStyle name="Normal 7 8 4 5" xfId="7072" xr:uid="{00000000-0005-0000-0000-0000744B0000}"/>
    <cellStyle name="Normal 7 8 5" xfId="2057" xr:uid="{00000000-0005-0000-0000-0000754B0000}"/>
    <cellStyle name="Normal 7 8 5 2" xfId="16970" xr:uid="{00000000-0005-0000-0000-0000764B0000}"/>
    <cellStyle name="Normal 7 8 5 3" xfId="13391" xr:uid="{00000000-0005-0000-0000-0000774B0000}"/>
    <cellStyle name="Normal 7 8 5 4" xfId="8134" xr:uid="{00000000-0005-0000-0000-0000784B0000}"/>
    <cellStyle name="Normal 7 8 6" xfId="5695" xr:uid="{00000000-0005-0000-0000-0000794B0000}"/>
    <cellStyle name="Normal 7 8 6 2" xfId="14781" xr:uid="{00000000-0005-0000-0000-00007A4B0000}"/>
    <cellStyle name="Normal 7 8 7" xfId="9588" xr:uid="{00000000-0005-0000-0000-00007B4B0000}"/>
    <cellStyle name="Normal 7 8 7 2" xfId="18415" xr:uid="{00000000-0005-0000-0000-00007C4B0000}"/>
    <cellStyle name="Normal 7 8 8" xfId="11032" xr:uid="{00000000-0005-0000-0000-00007D4B0000}"/>
    <cellStyle name="Normal 7 8 9" xfId="4666" xr:uid="{00000000-0005-0000-0000-00007E4B0000}"/>
    <cellStyle name="Normal 7 8_Degree data" xfId="1824" xr:uid="{00000000-0005-0000-0000-00007F4B0000}"/>
    <cellStyle name="Normal 7 9" xfId="472" xr:uid="{00000000-0005-0000-0000-0000804B0000}"/>
    <cellStyle name="Normal 7 9 2" xfId="851" xr:uid="{00000000-0005-0000-0000-0000814B0000}"/>
    <cellStyle name="Normal 7 9 2 2" xfId="2571" xr:uid="{00000000-0005-0000-0000-0000824B0000}"/>
    <cellStyle name="Normal 7 9 2 2 2" xfId="16459" xr:uid="{00000000-0005-0000-0000-0000834B0000}"/>
    <cellStyle name="Normal 7 9 2 2 3" xfId="12881" xr:uid="{00000000-0005-0000-0000-0000844B0000}"/>
    <cellStyle name="Normal 7 9 2 2 4" xfId="7591" xr:uid="{00000000-0005-0000-0000-0000854B0000}"/>
    <cellStyle name="Normal 7 9 2 3" xfId="3839" xr:uid="{00000000-0005-0000-0000-0000864B0000}"/>
    <cellStyle name="Normal 7 9 2 3 2" xfId="17484" xr:uid="{00000000-0005-0000-0000-0000874B0000}"/>
    <cellStyle name="Normal 7 9 2 3 3" xfId="13905" xr:uid="{00000000-0005-0000-0000-0000884B0000}"/>
    <cellStyle name="Normal 7 9 2 3 4" xfId="8648" xr:uid="{00000000-0005-0000-0000-0000894B0000}"/>
    <cellStyle name="Normal 7 9 2 4" xfId="6707" xr:uid="{00000000-0005-0000-0000-00008A4B0000}"/>
    <cellStyle name="Normal 7 9 2 4 2" xfId="15791" xr:uid="{00000000-0005-0000-0000-00008B4B0000}"/>
    <cellStyle name="Normal 7 9 2 5" xfId="10102" xr:uid="{00000000-0005-0000-0000-00008C4B0000}"/>
    <cellStyle name="Normal 7 9 2 5 2" xfId="18929" xr:uid="{00000000-0005-0000-0000-00008D4B0000}"/>
    <cellStyle name="Normal 7 9 2 6" xfId="11548" xr:uid="{00000000-0005-0000-0000-00008E4B0000}"/>
    <cellStyle name="Normal 7 9 2 7" xfId="5185" xr:uid="{00000000-0005-0000-0000-00008F4B0000}"/>
    <cellStyle name="Normal 7 9 3" xfId="1199" xr:uid="{00000000-0005-0000-0000-0000904B0000}"/>
    <cellStyle name="Normal 7 9 3 2" xfId="2919" xr:uid="{00000000-0005-0000-0000-0000914B0000}"/>
    <cellStyle name="Normal 7 9 3 2 2" xfId="16510" xr:uid="{00000000-0005-0000-0000-0000924B0000}"/>
    <cellStyle name="Normal 7 9 3 2 3" xfId="12932" xr:uid="{00000000-0005-0000-0000-0000934B0000}"/>
    <cellStyle name="Normal 7 9 3 2 4" xfId="7642" xr:uid="{00000000-0005-0000-0000-0000944B0000}"/>
    <cellStyle name="Normal 7 9 3 3" xfId="4187" xr:uid="{00000000-0005-0000-0000-0000954B0000}"/>
    <cellStyle name="Normal 7 9 3 3 2" xfId="17832" xr:uid="{00000000-0005-0000-0000-0000964B0000}"/>
    <cellStyle name="Normal 7 9 3 3 3" xfId="14253" xr:uid="{00000000-0005-0000-0000-0000974B0000}"/>
    <cellStyle name="Normal 7 9 3 3 4" xfId="8996" xr:uid="{00000000-0005-0000-0000-0000984B0000}"/>
    <cellStyle name="Normal 7 9 3 4" xfId="6749" xr:uid="{00000000-0005-0000-0000-0000994B0000}"/>
    <cellStyle name="Normal 7 9 3 4 2" xfId="15832" xr:uid="{00000000-0005-0000-0000-00009A4B0000}"/>
    <cellStyle name="Normal 7 9 3 5" xfId="10450" xr:uid="{00000000-0005-0000-0000-00009B4B0000}"/>
    <cellStyle name="Normal 7 9 3 5 2" xfId="19277" xr:uid="{00000000-0005-0000-0000-00009C4B0000}"/>
    <cellStyle name="Normal 7 9 3 6" xfId="11896" xr:uid="{00000000-0005-0000-0000-00009D4B0000}"/>
    <cellStyle name="Normal 7 9 3 7" xfId="5236" xr:uid="{00000000-0005-0000-0000-00009E4B0000}"/>
    <cellStyle name="Normal 7 9 4" xfId="1348" xr:uid="{00000000-0005-0000-0000-00009F4B0000}"/>
    <cellStyle name="Normal 7 9 4 2" xfId="2961" xr:uid="{00000000-0005-0000-0000-0000A04B0000}"/>
    <cellStyle name="Normal 7 9 4 2 2" xfId="17874" xr:uid="{00000000-0005-0000-0000-0000A14B0000}"/>
    <cellStyle name="Normal 7 9 4 2 3" xfId="14295" xr:uid="{00000000-0005-0000-0000-0000A24B0000}"/>
    <cellStyle name="Normal 7 9 4 2 4" xfId="9038" xr:uid="{00000000-0005-0000-0000-0000A34B0000}"/>
    <cellStyle name="Normal 7 9 4 3" xfId="10492" xr:uid="{00000000-0005-0000-0000-0000A44B0000}"/>
    <cellStyle name="Normal 7 9 4 3 2" xfId="19319" xr:uid="{00000000-0005-0000-0000-0000A54B0000}"/>
    <cellStyle name="Normal 7 9 4 4" xfId="11938" xr:uid="{00000000-0005-0000-0000-0000A64B0000}"/>
    <cellStyle name="Normal 7 9 4 5" xfId="6933" xr:uid="{00000000-0005-0000-0000-0000A74B0000}"/>
    <cellStyle name="Normal 7 9 5" xfId="1918" xr:uid="{00000000-0005-0000-0000-0000A84B0000}"/>
    <cellStyle name="Normal 7 9 5 2" xfId="16829" xr:uid="{00000000-0005-0000-0000-0000A94B0000}"/>
    <cellStyle name="Normal 7 9 5 3" xfId="13250" xr:uid="{00000000-0005-0000-0000-0000AA4B0000}"/>
    <cellStyle name="Normal 7 9 5 4" xfId="7993" xr:uid="{00000000-0005-0000-0000-0000AB4B0000}"/>
    <cellStyle name="Normal 7 9 6" xfId="6049" xr:uid="{00000000-0005-0000-0000-0000AC4B0000}"/>
    <cellStyle name="Normal 7 9 6 2" xfId="15133" xr:uid="{00000000-0005-0000-0000-0000AD4B0000}"/>
    <cellStyle name="Normal 7 9 7" xfId="9449" xr:uid="{00000000-0005-0000-0000-0000AE4B0000}"/>
    <cellStyle name="Normal 7 9 7 2" xfId="18276" xr:uid="{00000000-0005-0000-0000-0000AF4B0000}"/>
    <cellStyle name="Normal 7 9 8" xfId="10893" xr:uid="{00000000-0005-0000-0000-0000B04B0000}"/>
    <cellStyle name="Normal 7 9 9" xfId="4527" xr:uid="{00000000-0005-0000-0000-0000B14B0000}"/>
    <cellStyle name="Normal 7 9_Degree data" xfId="1825" xr:uid="{00000000-0005-0000-0000-0000B24B0000}"/>
    <cellStyle name="Normal 7_Degree data" xfId="1792" xr:uid="{00000000-0005-0000-0000-0000B34B0000}"/>
    <cellStyle name="Normal 70" xfId="170" xr:uid="{00000000-0005-0000-0000-0000B44B0000}"/>
    <cellStyle name="Normal 70 2" xfId="3277" xr:uid="{00000000-0005-0000-0000-0000B54B0000}"/>
    <cellStyle name="Normal 70 2 2" xfId="3348" xr:uid="{00000000-0005-0000-0000-0000B64B0000}"/>
    <cellStyle name="Normal 70 2 2 2" xfId="16460" xr:uid="{00000000-0005-0000-0000-0000B74B0000}"/>
    <cellStyle name="Normal 70 2 2 3" xfId="12882" xr:uid="{00000000-0005-0000-0000-0000B84B0000}"/>
    <cellStyle name="Normal 70 2 2 4" xfId="7592" xr:uid="{00000000-0005-0000-0000-0000B94B0000}"/>
    <cellStyle name="Normal 70 2 3" xfId="4339" xr:uid="{00000000-0005-0000-0000-0000BA4B0000}"/>
    <cellStyle name="Normal 70 2 3 2" xfId="18189" xr:uid="{00000000-0005-0000-0000-0000BB4B0000}"/>
    <cellStyle name="Normal 70 2 3 3" xfId="14610" xr:uid="{00000000-0005-0000-0000-0000BC4B0000}"/>
    <cellStyle name="Normal 70 2 3 4" xfId="9353" xr:uid="{00000000-0005-0000-0000-0000BD4B0000}"/>
    <cellStyle name="Normal 70 2 4" xfId="6708" xr:uid="{00000000-0005-0000-0000-0000BE4B0000}"/>
    <cellStyle name="Normal 70 2 4 2" xfId="15792" xr:uid="{00000000-0005-0000-0000-0000BF4B0000}"/>
    <cellStyle name="Normal 70 2 5" xfId="14622" xr:uid="{00000000-0005-0000-0000-0000C04B0000}"/>
    <cellStyle name="Normal 70 2 6" xfId="12432" xr:uid="{00000000-0005-0000-0000-0000C14B0000}"/>
    <cellStyle name="Normal 70 2 7" xfId="5186" xr:uid="{00000000-0005-0000-0000-0000C24B0000}"/>
    <cellStyle name="Normal 70 3" xfId="6037" xr:uid="{00000000-0005-0000-0000-0000C34B0000}"/>
    <cellStyle name="Normal 70 4" xfId="3292" xr:uid="{00000000-0005-0000-0000-0000C44B0000}"/>
    <cellStyle name="Normal 71" xfId="37" xr:uid="{00000000-0005-0000-0000-0000C54B0000}"/>
    <cellStyle name="Normal 72" xfId="38" xr:uid="{00000000-0005-0000-0000-0000C64B0000}"/>
    <cellStyle name="Normal 73" xfId="171" xr:uid="{00000000-0005-0000-0000-0000C74B0000}"/>
    <cellStyle name="Normal 73 2" xfId="3313" xr:uid="{00000000-0005-0000-0000-0000C84B0000}"/>
    <cellStyle name="Normal 73 2 2" xfId="3349" xr:uid="{00000000-0005-0000-0000-0000C94B0000}"/>
    <cellStyle name="Normal 73 2 2 2" xfId="16461" xr:uid="{00000000-0005-0000-0000-0000CA4B0000}"/>
    <cellStyle name="Normal 73 2 2 3" xfId="12883" xr:uid="{00000000-0005-0000-0000-0000CB4B0000}"/>
    <cellStyle name="Normal 73 2 2 4" xfId="7593" xr:uid="{00000000-0005-0000-0000-0000CC4B0000}"/>
    <cellStyle name="Normal 73 2 3" xfId="4337" xr:uid="{00000000-0005-0000-0000-0000CD4B0000}"/>
    <cellStyle name="Normal 73 2 3 2" xfId="18187" xr:uid="{00000000-0005-0000-0000-0000CE4B0000}"/>
    <cellStyle name="Normal 73 2 3 3" xfId="14608" xr:uid="{00000000-0005-0000-0000-0000CF4B0000}"/>
    <cellStyle name="Normal 73 2 3 4" xfId="9351" xr:uid="{00000000-0005-0000-0000-0000D04B0000}"/>
    <cellStyle name="Normal 73 2 4" xfId="6709" xr:uid="{00000000-0005-0000-0000-0000D14B0000}"/>
    <cellStyle name="Normal 73 2 4 2" xfId="15793" xr:uid="{00000000-0005-0000-0000-0000D24B0000}"/>
    <cellStyle name="Normal 73 2 5" xfId="14623" xr:uid="{00000000-0005-0000-0000-0000D34B0000}"/>
    <cellStyle name="Normal 73 2 6" xfId="12371" xr:uid="{00000000-0005-0000-0000-0000D44B0000}"/>
    <cellStyle name="Normal 73 2 7" xfId="5187" xr:uid="{00000000-0005-0000-0000-0000D54B0000}"/>
    <cellStyle name="Normal 73 3" xfId="6038" xr:uid="{00000000-0005-0000-0000-0000D64B0000}"/>
    <cellStyle name="Normal 73 4" xfId="3295" xr:uid="{00000000-0005-0000-0000-0000D74B0000}"/>
    <cellStyle name="Normal 74" xfId="164" xr:uid="{00000000-0005-0000-0000-0000D84B0000}"/>
    <cellStyle name="Normal 74 2" xfId="3350" xr:uid="{00000000-0005-0000-0000-0000D94B0000}"/>
    <cellStyle name="Normal 74 2 2" xfId="16462" xr:uid="{00000000-0005-0000-0000-0000DA4B0000}"/>
    <cellStyle name="Normal 74 2 3" xfId="12884" xr:uid="{00000000-0005-0000-0000-0000DB4B0000}"/>
    <cellStyle name="Normal 74 2 4" xfId="7594" xr:uid="{00000000-0005-0000-0000-0000DC4B0000}"/>
    <cellStyle name="Normal 74 3" xfId="4335" xr:uid="{00000000-0005-0000-0000-0000DD4B0000}"/>
    <cellStyle name="Normal 74 3 2" xfId="18186" xr:uid="{00000000-0005-0000-0000-0000DE4B0000}"/>
    <cellStyle name="Normal 74 3 3" xfId="14607" xr:uid="{00000000-0005-0000-0000-0000DF4B0000}"/>
    <cellStyle name="Normal 74 3 4" xfId="9350" xr:uid="{00000000-0005-0000-0000-0000E04B0000}"/>
    <cellStyle name="Normal 74 4" xfId="6710" xr:uid="{00000000-0005-0000-0000-0000E14B0000}"/>
    <cellStyle name="Normal 74 4 2" xfId="15794" xr:uid="{00000000-0005-0000-0000-0000E24B0000}"/>
    <cellStyle name="Normal 74 5" xfId="14624" xr:uid="{00000000-0005-0000-0000-0000E34B0000}"/>
    <cellStyle name="Normal 74 6" xfId="12306" xr:uid="{00000000-0005-0000-0000-0000E44B0000}"/>
    <cellStyle name="Normal 74 7" xfId="5188" xr:uid="{00000000-0005-0000-0000-0000E54B0000}"/>
    <cellStyle name="Normal 74 8" xfId="3273" xr:uid="{00000000-0005-0000-0000-0000E64B0000}"/>
    <cellStyle name="Normal 74 9" xfId="19693" xr:uid="{00000000-0005-0000-0000-0000E74B0000}"/>
    <cellStyle name="Normal 75" xfId="165" xr:uid="{00000000-0005-0000-0000-0000E84B0000}"/>
    <cellStyle name="Normal 75 2" xfId="3351" xr:uid="{00000000-0005-0000-0000-0000E94B0000}"/>
    <cellStyle name="Normal 75 2 2" xfId="16463" xr:uid="{00000000-0005-0000-0000-0000EA4B0000}"/>
    <cellStyle name="Normal 75 2 3" xfId="12885" xr:uid="{00000000-0005-0000-0000-0000EB4B0000}"/>
    <cellStyle name="Normal 75 2 4" xfId="7595" xr:uid="{00000000-0005-0000-0000-0000EC4B0000}"/>
    <cellStyle name="Normal 75 3" xfId="4332" xr:uid="{00000000-0005-0000-0000-0000ED4B0000}"/>
    <cellStyle name="Normal 75 3 2" xfId="18183" xr:uid="{00000000-0005-0000-0000-0000EE4B0000}"/>
    <cellStyle name="Normal 75 3 3" xfId="14604" xr:uid="{00000000-0005-0000-0000-0000EF4B0000}"/>
    <cellStyle name="Normal 75 3 4" xfId="9347" xr:uid="{00000000-0005-0000-0000-0000F04B0000}"/>
    <cellStyle name="Normal 75 4" xfId="6711" xr:uid="{00000000-0005-0000-0000-0000F14B0000}"/>
    <cellStyle name="Normal 75 4 2" xfId="15795" xr:uid="{00000000-0005-0000-0000-0000F24B0000}"/>
    <cellStyle name="Normal 75 5" xfId="14625" xr:uid="{00000000-0005-0000-0000-0000F34B0000}"/>
    <cellStyle name="Normal 75 6" xfId="12267" xr:uid="{00000000-0005-0000-0000-0000F44B0000}"/>
    <cellStyle name="Normal 75 7" xfId="5189" xr:uid="{00000000-0005-0000-0000-0000F54B0000}"/>
    <cellStyle name="Normal 75 8" xfId="3297" xr:uid="{00000000-0005-0000-0000-0000F64B0000}"/>
    <cellStyle name="Normal 75 9" xfId="19694" xr:uid="{00000000-0005-0000-0000-0000F74B0000}"/>
    <cellStyle name="Normal 76" xfId="283" xr:uid="{00000000-0005-0000-0000-0000F84B0000}"/>
    <cellStyle name="Normal 76 2" xfId="3352" xr:uid="{00000000-0005-0000-0000-0000F94B0000}"/>
    <cellStyle name="Normal 76 2 2" xfId="16464" xr:uid="{00000000-0005-0000-0000-0000FA4B0000}"/>
    <cellStyle name="Normal 76 2 3" xfId="12886" xr:uid="{00000000-0005-0000-0000-0000FB4B0000}"/>
    <cellStyle name="Normal 76 2 4" xfId="7596" xr:uid="{00000000-0005-0000-0000-0000FC4B0000}"/>
    <cellStyle name="Normal 76 3" xfId="4331" xr:uid="{00000000-0005-0000-0000-0000FD4B0000}"/>
    <cellStyle name="Normal 76 3 2" xfId="18182" xr:uid="{00000000-0005-0000-0000-0000FE4B0000}"/>
    <cellStyle name="Normal 76 3 3" xfId="14603" xr:uid="{00000000-0005-0000-0000-0000FF4B0000}"/>
    <cellStyle name="Normal 76 3 4" xfId="9346" xr:uid="{00000000-0005-0000-0000-0000004C0000}"/>
    <cellStyle name="Normal 76 4" xfId="6712" xr:uid="{00000000-0005-0000-0000-0000014C0000}"/>
    <cellStyle name="Normal 76 4 2" xfId="15796" xr:uid="{00000000-0005-0000-0000-0000024C0000}"/>
    <cellStyle name="Normal 76 5" xfId="14626" xr:uid="{00000000-0005-0000-0000-0000034C0000}"/>
    <cellStyle name="Normal 76 6" xfId="12462" xr:uid="{00000000-0005-0000-0000-0000044C0000}"/>
    <cellStyle name="Normal 76 7" xfId="5190" xr:uid="{00000000-0005-0000-0000-0000054C0000}"/>
    <cellStyle name="Normal 76 8" xfId="3284" xr:uid="{00000000-0005-0000-0000-0000064C0000}"/>
    <cellStyle name="Normal 76 9" xfId="19695" xr:uid="{00000000-0005-0000-0000-0000074C0000}"/>
    <cellStyle name="Normal 77" xfId="284" xr:uid="{00000000-0005-0000-0000-0000084C0000}"/>
    <cellStyle name="Normal 77 2" xfId="3343" xr:uid="{00000000-0005-0000-0000-0000094C0000}"/>
    <cellStyle name="Normal 77 2 2" xfId="16110" xr:uid="{00000000-0005-0000-0000-00000A4C0000}"/>
    <cellStyle name="Normal 77 2 3" xfId="12532" xr:uid="{00000000-0005-0000-0000-00000B4C0000}"/>
    <cellStyle name="Normal 77 2 4" xfId="7241" xr:uid="{00000000-0005-0000-0000-00000C4C0000}"/>
    <cellStyle name="Normal 77 3" xfId="4340" xr:uid="{00000000-0005-0000-0000-00000D4C0000}"/>
    <cellStyle name="Normal 77 3 2" xfId="18190" xr:uid="{00000000-0005-0000-0000-00000E4C0000}"/>
    <cellStyle name="Normal 77 3 3" xfId="14611" xr:uid="{00000000-0005-0000-0000-00000F4C0000}"/>
    <cellStyle name="Normal 77 3 4" xfId="9354" xr:uid="{00000000-0005-0000-0000-0000104C0000}"/>
    <cellStyle name="Normal 77 4" xfId="6357" xr:uid="{00000000-0005-0000-0000-0000114C0000}"/>
    <cellStyle name="Normal 77 4 2" xfId="15441" xr:uid="{00000000-0005-0000-0000-0000124C0000}"/>
    <cellStyle name="Normal 77 5" xfId="14618" xr:uid="{00000000-0005-0000-0000-0000134C0000}"/>
    <cellStyle name="Normal 77 6" xfId="12433" xr:uid="{00000000-0005-0000-0000-0000144C0000}"/>
    <cellStyle name="Normal 77 7" xfId="4835" xr:uid="{00000000-0005-0000-0000-0000154C0000}"/>
    <cellStyle name="Normal 77 8" xfId="1862" xr:uid="{00000000-0005-0000-0000-0000164C0000}"/>
    <cellStyle name="Normal 77 9" xfId="19696" xr:uid="{00000000-0005-0000-0000-0000174C0000}"/>
    <cellStyle name="Normal 78" xfId="1838" xr:uid="{00000000-0005-0000-0000-0000184C0000}"/>
    <cellStyle name="Normal 78 2" xfId="3353" xr:uid="{00000000-0005-0000-0000-0000194C0000}"/>
    <cellStyle name="Normal 78 2 2" xfId="16465" xr:uid="{00000000-0005-0000-0000-00001A4C0000}"/>
    <cellStyle name="Normal 78 2 3" xfId="12887" xr:uid="{00000000-0005-0000-0000-00001B4C0000}"/>
    <cellStyle name="Normal 78 2 4" xfId="7597" xr:uid="{00000000-0005-0000-0000-00001C4C0000}"/>
    <cellStyle name="Normal 78 3" xfId="3366" xr:uid="{00000000-0005-0000-0000-00001D4C0000}"/>
    <cellStyle name="Normal 78 3 2" xfId="16865" xr:uid="{00000000-0005-0000-0000-00001E4C0000}"/>
    <cellStyle name="Normal 78 3 3" xfId="13286" xr:uid="{00000000-0005-0000-0000-00001F4C0000}"/>
    <cellStyle name="Normal 78 3 4" xfId="8029" xr:uid="{00000000-0005-0000-0000-0000204C0000}"/>
    <cellStyle name="Normal 78 4" xfId="6713" xr:uid="{00000000-0005-0000-0000-0000214C0000}"/>
    <cellStyle name="Normal 78 4 2" xfId="15797" xr:uid="{00000000-0005-0000-0000-0000224C0000}"/>
    <cellStyle name="Normal 78 5" xfId="14627" xr:uid="{00000000-0005-0000-0000-0000234C0000}"/>
    <cellStyle name="Normal 78 6" xfId="12475" xr:uid="{00000000-0005-0000-0000-0000244C0000}"/>
    <cellStyle name="Normal 78 7" xfId="5191" xr:uid="{00000000-0005-0000-0000-0000254C0000}"/>
    <cellStyle name="Normal 79" xfId="3333" xr:uid="{00000000-0005-0000-0000-0000264C0000}"/>
    <cellStyle name="Normal 79 2" xfId="3344" xr:uid="{00000000-0005-0000-0000-0000274C0000}"/>
    <cellStyle name="Normal 79 2 2" xfId="16111" xr:uid="{00000000-0005-0000-0000-0000284C0000}"/>
    <cellStyle name="Normal 79 2 3" xfId="12533" xr:uid="{00000000-0005-0000-0000-0000294C0000}"/>
    <cellStyle name="Normal 79 2 4" xfId="7242" xr:uid="{00000000-0005-0000-0000-00002A4C0000}"/>
    <cellStyle name="Normal 79 3" xfId="4338" xr:uid="{00000000-0005-0000-0000-00002B4C0000}"/>
    <cellStyle name="Normal 79 3 2" xfId="18188" xr:uid="{00000000-0005-0000-0000-00002C4C0000}"/>
    <cellStyle name="Normal 79 3 3" xfId="14609" xr:uid="{00000000-0005-0000-0000-00002D4C0000}"/>
    <cellStyle name="Normal 79 3 4" xfId="9352" xr:uid="{00000000-0005-0000-0000-00002E4C0000}"/>
    <cellStyle name="Normal 79 4" xfId="6358" xr:uid="{00000000-0005-0000-0000-00002F4C0000}"/>
    <cellStyle name="Normal 79 4 2" xfId="15442" xr:uid="{00000000-0005-0000-0000-0000304C0000}"/>
    <cellStyle name="Normal 79 5" xfId="14619" xr:uid="{00000000-0005-0000-0000-0000314C0000}"/>
    <cellStyle name="Normal 79 6" xfId="12372" xr:uid="{00000000-0005-0000-0000-0000324C0000}"/>
    <cellStyle name="Normal 79 7" xfId="4836" xr:uid="{00000000-0005-0000-0000-0000334C0000}"/>
    <cellStyle name="Normal 8" xfId="20" xr:uid="{00000000-0005-0000-0000-0000344C0000}"/>
    <cellStyle name="Normal 8 2" xfId="118" xr:uid="{00000000-0005-0000-0000-0000354C0000}"/>
    <cellStyle name="Normal 8 3" xfId="109" xr:uid="{00000000-0005-0000-0000-0000364C0000}"/>
    <cellStyle name="Normal 80" xfId="3307" xr:uid="{00000000-0005-0000-0000-0000374C0000}"/>
    <cellStyle name="Normal 80 2" xfId="3345" xr:uid="{00000000-0005-0000-0000-0000384C0000}"/>
    <cellStyle name="Normal 80 2 2" xfId="16112" xr:uid="{00000000-0005-0000-0000-0000394C0000}"/>
    <cellStyle name="Normal 80 2 3" xfId="12534" xr:uid="{00000000-0005-0000-0000-00003A4C0000}"/>
    <cellStyle name="Normal 80 2 4" xfId="7243" xr:uid="{00000000-0005-0000-0000-00003B4C0000}"/>
    <cellStyle name="Normal 80 3" xfId="4334" xr:uid="{00000000-0005-0000-0000-00003C4C0000}"/>
    <cellStyle name="Normal 80 3 2" xfId="18185" xr:uid="{00000000-0005-0000-0000-00003D4C0000}"/>
    <cellStyle name="Normal 80 3 3" xfId="14606" xr:uid="{00000000-0005-0000-0000-00003E4C0000}"/>
    <cellStyle name="Normal 80 3 4" xfId="9349" xr:uid="{00000000-0005-0000-0000-00003F4C0000}"/>
    <cellStyle name="Normal 80 4" xfId="6359" xr:uid="{00000000-0005-0000-0000-0000404C0000}"/>
    <cellStyle name="Normal 80 4 2" xfId="15443" xr:uid="{00000000-0005-0000-0000-0000414C0000}"/>
    <cellStyle name="Normal 80 5" xfId="14620" xr:uid="{00000000-0005-0000-0000-0000424C0000}"/>
    <cellStyle name="Normal 80 6" xfId="12438" xr:uid="{00000000-0005-0000-0000-0000434C0000}"/>
    <cellStyle name="Normal 80 7" xfId="4837" xr:uid="{00000000-0005-0000-0000-0000444C0000}"/>
    <cellStyle name="Normal 80 9" xfId="19647" xr:uid="{00000000-0005-0000-0000-0000454C0000}"/>
    <cellStyle name="Normal 81" xfId="3311" xr:uid="{00000000-0005-0000-0000-0000464C0000}"/>
    <cellStyle name="Normal 81 2" xfId="3354" xr:uid="{00000000-0005-0000-0000-0000474C0000}"/>
    <cellStyle name="Normal 81 2 2" xfId="16466" xr:uid="{00000000-0005-0000-0000-0000484C0000}"/>
    <cellStyle name="Normal 81 2 3" xfId="12888" xr:uid="{00000000-0005-0000-0000-0000494C0000}"/>
    <cellStyle name="Normal 81 2 4" xfId="7598" xr:uid="{00000000-0005-0000-0000-00004A4C0000}"/>
    <cellStyle name="Normal 81 3" xfId="3360" xr:uid="{00000000-0005-0000-0000-00004B4C0000}"/>
    <cellStyle name="Normal 81 3 2" xfId="16818" xr:uid="{00000000-0005-0000-0000-00004C4C0000}"/>
    <cellStyle name="Normal 81 3 3" xfId="13239" xr:uid="{00000000-0005-0000-0000-00004D4C0000}"/>
    <cellStyle name="Normal 81 3 4" xfId="7957" xr:uid="{00000000-0005-0000-0000-00004E4C0000}"/>
    <cellStyle name="Normal 81 4" xfId="6714" xr:uid="{00000000-0005-0000-0000-00004F4C0000}"/>
    <cellStyle name="Normal 81 4 2" xfId="15798" xr:uid="{00000000-0005-0000-0000-0000504C0000}"/>
    <cellStyle name="Normal 81 5" xfId="14628" xr:uid="{00000000-0005-0000-0000-0000514C0000}"/>
    <cellStyle name="Normal 81 6" xfId="12431" xr:uid="{00000000-0005-0000-0000-0000524C0000}"/>
    <cellStyle name="Normal 81 7" xfId="5192" xr:uid="{00000000-0005-0000-0000-0000534C0000}"/>
    <cellStyle name="Normal 82" xfId="3296" xr:uid="{00000000-0005-0000-0000-0000544C0000}"/>
    <cellStyle name="Normal 82 2" xfId="3355" xr:uid="{00000000-0005-0000-0000-0000554C0000}"/>
    <cellStyle name="Normal 82 2 2" xfId="16467" xr:uid="{00000000-0005-0000-0000-0000564C0000}"/>
    <cellStyle name="Normal 82 2 3" xfId="12889" xr:uid="{00000000-0005-0000-0000-0000574C0000}"/>
    <cellStyle name="Normal 82 2 4" xfId="7599" xr:uid="{00000000-0005-0000-0000-0000584C0000}"/>
    <cellStyle name="Normal 82 3" xfId="4341" xr:uid="{00000000-0005-0000-0000-0000594C0000}"/>
    <cellStyle name="Normal 82 3 2" xfId="18191" xr:uid="{00000000-0005-0000-0000-00005A4C0000}"/>
    <cellStyle name="Normal 82 3 3" xfId="14612" xr:uid="{00000000-0005-0000-0000-00005B4C0000}"/>
    <cellStyle name="Normal 82 3 4" xfId="9355" xr:uid="{00000000-0005-0000-0000-00005C4C0000}"/>
    <cellStyle name="Normal 82 4" xfId="6715" xr:uid="{00000000-0005-0000-0000-00005D4C0000}"/>
    <cellStyle name="Normal 82 4 2" xfId="15799" xr:uid="{00000000-0005-0000-0000-00005E4C0000}"/>
    <cellStyle name="Normal 82 5" xfId="14629" xr:uid="{00000000-0005-0000-0000-00005F4C0000}"/>
    <cellStyle name="Normal 82 6" xfId="12370" xr:uid="{00000000-0005-0000-0000-0000604C0000}"/>
    <cellStyle name="Normal 82 7" xfId="5193" xr:uid="{00000000-0005-0000-0000-0000614C0000}"/>
    <cellStyle name="Normal 83" xfId="39" xr:uid="{00000000-0005-0000-0000-0000624C0000}"/>
    <cellStyle name="Normal 84" xfId="40" xr:uid="{00000000-0005-0000-0000-0000634C0000}"/>
    <cellStyle name="Normal 85" xfId="3278" xr:uid="{00000000-0005-0000-0000-0000644C0000}"/>
    <cellStyle name="Normal 85 2" xfId="3346" xr:uid="{00000000-0005-0000-0000-0000654C0000}"/>
    <cellStyle name="Normal 85 2 2" xfId="16113" xr:uid="{00000000-0005-0000-0000-0000664C0000}"/>
    <cellStyle name="Normal 85 2 3" xfId="12535" xr:uid="{00000000-0005-0000-0000-0000674C0000}"/>
    <cellStyle name="Normal 85 2 4" xfId="7244" xr:uid="{00000000-0005-0000-0000-0000684C0000}"/>
    <cellStyle name="Normal 85 3" xfId="4333" xr:uid="{00000000-0005-0000-0000-0000694C0000}"/>
    <cellStyle name="Normal 85 3 2" xfId="18184" xr:uid="{00000000-0005-0000-0000-00006A4C0000}"/>
    <cellStyle name="Normal 85 3 3" xfId="14605" xr:uid="{00000000-0005-0000-0000-00006B4C0000}"/>
    <cellStyle name="Normal 85 3 4" xfId="9348" xr:uid="{00000000-0005-0000-0000-00006C4C0000}"/>
    <cellStyle name="Normal 85 4" xfId="6360" xr:uid="{00000000-0005-0000-0000-00006D4C0000}"/>
    <cellStyle name="Normal 85 4 2" xfId="15444" xr:uid="{00000000-0005-0000-0000-00006E4C0000}"/>
    <cellStyle name="Normal 85 5" xfId="14621" xr:uid="{00000000-0005-0000-0000-00006F4C0000}"/>
    <cellStyle name="Normal 85 6" xfId="12499" xr:uid="{00000000-0005-0000-0000-0000704C0000}"/>
    <cellStyle name="Normal 85 7" xfId="4838" xr:uid="{00000000-0005-0000-0000-0000714C0000}"/>
    <cellStyle name="Normal 86" xfId="41" xr:uid="{00000000-0005-0000-0000-0000724C0000}"/>
    <cellStyle name="Normal 87" xfId="3306" xr:uid="{00000000-0005-0000-0000-0000734C0000}"/>
    <cellStyle name="Normal 87 2" xfId="3342" xr:uid="{00000000-0005-0000-0000-0000744C0000}"/>
    <cellStyle name="Normal 87 2 2" xfId="16109" xr:uid="{00000000-0005-0000-0000-0000754C0000}"/>
    <cellStyle name="Normal 87 2 3" xfId="12531" xr:uid="{00000000-0005-0000-0000-0000764C0000}"/>
    <cellStyle name="Normal 87 2 4" xfId="7240" xr:uid="{00000000-0005-0000-0000-0000774C0000}"/>
    <cellStyle name="Normal 87 3" xfId="4342" xr:uid="{00000000-0005-0000-0000-0000784C0000}"/>
    <cellStyle name="Normal 87 3 2" xfId="18192" xr:uid="{00000000-0005-0000-0000-0000794C0000}"/>
    <cellStyle name="Normal 87 3 3" xfId="14613" xr:uid="{00000000-0005-0000-0000-00007A4C0000}"/>
    <cellStyle name="Normal 87 3 4" xfId="9356" xr:uid="{00000000-0005-0000-0000-00007B4C0000}"/>
    <cellStyle name="Normal 87 4" xfId="6356" xr:uid="{00000000-0005-0000-0000-00007C4C0000}"/>
    <cellStyle name="Normal 87 4 2" xfId="15440" xr:uid="{00000000-0005-0000-0000-00007D4C0000}"/>
    <cellStyle name="Normal 87 5" xfId="14617" xr:uid="{00000000-0005-0000-0000-00007E4C0000}"/>
    <cellStyle name="Normal 87 6" xfId="12458" xr:uid="{00000000-0005-0000-0000-00007F4C0000}"/>
    <cellStyle name="Normal 87 7" xfId="4834" xr:uid="{00000000-0005-0000-0000-0000804C0000}"/>
    <cellStyle name="Normal 88" xfId="3357" xr:uid="{00000000-0005-0000-0000-0000814C0000}"/>
    <cellStyle name="Normal 88 2" xfId="19632" xr:uid="{00000000-0005-0000-0000-0000824C0000}"/>
    <cellStyle name="Normal 89" xfId="3359" xr:uid="{00000000-0005-0000-0000-0000834C0000}"/>
    <cellStyle name="Normal 9" xfId="110" xr:uid="{00000000-0005-0000-0000-0000844C0000}"/>
    <cellStyle name="Normal 9 2" xfId="280" xr:uid="{00000000-0005-0000-0000-0000854C0000}"/>
    <cellStyle name="Normal 9 2 10" xfId="4514" xr:uid="{00000000-0005-0000-0000-0000864C0000}"/>
    <cellStyle name="Normal 9 2 2" xfId="852" xr:uid="{00000000-0005-0000-0000-0000874C0000}"/>
    <cellStyle name="Normal 9 2 2 2" xfId="2572" xr:uid="{00000000-0005-0000-0000-0000884C0000}"/>
    <cellStyle name="Normal 9 2 2 2 2" xfId="16106" xr:uid="{00000000-0005-0000-0000-0000894C0000}"/>
    <cellStyle name="Normal 9 2 2 2 3" xfId="12528" xr:uid="{00000000-0005-0000-0000-00008A4C0000}"/>
    <cellStyle name="Normal 9 2 2 2 4" xfId="7237" xr:uid="{00000000-0005-0000-0000-00008B4C0000}"/>
    <cellStyle name="Normal 9 2 2 3" xfId="3840" xr:uid="{00000000-0005-0000-0000-00008C4C0000}"/>
    <cellStyle name="Normal 9 2 2 3 2" xfId="17485" xr:uid="{00000000-0005-0000-0000-00008D4C0000}"/>
    <cellStyle name="Normal 9 2 2 3 3" xfId="13906" xr:uid="{00000000-0005-0000-0000-00008E4C0000}"/>
    <cellStyle name="Normal 9 2 2 3 4" xfId="8649" xr:uid="{00000000-0005-0000-0000-00008F4C0000}"/>
    <cellStyle name="Normal 9 2 2 4" xfId="6353" xr:uid="{00000000-0005-0000-0000-0000904C0000}"/>
    <cellStyle name="Normal 9 2 2 4 2" xfId="15437" xr:uid="{00000000-0005-0000-0000-0000914C0000}"/>
    <cellStyle name="Normal 9 2 2 5" xfId="10103" xr:uid="{00000000-0005-0000-0000-0000924C0000}"/>
    <cellStyle name="Normal 9 2 2 5 2" xfId="18930" xr:uid="{00000000-0005-0000-0000-0000934C0000}"/>
    <cellStyle name="Normal 9 2 2 6" xfId="11549" xr:uid="{00000000-0005-0000-0000-0000944C0000}"/>
    <cellStyle name="Normal 9 2 2 7" xfId="4831" xr:uid="{00000000-0005-0000-0000-0000954C0000}"/>
    <cellStyle name="Normal 9 2 3" xfId="1200" xr:uid="{00000000-0005-0000-0000-0000964C0000}"/>
    <cellStyle name="Normal 9 2 3 2" xfId="2920" xr:uid="{00000000-0005-0000-0000-0000974C0000}"/>
    <cellStyle name="Normal 9 2 3 2 2" xfId="16468" xr:uid="{00000000-0005-0000-0000-0000984C0000}"/>
    <cellStyle name="Normal 9 2 3 2 3" xfId="12890" xr:uid="{00000000-0005-0000-0000-0000994C0000}"/>
    <cellStyle name="Normal 9 2 3 2 4" xfId="7600" xr:uid="{00000000-0005-0000-0000-00009A4C0000}"/>
    <cellStyle name="Normal 9 2 3 3" xfId="4188" xr:uid="{00000000-0005-0000-0000-00009B4C0000}"/>
    <cellStyle name="Normal 9 2 3 3 2" xfId="17833" xr:uid="{00000000-0005-0000-0000-00009C4C0000}"/>
    <cellStyle name="Normal 9 2 3 3 3" xfId="14254" xr:uid="{00000000-0005-0000-0000-00009D4C0000}"/>
    <cellStyle name="Normal 9 2 3 3 4" xfId="8997" xr:uid="{00000000-0005-0000-0000-00009E4C0000}"/>
    <cellStyle name="Normal 9 2 3 4" xfId="6716" xr:uid="{00000000-0005-0000-0000-00009F4C0000}"/>
    <cellStyle name="Normal 9 2 3 4 2" xfId="15800" xr:uid="{00000000-0005-0000-0000-0000A04C0000}"/>
    <cellStyle name="Normal 9 2 3 5" xfId="10451" xr:uid="{00000000-0005-0000-0000-0000A14C0000}"/>
    <cellStyle name="Normal 9 2 3 5 2" xfId="19278" xr:uid="{00000000-0005-0000-0000-0000A24C0000}"/>
    <cellStyle name="Normal 9 2 3 6" xfId="11897" xr:uid="{00000000-0005-0000-0000-0000A34C0000}"/>
    <cellStyle name="Normal 9 2 3 7" xfId="5194" xr:uid="{00000000-0005-0000-0000-0000A44C0000}"/>
    <cellStyle name="Normal 9 2 4" xfId="1671" xr:uid="{00000000-0005-0000-0000-0000A54C0000}"/>
    <cellStyle name="Normal 9 2 4 2" xfId="3265" xr:uid="{00000000-0005-0000-0000-0000A64C0000}"/>
    <cellStyle name="Normal 9 2 4 2 2" xfId="16814" xr:uid="{00000000-0005-0000-0000-0000A74C0000}"/>
    <cellStyle name="Normal 9 2 4 2 3" xfId="13235" xr:uid="{00000000-0005-0000-0000-0000A84C0000}"/>
    <cellStyle name="Normal 9 2 4 2 4" xfId="7946" xr:uid="{00000000-0005-0000-0000-0000A94C0000}"/>
    <cellStyle name="Normal 9 2 4 3" xfId="4328" xr:uid="{00000000-0005-0000-0000-0000AA4C0000}"/>
    <cellStyle name="Normal 9 2 4 3 2" xfId="18178" xr:uid="{00000000-0005-0000-0000-0000AB4C0000}"/>
    <cellStyle name="Normal 9 2 4 3 3" xfId="14599" xr:uid="{00000000-0005-0000-0000-0000AC4C0000}"/>
    <cellStyle name="Normal 9 2 4 3 4" xfId="9342" xr:uid="{00000000-0005-0000-0000-0000AD4C0000}"/>
    <cellStyle name="Normal 9 2 4 4" xfId="6034" xr:uid="{00000000-0005-0000-0000-0000AE4C0000}"/>
    <cellStyle name="Normal 9 2 4 4 2" xfId="15120" xr:uid="{00000000-0005-0000-0000-0000AF4C0000}"/>
    <cellStyle name="Normal 9 2 4 5" xfId="10796" xr:uid="{00000000-0005-0000-0000-0000B04C0000}"/>
    <cellStyle name="Normal 9 2 4 5 2" xfId="19623" xr:uid="{00000000-0005-0000-0000-0000B14C0000}"/>
    <cellStyle name="Normal 9 2 4 6" xfId="12242" xr:uid="{00000000-0005-0000-0000-0000B24C0000}"/>
    <cellStyle name="Normal 9 2 4 7" xfId="5540" xr:uid="{00000000-0005-0000-0000-0000B34C0000}"/>
    <cellStyle name="Normal 9 2 5" xfId="2222" xr:uid="{00000000-0005-0000-0000-0000B44C0000}"/>
    <cellStyle name="Normal 9 2 5 2" xfId="15963" xr:uid="{00000000-0005-0000-0000-0000B54C0000}"/>
    <cellStyle name="Normal 9 2 5 3" xfId="12288" xr:uid="{00000000-0005-0000-0000-0000B64C0000}"/>
    <cellStyle name="Normal 9 2 5 4" xfId="6920" xr:uid="{00000000-0005-0000-0000-0000B74C0000}"/>
    <cellStyle name="Normal 9 2 6" xfId="3490" xr:uid="{00000000-0005-0000-0000-0000B84C0000}"/>
    <cellStyle name="Normal 9 2 6 2" xfId="17135" xr:uid="{00000000-0005-0000-0000-0000B94C0000}"/>
    <cellStyle name="Normal 9 2 6 3" xfId="13556" xr:uid="{00000000-0005-0000-0000-0000BA4C0000}"/>
    <cellStyle name="Normal 9 2 6 4" xfId="8299" xr:uid="{00000000-0005-0000-0000-0000BB4C0000}"/>
    <cellStyle name="Normal 9 2 7" xfId="5860" xr:uid="{00000000-0005-0000-0000-0000BC4C0000}"/>
    <cellStyle name="Normal 9 2 7 2" xfId="14946" xr:uid="{00000000-0005-0000-0000-0000BD4C0000}"/>
    <cellStyle name="Normal 9 2 8" xfId="9753" xr:uid="{00000000-0005-0000-0000-0000BE4C0000}"/>
    <cellStyle name="Normal 9 2 8 2" xfId="18580" xr:uid="{00000000-0005-0000-0000-0000BF4C0000}"/>
    <cellStyle name="Normal 9 2 9" xfId="11197" xr:uid="{00000000-0005-0000-0000-0000C04C0000}"/>
    <cellStyle name="Normal 9 2_Degree data" xfId="1826" xr:uid="{00000000-0005-0000-0000-0000C14C0000}"/>
    <cellStyle name="Normal 90" xfId="3805" xr:uid="{00000000-0005-0000-0000-0000C24C0000}"/>
    <cellStyle name="Normal 91" xfId="4336" xr:uid="{00000000-0005-0000-0000-0000C34C0000}"/>
    <cellStyle name="Normal 92" xfId="5544" xr:uid="{00000000-0005-0000-0000-0000C44C0000}"/>
    <cellStyle name="Normal 92 2" xfId="19633" xr:uid="{00000000-0005-0000-0000-0000C54C0000}"/>
    <cellStyle name="Normal 93" xfId="6718" xr:uid="{00000000-0005-0000-0000-0000C64C0000}"/>
    <cellStyle name="Normal 93 2" xfId="19634" xr:uid="{00000000-0005-0000-0000-0000C74C0000}"/>
    <cellStyle name="Normal 94" xfId="9358" xr:uid="{00000000-0005-0000-0000-0000C84C0000}"/>
    <cellStyle name="Normal 94 2" xfId="19636" xr:uid="{00000000-0005-0000-0000-0000C94C0000}"/>
    <cellStyle name="Normal 95" xfId="9357" xr:uid="{00000000-0005-0000-0000-0000CA4C0000}"/>
    <cellStyle name="Normal 95 2" xfId="19635" xr:uid="{00000000-0005-0000-0000-0000CB4C0000}"/>
    <cellStyle name="Normal 96" xfId="9362" xr:uid="{00000000-0005-0000-0000-0000CC4C0000}"/>
    <cellStyle name="Normal 96 2" xfId="19637" xr:uid="{00000000-0005-0000-0000-0000CD4C0000}"/>
    <cellStyle name="Normal 97" xfId="9363" xr:uid="{00000000-0005-0000-0000-0000CE4C0000}"/>
    <cellStyle name="Normal 97 2" xfId="19638" xr:uid="{00000000-0005-0000-0000-0000CF4C0000}"/>
    <cellStyle name="Normal 98" xfId="42" xr:uid="{00000000-0005-0000-0000-0000D04C0000}"/>
    <cellStyle name="Normal 99" xfId="9365" xr:uid="{00000000-0005-0000-0000-0000D14C0000}"/>
    <cellStyle name="Normal 99 2" xfId="19640" xr:uid="{00000000-0005-0000-0000-0000D24C0000}"/>
    <cellStyle name="Normal_InstructionTypes07" xfId="1" xr:uid="{00000000-0005-0000-0000-0000D34C0000}"/>
    <cellStyle name="Note 2" xfId="3322" xr:uid="{00000000-0005-0000-0000-0000D44C0000}"/>
    <cellStyle name="Note 2 2" xfId="3281" xr:uid="{00000000-0005-0000-0000-0000D54C0000}"/>
    <cellStyle name="Note 2 3" xfId="3303" xr:uid="{00000000-0005-0000-0000-0000D64C0000}"/>
    <cellStyle name="Note 2 4" xfId="3356" xr:uid="{00000000-0005-0000-0000-0000D74C0000}"/>
    <cellStyle name="Note 2 4 2" xfId="16469" xr:uid="{00000000-0005-0000-0000-0000D84C0000}"/>
    <cellStyle name="Note 2 4 3" xfId="12891" xr:uid="{00000000-0005-0000-0000-0000D94C0000}"/>
    <cellStyle name="Note 2 4 4" xfId="7601" xr:uid="{00000000-0005-0000-0000-0000DA4C0000}"/>
    <cellStyle name="Note 2 5" xfId="3365" xr:uid="{00000000-0005-0000-0000-0000DB4C0000}"/>
    <cellStyle name="Note 2 5 2" xfId="16864" xr:uid="{00000000-0005-0000-0000-0000DC4C0000}"/>
    <cellStyle name="Note 2 5 3" xfId="13285" xr:uid="{00000000-0005-0000-0000-0000DD4C0000}"/>
    <cellStyle name="Note 2 5 4" xfId="8028" xr:uid="{00000000-0005-0000-0000-0000DE4C0000}"/>
    <cellStyle name="Note 2 6" xfId="6717" xr:uid="{00000000-0005-0000-0000-0000DF4C0000}"/>
    <cellStyle name="Note 2 6 2" xfId="15801" xr:uid="{00000000-0005-0000-0000-0000E04C0000}"/>
    <cellStyle name="Note 2 7" xfId="14630" xr:uid="{00000000-0005-0000-0000-0000E14C0000}"/>
    <cellStyle name="Note 2 8" xfId="12493" xr:uid="{00000000-0005-0000-0000-0000E24C0000}"/>
    <cellStyle name="Note 2 9" xfId="5195" xr:uid="{00000000-0005-0000-0000-0000E34C0000}"/>
    <cellStyle name="Note 3" xfId="3318" xr:uid="{00000000-0005-0000-0000-0000E44C0000}"/>
    <cellStyle name="Note 4" xfId="3287" xr:uid="{00000000-0005-0000-0000-0000E54C0000}"/>
    <cellStyle name="Output 2" xfId="3332" xr:uid="{00000000-0005-0000-0000-0000E64C0000}"/>
    <cellStyle name="Output 3" xfId="3288" xr:uid="{00000000-0005-0000-0000-0000E74C0000}"/>
    <cellStyle name="Percent" xfId="19706" builtinId="5"/>
    <cellStyle name="Percent 2" xfId="13" xr:uid="{00000000-0005-0000-0000-0000E84C0000}"/>
    <cellStyle name="Percent 2 2" xfId="115" xr:uid="{00000000-0005-0000-0000-0000E94C0000}"/>
    <cellStyle name="Percent 2 2 2" xfId="160" xr:uid="{00000000-0005-0000-0000-0000EA4C0000}"/>
    <cellStyle name="Percent 2 2 3" xfId="150" xr:uid="{00000000-0005-0000-0000-0000EB4C0000}"/>
    <cellStyle name="Percent 2 3" xfId="83" xr:uid="{00000000-0005-0000-0000-0000EC4C0000}"/>
    <cellStyle name="Percent 2 3 2" xfId="3283" xr:uid="{00000000-0005-0000-0000-0000ED4C0000}"/>
    <cellStyle name="Percent 3" xfId="14" xr:uid="{00000000-0005-0000-0000-0000EE4C0000}"/>
    <cellStyle name="Percent 4" xfId="18" xr:uid="{00000000-0005-0000-0000-0000EF4C0000}"/>
    <cellStyle name="Percent 5" xfId="86" xr:uid="{00000000-0005-0000-0000-0000F04C0000}"/>
    <cellStyle name="Percent 6" xfId="44" xr:uid="{00000000-0005-0000-0000-0000F14C0000}"/>
    <cellStyle name="Percent 6 2" xfId="3275" xr:uid="{00000000-0005-0000-0000-0000F24C0000}"/>
    <cellStyle name="questionable" xfId="45" xr:uid="{00000000-0005-0000-0000-0000F34C0000}"/>
    <cellStyle name="questionable 2" xfId="100" xr:uid="{00000000-0005-0000-0000-0000F44C0000}"/>
    <cellStyle name="review" xfId="46" xr:uid="{00000000-0005-0000-0000-0000F54C0000}"/>
    <cellStyle name="Title 2" xfId="3272" xr:uid="{00000000-0005-0000-0000-0000F64C0000}"/>
    <cellStyle name="Total 2" xfId="3282" xr:uid="{00000000-0005-0000-0000-0000F74C0000}"/>
    <cellStyle name="Total 3" xfId="3330" xr:uid="{00000000-0005-0000-0000-0000F84C0000}"/>
    <cellStyle name="Warning Text 2" xfId="3329" xr:uid="{00000000-0005-0000-0000-0000F94C0000}"/>
  </cellStyles>
  <dxfs count="3525">
    <dxf>
      <fill>
        <patternFill patternType="none">
          <bgColor auto="1"/>
        </patternFill>
      </fill>
    </dxf>
    <dxf>
      <border>
        <left/>
      </border>
    </dxf>
    <dxf>
      <border>
        <left/>
      </border>
    </dxf>
    <dxf>
      <border>
        <left/>
      </border>
    </dxf>
    <dxf>
      <border>
        <left/>
      </border>
    </dxf>
    <dxf>
      <border>
        <left/>
      </border>
    </dxf>
    <dxf>
      <border>
        <left/>
      </border>
    </dxf>
    <dxf>
      <border>
        <left/>
      </border>
    </dxf>
    <dxf>
      <border>
        <left/>
      </border>
    </dxf>
    <dxf>
      <border>
        <lef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border>
        <left/>
        <top/>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font>
    </dxf>
    <dxf>
      <fill>
        <patternFill patternType="none">
          <bgColor auto="1"/>
        </patternFill>
      </fill>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b/>
      </font>
    </dxf>
    <dxf>
      <font>
        <b/>
      </font>
    </dxf>
    <dxf>
      <font>
        <b/>
      </font>
    </dxf>
    <dxf>
      <font>
        <b/>
      </font>
    </dxf>
    <dxf>
      <font>
        <b/>
      </font>
    </dxf>
    <dxf>
      <font>
        <b/>
      </font>
    </dxf>
    <dxf>
      <font>
        <b/>
      </font>
    </dxf>
    <dxf>
      <font>
        <b/>
      </font>
    </dxf>
    <dxf>
      <font>
        <b/>
      </font>
    </dxf>
    <dxf>
      <font>
        <color indexed="23"/>
      </font>
    </dxf>
    <dxf>
      <font>
        <color indexed="23"/>
      </font>
    </dxf>
    <dxf>
      <font>
        <color indexed="61"/>
      </font>
    </dxf>
    <dxf>
      <font>
        <color indexed="61"/>
      </font>
    </dxf>
    <dxf>
      <font>
        <color indexed="61"/>
      </font>
    </dxf>
    <dxf>
      <font>
        <color indexed="17"/>
      </font>
    </dxf>
    <dxf>
      <font>
        <color indexed="17"/>
      </font>
    </dxf>
    <dxf>
      <font>
        <color indexed="53"/>
      </font>
    </dxf>
    <dxf>
      <font>
        <color indexed="53"/>
      </font>
    </dxf>
    <dxf>
      <font>
        <color indexed="53"/>
      </font>
    </dxf>
    <dxf>
      <numFmt numFmtId="165" formatCode="_(* #,##0_);_(* \(#,##0\);_(* &quot;-&quot;??_);_(@_)"/>
    </dxf>
    <dxf>
      <fill>
        <patternFill patternType="none"/>
      </fill>
    </dxf>
    <dxf>
      <border>
        <bottom style="thin">
          <color indexed="64"/>
        </bottom>
      </border>
    </dxf>
    <dxf>
      <border>
        <bottom style="thin">
          <color indexed="64"/>
        </bottom>
      </border>
    </dxf>
    <dxf>
      <border>
        <bottom style="thin">
          <color indexed="64"/>
        </bottom>
      </border>
    </dxf>
    <dxf>
      <border>
        <bottom style="thin">
          <color indexed="8"/>
        </bottom>
      </border>
    </dxf>
    <dxf>
      <border>
        <top style="thin">
          <color indexed="8"/>
        </top>
      </border>
    </dxf>
    <dxf>
      <border>
        <top style="thin">
          <color indexed="8"/>
        </top>
      </border>
    </dxf>
    <dxf>
      <border>
        <top style="thin">
          <color indexed="8"/>
        </top>
      </border>
    </dxf>
    <dxf>
      <border>
        <top style="thin">
          <color indexed="8"/>
        </top>
      </border>
    </dxf>
    <dxf>
      <border>
        <bottom style="thin">
          <color indexed="64"/>
        </bottom>
      </border>
    </dxf>
    <dxf>
      <border>
        <bottom style="thin">
          <color indexed="64"/>
        </bottom>
      </border>
    </dxf>
    <dxf>
      <border>
        <top/>
      </border>
    </dxf>
    <dxf>
      <fill>
        <patternFill patternType="solid">
          <bgColor indexed="43"/>
        </patternFill>
      </fill>
    </dxf>
    <dxf>
      <fill>
        <patternFill patternType="solid">
          <bgColor indexed="51"/>
        </patternFill>
      </fill>
    </dxf>
    <dxf>
      <fill>
        <patternFill patternType="solid">
          <bgColor indexed="45"/>
        </patternFill>
      </fill>
    </dxf>
    <dxf>
      <fill>
        <patternFill patternType="solid">
          <bgColor indexed="47"/>
        </patternFill>
      </fill>
    </dxf>
    <dxf>
      <font>
        <b val="0"/>
      </font>
    </dxf>
    <dxf>
      <font>
        <b val="0"/>
      </font>
    </dxf>
    <dxf>
      <border>
        <top style="thin">
          <color indexed="8"/>
        </top>
        <bottom/>
      </border>
    </dxf>
    <dxf>
      <font>
        <b/>
      </font>
    </dxf>
    <dxf>
      <border>
        <top style="thin">
          <color indexed="8"/>
        </top>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numFmt numFmtId="13" formatCode="0%"/>
    </dxf>
    <dxf>
      <numFmt numFmtId="13" formatCode="0%"/>
    </dxf>
    <dxf>
      <numFmt numFmtId="1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medium">
          <color indexed="8"/>
        </bottom>
      </border>
    </dxf>
    <dxf>
      <border>
        <bottom style="medium">
          <color indexed="8"/>
        </bottom>
      </border>
    </dxf>
    <dxf>
      <border>
        <bottom style="medium">
          <color indexed="8"/>
        </bottom>
      </border>
    </dxf>
    <dxf>
      <border>
        <right/>
      </border>
    </dxf>
    <dxf>
      <border>
        <right/>
      </border>
    </dxf>
    <dxf>
      <border>
        <right/>
      </border>
    </dxf>
    <dxf>
      <border>
        <right/>
      </border>
    </dxf>
    <dxf>
      <border>
        <right/>
      </border>
    </dxf>
    <dxf>
      <border>
        <left style="thin">
          <color indexed="64"/>
        </left>
      </border>
    </dxf>
    <dxf>
      <border>
        <left style="thin">
          <color indexed="64"/>
        </left>
      </border>
    </dxf>
    <dxf>
      <border>
        <left style="thin">
          <color indexed="64"/>
        </left>
      </border>
    </dxf>
    <dxf>
      <font>
        <color auto="1"/>
      </font>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border>
        <top style="thin">
          <color indexed="64"/>
        </top>
      </border>
    </dxf>
    <dxf>
      <border>
        <right style="thin">
          <color indexed="64"/>
        </right>
      </border>
    </dxf>
    <dxf>
      <border>
        <left/>
      </border>
    </dxf>
    <dxf>
      <border>
        <left/>
      </border>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font>
    </dxf>
    <dxf>
      <border>
        <bottom style="thin">
          <color indexed="64"/>
        </bottom>
      </border>
    </dxf>
    <dxf>
      <numFmt numFmtId="167" formatCode="0.0%"/>
    </dxf>
    <dxf>
      <numFmt numFmtId="13" formatCode="0%"/>
    </dxf>
    <dxf>
      <numFmt numFmtId="13" formatCode="0%"/>
    </dxf>
    <dxf>
      <numFmt numFmtId="13" formatCode="0%"/>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medium">
          <color indexed="8"/>
        </bottom>
      </border>
    </dxf>
    <dxf>
      <border>
        <bottom style="medium">
          <color indexed="8"/>
        </bottom>
      </border>
    </dxf>
    <dxf>
      <border>
        <bottom style="medium">
          <color indexed="8"/>
        </bottom>
      </border>
    </dxf>
    <dxf>
      <border>
        <right/>
      </border>
    </dxf>
    <dxf>
      <border>
        <right/>
      </border>
    </dxf>
    <dxf>
      <border>
        <right/>
      </border>
    </dxf>
    <dxf>
      <border>
        <right/>
      </border>
    </dxf>
    <dxf>
      <border>
        <right/>
      </border>
    </dxf>
    <dxf>
      <border>
        <left style="thin">
          <color indexed="64"/>
        </left>
      </border>
    </dxf>
    <dxf>
      <border>
        <left style="thin">
          <color indexed="64"/>
        </left>
      </border>
    </dxf>
    <dxf>
      <border>
        <left style="thin">
          <color indexed="64"/>
        </left>
      </border>
    </dxf>
    <dxf>
      <font>
        <color auto="1"/>
      </font>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font>
        <b/>
      </font>
      <numFmt numFmtId="0" formatCode="General"/>
    </dxf>
    <dxf>
      <border>
        <top style="thin">
          <color indexed="64"/>
        </top>
      </border>
    </dxf>
    <dxf>
      <border>
        <right style="thin">
          <color indexed="64"/>
        </right>
      </border>
    </dxf>
    <dxf>
      <border>
        <left/>
      </border>
    </dxf>
    <dxf>
      <border>
        <left/>
      </border>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numFmt numFmtId="168" formatCode="#,##0.0"/>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font>
        <b val="0"/>
      </font>
    </dxf>
    <dxf>
      <font>
        <b val="0"/>
      </font>
    </dxf>
    <dxf>
      <font>
        <b val="0"/>
      </font>
    </dxf>
    <dxf>
      <font>
        <b val="0"/>
      </font>
    </dxf>
    <dxf>
      <font>
        <b val="0"/>
      </font>
    </dxf>
    <dxf>
      <font>
        <b/>
      </font>
    </dxf>
    <dxf>
      <border>
        <bottom style="thin">
          <color indexed="64"/>
        </bottom>
      </border>
    </dxf>
    <dxf>
      <numFmt numFmtId="167" formatCode="0.0%"/>
    </dxf>
    <dxf>
      <numFmt numFmtId="13" formatCode="0%"/>
    </dxf>
    <dxf>
      <numFmt numFmtId="13" formatCode="0%"/>
    </dxf>
    <dxf>
      <numFmt numFmtId="13" formatCode="0%"/>
    </dxf>
    <dxf>
      <font>
        <condense val="0"/>
        <extend val="0"/>
        <color indexed="10"/>
      </font>
    </dxf>
    <dxf>
      <font>
        <condense val="0"/>
        <extend val="0"/>
        <color indexed="10"/>
      </font>
    </dxf>
  </dxfs>
  <tableStyles count="0" defaultTableStyle="TableStyleMedium9" defaultPivotStyle="PivotStyleLight16"/>
  <colors>
    <mruColors>
      <color rgb="FF006600"/>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Exchange/DE2015-16/Summary%20Data/05InstructionTypes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Tables 87-90"/>
      <sheetName val="OLD...Tables"/>
      <sheetName val="NEW...Tables 91-112"/>
      <sheetName val="OLD...Tabs"/>
      <sheetName val="Pivot Table for Data Exchange"/>
      <sheetName val="E-learning credit hours"/>
      <sheetName val="Format for DE pivot"/>
      <sheetName val="Summary Table for Fact Book"/>
      <sheetName val="Pivot Table for Fact Book"/>
      <sheetName val="Format for FB Pivot Tab"/>
    </sheetNames>
    <sheetDataSet>
      <sheetData sheetId="0" refreshError="1"/>
      <sheetData sheetId="1">
        <row r="34">
          <cell r="H34">
            <v>12.04025697835899</v>
          </cell>
          <cell r="M34">
            <v>20.190481134386374</v>
          </cell>
          <cell r="P34">
            <v>6.2820512820512819</v>
          </cell>
        </row>
        <row r="35">
          <cell r="H35">
            <v>16.430934975718635</v>
          </cell>
          <cell r="M35">
            <v>24.921592001674597</v>
          </cell>
          <cell r="P35">
            <v>0</v>
          </cell>
        </row>
        <row r="36">
          <cell r="H36">
            <v>2.6607088149803109</v>
          </cell>
          <cell r="M36">
            <v>10.605668326569315</v>
          </cell>
          <cell r="P36">
            <v>0</v>
          </cell>
        </row>
        <row r="37">
          <cell r="H37">
            <v>17.273667579385407</v>
          </cell>
          <cell r="M37">
            <v>21.426957810348451</v>
          </cell>
          <cell r="P37">
            <v>0</v>
          </cell>
        </row>
        <row r="39">
          <cell r="H39">
            <v>9.7925708822266202</v>
          </cell>
          <cell r="M39">
            <v>19.680026949220213</v>
          </cell>
          <cell r="P39">
            <v>30.916041626609935</v>
          </cell>
        </row>
        <row r="40">
          <cell r="H40">
            <v>13.646225680220676</v>
          </cell>
          <cell r="M40">
            <v>35.398201480710959</v>
          </cell>
          <cell r="P40">
            <v>28.367048437438786</v>
          </cell>
        </row>
        <row r="41">
          <cell r="H41">
            <v>0</v>
          </cell>
          <cell r="M41">
            <v>0</v>
          </cell>
          <cell r="P41">
            <v>0</v>
          </cell>
        </row>
        <row r="42">
          <cell r="H42">
            <v>23.960286509936548</v>
          </cell>
          <cell r="M42">
            <v>16.286658067215171</v>
          </cell>
          <cell r="P42">
            <v>0</v>
          </cell>
        </row>
        <row r="44">
          <cell r="H44">
            <v>11.726077999089027</v>
          </cell>
          <cell r="M44">
            <v>22.468837054291086</v>
          </cell>
          <cell r="P44">
            <v>0</v>
          </cell>
        </row>
        <row r="45">
          <cell r="H45">
            <v>11.845159473850549</v>
          </cell>
          <cell r="M45">
            <v>39.019973611353663</v>
          </cell>
          <cell r="P45">
            <v>0</v>
          </cell>
        </row>
        <row r="46">
          <cell r="H46">
            <v>15.789633706630076</v>
          </cell>
          <cell r="M46">
            <v>25.646618817482487</v>
          </cell>
          <cell r="P46">
            <v>0</v>
          </cell>
        </row>
        <row r="47">
          <cell r="H47">
            <v>7.2157309367464997</v>
          </cell>
          <cell r="M47">
            <v>23.867029918082654</v>
          </cell>
          <cell r="P47">
            <v>0</v>
          </cell>
        </row>
        <row r="49">
          <cell r="H49">
            <v>16.487376553455903</v>
          </cell>
          <cell r="M49">
            <v>25.952378999466248</v>
          </cell>
          <cell r="P49">
            <v>0</v>
          </cell>
        </row>
        <row r="50">
          <cell r="H50">
            <v>13.623079837150959</v>
          </cell>
          <cell r="M50">
            <v>24.098460507836926</v>
          </cell>
          <cell r="P50">
            <v>0</v>
          </cell>
        </row>
        <row r="51">
          <cell r="H51">
            <v>6.2115757912448339</v>
          </cell>
          <cell r="M51">
            <v>28.119210621136947</v>
          </cell>
          <cell r="P51">
            <v>0</v>
          </cell>
        </row>
        <row r="52">
          <cell r="H52">
            <v>11.597427917351109</v>
          </cell>
          <cell r="M52">
            <v>20.525337052533704</v>
          </cell>
          <cell r="P5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Data%20Exchange%20tables\Summary%20Data\05InstructionTypes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usan Lounsbury" refreshedDate="43168.729903472224" createdVersion="6" refreshedVersion="6" minRefreshableVersion="3" recordCount="619" xr:uid="{00000000-000A-0000-FFFF-FFFF03000000}">
  <cacheSource type="worksheet">
    <worksheetSource ref="A6:AG625" sheet="E-learning credit hours" r:id="rId2"/>
  </cacheSource>
  <cacheFields count="74">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numFmtId="0">
      <sharedItems containsMixedTypes="1" containsNumber="1" containsInteger="1" minValue="100654" maxValue="870501"/>
    </cacheField>
    <cacheField name="type" numFmtId="0">
      <sharedItems containsSemiMixedTypes="0" containsString="0" containsNumber="1" containsInteger="1" minValue="1" maxValue="99" count="16">
        <n v="1"/>
        <n v="2"/>
        <n v="3"/>
        <n v="4"/>
        <n v="5"/>
        <n v="6"/>
        <n v="9"/>
        <n v="8"/>
        <n v="10"/>
        <n v="12"/>
        <n v="13"/>
        <n v="15"/>
        <n v="7"/>
        <n v="99"/>
        <n v="14" u="1"/>
        <n v="16" u="1"/>
      </sharedItems>
      <fieldGroup par="70"/>
    </cacheField>
    <cacheField name="OLD-Tot UG SCH Calc" numFmtId="3">
      <sharedItems containsSemiMixedTypes="0" containsString="0" containsNumber="1" minValue="0" maxValue="1513655"/>
    </cacheField>
    <cacheField name="NEW-Tot UG SCH Calc" numFmtId="3">
      <sharedItems containsSemiMixedTypes="0" containsString="0" containsNumber="1" minValue="0" maxValue="1456840"/>
    </cacheField>
    <cacheField name="Old-UG OnC Trad" numFmtId="3">
      <sharedItems containsString="0" containsBlank="1" containsNumber="1" minValue="0" maxValue="1385524"/>
    </cacheField>
    <cacheField name="New-UG OnC Trad" numFmtId="0">
      <sharedItems containsString="0" containsBlank="1" containsNumber="1" minValue="0" maxValue="1330018"/>
    </cacheField>
    <cacheField name="Old-UG OffC Trad" numFmtId="3">
      <sharedItems containsBlank="1" containsMixedTypes="1" containsNumber="1" minValue="0" maxValue="273421"/>
    </cacheField>
    <cacheField name="New-UG OffC Trad" numFmtId="0">
      <sharedItems containsString="0" containsBlank="1" containsNumber="1" minValue="0" maxValue="273162"/>
    </cacheField>
    <cacheField name="Old-UG EL Web" numFmtId="3">
      <sharedItems containsString="0" containsBlank="1" containsNumber="1" minValue="0" maxValue="555847"/>
    </cacheField>
    <cacheField name="Old-UG EL CV" numFmtId="3">
      <sharedItems containsString="0" containsBlank="1" containsNumber="1" containsInteger="1" minValue="0" maxValue="25747"/>
    </cacheField>
    <cacheField name="Old-UG EL O" numFmtId="3">
      <sharedItems containsBlank="1" containsMixedTypes="1" containsNumber="1" containsInteger="1" minValue="0" maxValue="66438"/>
    </cacheField>
    <cacheField name="New-UG EL Web" numFmtId="0">
      <sharedItems containsString="0" containsBlank="1" containsNumber="1" minValue="0" maxValue="648941"/>
    </cacheField>
    <cacheField name="New-UG EL CV" numFmtId="0">
      <sharedItems containsString="0" containsBlank="1" containsNumber="1" containsInteger="1" minValue="0" maxValue="22267"/>
    </cacheField>
    <cacheField name="New-UG EL O" numFmtId="0">
      <sharedItems containsString="0" containsBlank="1" containsNumber="1" containsInteger="1" minValue="0" maxValue="68683"/>
    </cacheField>
    <cacheField name="Old-UG Cor" numFmtId="3">
      <sharedItems containsString="0" containsBlank="1" containsNumber="1" containsInteger="1" minValue="0" maxValue="4680"/>
    </cacheField>
    <cacheField name="New-UG Cor" numFmtId="3">
      <sharedItems containsString="0" containsBlank="1" containsNumber="1" containsInteger="1" minValue="0" maxValue="4323"/>
    </cacheField>
    <cacheField name="Old-Tot G SCH Calc" numFmtId="3">
      <sharedItems containsSemiMixedTypes="0" containsString="0" containsNumber="1" minValue="0" maxValue="336017"/>
    </cacheField>
    <cacheField name="New-Tot G SCH Calc" numFmtId="3">
      <sharedItems containsSemiMixedTypes="0" containsString="0" containsNumber="1" minValue="0" maxValue="341614"/>
    </cacheField>
    <cacheField name="Old-G OnC Trad" numFmtId="3">
      <sharedItems containsString="0" containsBlank="1" containsNumber="1" minValue="0" maxValue="248494"/>
    </cacheField>
    <cacheField name="New-G OnC Trad" numFmtId="0">
      <sharedItems containsString="0" containsBlank="1" containsNumber="1" minValue="0" maxValue="242177"/>
    </cacheField>
    <cacheField name="Old-G OffC Trad" numFmtId="3">
      <sharedItems containsString="0" containsBlank="1" containsNumber="1" minValue="0" maxValue="39367"/>
    </cacheField>
    <cacheField name="New-G OffC Trad" numFmtId="3">
      <sharedItems containsString="0" containsBlank="1" containsNumber="1" minValue="0" maxValue="38697"/>
    </cacheField>
    <cacheField name="Old-G EL Web" numFmtId="3">
      <sharedItems containsString="0" containsBlank="1" containsNumber="1" minValue="0" maxValue="170324"/>
    </cacheField>
    <cacheField name="Old-G EL CV" numFmtId="3">
      <sharedItems containsBlank="1" containsMixedTypes="1" containsNumber="1" minValue="0" maxValue="11030"/>
    </cacheField>
    <cacheField name="Old-G EL O" numFmtId="3">
      <sharedItems containsString="0" containsBlank="1" containsNumber="1" containsInteger="1" minValue="0" maxValue="7062"/>
    </cacheField>
    <cacheField name="New-G EL Web" numFmtId="0">
      <sharedItems containsString="0" containsBlank="1" containsNumber="1" minValue="0" maxValue="176179"/>
    </cacheField>
    <cacheField name="New-G EL CV" numFmtId="0">
      <sharedItems containsBlank="1" containsMixedTypes="1" containsNumber="1" containsInteger="1" minValue="0" maxValue="12483"/>
    </cacheField>
    <cacheField name="New-G EL O" numFmtId="0">
      <sharedItems containsString="0" containsBlank="1" containsNumber="1" containsInteger="1" minValue="0" maxValue="10180"/>
    </cacheField>
    <cacheField name="Old-G Cor" numFmtId="3">
      <sharedItems containsString="0" containsBlank="1" containsNumber="1" containsInteger="1" minValue="0" maxValue="4435" count="16">
        <m/>
        <n v="0"/>
        <n v="546"/>
        <n v="6"/>
        <n v="3"/>
        <n v="37"/>
        <n v="117"/>
        <n v="352"/>
        <n v="4435"/>
        <n v="2553"/>
        <n v="1276"/>
        <n v="28"/>
        <n v="2297"/>
        <n v="1765"/>
        <n v="878"/>
        <n v="267"/>
      </sharedItems>
    </cacheField>
    <cacheField name="New-G Cor" numFmtId="3">
      <sharedItems containsString="0" containsBlank="1" containsNumber="1" containsInteger="1" minValue="0" maxValue="3735" count="18">
        <m/>
        <n v="0"/>
        <n v="360"/>
        <n v="33"/>
        <n v="240"/>
        <n v="457"/>
        <n v="12"/>
        <n v="84"/>
        <n v="381"/>
        <n v="3735"/>
        <n v="2694"/>
        <n v="989"/>
        <n v="5"/>
        <n v="2298"/>
        <n v="1722"/>
        <n v="1152"/>
        <n v="409"/>
        <n v="6"/>
      </sharedItems>
    </cacheField>
    <cacheField name="New %G OnC Trad" numFmtId="0" formula="IF('New-Tot G SCH Calc'&gt;0,'New-G OnC Trad'/'New-Tot G SCH Calc',)" databaseField="0"/>
    <cacheField name="New %G OffC Trad" numFmtId="0" formula="IF('New-Tot G SCH Calc'&gt;0,'New-G OffC Trad'/'New-Tot G SCH Calc',)" databaseField="0"/>
    <cacheField name="Old %UG EL Web" numFmtId="0" formula="IF('OLD-Tot UG SCH Calc'&gt;0,'Old-UG EL Web'/'OLD-Tot UG SCH Calc',)" databaseField="0"/>
    <cacheField name="New %UG EL Web" numFmtId="0" formula="IF('NEW-Tot UG SCH Calc'&gt;0,'New-UG EL Web'/'NEW-Tot UG SCH Calc',)" databaseField="0"/>
    <cacheField name="New %G EL Web" numFmtId="0" formula="IF('New-Tot G SCH Calc'&gt;0,'New-G EL Web'/'New-Tot G SCH Calc',)" databaseField="0"/>
    <cacheField name="Old %G EL Web" numFmtId="0" formula="IF('Old-Tot G SCH Calc'&gt;0,'Old-G EL Web'/'Old-Tot G SCH Calc',)" databaseField="0"/>
    <cacheField name="Old %G EL CV" numFmtId="0" formula="IF('Old-Tot G SCH Calc'&gt;0,'Old-G EL CV'/'Old-Tot G SCH Calc',)" databaseField="0"/>
    <cacheField name="New %G EL CV" numFmtId="0" formula="IF('New-Tot G SCH Calc'&gt;0,'New-G EL CV'/'New-Tot G SCH Calc',)" databaseField="0"/>
    <cacheField name="New %UG EL CV" numFmtId="0" formula="IF('NEW-Tot UG SCH Calc'&gt;0,'New-UG EL CV'/'NEW-Tot UG SCH Calc',)" databaseField="0"/>
    <cacheField name="Old %UG EL CV" numFmtId="0" formula="IF('OLD-Tot UG SCH Calc'&gt;0,'Old-UG EL CV'/'OLD-Tot UG SCH Calc',)" databaseField="0"/>
    <cacheField name="Old %UG EL O" numFmtId="0" formula="IF('OLD-Tot UG SCH Calc'&gt;0,'Old-UG EL O'/'OLD-Tot UG SCH Calc',)" databaseField="0"/>
    <cacheField name="New %UG EL O" numFmtId="0" formula="IF('NEW-Tot UG SCH Calc'&gt;0,'New-UG EL O'/'NEW-Tot UG SCH Calc',)" databaseField="0"/>
    <cacheField name="New %G EL O" numFmtId="0" formula="IF('New-Tot G SCH Calc'&gt;0,'New-G EL O'/'New-Tot G SCH Calc',)" databaseField="0"/>
    <cacheField name="Old %G EL O" numFmtId="0" formula="IF('Old-Tot G SCH Calc'&gt;0,'Old-G EL O'/'Old-Tot G SCH Calc',)" databaseField="0"/>
    <cacheField name="Old %G Cor" numFmtId="0" formula="IF('Old-Tot G SCH Calc'&gt;0,'Old-G Cor'/'Old-Tot G SCH Calc',)" databaseField="0"/>
    <cacheField name="New %G Cor" numFmtId="0" formula="IF('New-Tot G SCH Calc'&gt;0,'New-G Cor'/'New-Tot G SCH Calc',)" databaseField="0"/>
    <cacheField name="New %UG Cor" numFmtId="0" formula="IF('NEW-Tot UG SCH Calc'&gt;0,'New-UG Cor'/'NEW-Tot UG SCH Calc',)" databaseField="0"/>
    <cacheField name="Old %UG Cor" numFmtId="0" formula="IF('OLD-Tot UG SCH Calc'&gt;0,'Old-UG Cor'/'OLD-Tot UG SCH Calc',)" databaseField="0"/>
    <cacheField name="Change %UG OnC Trad" numFmtId="0" formula="IF('Old %UG OnC Trad'&gt;0,('New %UG OnC Trad'-'Old %UG OnC Trad'),)*100" databaseField="0"/>
    <cacheField name="Change %G OnC Trad" numFmtId="0" formula="IF('Old %G OnC Trad'&gt;0,('New %G OnC Trad'-'Old %G OnC Trad'),)*100" databaseField="0"/>
    <cacheField name="Change %G OffC Trad" numFmtId="0" formula="IF('Old %G OffC Trad'&gt;0,('New %G OffC Trad'-'Old %G OffC Trad'),)*100" databaseField="0"/>
    <cacheField name="Change %UG OffC Trad" numFmtId="0" formula="IF('Old %UG OffC Trad'&gt;0,('New %UG OffC Trad'-'Old %UG OffC Trad'),)*100" databaseField="0"/>
    <cacheField name="Change %UG EL Web" numFmtId="0" formula="IF('Old %UG EL Web'&gt;0,('New %UG EL Web'-'Old %UG EL Web'),)*100" databaseField="0"/>
    <cacheField name="Change %G EL Web" numFmtId="0" formula="IF('Old %G EL Web'&gt;0,('New %G EL Web'-'Old %G EL Web'),)*100" databaseField="0"/>
    <cacheField name="Change %G EL CV" numFmtId="0" formula="IF('Old %G EL CV'&gt;0,('New %G EL CV'-'Old %G EL CV'),)*100" databaseField="0"/>
    <cacheField name="Change %UG EL CV" numFmtId="0" formula="IF('Old %UG EL CV'&gt;0,('New %UG EL CV'-'Old %UG EL CV'),)*100" databaseField="0"/>
    <cacheField name="Change %UG EL O" numFmtId="0" formula="IF('Old %UG EL O'&gt;0,('New %UG EL O'-'Old %UG EL O'),)*100" databaseField="0"/>
    <cacheField name="Change %G EL O" numFmtId="0" formula="IF('Old %G EL O'&gt;0,('New %G EL O'-'Old %G EL O'),)*100" databaseField="0"/>
    <cacheField name="Change %G Cor" numFmtId="0" formula="IF('Old %G Cor'&gt;0,('New %G Cor'-'Old %G Cor'),)*100" databaseField="0"/>
    <cacheField name="Change %UG Cor" numFmtId="0" formula="IF('Old %UG Cor'&gt;0,('New %UG Cor'-'Old %UG Cor'),)*100" databaseField="0"/>
    <cacheField name="Old UG E-Learning" numFmtId="0" formula="'Old-UG EL Web'+'Old-UG EL CV'+'Old-UG EL O'" databaseField="0"/>
    <cacheField name="Old G E-Learning" numFmtId="0" formula="'Old-G EL Web'+'Old-G EL CV'+'Old-G EL O'" databaseField="0"/>
    <cacheField name="New UG E-Learning" numFmtId="0" formula="'New-UG EL Web'+'New-UG EL CV'+'New-UG EL O'" databaseField="0"/>
    <cacheField name="New G E-Learning" numFmtId="0" formula="'New-G EL Web'+'New-G EL CV'+'New-G EL O'" databaseField="0"/>
    <cacheField name="New %UG OffC Trad" numFmtId="0" formula="IF('NEW-Tot UG SCH Calc'&gt;0,'New-UG OffC Trad'/'NEW-Tot UG SCH Calc',)" databaseField="0"/>
    <cacheField name="New %UG OnC Trad" numFmtId="0" formula="IF('NEW-Tot UG SCH Calc'&gt;0,'New-UG OnC Trad'/'NEW-Tot UG SCH Calc',)" databaseField="0"/>
    <cacheField name="Old %UG OnC Trad" numFmtId="0" formula="IF('OLD-Tot UG SCH Calc'&gt;0,'Old-UG OnC Trad'/'OLD-Tot UG SCH Calc',)" databaseField="0"/>
    <cacheField name="type2" numFmtId="0" databaseField="0">
      <fieldGroup base="4">
        <discretePr count="16">
          <x v="3"/>
          <x v="3"/>
          <x v="3"/>
          <x v="3"/>
          <x v="3"/>
          <x v="3"/>
          <x v="4"/>
          <x v="4"/>
          <x v="4"/>
          <x v="5"/>
          <x v="5"/>
          <x v="3"/>
          <x v="4"/>
          <x v="0"/>
          <x v="1"/>
          <x v="2"/>
        </discretePr>
        <groupItems count="6">
          <n v="99"/>
          <n v="14"/>
          <n v="16"/>
          <s v="Group1"/>
          <s v="Group2"/>
          <s v="Group3"/>
        </groupItems>
      </fieldGroup>
    </cacheField>
    <cacheField name="Old %G OnC Trad" numFmtId="0" formula="IF('Old-Tot G SCH Calc'&gt;0,'Old-G OnC Trad'/'Old-Tot G SCH Calc',)" databaseField="0"/>
    <cacheField name="Old %G OffC Trad" numFmtId="0" formula="IF('Old-Tot G SCH Calc'&gt;0,'Old-G OffC Trad'/'Old-Tot G SCH Calc',)" databaseField="0"/>
    <cacheField name="Old %UG OffC Trad" numFmtId="0" formula="IF('OLD-Tot UG SCH Calc'&gt;0,'Old-UG OffC Trad'/'OLD-Tot UG SCH Calc',)"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hristiana Datubo-Brown" refreshedDate="43174.678230902777" createdVersion="6" refreshedVersion="6" minRefreshableVersion="3" recordCount="646" xr:uid="{2F781ED7-C105-45AF-B006-B29FEE4DD285}">
  <cacheSource type="worksheet">
    <worksheetSource ref="A6:AG652" sheet="05InstructionTypes"/>
  </cacheSource>
  <cacheFields count="74">
    <cacheField name="State" numFmtId="0">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numFmtId="0">
      <sharedItems containsMixedTypes="1" containsNumber="1" containsInteger="1" minValue="100654" maxValue="870501"/>
    </cacheField>
    <cacheField name="type" numFmtId="0">
      <sharedItems containsSemiMixedTypes="0" containsString="0" containsNumber="1" containsInteger="1" minValue="1" maxValue="99" count="16">
        <n v="1"/>
        <n v="2"/>
        <n v="3"/>
        <n v="4"/>
        <n v="5"/>
        <n v="6"/>
        <n v="8"/>
        <n v="9"/>
        <n v="10"/>
        <n v="12"/>
        <n v="13"/>
        <n v="15"/>
        <n v="7"/>
        <n v="99"/>
        <n v="14"/>
        <n v="16" u="1"/>
      </sharedItems>
      <fieldGroup par="70"/>
    </cacheField>
    <cacheField name="OLD-Tot UG SCH Calc" numFmtId="3">
      <sharedItems containsString="0" containsBlank="1" containsNumber="1" minValue="0" maxValue="1456840"/>
    </cacheField>
    <cacheField name="NEW-Tot UG SCH Calc" numFmtId="0">
      <sharedItems containsString="0" containsBlank="1" containsNumber="1" minValue="0" maxValue="1364503"/>
    </cacheField>
    <cacheField name="Old-UG OnC Trad" numFmtId="0">
      <sharedItems containsString="0" containsBlank="1" containsNumber="1" minValue="0" maxValue="1330018"/>
    </cacheField>
    <cacheField name="New-UG OnC Trad" numFmtId="0">
      <sharedItems containsString="0" containsBlank="1" containsNumber="1" minValue="0" maxValue="1231286"/>
    </cacheField>
    <cacheField name="Old-UG OffC Trad" numFmtId="0">
      <sharedItems containsString="0" containsBlank="1" containsNumber="1" minValue="0" maxValue="273162"/>
    </cacheField>
    <cacheField name="New-UG OffC Trad" numFmtId="0">
      <sharedItems containsString="0" containsBlank="1" containsNumber="1" minValue="0" maxValue="263569"/>
    </cacheField>
    <cacheField name="Old-UG EL Web" numFmtId="0">
      <sharedItems containsString="0" containsBlank="1" containsNumber="1" minValue="0" maxValue="648941"/>
    </cacheField>
    <cacheField name="Old-UG EL CV" numFmtId="0">
      <sharedItems containsString="0" containsBlank="1" containsNumber="1" containsInteger="1" minValue="0" maxValue="22267"/>
    </cacheField>
    <cacheField name="Old-UG EL O" numFmtId="0">
      <sharedItems containsString="0" containsBlank="1" containsNumber="1" containsInteger="1" minValue="0" maxValue="68683"/>
    </cacheField>
    <cacheField name="New-UG EL Web" numFmtId="0">
      <sharedItems containsString="0" containsBlank="1" containsNumber="1" minValue="0" maxValue="725172"/>
    </cacheField>
    <cacheField name="New-UG EL CV" numFmtId="0">
      <sharedItems containsString="0" containsBlank="1" containsNumber="1" containsInteger="1" minValue="0" maxValue="27135"/>
    </cacheField>
    <cacheField name="New-UG EL O" numFmtId="0">
      <sharedItems containsString="0" containsBlank="1" containsNumber="1" containsInteger="1" minValue="0" maxValue="66968"/>
    </cacheField>
    <cacheField name="Old-UG Cor" numFmtId="0">
      <sharedItems containsString="0" containsBlank="1" containsNumber="1" containsInteger="1" minValue="0" maxValue="4323"/>
    </cacheField>
    <cacheField name="New-UG Cor" numFmtId="0">
      <sharedItems containsString="0" containsBlank="1" containsNumber="1" containsInteger="1" minValue="0" maxValue="3855"/>
    </cacheField>
    <cacheField name="Old-Tot G SCH Calc" numFmtId="0">
      <sharedItems containsString="0" containsBlank="1" containsNumber="1" minValue="0" maxValue="341614"/>
    </cacheField>
    <cacheField name="New-Tot G SCH Calc" numFmtId="0">
      <sharedItems containsString="0" containsBlank="1" containsNumber="1" minValue="0" maxValue="353542"/>
    </cacheField>
    <cacheField name="Old-G OnC Trad" numFmtId="0">
      <sharedItems containsString="0" containsBlank="1" containsNumber="1" minValue="0" maxValue="242177"/>
    </cacheField>
    <cacheField name="New-G OnC Trad" numFmtId="0">
      <sharedItems containsString="0" containsBlank="1" containsNumber="1" minValue="0" maxValue="245949"/>
    </cacheField>
    <cacheField name="Old-G OffC Trad" numFmtId="0">
      <sharedItems containsString="0" containsBlank="1" containsNumber="1" minValue="0" maxValue="38697"/>
    </cacheField>
    <cacheField name="New-G OffC Trad" numFmtId="0">
      <sharedItems containsString="0" containsBlank="1" containsNumber="1" minValue="0" maxValue="72570.5"/>
    </cacheField>
    <cacheField name="Old-G EL Web" numFmtId="0">
      <sharedItems containsString="0" containsBlank="1" containsNumber="1" minValue="0" maxValue="176179"/>
    </cacheField>
    <cacheField name="Old-G EL CV" numFmtId="0">
      <sharedItems containsBlank="1" containsMixedTypes="1" containsNumber="1" containsInteger="1" minValue="0" maxValue="12483"/>
    </cacheField>
    <cacheField name="Old-G EL O" numFmtId="0">
      <sharedItems containsString="0" containsBlank="1" containsNumber="1" containsInteger="1" minValue="0" maxValue="10180"/>
    </cacheField>
    <cacheField name="New-G EL Web" numFmtId="0">
      <sharedItems containsString="0" containsBlank="1" containsNumber="1" minValue="0" maxValue="185950"/>
    </cacheField>
    <cacheField name="New-G EL CV" numFmtId="0">
      <sharedItems containsString="0" containsBlank="1" containsNumber="1" containsInteger="1" minValue="0" maxValue="11237"/>
    </cacheField>
    <cacheField name="New-G EL O" numFmtId="0">
      <sharedItems containsString="0" containsBlank="1" containsNumber="1" containsInteger="1" minValue="0" maxValue="6651"/>
    </cacheField>
    <cacheField name="Old-G Cor" numFmtId="0">
      <sharedItems containsString="0" containsBlank="1" containsNumber="1" containsInteger="1" minValue="0" maxValue="3735"/>
    </cacheField>
    <cacheField name="New-G Cor" numFmtId="0">
      <sharedItems containsString="0" containsBlank="1" containsNumber="1" containsInteger="1" minValue="0" maxValue="3349"/>
    </cacheField>
    <cacheField name="New %G OnC Trad" numFmtId="0" formula="IF('New-Tot G SCH Calc'&gt;0,'New-G OnC Trad'/'New-Tot G SCH Calc',)" databaseField="0"/>
    <cacheField name="New %G OffC Trad" numFmtId="0" formula="IF('New-Tot G SCH Calc'&gt;0,'New-G OffC Trad'/'New-Tot G SCH Calc',)" databaseField="0"/>
    <cacheField name="Old %UG EL Web" numFmtId="0" formula="IF('OLD-Tot UG SCH Calc'&gt;0,'Old-UG EL Web'/'OLD-Tot UG SCH Calc',)" databaseField="0"/>
    <cacheField name="New %UG EL Web" numFmtId="0" formula="IF('NEW-Tot UG SCH Calc'&gt;0,'New-UG EL Web'/'NEW-Tot UG SCH Calc',)" databaseField="0"/>
    <cacheField name="New %G EL Web" numFmtId="0" formula="IF('New-Tot G SCH Calc'&gt;0,'New-G EL Web'/'New-Tot G SCH Calc',)" databaseField="0"/>
    <cacheField name="Old %G EL Web" numFmtId="0" formula="IF('Old-Tot G SCH Calc'&gt;0,'Old-G EL Web'/'Old-Tot G SCH Calc',)" databaseField="0"/>
    <cacheField name="Old %G EL CV" numFmtId="0" formula="IF('Old-Tot G SCH Calc'&gt;0,'Old-G EL CV'/'Old-Tot G SCH Calc',)" databaseField="0"/>
    <cacheField name="New %G EL CV" numFmtId="0" formula="IF('New-Tot G SCH Calc'&gt;0,'New-G EL CV'/'New-Tot G SCH Calc',)" databaseField="0"/>
    <cacheField name="New %UG EL CV" numFmtId="0" formula="IF('NEW-Tot UG SCH Calc'&gt;0,'New-UG EL CV'/'NEW-Tot UG SCH Calc',)" databaseField="0"/>
    <cacheField name="Old %UG EL CV" numFmtId="0" formula="IF('OLD-Tot UG SCH Calc'&gt;0,'Old-UG EL CV'/'OLD-Tot UG SCH Calc',)" databaseField="0"/>
    <cacheField name="Old %UG EL O" numFmtId="0" formula="IF('OLD-Tot UG SCH Calc'&gt;0,'Old-UG EL O'/'OLD-Tot UG SCH Calc',)" databaseField="0"/>
    <cacheField name="New %UG EL O" numFmtId="0" formula="IF('NEW-Tot UG SCH Calc'&gt;0,'New-UG EL O'/'NEW-Tot UG SCH Calc',)" databaseField="0"/>
    <cacheField name="New %G EL O" numFmtId="0" formula="IF('New-Tot G SCH Calc'&gt;0,'New-G EL O'/'New-Tot G SCH Calc',)" databaseField="0"/>
    <cacheField name="Old %G EL O" numFmtId="0" formula="IF('Old-Tot G SCH Calc'&gt;0,'Old-G EL O'/'Old-Tot G SCH Calc',)" databaseField="0"/>
    <cacheField name="Old %G Cor" numFmtId="0" formula="IF('Old-Tot G SCH Calc'&gt;0,'Old-G Cor'/'Old-Tot G SCH Calc',)" databaseField="0"/>
    <cacheField name="New %G Cor" numFmtId="0" formula="IF('New-Tot G SCH Calc'&gt;0,'New-G Cor'/'New-Tot G SCH Calc',)" databaseField="0"/>
    <cacheField name="New %UG Cor" numFmtId="0" formula="IF('NEW-Tot UG SCH Calc'&gt;0,'New-UG Cor'/'NEW-Tot UG SCH Calc',)" databaseField="0"/>
    <cacheField name="Old %UG Cor" numFmtId="0" formula="IF('OLD-Tot UG SCH Calc'&gt;0,'Old-UG Cor'/'OLD-Tot UG SCH Calc',)" databaseField="0"/>
    <cacheField name="Change %UG OnC Trad" numFmtId="0" formula="IF('Old %UG OnC Trad'&gt;0,('New %UG OnC Trad'-'Old %UG OnC Trad'),)*100" databaseField="0"/>
    <cacheField name="Change %G OnC Trad" numFmtId="0" formula="IF('Old %G OnC Trad'&gt;0,('New %G OnC Trad'-'Old %G OnC Trad'),)*100" databaseField="0"/>
    <cacheField name="Change %G OffC Trad" numFmtId="0" formula="IF('Old %G OffC Trad'&gt;0,('New %G OffC Trad'-'Old %G OffC Trad'),)*100" databaseField="0"/>
    <cacheField name="Change %UG OffC Trad" numFmtId="0" formula="IF('Old %UG OffC Trad'&gt;0,('New %UG OffC Trad'-'Old %UG OffC Trad'),)*100" databaseField="0"/>
    <cacheField name="Change %UG EL Web" numFmtId="0" formula="IF('Old %UG EL Web'&gt;0,('New %UG EL Web'-'Old %UG EL Web'),)*100" databaseField="0"/>
    <cacheField name="Change %G EL Web" numFmtId="0" formula="IF('Old %G EL Web'&gt;0,('New %G EL Web'-'Old %G EL Web'),)*100" databaseField="0"/>
    <cacheField name="Change %G EL CV" numFmtId="0" formula="IF('Old %G EL CV'&gt;0,('New %G EL CV'-'Old %G EL CV'),)*100" databaseField="0"/>
    <cacheField name="Change %UG EL CV" numFmtId="0" formula="IF('Old %UG EL CV'&gt;0,('New %UG EL CV'-'Old %UG EL CV'),)*100" databaseField="0"/>
    <cacheField name="Change %UG EL O" numFmtId="0" formula="IF('Old %UG EL O'&gt;0,('New %UG EL O'-'Old %UG EL O'),)*100" databaseField="0"/>
    <cacheField name="Change %G EL O" numFmtId="0" formula="IF('Old %G EL O'&gt;0,('New %G EL O'-'Old %G EL O'),)*100" databaseField="0"/>
    <cacheField name="Change %G Cor" numFmtId="0" formula="IF('Old %G Cor'&gt;0,('New %G Cor'-'Old %G Cor'),)*100" databaseField="0"/>
    <cacheField name="Change %UG Cor" numFmtId="0" formula="IF('Old %UG Cor'&gt;0,('New %UG Cor'-'Old %UG Cor'),)*100" databaseField="0"/>
    <cacheField name="Old UG E-Learning" numFmtId="0" formula="'Old-UG EL Web'+'Old-UG EL CV'+'Old-UG EL O'" databaseField="0"/>
    <cacheField name="Old G E-Learning" numFmtId="0" formula="'Old-G EL Web'+'Old-G EL CV'+'Old-G EL O'" databaseField="0"/>
    <cacheField name="New UG E-Learning" numFmtId="0" formula="'New-UG EL Web'+'New-UG EL CV'+'New-UG EL O'" databaseField="0"/>
    <cacheField name="New G E-Learning" numFmtId="0" formula="'New-G EL Web'+'New-G EL CV'+'New-G EL O'" databaseField="0"/>
    <cacheField name="New %UG OffC Trad" numFmtId="0" formula="IF('NEW-Tot UG SCH Calc'&gt;0,'New-UG OffC Trad'/'NEW-Tot UG SCH Calc',)" databaseField="0"/>
    <cacheField name="New %UG OnC Trad" numFmtId="0" formula="IF('NEW-Tot UG SCH Calc'&gt;0,'New-UG OnC Trad'/'NEW-Tot UG SCH Calc',)" databaseField="0"/>
    <cacheField name="Old %UG OnC Trad" numFmtId="0" formula="IF('OLD-Tot UG SCH Calc'&gt;0,'Old-UG OnC Trad'/'OLD-Tot UG SCH Calc',)" databaseField="0"/>
    <cacheField name="type2" numFmtId="0" databaseField="0">
      <fieldGroup base="4">
        <discretePr count="16">
          <x v="3"/>
          <x v="3"/>
          <x v="3"/>
          <x v="3"/>
          <x v="3"/>
          <x v="3"/>
          <x v="4"/>
          <x v="4"/>
          <x v="4"/>
          <x v="5"/>
          <x v="5"/>
          <x v="3"/>
          <x v="4"/>
          <x v="0"/>
          <x v="1"/>
          <x v="2"/>
        </discretePr>
        <groupItems count="6">
          <n v="99"/>
          <n v="14"/>
          <n v="16"/>
          <s v="Group1"/>
          <s v="Group2"/>
          <s v="Group3"/>
        </groupItems>
      </fieldGroup>
    </cacheField>
    <cacheField name="Old %G OnC Trad" numFmtId="0" formula="IF('Old-Tot G SCH Calc'&gt;0,'Old-G OnC Trad'/'Old-Tot G SCH Calc',)" databaseField="0"/>
    <cacheField name="Old %G OffC Trad" numFmtId="0" formula="IF('Old-Tot G SCH Calc'&gt;0,'Old-G OffC Trad'/'Old-Tot G SCH Calc',)" databaseField="0"/>
    <cacheField name="Old %UG OffC Trad" numFmtId="0" formula="IF('OLD-Tot UG SCH Calc'&gt;0,'Old-UG OffC Trad'/'OLD-Tot UG SCH Calc',)"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19">
  <r>
    <x v="0"/>
    <s v="Auburn University"/>
    <m/>
    <n v="100858"/>
    <x v="0"/>
    <n v="592715"/>
    <n v="622670"/>
    <n v="571694"/>
    <n v="593877"/>
    <m/>
    <m/>
    <n v="21021"/>
    <m/>
    <m/>
    <n v="28793"/>
    <m/>
    <m/>
    <m/>
    <m/>
    <n v="98025"/>
    <n v="101550"/>
    <n v="81292"/>
    <n v="80421"/>
    <n v="2274"/>
    <n v="2146"/>
    <n v="14459"/>
    <m/>
    <m/>
    <n v="18983"/>
    <m/>
    <m/>
    <x v="0"/>
    <x v="0"/>
  </r>
  <r>
    <x v="0"/>
    <s v="University of Alabama "/>
    <m/>
    <n v="100751"/>
    <x v="0"/>
    <n v="851688"/>
    <n v="884462"/>
    <n v="779628"/>
    <n v="807113"/>
    <n v="377"/>
    <n v="367"/>
    <n v="71092"/>
    <n v="591"/>
    <m/>
    <n v="76177"/>
    <n v="805"/>
    <m/>
    <m/>
    <m/>
    <n v="95376"/>
    <n v="97041"/>
    <n v="75698"/>
    <n v="76279"/>
    <n v="3232"/>
    <n v="3194"/>
    <n v="16107"/>
    <n v="339"/>
    <m/>
    <n v="17271"/>
    <n v="297"/>
    <m/>
    <x v="0"/>
    <x v="0"/>
  </r>
  <r>
    <x v="0"/>
    <s v="University of Alabama at Birmingham"/>
    <m/>
    <n v="100663"/>
    <x v="1"/>
    <n v="265514"/>
    <n v="262982.5"/>
    <n v="211042"/>
    <n v="202197.5"/>
    <n v="138"/>
    <n v="161"/>
    <n v="54232"/>
    <n v="102"/>
    <m/>
    <n v="60552"/>
    <n v="72"/>
    <n v="0"/>
    <m/>
    <m/>
    <n v="44293"/>
    <n v="43148"/>
    <n v="29061"/>
    <n v="28916"/>
    <n v="1918"/>
    <n v="233"/>
    <n v="13097"/>
    <n v="217"/>
    <m/>
    <n v="13870"/>
    <n v="129"/>
    <m/>
    <x v="0"/>
    <x v="0"/>
  </r>
  <r>
    <x v="0"/>
    <s v="University of Alabama in Huntsville"/>
    <m/>
    <n v="100706"/>
    <x v="1"/>
    <n v="145893"/>
    <n v="154043"/>
    <n v="142452"/>
    <n v="150879"/>
    <m/>
    <m/>
    <n v="3441"/>
    <m/>
    <m/>
    <n v="3164"/>
    <m/>
    <m/>
    <m/>
    <m/>
    <n v="25297"/>
    <n v="27416"/>
    <n v="20850"/>
    <n v="21672"/>
    <m/>
    <m/>
    <n v="4447"/>
    <m/>
    <m/>
    <n v="5744"/>
    <m/>
    <m/>
    <x v="0"/>
    <x v="0"/>
  </r>
  <r>
    <x v="0"/>
    <s v="Alabama Agricultural &amp; Mechanical University"/>
    <m/>
    <n v="100654"/>
    <x v="2"/>
    <n v="114052"/>
    <n v="112060"/>
    <n v="109398"/>
    <n v="106477"/>
    <m/>
    <m/>
    <n v="4654"/>
    <m/>
    <m/>
    <n v="5583"/>
    <m/>
    <m/>
    <m/>
    <m/>
    <n v="19870"/>
    <n v="20175"/>
    <n v="19327"/>
    <n v="19218"/>
    <m/>
    <m/>
    <n v="543"/>
    <m/>
    <m/>
    <n v="957"/>
    <m/>
    <m/>
    <x v="0"/>
    <x v="0"/>
  </r>
  <r>
    <x v="0"/>
    <s v="Jacksonville State University "/>
    <m/>
    <n v="101480"/>
    <x v="2"/>
    <n v="194584"/>
    <n v="187565"/>
    <n v="153032"/>
    <n v="143892"/>
    <n v="2890"/>
    <n v="2823"/>
    <n v="36841"/>
    <n v="1821"/>
    <m/>
    <n v="39227"/>
    <n v="1623"/>
    <m/>
    <m/>
    <m/>
    <n v="15877"/>
    <n v="14781"/>
    <n v="4233"/>
    <n v="4174"/>
    <m/>
    <m/>
    <n v="11644"/>
    <m/>
    <m/>
    <n v="10589"/>
    <n v="18"/>
    <m/>
    <x v="0"/>
    <x v="0"/>
  </r>
  <r>
    <x v="0"/>
    <s v="Troy University"/>
    <m/>
    <n v="102368"/>
    <x v="2"/>
    <n v="268959"/>
    <n v="263960"/>
    <n v="203995"/>
    <n v="202127"/>
    <n v="448"/>
    <n v="57"/>
    <n v="64060"/>
    <m/>
    <n v="456"/>
    <n v="59535"/>
    <n v="0"/>
    <n v="2241"/>
    <m/>
    <m/>
    <n v="36287"/>
    <n v="35195"/>
    <n v="22908"/>
    <n v="22482"/>
    <n v="51"/>
    <n v="39"/>
    <n v="13208"/>
    <m/>
    <n v="120"/>
    <n v="12326"/>
    <n v="0"/>
    <n v="348"/>
    <x v="0"/>
    <x v="0"/>
  </r>
  <r>
    <x v="0"/>
    <s v="University of South Alabama"/>
    <m/>
    <n v="102094"/>
    <x v="2"/>
    <n v="271939"/>
    <n v="281713"/>
    <n v="246414"/>
    <n v="251305"/>
    <n v="208"/>
    <n v="712"/>
    <n v="25317"/>
    <m/>
    <m/>
    <n v="29696"/>
    <m/>
    <m/>
    <m/>
    <m/>
    <n v="18830"/>
    <n v="20897"/>
    <n v="14495"/>
    <n v="15321"/>
    <m/>
    <m/>
    <n v="4335"/>
    <m/>
    <m/>
    <n v="5576"/>
    <m/>
    <m/>
    <x v="0"/>
    <x v="0"/>
  </r>
  <r>
    <x v="0"/>
    <s v="Alabama State University "/>
    <s v="Met the criteria for Four-Year 3 in 2015-16."/>
    <n v="100724"/>
    <x v="3"/>
    <n v="152105"/>
    <n v="149838"/>
    <n v="139319"/>
    <n v="135524"/>
    <n v="57"/>
    <n v="4"/>
    <n v="12729"/>
    <m/>
    <m/>
    <n v="14310"/>
    <m/>
    <m/>
    <m/>
    <m/>
    <n v="15238"/>
    <n v="15071"/>
    <n v="12060"/>
    <n v="12398"/>
    <n v="63"/>
    <n v="0"/>
    <n v="3115"/>
    <m/>
    <m/>
    <n v="2673"/>
    <m/>
    <m/>
    <x v="0"/>
    <x v="0"/>
  </r>
  <r>
    <x v="0"/>
    <s v="Auburn University at Montgomery"/>
    <m/>
    <n v="100830"/>
    <x v="3"/>
    <n v="108187"/>
    <n v="106663"/>
    <n v="86321"/>
    <n v="86455"/>
    <n v="2052"/>
    <n v="593"/>
    <n v="19814"/>
    <m/>
    <m/>
    <n v="19615"/>
    <m/>
    <m/>
    <m/>
    <m/>
    <n v="11092"/>
    <n v="10699"/>
    <n v="4875"/>
    <n v="5226"/>
    <n v="126"/>
    <n v="0"/>
    <n v="6091"/>
    <m/>
    <m/>
    <n v="5473"/>
    <m/>
    <m/>
    <x v="0"/>
    <x v="0"/>
  </r>
  <r>
    <x v="0"/>
    <s v="University of North Alabama"/>
    <s v="Met the criteria for Four-Year 3 in 2014-15 and 2015-16."/>
    <n v="101879"/>
    <x v="3"/>
    <n v="149700"/>
    <n v="151675"/>
    <n v="123687"/>
    <n v="124853"/>
    <m/>
    <m/>
    <n v="26013"/>
    <m/>
    <m/>
    <n v="26822"/>
    <m/>
    <m/>
    <m/>
    <m/>
    <n v="13021"/>
    <n v="14095"/>
    <n v="4610"/>
    <n v="4596"/>
    <m/>
    <m/>
    <n v="8411"/>
    <m/>
    <m/>
    <n v="9499"/>
    <m/>
    <m/>
    <x v="0"/>
    <x v="0"/>
  </r>
  <r>
    <x v="0"/>
    <s v="University of Montevallo"/>
    <m/>
    <n v="101709"/>
    <x v="4"/>
    <n v="74112"/>
    <n v="71119"/>
    <n v="71789"/>
    <n v="68584"/>
    <n v="75"/>
    <n v="12"/>
    <n v="2248"/>
    <m/>
    <m/>
    <n v="2523"/>
    <m/>
    <m/>
    <m/>
    <m/>
    <n v="7559"/>
    <n v="8469"/>
    <n v="6272"/>
    <n v="7251"/>
    <n v="113"/>
    <n v="0"/>
    <n v="1174"/>
    <m/>
    <m/>
    <n v="1218"/>
    <m/>
    <m/>
    <x v="0"/>
    <x v="0"/>
  </r>
  <r>
    <x v="0"/>
    <s v="University of West Alabama"/>
    <m/>
    <n v="101587"/>
    <x v="4"/>
    <n v="51775"/>
    <n v="52958"/>
    <n v="47629"/>
    <n v="48819"/>
    <n v="425"/>
    <n v="373"/>
    <n v="3721"/>
    <m/>
    <m/>
    <n v="3766"/>
    <m/>
    <m/>
    <m/>
    <m/>
    <n v="32227"/>
    <n v="32543"/>
    <n v="3232"/>
    <n v="2719"/>
    <m/>
    <n v="0"/>
    <n v="28995"/>
    <m/>
    <m/>
    <n v="29824"/>
    <m/>
    <m/>
    <x v="0"/>
    <x v="0"/>
  </r>
  <r>
    <x v="0"/>
    <s v="Athens State University"/>
    <m/>
    <n v="100812"/>
    <x v="5"/>
    <n v="73371"/>
    <n v="70416"/>
    <n v="17326"/>
    <n v="15672"/>
    <n v="3472"/>
    <n v="3264"/>
    <n v="52573"/>
    <m/>
    <m/>
    <n v="51480"/>
    <m/>
    <m/>
    <m/>
    <m/>
    <n v="0"/>
    <n v="0"/>
    <m/>
    <m/>
    <m/>
    <m/>
    <m/>
    <m/>
    <m/>
    <m/>
    <m/>
    <m/>
    <x v="0"/>
    <x v="0"/>
  </r>
  <r>
    <x v="0"/>
    <s v="Gadsden State Community College"/>
    <s v="Reclassified: Met the criteria for Two-Year 2 in 2013-14, 2014-15, and 2015-16."/>
    <n v="101240"/>
    <x v="6"/>
    <n v="129944"/>
    <n v="119047"/>
    <n v="107713"/>
    <n v="96325"/>
    <n v="0"/>
    <n v="0"/>
    <n v="22231"/>
    <n v="0"/>
    <n v="0"/>
    <n v="22722"/>
    <n v="0"/>
    <n v="0"/>
    <m/>
    <m/>
    <n v="0"/>
    <n v="0"/>
    <m/>
    <m/>
    <m/>
    <m/>
    <m/>
    <m/>
    <m/>
    <m/>
    <m/>
    <m/>
    <x v="0"/>
    <x v="0"/>
  </r>
  <r>
    <x v="0"/>
    <s v="Jefferson State Community College"/>
    <m/>
    <n v="101505"/>
    <x v="7"/>
    <n v="173477"/>
    <n v="170342"/>
    <n v="100050"/>
    <n v="94238"/>
    <n v="22495"/>
    <n v="23407"/>
    <n v="49410"/>
    <n v="1522"/>
    <n v="0"/>
    <n v="51402"/>
    <n v="1295"/>
    <n v="0"/>
    <m/>
    <m/>
    <n v="0"/>
    <n v="0"/>
    <m/>
    <m/>
    <m/>
    <m/>
    <m/>
    <m/>
    <m/>
    <m/>
    <m/>
    <m/>
    <x v="0"/>
    <x v="0"/>
  </r>
  <r>
    <x v="0"/>
    <s v="John C. Calhoun State Community College "/>
    <m/>
    <n v="101514"/>
    <x v="7"/>
    <n v="231264"/>
    <n v="217086"/>
    <n v="169740"/>
    <n v="150950"/>
    <n v="0"/>
    <n v="0"/>
    <n v="61524"/>
    <n v="0"/>
    <n v="0"/>
    <n v="66136"/>
    <n v="0"/>
    <n v="0"/>
    <m/>
    <m/>
    <n v="0"/>
    <n v="0"/>
    <m/>
    <m/>
    <m/>
    <m/>
    <m/>
    <m/>
    <m/>
    <m/>
    <m/>
    <m/>
    <x v="0"/>
    <x v="0"/>
  </r>
  <r>
    <x v="0"/>
    <s v="Bevill State Community College"/>
    <m/>
    <n v="102429"/>
    <x v="6"/>
    <n v="83868"/>
    <n v="84488"/>
    <n v="21874"/>
    <n v="22246"/>
    <n v="40741"/>
    <n v="41184"/>
    <n v="16717"/>
    <n v="4536"/>
    <n v="0"/>
    <n v="16889"/>
    <n v="4169"/>
    <n v="0"/>
    <m/>
    <m/>
    <n v="0"/>
    <n v="0"/>
    <m/>
    <m/>
    <m/>
    <m/>
    <m/>
    <m/>
    <m/>
    <m/>
    <m/>
    <m/>
    <x v="0"/>
    <x v="0"/>
  </r>
  <r>
    <x v="0"/>
    <s v="Bishop State Community College"/>
    <m/>
    <n v="102030"/>
    <x v="6"/>
    <n v="79735"/>
    <n v="72124"/>
    <n v="71418"/>
    <n v="64419"/>
    <n v="703"/>
    <n v="577"/>
    <n v="6549"/>
    <n v="0"/>
    <n v="1065"/>
    <n v="6101"/>
    <n v="0"/>
    <n v="1027"/>
    <m/>
    <m/>
    <n v="0"/>
    <n v="0"/>
    <m/>
    <m/>
    <m/>
    <m/>
    <m/>
    <m/>
    <m/>
    <m/>
    <m/>
    <m/>
    <x v="0"/>
    <x v="0"/>
  </r>
  <r>
    <x v="0"/>
    <s v="Enterprise-Ozark Community College"/>
    <s v="Met the criteria for Two-Year 3 in 2014-15 and 2015-16."/>
    <n v="101143"/>
    <x v="6"/>
    <n v="52649"/>
    <n v="44645"/>
    <n v="43319"/>
    <n v="34308"/>
    <n v="177"/>
    <n v="3"/>
    <n v="9153"/>
    <n v="0"/>
    <n v="0"/>
    <n v="10334"/>
    <n v="0"/>
    <n v="0"/>
    <m/>
    <m/>
    <n v="0"/>
    <n v="0"/>
    <m/>
    <m/>
    <m/>
    <m/>
    <m/>
    <m/>
    <m/>
    <m/>
    <m/>
    <m/>
    <x v="0"/>
    <x v="0"/>
  </r>
  <r>
    <x v="0"/>
    <s v="George C. Wallace State Community College - Dothan"/>
    <m/>
    <n v="101286"/>
    <x v="6"/>
    <n v="109528"/>
    <n v="107954"/>
    <n v="80398"/>
    <n v="78560"/>
    <n v="6019"/>
    <n v="6548"/>
    <n v="23111"/>
    <n v="0"/>
    <n v="0"/>
    <n v="22846"/>
    <n v="0"/>
    <n v="0"/>
    <m/>
    <m/>
    <n v="0"/>
    <n v="0"/>
    <m/>
    <m/>
    <m/>
    <m/>
    <m/>
    <m/>
    <m/>
    <m/>
    <m/>
    <m/>
    <x v="0"/>
    <x v="0"/>
  </r>
  <r>
    <x v="0"/>
    <s v="James H. Faulkner State Community College"/>
    <m/>
    <n v="101161"/>
    <x v="6"/>
    <n v="112230"/>
    <n v="114972"/>
    <n v="52423"/>
    <n v="74133"/>
    <n v="35439"/>
    <n v="14817"/>
    <n v="23254"/>
    <n v="0"/>
    <n v="1114"/>
    <n v="24961"/>
    <n v="0"/>
    <n v="1061"/>
    <m/>
    <m/>
    <n v="0"/>
    <n v="0"/>
    <m/>
    <m/>
    <m/>
    <m/>
    <m/>
    <m/>
    <m/>
    <m/>
    <m/>
    <m/>
    <x v="0"/>
    <x v="0"/>
  </r>
  <r>
    <x v="0"/>
    <s v="Lawson State Community College "/>
    <m/>
    <n v="101569"/>
    <x v="6"/>
    <n v="73746"/>
    <n v="73963"/>
    <n v="65336"/>
    <n v="64671"/>
    <n v="595"/>
    <n v="479"/>
    <n v="7815"/>
    <n v="0"/>
    <n v="0"/>
    <n v="8813"/>
    <n v="0"/>
    <n v="0"/>
    <m/>
    <m/>
    <n v="0"/>
    <n v="0"/>
    <m/>
    <m/>
    <m/>
    <m/>
    <m/>
    <m/>
    <m/>
    <m/>
    <m/>
    <m/>
    <x v="0"/>
    <x v="0"/>
  </r>
  <r>
    <x v="0"/>
    <s v="Northeast Alabama State Community College "/>
    <s v="Met the criteria for Two-Year 3 in 2015-16."/>
    <n v="101897"/>
    <x v="6"/>
    <n v="61324"/>
    <n v="57241"/>
    <n v="40831"/>
    <n v="38355"/>
    <n v="4641"/>
    <n v="4894"/>
    <n v="15852"/>
    <n v="0"/>
    <n v="0"/>
    <n v="13992"/>
    <n v="0"/>
    <n v="0"/>
    <m/>
    <m/>
    <n v="0"/>
    <n v="0"/>
    <m/>
    <m/>
    <m/>
    <m/>
    <m/>
    <m/>
    <m/>
    <m/>
    <m/>
    <m/>
    <x v="0"/>
    <x v="0"/>
  </r>
  <r>
    <x v="0"/>
    <s v="Northwest-Shoals Community College"/>
    <m/>
    <n v="101736"/>
    <x v="6"/>
    <n v="82992"/>
    <n v="78045"/>
    <n v="73551"/>
    <n v="66927"/>
    <n v="262"/>
    <n v="33"/>
    <n v="8838"/>
    <n v="341"/>
    <n v="0"/>
    <n v="10140"/>
    <n v="945"/>
    <n v="0"/>
    <m/>
    <m/>
    <n v="0"/>
    <n v="0"/>
    <m/>
    <m/>
    <m/>
    <m/>
    <m/>
    <m/>
    <m/>
    <m/>
    <m/>
    <m/>
    <x v="0"/>
    <x v="0"/>
  </r>
  <r>
    <x v="0"/>
    <s v="Shelton State Community College"/>
    <m/>
    <n v="102067"/>
    <x v="6"/>
    <n v="117937"/>
    <n v="111221"/>
    <n v="110094"/>
    <n v="101597"/>
    <n v="0"/>
    <n v="0"/>
    <n v="7843"/>
    <n v="0"/>
    <n v="0"/>
    <n v="9624"/>
    <n v="0"/>
    <n v="0"/>
    <m/>
    <m/>
    <n v="0"/>
    <n v="0"/>
    <m/>
    <m/>
    <m/>
    <m/>
    <m/>
    <m/>
    <m/>
    <m/>
    <m/>
    <m/>
    <x v="0"/>
    <x v="0"/>
  </r>
  <r>
    <x v="0"/>
    <s v="Southern Union State Community College"/>
    <m/>
    <n v="251260"/>
    <x v="6"/>
    <n v="117831"/>
    <n v="117916"/>
    <n v="14957"/>
    <n v="14873"/>
    <n v="86906"/>
    <n v="85897"/>
    <n v="15956"/>
    <n v="12"/>
    <n v="0"/>
    <n v="17146"/>
    <n v="0"/>
    <n v="0"/>
    <m/>
    <m/>
    <n v="0"/>
    <n v="0"/>
    <m/>
    <m/>
    <m/>
    <m/>
    <m/>
    <m/>
    <m/>
    <m/>
    <m/>
    <m/>
    <x v="0"/>
    <x v="0"/>
  </r>
  <r>
    <x v="0"/>
    <s v="Wallace Community College - Hanceville"/>
    <m/>
    <n v="101295"/>
    <x v="6"/>
    <n v="132422"/>
    <n v="129525"/>
    <n v="103727"/>
    <n v="97906"/>
    <n v="0"/>
    <n v="0"/>
    <n v="28695"/>
    <n v="0"/>
    <n v="0"/>
    <n v="31619"/>
    <n v="0"/>
    <n v="0"/>
    <m/>
    <m/>
    <n v="0"/>
    <n v="0"/>
    <m/>
    <m/>
    <m/>
    <m/>
    <m/>
    <m/>
    <m/>
    <m/>
    <m/>
    <m/>
    <x v="0"/>
    <x v="0"/>
  </r>
  <r>
    <x v="0"/>
    <s v="Alabama Southern Community College"/>
    <m/>
    <n v="101949"/>
    <x v="8"/>
    <n v="34538"/>
    <n v="33581"/>
    <n v="11946"/>
    <n v="11415"/>
    <n v="18712"/>
    <n v="18404"/>
    <n v="3880"/>
    <n v="0"/>
    <n v="0"/>
    <n v="3762"/>
    <n v="0"/>
    <n v="0"/>
    <m/>
    <m/>
    <n v="0"/>
    <n v="0"/>
    <m/>
    <m/>
    <m/>
    <m/>
    <m/>
    <m/>
    <m/>
    <m/>
    <m/>
    <m/>
    <x v="0"/>
    <x v="0"/>
  </r>
  <r>
    <x v="0"/>
    <s v="Central Alabama Community College"/>
    <m/>
    <n v="100760"/>
    <x v="8"/>
    <n v="40899"/>
    <n v="42868"/>
    <n v="33010"/>
    <n v="33971"/>
    <n v="0"/>
    <n v="0"/>
    <n v="7889"/>
    <n v="0"/>
    <n v="0"/>
    <n v="8897"/>
    <n v="0"/>
    <n v="0"/>
    <m/>
    <m/>
    <n v="0"/>
    <n v="0"/>
    <m/>
    <m/>
    <m/>
    <m/>
    <m/>
    <m/>
    <m/>
    <m/>
    <m/>
    <m/>
    <x v="0"/>
    <x v="0"/>
  </r>
  <r>
    <x v="0"/>
    <s v="Chattahoochee Valley State Community College "/>
    <m/>
    <n v="101028"/>
    <x v="8"/>
    <n v="44710"/>
    <n v="41842"/>
    <n v="42112"/>
    <n v="38793"/>
    <n v="264"/>
    <n v="351"/>
    <n v="2334"/>
    <n v="0"/>
    <n v="0"/>
    <n v="2698"/>
    <n v="0"/>
    <n v="0"/>
    <m/>
    <m/>
    <n v="0"/>
    <n v="0"/>
    <m/>
    <m/>
    <m/>
    <m/>
    <m/>
    <m/>
    <m/>
    <m/>
    <m/>
    <m/>
    <x v="0"/>
    <x v="0"/>
  </r>
  <r>
    <x v="0"/>
    <s v="George Corley Wallace State Community College - Selma"/>
    <m/>
    <n v="101301"/>
    <x v="8"/>
    <n v="42675"/>
    <n v="43562"/>
    <n v="28005"/>
    <n v="28925"/>
    <n v="0"/>
    <n v="0"/>
    <n v="14670"/>
    <n v="0"/>
    <n v="0"/>
    <n v="14637"/>
    <n v="0"/>
    <n v="0"/>
    <m/>
    <m/>
    <n v="0"/>
    <n v="0"/>
    <m/>
    <m/>
    <m/>
    <m/>
    <m/>
    <m/>
    <m/>
    <m/>
    <m/>
    <m/>
    <x v="0"/>
    <x v="0"/>
  </r>
  <r>
    <x v="0"/>
    <s v="Jefferson Davis Community College"/>
    <m/>
    <n v="101499"/>
    <x v="8"/>
    <n v="28046"/>
    <n v="28068"/>
    <n v="13076"/>
    <n v="12230"/>
    <n v="11167"/>
    <n v="11630"/>
    <n v="3803"/>
    <n v="0"/>
    <n v="0"/>
    <n v="3642"/>
    <n v="0"/>
    <n v="566"/>
    <m/>
    <m/>
    <n v="0"/>
    <n v="0"/>
    <m/>
    <m/>
    <m/>
    <m/>
    <m/>
    <m/>
    <m/>
    <m/>
    <m/>
    <m/>
    <x v="0"/>
    <x v="0"/>
  </r>
  <r>
    <x v="0"/>
    <s v="Lurleen B. Wallace Community College "/>
    <m/>
    <n v="101602"/>
    <x v="8"/>
    <n v="39670"/>
    <n v="39899"/>
    <n v="30198"/>
    <n v="29266"/>
    <n v="846"/>
    <n v="1352"/>
    <n v="8626"/>
    <n v="0"/>
    <n v="0"/>
    <n v="9281"/>
    <n v="0"/>
    <n v="0"/>
    <m/>
    <m/>
    <n v="0"/>
    <n v="0"/>
    <m/>
    <m/>
    <m/>
    <m/>
    <m/>
    <m/>
    <m/>
    <m/>
    <m/>
    <m/>
    <x v="0"/>
    <x v="0"/>
  </r>
  <r>
    <x v="0"/>
    <s v="Snead State Community College "/>
    <s v="Met the criteria for Two-Year 2 in 2015-16."/>
    <n v="102076"/>
    <x v="8"/>
    <n v="59832"/>
    <n v="63042"/>
    <n v="33186"/>
    <n v="33424"/>
    <n v="0"/>
    <n v="0"/>
    <n v="26646"/>
    <n v="0"/>
    <n v="0"/>
    <n v="29618"/>
    <n v="0"/>
    <n v="0"/>
    <m/>
    <m/>
    <n v="0"/>
    <n v="0"/>
    <m/>
    <m/>
    <m/>
    <m/>
    <m/>
    <m/>
    <m/>
    <m/>
    <m/>
    <m/>
    <x v="0"/>
    <x v="0"/>
  </r>
  <r>
    <x v="0"/>
    <s v="Trenholm State Technical College "/>
    <m/>
    <n v="102313"/>
    <x v="9"/>
    <n v="34794"/>
    <n v="36087"/>
    <n v="29878"/>
    <n v="31366"/>
    <n v="2522"/>
    <n v="2260"/>
    <n v="2394"/>
    <n v="0"/>
    <n v="0"/>
    <n v="2461"/>
    <n v="0"/>
    <n v="0"/>
    <m/>
    <m/>
    <n v="0"/>
    <n v="0"/>
    <m/>
    <m/>
    <m/>
    <m/>
    <m/>
    <m/>
    <m/>
    <m/>
    <m/>
    <m/>
    <x v="0"/>
    <x v="0"/>
  </r>
  <r>
    <x v="0"/>
    <s v="J.F. Drake State Technical College "/>
    <m/>
    <n v="101462"/>
    <x v="10"/>
    <n v="26608"/>
    <n v="22869"/>
    <n v="22997"/>
    <n v="22869"/>
    <n v="501"/>
    <n v="0"/>
    <n v="3110"/>
    <n v="0"/>
    <n v="0"/>
    <n v="0"/>
    <n v="0"/>
    <n v="0"/>
    <m/>
    <m/>
    <n v="0"/>
    <n v="0"/>
    <m/>
    <m/>
    <m/>
    <m/>
    <m/>
    <m/>
    <m/>
    <m/>
    <m/>
    <m/>
    <x v="0"/>
    <x v="0"/>
  </r>
  <r>
    <x v="0"/>
    <s v="J.F. Ingram State Technical College "/>
    <m/>
    <n v="101471"/>
    <x v="10"/>
    <n v="17638"/>
    <n v="17584"/>
    <n v="17638"/>
    <n v="17584"/>
    <n v="0"/>
    <n v="0"/>
    <n v="0"/>
    <n v="0"/>
    <n v="0"/>
    <n v="0"/>
    <n v="0"/>
    <n v="0"/>
    <m/>
    <m/>
    <n v="0"/>
    <n v="0"/>
    <m/>
    <m/>
    <m/>
    <m/>
    <m/>
    <m/>
    <m/>
    <m/>
    <m/>
    <m/>
    <x v="0"/>
    <x v="0"/>
  </r>
  <r>
    <x v="0"/>
    <s v="Reid State Technical College "/>
    <m/>
    <n v="101994"/>
    <x v="10"/>
    <n v="13000"/>
    <n v="12782"/>
    <n v="10290"/>
    <n v="10106"/>
    <n v="2432"/>
    <n v="2676"/>
    <n v="278"/>
    <n v="0"/>
    <n v="0"/>
    <n v="0"/>
    <n v="0"/>
    <n v="0"/>
    <m/>
    <m/>
    <n v="0"/>
    <n v="0"/>
    <m/>
    <m/>
    <m/>
    <m/>
    <m/>
    <m/>
    <m/>
    <m/>
    <m/>
    <m/>
    <x v="0"/>
    <x v="0"/>
  </r>
  <r>
    <x v="0"/>
    <s v="Marion Military Institute"/>
    <m/>
    <n v="101648"/>
    <x v="11"/>
    <n v="13624"/>
    <n v="14189"/>
    <n v="13624"/>
    <n v="14189"/>
    <n v="0"/>
    <n v="0"/>
    <n v="0"/>
    <n v="0"/>
    <n v="0"/>
    <n v="0"/>
    <n v="0"/>
    <n v="0"/>
    <m/>
    <m/>
    <n v="0"/>
    <n v="0"/>
    <m/>
    <m/>
    <m/>
    <m/>
    <m/>
    <m/>
    <m/>
    <m/>
    <m/>
    <m/>
    <x v="0"/>
    <x v="0"/>
  </r>
  <r>
    <x v="1"/>
    <s v="University of Arkansas, Fayetteville"/>
    <m/>
    <n v="106397"/>
    <x v="0"/>
    <n v="621377"/>
    <n v="629101"/>
    <n v="551799"/>
    <n v="565055"/>
    <n v="9599"/>
    <n v="8821"/>
    <n v="55649"/>
    <n v="730"/>
    <n v="0"/>
    <n v="51182"/>
    <n v="515"/>
    <n v="0"/>
    <n v="3600"/>
    <n v="3528"/>
    <n v="79534"/>
    <n v="80235"/>
    <n v="57901"/>
    <n v="57364"/>
    <n v="3145"/>
    <n v="1980"/>
    <n v="18473"/>
    <n v="3"/>
    <n v="12"/>
    <n v="20891"/>
    <n v="0"/>
    <n v="0"/>
    <x v="1"/>
    <x v="1"/>
  </r>
  <r>
    <x v="1"/>
    <s v="University of Arkansas at Little Rock"/>
    <m/>
    <n v="106245"/>
    <x v="1"/>
    <n v="215915"/>
    <n v="212666"/>
    <n v="132286"/>
    <n v="126692"/>
    <n v="17779"/>
    <n v="19895"/>
    <n v="65850"/>
    <n v="0"/>
    <n v="0"/>
    <n v="66079"/>
    <n v="0"/>
    <n v="0"/>
    <n v="0"/>
    <n v="0"/>
    <n v="42737"/>
    <n v="43190"/>
    <n v="21160"/>
    <n v="20860"/>
    <n v="12108"/>
    <n v="11464"/>
    <n v="9469"/>
    <n v="0"/>
    <n v="0"/>
    <n v="10866"/>
    <n v="0"/>
    <n v="0"/>
    <x v="1"/>
    <x v="1"/>
  </r>
  <r>
    <x v="1"/>
    <s v="Arkansas State University"/>
    <m/>
    <n v="106458"/>
    <x v="2"/>
    <n v="271755"/>
    <n v="265272"/>
    <n v="176688"/>
    <n v="180505"/>
    <n v="17865"/>
    <n v="18510"/>
    <n v="74648"/>
    <n v="2554"/>
    <n v="0"/>
    <n v="64697"/>
    <n v="1557"/>
    <n v="3"/>
    <n v="0"/>
    <n v="0"/>
    <n v="72457"/>
    <n v="80183"/>
    <n v="21869"/>
    <n v="22927"/>
    <n v="54"/>
    <n v="42"/>
    <n v="50459"/>
    <n v="0"/>
    <n v="75"/>
    <n v="57142"/>
    <n v="0"/>
    <n v="72"/>
    <x v="1"/>
    <x v="1"/>
  </r>
  <r>
    <x v="1"/>
    <s v="Arkansas Tech University"/>
    <m/>
    <n v="106467"/>
    <x v="2"/>
    <n v="229610"/>
    <n v="230757"/>
    <n v="161040"/>
    <n v="158617"/>
    <n v="13384"/>
    <n v="15144"/>
    <n v="53736"/>
    <n v="0"/>
    <n v="1450"/>
    <n v="55821"/>
    <n v="0"/>
    <n v="1175"/>
    <n v="0"/>
    <n v="0"/>
    <n v="15322"/>
    <n v="16073"/>
    <n v="6701"/>
    <n v="7113"/>
    <n v="371"/>
    <n v="1203"/>
    <n v="7848"/>
    <n v="0"/>
    <n v="402"/>
    <n v="7343"/>
    <n v="0"/>
    <n v="414"/>
    <x v="1"/>
    <x v="1"/>
  </r>
  <r>
    <x v="1"/>
    <s v="University of Central Arkansas "/>
    <m/>
    <n v="106704"/>
    <x v="2"/>
    <n v="268070"/>
    <n v="272879"/>
    <n v="251994"/>
    <n v="254572"/>
    <n v="2340"/>
    <n v="2514"/>
    <n v="13469"/>
    <n v="102"/>
    <n v="0"/>
    <n v="15691"/>
    <n v="102"/>
    <n v="0"/>
    <n v="165"/>
    <n v="0"/>
    <n v="37624"/>
    <n v="37618"/>
    <n v="21098"/>
    <n v="20522"/>
    <n v="0"/>
    <n v="0"/>
    <n v="12060"/>
    <n v="4466"/>
    <n v="0"/>
    <n v="12392"/>
    <n v="4704"/>
    <n v="0"/>
    <x v="1"/>
    <x v="1"/>
  </r>
  <r>
    <x v="1"/>
    <s v="Henderson State University"/>
    <m/>
    <n v="107071"/>
    <x v="3"/>
    <n v="92151"/>
    <n v="89086"/>
    <n v="78777"/>
    <n v="75344"/>
    <n v="1168"/>
    <n v="1630"/>
    <n v="12206"/>
    <n v="0"/>
    <n v="0"/>
    <n v="12112"/>
    <n v="0"/>
    <n v="0"/>
    <n v="0"/>
    <n v="0"/>
    <n v="8188"/>
    <n v="6313"/>
    <n v="3442"/>
    <n v="2734"/>
    <n v="2400"/>
    <n v="237"/>
    <n v="2346"/>
    <n v="0"/>
    <n v="0"/>
    <n v="3342"/>
    <n v="0"/>
    <n v="0"/>
    <x v="1"/>
    <x v="1"/>
  </r>
  <r>
    <x v="1"/>
    <s v="Southern Arkansas University"/>
    <m/>
    <n v="107983"/>
    <x v="3"/>
    <n v="84332"/>
    <n v="86298"/>
    <n v="68504"/>
    <n v="69344"/>
    <n v="2387"/>
    <n v="2177"/>
    <n v="13372"/>
    <n v="69"/>
    <n v="0"/>
    <n v="14777"/>
    <n v="0"/>
    <n v="0"/>
    <n v="0"/>
    <n v="0"/>
    <n v="7793"/>
    <n v="13989"/>
    <n v="1520"/>
    <n v="3570"/>
    <n v="0"/>
    <n v="0"/>
    <n v="6273"/>
    <n v="0"/>
    <n v="0"/>
    <n v="10374"/>
    <n v="45"/>
    <n v="0"/>
    <x v="1"/>
    <x v="1"/>
  </r>
  <r>
    <x v="1"/>
    <s v="University of Arkansas at Monticello"/>
    <m/>
    <n v="106485"/>
    <x v="4"/>
    <n v="69456"/>
    <n v="68255"/>
    <n v="51599"/>
    <n v="48460"/>
    <n v="3886"/>
    <n v="5555"/>
    <n v="12501"/>
    <n v="1470"/>
    <n v="0"/>
    <n v="14240"/>
    <n v="0"/>
    <n v="0"/>
    <n v="0"/>
    <n v="0"/>
    <n v="3407"/>
    <n v="3510"/>
    <n v="582"/>
    <n v="476"/>
    <n v="0"/>
    <n v="0"/>
    <n v="2825"/>
    <n v="0"/>
    <n v="0"/>
    <n v="3034"/>
    <n v="0"/>
    <n v="0"/>
    <x v="1"/>
    <x v="1"/>
  </r>
  <r>
    <x v="1"/>
    <s v="University of Arkansas at Fort Smith"/>
    <m/>
    <n v="108092"/>
    <x v="5"/>
    <n v="171515"/>
    <n v="166174"/>
    <n v="140791"/>
    <n v="133819"/>
    <n v="2268"/>
    <n v="2183"/>
    <n v="28225"/>
    <n v="231"/>
    <n v="0"/>
    <n v="30172"/>
    <n v="0"/>
    <n v="0"/>
    <n v="0"/>
    <n v="0"/>
    <n v="0"/>
    <n v="36"/>
    <n v="0"/>
    <n v="0"/>
    <n v="0"/>
    <n v="0"/>
    <n v="0"/>
    <n v="0"/>
    <n v="0"/>
    <n v="36"/>
    <n v="0"/>
    <n v="0"/>
    <x v="1"/>
    <x v="1"/>
  </r>
  <r>
    <x v="1"/>
    <s v="University of Arkansas at Pine Bluff"/>
    <m/>
    <n v="106412"/>
    <x v="5"/>
    <n v="69195"/>
    <n v="70836"/>
    <n v="58133"/>
    <n v="59634"/>
    <n v="81"/>
    <n v="30"/>
    <n v="10981"/>
    <n v="0"/>
    <n v="0"/>
    <n v="11172"/>
    <n v="0"/>
    <n v="0"/>
    <n v="0"/>
    <n v="0"/>
    <n v="1504"/>
    <n v="1890"/>
    <n v="1150"/>
    <n v="1434"/>
    <n v="0"/>
    <n v="0"/>
    <n v="354"/>
    <n v="0"/>
    <n v="0"/>
    <n v="456"/>
    <n v="0"/>
    <n v="0"/>
    <x v="1"/>
    <x v="1"/>
  </r>
  <r>
    <x v="1"/>
    <s v="Northwest Arkansas Community College "/>
    <s v="Met the criteria for Two-Year 2 in 2015-16. "/>
    <n v="367459"/>
    <x v="7"/>
    <n v="157406"/>
    <n v="149171"/>
    <n v="99141"/>
    <n v="91915"/>
    <n v="20330"/>
    <n v="18800"/>
    <n v="37829"/>
    <n v="106"/>
    <n v="0"/>
    <n v="38334"/>
    <n v="122"/>
    <n v="0"/>
    <n v="0"/>
    <n v="0"/>
    <n v="0"/>
    <n v="0"/>
    <m/>
    <n v="0"/>
    <m/>
    <n v="0"/>
    <m/>
    <m/>
    <m/>
    <n v="0"/>
    <n v="0"/>
    <n v="0"/>
    <x v="0"/>
    <x v="1"/>
  </r>
  <r>
    <x v="1"/>
    <s v="Pulaski Technical College"/>
    <m/>
    <n v="107664"/>
    <x v="7"/>
    <n v="205923"/>
    <n v="170528"/>
    <n v="135799"/>
    <n v="110057"/>
    <n v="897"/>
    <n v="0"/>
    <n v="69227"/>
    <n v="0"/>
    <n v="0"/>
    <n v="60471"/>
    <n v="0"/>
    <n v="0"/>
    <n v="0"/>
    <n v="0"/>
    <n v="0"/>
    <n v="0"/>
    <m/>
    <n v="0"/>
    <m/>
    <n v="0"/>
    <m/>
    <m/>
    <m/>
    <n v="0"/>
    <n v="0"/>
    <n v="0"/>
    <x v="0"/>
    <x v="1"/>
  </r>
  <r>
    <x v="1"/>
    <s v="Arkansas State University-Beebe"/>
    <m/>
    <n v="106449"/>
    <x v="6"/>
    <n v="91414"/>
    <n v="89476"/>
    <n v="61933"/>
    <n v="60136"/>
    <n v="10053"/>
    <n v="9667"/>
    <n v="19428"/>
    <n v="0"/>
    <n v="0"/>
    <n v="19673"/>
    <n v="0"/>
    <n v="0"/>
    <n v="0"/>
    <n v="0"/>
    <n v="0"/>
    <n v="0"/>
    <m/>
    <m/>
    <m/>
    <n v="0"/>
    <m/>
    <m/>
    <m/>
    <m/>
    <m/>
    <m/>
    <x v="0"/>
    <x v="0"/>
  </r>
  <r>
    <x v="1"/>
    <s v="National Park College"/>
    <s v="Met the criteria for Two-Year 3 in 2015-16. "/>
    <n v="106980"/>
    <x v="6"/>
    <n v="61755"/>
    <n v="58084"/>
    <n v="49925"/>
    <n v="41201"/>
    <n v="79"/>
    <n v="5308"/>
    <n v="11751"/>
    <n v="0"/>
    <n v="0"/>
    <n v="11575"/>
    <n v="0"/>
    <n v="0"/>
    <n v="0"/>
    <n v="0"/>
    <n v="0"/>
    <n v="0"/>
    <m/>
    <m/>
    <m/>
    <n v="0"/>
    <m/>
    <m/>
    <m/>
    <m/>
    <m/>
    <m/>
    <x v="0"/>
    <x v="0"/>
  </r>
  <r>
    <x v="1"/>
    <s v="Arkansas Northeastern College"/>
    <m/>
    <n v="107327"/>
    <x v="8"/>
    <n v="26988"/>
    <n v="27670"/>
    <n v="20534"/>
    <n v="20675"/>
    <n v="366"/>
    <n v="381"/>
    <n v="6088"/>
    <n v="0"/>
    <n v="0"/>
    <n v="6614"/>
    <n v="0"/>
    <n v="0"/>
    <n v="0"/>
    <n v="0"/>
    <n v="0"/>
    <n v="0"/>
    <m/>
    <m/>
    <m/>
    <n v="0"/>
    <m/>
    <m/>
    <m/>
    <m/>
    <m/>
    <m/>
    <x v="0"/>
    <x v="0"/>
  </r>
  <r>
    <x v="1"/>
    <s v="Arkansas State University Mid-South"/>
    <m/>
    <n v="107318"/>
    <x v="8"/>
    <n v="34220"/>
    <n v="31843"/>
    <n v="31221"/>
    <n v="28042"/>
    <n v="167"/>
    <n v="55"/>
    <n v="2832"/>
    <n v="0"/>
    <n v="0"/>
    <n v="3746"/>
    <n v="0"/>
    <n v="0"/>
    <n v="0"/>
    <n v="0"/>
    <n v="0"/>
    <n v="0"/>
    <m/>
    <m/>
    <m/>
    <n v="0"/>
    <m/>
    <m/>
    <m/>
    <m/>
    <m/>
    <m/>
    <x v="0"/>
    <x v="0"/>
  </r>
  <r>
    <x v="1"/>
    <s v="Arkansas State University Mountain Home"/>
    <m/>
    <n v="420538"/>
    <x v="8"/>
    <n v="33665"/>
    <n v="32573"/>
    <n v="18028"/>
    <n v="15435"/>
    <n v="1941"/>
    <n v="3905"/>
    <n v="13302"/>
    <n v="394"/>
    <n v="0"/>
    <n v="12891"/>
    <n v="342"/>
    <n v="0"/>
    <n v="0"/>
    <n v="0"/>
    <n v="0"/>
    <n v="0"/>
    <m/>
    <m/>
    <m/>
    <n v="0"/>
    <m/>
    <m/>
    <m/>
    <m/>
    <m/>
    <m/>
    <x v="0"/>
    <x v="0"/>
  </r>
  <r>
    <x v="1"/>
    <s v="Arkansas State University-Newport"/>
    <m/>
    <n v="440402"/>
    <x v="8"/>
    <n v="48965"/>
    <n v="53403"/>
    <n v="23542"/>
    <n v="25100"/>
    <n v="7503"/>
    <n v="7201"/>
    <n v="17146"/>
    <n v="732"/>
    <n v="42"/>
    <n v="20897"/>
    <n v="205"/>
    <n v="0"/>
    <n v="0"/>
    <n v="0"/>
    <n v="0"/>
    <n v="0"/>
    <m/>
    <m/>
    <m/>
    <n v="0"/>
    <m/>
    <m/>
    <m/>
    <m/>
    <m/>
    <m/>
    <x v="0"/>
    <x v="0"/>
  </r>
  <r>
    <x v="1"/>
    <s v="Black River Technical College"/>
    <m/>
    <n v="106625"/>
    <x v="8"/>
    <n v="48824"/>
    <n v="40331"/>
    <n v="31523"/>
    <n v="25096"/>
    <n v="3106"/>
    <n v="3474"/>
    <n v="12575"/>
    <n v="1620"/>
    <n v="0"/>
    <n v="10300"/>
    <n v="1461"/>
    <n v="0"/>
    <n v="0"/>
    <n v="0"/>
    <n v="0"/>
    <n v="0"/>
    <m/>
    <m/>
    <m/>
    <n v="0"/>
    <m/>
    <m/>
    <m/>
    <m/>
    <m/>
    <m/>
    <x v="0"/>
    <x v="0"/>
  </r>
  <r>
    <x v="1"/>
    <s v="College of the Ouachitas"/>
    <m/>
    <n v="107521"/>
    <x v="8"/>
    <n v="27685"/>
    <n v="25865"/>
    <n v="20040"/>
    <n v="20056"/>
    <n v="2112"/>
    <n v="1621"/>
    <n v="5533"/>
    <n v="0"/>
    <n v="0"/>
    <n v="4188"/>
    <n v="0"/>
    <n v="0"/>
    <n v="0"/>
    <n v="0"/>
    <n v="0"/>
    <n v="0"/>
    <m/>
    <m/>
    <m/>
    <n v="0"/>
    <m/>
    <m/>
    <m/>
    <m/>
    <m/>
    <m/>
    <x v="0"/>
    <x v="0"/>
  </r>
  <r>
    <x v="1"/>
    <s v="Cossatot Community College of the University of Arkansas"/>
    <m/>
    <n v="106795"/>
    <x v="8"/>
    <n v="29800"/>
    <n v="28890"/>
    <n v="7469"/>
    <n v="7195"/>
    <n v="9395"/>
    <n v="10264"/>
    <n v="9025"/>
    <n v="3911"/>
    <n v="0"/>
    <n v="7811"/>
    <n v="3620"/>
    <n v="0"/>
    <n v="0"/>
    <n v="0"/>
    <n v="0"/>
    <n v="0"/>
    <m/>
    <m/>
    <m/>
    <n v="0"/>
    <m/>
    <m/>
    <m/>
    <m/>
    <m/>
    <m/>
    <x v="0"/>
    <x v="0"/>
  </r>
  <r>
    <x v="1"/>
    <s v="East Arkansas Community College "/>
    <m/>
    <n v="106883"/>
    <x v="8"/>
    <n v="24356"/>
    <n v="23490"/>
    <n v="11109"/>
    <n v="10701"/>
    <n v="6605"/>
    <n v="6171"/>
    <n v="6642"/>
    <n v="0"/>
    <n v="0"/>
    <n v="6618"/>
    <n v="0"/>
    <n v="0"/>
    <n v="0"/>
    <n v="0"/>
    <n v="0"/>
    <n v="0"/>
    <m/>
    <m/>
    <m/>
    <n v="0"/>
    <m/>
    <m/>
    <m/>
    <m/>
    <m/>
    <m/>
    <x v="0"/>
    <x v="0"/>
  </r>
  <r>
    <x v="1"/>
    <s v="North Arkansas College"/>
    <m/>
    <n v="107460"/>
    <x v="8"/>
    <n v="45279"/>
    <n v="41054"/>
    <n v="34647"/>
    <n v="29793"/>
    <n v="3436"/>
    <n v="3090"/>
    <n v="7196"/>
    <n v="0"/>
    <n v="0"/>
    <n v="8171"/>
    <n v="0"/>
    <n v="0"/>
    <n v="0"/>
    <n v="0"/>
    <n v="0"/>
    <n v="0"/>
    <m/>
    <m/>
    <m/>
    <n v="0"/>
    <m/>
    <m/>
    <m/>
    <m/>
    <m/>
    <m/>
    <x v="0"/>
    <x v="0"/>
  </r>
  <r>
    <x v="1"/>
    <s v="Ozarka College "/>
    <m/>
    <n v="107549"/>
    <x v="8"/>
    <n v="29876"/>
    <n v="25808"/>
    <n v="15226"/>
    <n v="12730"/>
    <n v="1349"/>
    <n v="1433"/>
    <n v="12649"/>
    <n v="652"/>
    <n v="0"/>
    <n v="11438"/>
    <n v="207"/>
    <n v="0"/>
    <n v="0"/>
    <n v="0"/>
    <n v="0"/>
    <n v="0"/>
    <m/>
    <m/>
    <m/>
    <n v="0"/>
    <m/>
    <m/>
    <m/>
    <m/>
    <m/>
    <m/>
    <x v="0"/>
    <x v="0"/>
  </r>
  <r>
    <x v="1"/>
    <s v="Phillips Community College of the Univ of Arkansas"/>
    <m/>
    <n v="107619"/>
    <x v="8"/>
    <n v="31338"/>
    <n v="28513"/>
    <n v="24381"/>
    <n v="21602"/>
    <n v="2208"/>
    <n v="1639"/>
    <n v="2330"/>
    <n v="2419"/>
    <n v="0"/>
    <n v="2542"/>
    <n v="2730"/>
    <n v="0"/>
    <n v="0"/>
    <n v="0"/>
    <n v="0"/>
    <n v="0"/>
    <m/>
    <m/>
    <m/>
    <n v="0"/>
    <m/>
    <m/>
    <m/>
    <m/>
    <m/>
    <m/>
    <x v="0"/>
    <x v="0"/>
  </r>
  <r>
    <x v="1"/>
    <s v="Rich Mountain Community College "/>
    <m/>
    <n v="107743"/>
    <x v="8"/>
    <n v="17888"/>
    <n v="16417"/>
    <n v="11033"/>
    <n v="10013"/>
    <n v="3555"/>
    <n v="2851"/>
    <n v="2706"/>
    <n v="594"/>
    <n v="0"/>
    <n v="3037"/>
    <n v="516"/>
    <n v="0"/>
    <n v="0"/>
    <n v="0"/>
    <n v="0"/>
    <n v="0"/>
    <m/>
    <m/>
    <m/>
    <n v="0"/>
    <m/>
    <m/>
    <m/>
    <m/>
    <m/>
    <m/>
    <x v="0"/>
    <x v="0"/>
  </r>
  <r>
    <x v="1"/>
    <s v="South Arkansas Community College"/>
    <m/>
    <n v="107974"/>
    <x v="8"/>
    <n v="36786"/>
    <n v="33824"/>
    <n v="25098"/>
    <n v="22960"/>
    <n v="2446"/>
    <n v="2592"/>
    <n v="9218"/>
    <n v="0"/>
    <n v="0"/>
    <n v="8272"/>
    <n v="0"/>
    <n v="0"/>
    <n v="24"/>
    <n v="0"/>
    <n v="0"/>
    <n v="0"/>
    <m/>
    <m/>
    <m/>
    <n v="0"/>
    <m/>
    <m/>
    <m/>
    <m/>
    <m/>
    <m/>
    <x v="0"/>
    <x v="0"/>
  </r>
  <r>
    <x v="1"/>
    <s v="Southeast Arkansas College"/>
    <m/>
    <n v="107637"/>
    <x v="8"/>
    <n v="33624"/>
    <n v="31328"/>
    <n v="29409"/>
    <n v="26178"/>
    <n v="496"/>
    <n v="915"/>
    <n v="3719"/>
    <n v="0"/>
    <n v="0"/>
    <n v="4235"/>
    <n v="0"/>
    <n v="0"/>
    <n v="0"/>
    <n v="0"/>
    <n v="0"/>
    <n v="0"/>
    <m/>
    <m/>
    <m/>
    <n v="0"/>
    <m/>
    <m/>
    <m/>
    <m/>
    <m/>
    <m/>
    <x v="0"/>
    <x v="0"/>
  </r>
  <r>
    <x v="1"/>
    <s v="Southern Arkansas University Tech"/>
    <m/>
    <n v="107992"/>
    <x v="8"/>
    <n v="36573"/>
    <n v="33968"/>
    <n v="15440"/>
    <n v="13282"/>
    <n v="15449"/>
    <n v="15438"/>
    <n v="5684"/>
    <n v="0"/>
    <n v="0"/>
    <n v="5248"/>
    <n v="0"/>
    <n v="0"/>
    <n v="0"/>
    <n v="0"/>
    <n v="0"/>
    <n v="0"/>
    <m/>
    <m/>
    <m/>
    <n v="0"/>
    <m/>
    <m/>
    <m/>
    <m/>
    <m/>
    <m/>
    <x v="0"/>
    <x v="0"/>
  </r>
  <r>
    <x v="1"/>
    <s v="University of Arkansas Community College at Batesville"/>
    <m/>
    <n v="106999"/>
    <x v="8"/>
    <n v="28576"/>
    <n v="28778"/>
    <n v="19866"/>
    <n v="19172"/>
    <n v="1439"/>
    <n v="1725"/>
    <n v="7271"/>
    <n v="0"/>
    <n v="0"/>
    <n v="7881"/>
    <n v="0"/>
    <n v="0"/>
    <n v="0"/>
    <n v="0"/>
    <n v="0"/>
    <n v="0"/>
    <m/>
    <m/>
    <m/>
    <n v="0"/>
    <m/>
    <m/>
    <m/>
    <m/>
    <m/>
    <m/>
    <x v="0"/>
    <x v="0"/>
  </r>
  <r>
    <x v="1"/>
    <s v="University of Arkansas Community College at Hope"/>
    <m/>
    <n v="107725"/>
    <x v="8"/>
    <n v="28524"/>
    <n v="27406"/>
    <n v="18994"/>
    <n v="15642"/>
    <n v="5599"/>
    <n v="5999"/>
    <n v="3733"/>
    <n v="198"/>
    <n v="0"/>
    <n v="4574"/>
    <n v="1191"/>
    <n v="0"/>
    <n v="0"/>
    <n v="0"/>
    <n v="0"/>
    <n v="0"/>
    <m/>
    <m/>
    <m/>
    <n v="0"/>
    <m/>
    <m/>
    <m/>
    <m/>
    <m/>
    <m/>
    <x v="0"/>
    <x v="0"/>
  </r>
  <r>
    <x v="1"/>
    <s v="University of Arkansas Community College at Morrilton"/>
    <m/>
    <n v="107585"/>
    <x v="8"/>
    <n v="47971"/>
    <n v="46279"/>
    <n v="43548"/>
    <n v="40893"/>
    <n v="0"/>
    <n v="0"/>
    <n v="4423"/>
    <n v="0"/>
    <n v="0"/>
    <n v="5386"/>
    <n v="0"/>
    <n v="0"/>
    <n v="0"/>
    <n v="0"/>
    <n v="0"/>
    <n v="0"/>
    <m/>
    <m/>
    <m/>
    <n v="0"/>
    <m/>
    <m/>
    <m/>
    <m/>
    <m/>
    <m/>
    <x v="0"/>
    <x v="0"/>
  </r>
  <r>
    <x v="1"/>
    <s v="University of Arkansas for Medical Sciences"/>
    <m/>
    <n v="106263"/>
    <x v="11"/>
    <n v="19973"/>
    <n v="20061"/>
    <n v="19973"/>
    <n v="20061"/>
    <n v="0"/>
    <n v="0"/>
    <n v="0"/>
    <n v="0"/>
    <n v="0"/>
    <n v="0"/>
    <n v="0"/>
    <n v="0"/>
    <n v="0"/>
    <n v="0"/>
    <n v="59049"/>
    <n v="62857"/>
    <n v="59049"/>
    <n v="62857"/>
    <n v="0"/>
    <n v="0"/>
    <n v="0"/>
    <n v="0"/>
    <n v="0"/>
    <m/>
    <m/>
    <m/>
    <x v="1"/>
    <x v="0"/>
  </r>
  <r>
    <x v="2"/>
    <s v="University of Delaware"/>
    <m/>
    <n v="130943"/>
    <x v="0"/>
    <n v="553571"/>
    <n v="567333"/>
    <n v="537890"/>
    <n v="549869"/>
    <m/>
    <m/>
    <n v="15681"/>
    <n v="0"/>
    <n v="0"/>
    <n v="17464"/>
    <n v="0"/>
    <n v="0"/>
    <m/>
    <m/>
    <n v="48245"/>
    <n v="54107"/>
    <n v="44562"/>
    <n v="49551"/>
    <m/>
    <n v="0"/>
    <n v="3683"/>
    <n v="0"/>
    <n v="0"/>
    <n v="4556"/>
    <n v="0"/>
    <n v="0"/>
    <x v="0"/>
    <x v="0"/>
  </r>
  <r>
    <x v="2"/>
    <s v="Delaware State University"/>
    <m/>
    <n v="130934"/>
    <x v="2"/>
    <n v="115574"/>
    <n v="121952"/>
    <n v="113451"/>
    <n v="118126"/>
    <n v="0"/>
    <m/>
    <n v="2123"/>
    <n v="0"/>
    <n v="0"/>
    <n v="3826"/>
    <n v="0"/>
    <n v="0"/>
    <n v="0"/>
    <m/>
    <n v="5993"/>
    <n v="5497"/>
    <n v="5888"/>
    <n v="5239"/>
    <m/>
    <m/>
    <n v="105"/>
    <n v="0"/>
    <n v="0"/>
    <n v="258"/>
    <n v="0"/>
    <n v="0"/>
    <x v="0"/>
    <x v="0"/>
  </r>
  <r>
    <x v="2"/>
    <s v="Delaware Technical and Community College--Terry"/>
    <s v="Met the criteria for Two-Year 1 in 2015-16. "/>
    <n v="130907"/>
    <x v="6"/>
    <n v="297407"/>
    <n v="273057"/>
    <n v="265865"/>
    <n v="238848"/>
    <m/>
    <m/>
    <n v="30406"/>
    <n v="950"/>
    <n v="186"/>
    <n v="33132"/>
    <n v="849"/>
    <n v="228"/>
    <m/>
    <m/>
    <n v="0"/>
    <n v="0"/>
    <m/>
    <m/>
    <m/>
    <m/>
    <m/>
    <m/>
    <m/>
    <m/>
    <m/>
    <m/>
    <x v="0"/>
    <x v="0"/>
  </r>
  <r>
    <x v="3"/>
    <s v="Florida Atlantic University "/>
    <m/>
    <n v="133669"/>
    <x v="0"/>
    <n v="617158"/>
    <n v="621408"/>
    <n v="422335"/>
    <n v="421128"/>
    <n v="76266"/>
    <n v="71868"/>
    <n v="118271"/>
    <n v="286"/>
    <m/>
    <n v="127925"/>
    <n v="487"/>
    <m/>
    <m/>
    <m/>
    <n v="65783"/>
    <n v="65160.9"/>
    <n v="46082"/>
    <n v="44986.9"/>
    <n v="6819"/>
    <n v="6113"/>
    <n v="12404"/>
    <n v="478"/>
    <m/>
    <n v="13745"/>
    <n v="316"/>
    <m/>
    <x v="0"/>
    <x v="0"/>
  </r>
  <r>
    <x v="3"/>
    <s v="Florida International University"/>
    <m/>
    <n v="133951"/>
    <x v="0"/>
    <n v="1073939"/>
    <n v="1087059"/>
    <n v="628229"/>
    <n v="618153"/>
    <n v="147418"/>
    <n v="133056"/>
    <n v="295090"/>
    <m/>
    <m/>
    <n v="332558"/>
    <m/>
    <m/>
    <n v="3202"/>
    <n v="3292"/>
    <n v="191400"/>
    <n v="193842"/>
    <n v="115456"/>
    <n v="113984"/>
    <n v="39367"/>
    <n v="38697"/>
    <n v="36031"/>
    <m/>
    <m/>
    <n v="40801"/>
    <m/>
    <m/>
    <x v="2"/>
    <x v="2"/>
  </r>
  <r>
    <x v="3"/>
    <s v="Florida State University "/>
    <m/>
    <n v="134097"/>
    <x v="0"/>
    <n v="936327.5"/>
    <n v="937405"/>
    <n v="777177.5"/>
    <n v="766064"/>
    <n v="67653"/>
    <n v="67200"/>
    <n v="86082"/>
    <n v="537"/>
    <n v="4878"/>
    <n v="94736"/>
    <m/>
    <n v="6726"/>
    <m/>
    <n v="2679"/>
    <n v="177091"/>
    <n v="174168"/>
    <n v="144286"/>
    <n v="142007"/>
    <n v="9083"/>
    <n v="8627"/>
    <n v="22521"/>
    <n v="1057"/>
    <n v="138"/>
    <n v="22857"/>
    <n v="542"/>
    <n v="102"/>
    <x v="3"/>
    <x v="3"/>
  </r>
  <r>
    <x v="3"/>
    <s v="University of Central Florida "/>
    <m/>
    <n v="132903"/>
    <x v="0"/>
    <n v="1042371"/>
    <n v="1066012"/>
    <n v="787130"/>
    <n v="794384"/>
    <n v="74071"/>
    <n v="70035"/>
    <n v="181170"/>
    <m/>
    <m/>
    <n v="201593"/>
    <m/>
    <m/>
    <m/>
    <m/>
    <n v="101976.5"/>
    <n v="100483.5"/>
    <n v="70523.5"/>
    <n v="70481.5"/>
    <n v="9388"/>
    <n v="8897"/>
    <n v="22065"/>
    <m/>
    <m/>
    <n v="21105"/>
    <m/>
    <m/>
    <x v="0"/>
    <x v="0"/>
  </r>
  <r>
    <x v="3"/>
    <s v="University of Florida"/>
    <m/>
    <n v="134130"/>
    <x v="0"/>
    <n v="979793"/>
    <n v="998168"/>
    <n v="712374"/>
    <n v="694639"/>
    <m/>
    <m/>
    <n v="264017"/>
    <m/>
    <n v="69"/>
    <n v="301352"/>
    <m/>
    <n v="320"/>
    <n v="3333"/>
    <n v="1857"/>
    <n v="336017"/>
    <n v="341614"/>
    <n v="237653"/>
    <n v="240798"/>
    <m/>
    <m/>
    <n v="98303"/>
    <m/>
    <n v="61"/>
    <n v="100784"/>
    <n v="28"/>
    <n v="4"/>
    <x v="0"/>
    <x v="0"/>
  </r>
  <r>
    <x v="3"/>
    <s v="University of South Florida "/>
    <m/>
    <n v="137351"/>
    <x v="0"/>
    <n v="774380"/>
    <n v="637552"/>
    <n v="645633"/>
    <n v="619436"/>
    <n v="103141"/>
    <m/>
    <n v="21808"/>
    <n v="3798"/>
    <m/>
    <n v="14090"/>
    <n v="4026"/>
    <m/>
    <m/>
    <m/>
    <n v="151689"/>
    <n v="154183"/>
    <n v="136033"/>
    <n v="137909"/>
    <n v="12604"/>
    <n v="12594"/>
    <n v="3052"/>
    <m/>
    <m/>
    <n v="3680"/>
    <m/>
    <m/>
    <x v="0"/>
    <x v="0"/>
  </r>
  <r>
    <x v="3"/>
    <s v="Florida Agricultural &amp; Mechanical University "/>
    <s v="Met the criteria for Four-Year 2 in 2015-16."/>
    <n v="133650"/>
    <x v="2"/>
    <n v="249477"/>
    <n v="233446"/>
    <n v="242514"/>
    <n v="226732"/>
    <n v="4724"/>
    <m/>
    <n v="2239"/>
    <m/>
    <m/>
    <n v="6714"/>
    <m/>
    <m/>
    <m/>
    <m/>
    <n v="43717"/>
    <n v="43508"/>
    <n v="29201"/>
    <n v="28899"/>
    <n v="13575"/>
    <n v="12795"/>
    <n v="941"/>
    <m/>
    <m/>
    <n v="1814"/>
    <m/>
    <m/>
    <x v="0"/>
    <x v="0"/>
  </r>
  <r>
    <x v="3"/>
    <s v="University of North Florida"/>
    <m/>
    <n v="136172"/>
    <x v="2"/>
    <n v="323034"/>
    <n v="309421"/>
    <n v="313670"/>
    <n v="298067"/>
    <n v="3437"/>
    <n v="3661"/>
    <n v="5927"/>
    <m/>
    <m/>
    <n v="7693"/>
    <m/>
    <m/>
    <m/>
    <m/>
    <n v="26753"/>
    <n v="26499"/>
    <n v="23319"/>
    <n v="21916"/>
    <n v="2391"/>
    <n v="2360"/>
    <n v="1043"/>
    <m/>
    <m/>
    <n v="2223"/>
    <m/>
    <m/>
    <x v="0"/>
    <x v="0"/>
  </r>
  <r>
    <x v="3"/>
    <s v="University of West Florida"/>
    <m/>
    <n v="138354"/>
    <x v="2"/>
    <n v="255681"/>
    <n v="254972"/>
    <n v="155115"/>
    <n v="172641"/>
    <n v="2979"/>
    <n v="1290"/>
    <n v="80206"/>
    <n v="17381"/>
    <m/>
    <n v="81041"/>
    <m/>
    <m/>
    <m/>
    <m/>
    <n v="39260"/>
    <n v="38419"/>
    <n v="9889"/>
    <n v="9720.5"/>
    <n v="587"/>
    <n v="102"/>
    <n v="24618"/>
    <n v="4166"/>
    <m/>
    <n v="28596.5"/>
    <m/>
    <m/>
    <x v="0"/>
    <x v="0"/>
  </r>
  <r>
    <x v="3"/>
    <s v="Florida Gulf Coast University"/>
    <m/>
    <n v="433660"/>
    <x v="3"/>
    <n v="336513"/>
    <n v="339232"/>
    <n v="265796"/>
    <n v="264084"/>
    <n v="9596"/>
    <m/>
    <n v="61121"/>
    <m/>
    <m/>
    <n v="75148"/>
    <m/>
    <m/>
    <m/>
    <m/>
    <n v="20490"/>
    <n v="19809"/>
    <n v="11487"/>
    <n v="10115"/>
    <n v="2324"/>
    <n v="2324"/>
    <n v="6679"/>
    <m/>
    <m/>
    <n v="7370"/>
    <m/>
    <m/>
    <x v="0"/>
    <x v="0"/>
  </r>
  <r>
    <x v="3"/>
    <s v="New College of Florida"/>
    <m/>
    <n v="262129"/>
    <x v="5"/>
    <n v="27640"/>
    <n v="29248"/>
    <n v="27640"/>
    <n v="29248"/>
    <m/>
    <m/>
    <m/>
    <m/>
    <m/>
    <m/>
    <m/>
    <m/>
    <m/>
    <m/>
    <n v="0"/>
    <n v="0"/>
    <m/>
    <m/>
    <m/>
    <m/>
    <m/>
    <m/>
    <m/>
    <m/>
    <m/>
    <m/>
    <x v="0"/>
    <x v="0"/>
  </r>
  <r>
    <x v="3"/>
    <s v="Broward College "/>
    <m/>
    <n v="132709"/>
    <x v="12"/>
    <n v="898394"/>
    <n v="861142"/>
    <n v="682231"/>
    <n v="649872"/>
    <n v="73576"/>
    <n v="67523"/>
    <n v="137166"/>
    <n v="0"/>
    <n v="5421"/>
    <n v="136376"/>
    <n v="0"/>
    <n v="7362"/>
    <n v="0"/>
    <n v="9"/>
    <n v="0"/>
    <n v="0"/>
    <m/>
    <m/>
    <m/>
    <m/>
    <m/>
    <m/>
    <m/>
    <m/>
    <m/>
    <m/>
    <x v="0"/>
    <x v="0"/>
  </r>
  <r>
    <x v="3"/>
    <s v="Chipola College "/>
    <m/>
    <n v="133021"/>
    <x v="12"/>
    <n v="39950"/>
    <n v="40189"/>
    <n v="31859"/>
    <n v="31493"/>
    <n v="2190"/>
    <n v="2391"/>
    <n v="5901"/>
    <n v="0"/>
    <n v="0"/>
    <n v="6305"/>
    <n v="0"/>
    <n v="0"/>
    <n v="0"/>
    <n v="0"/>
    <n v="0"/>
    <n v="0"/>
    <m/>
    <m/>
    <m/>
    <m/>
    <m/>
    <m/>
    <m/>
    <m/>
    <m/>
    <m/>
    <x v="0"/>
    <x v="0"/>
  </r>
  <r>
    <x v="3"/>
    <s v="Daytona State College "/>
    <m/>
    <n v="133386"/>
    <x v="12"/>
    <n v="291278"/>
    <n v="294845"/>
    <n v="192533"/>
    <n v="185362"/>
    <n v="0"/>
    <n v="0"/>
    <n v="98745"/>
    <n v="0"/>
    <n v="0"/>
    <n v="109483"/>
    <n v="0"/>
    <n v="0"/>
    <n v="0"/>
    <n v="0"/>
    <n v="0"/>
    <n v="0"/>
    <m/>
    <m/>
    <m/>
    <m/>
    <m/>
    <m/>
    <m/>
    <m/>
    <m/>
    <m/>
    <x v="0"/>
    <x v="0"/>
  </r>
  <r>
    <x v="3"/>
    <s v="Florida SouthWestern State College"/>
    <m/>
    <n v="133508"/>
    <x v="12"/>
    <n v="297764"/>
    <n v="306409"/>
    <n v="217936"/>
    <n v="214077"/>
    <n v="10996"/>
    <n v="12981"/>
    <n v="68824"/>
    <n v="0"/>
    <n v="0"/>
    <n v="77292"/>
    <n v="0"/>
    <n v="0"/>
    <n v="8"/>
    <n v="2059"/>
    <n v="0"/>
    <n v="0"/>
    <m/>
    <m/>
    <m/>
    <m/>
    <m/>
    <m/>
    <m/>
    <m/>
    <m/>
    <m/>
    <x v="0"/>
    <x v="0"/>
  </r>
  <r>
    <x v="3"/>
    <s v="Florida State College at Jacksonville"/>
    <m/>
    <n v="133702"/>
    <x v="12"/>
    <n v="560434"/>
    <n v="546912"/>
    <n v="371193"/>
    <n v="339147"/>
    <n v="17743"/>
    <n v="20597"/>
    <n v="171498"/>
    <n v="0"/>
    <n v="0"/>
    <n v="187168"/>
    <n v="0"/>
    <n v="0"/>
    <n v="0"/>
    <n v="0"/>
    <n v="0"/>
    <n v="0"/>
    <m/>
    <m/>
    <m/>
    <m/>
    <m/>
    <m/>
    <m/>
    <m/>
    <m/>
    <m/>
    <x v="0"/>
    <x v="0"/>
  </r>
  <r>
    <x v="3"/>
    <s v="Gulf Coast State College "/>
    <m/>
    <n v="134343"/>
    <x v="12"/>
    <n v="119661"/>
    <n v="112910"/>
    <n v="73744"/>
    <n v="69235"/>
    <n v="13482"/>
    <n v="14046"/>
    <n v="32435"/>
    <n v="0"/>
    <n v="0"/>
    <n v="29629"/>
    <n v="0"/>
    <n v="0"/>
    <n v="0"/>
    <n v="0"/>
    <n v="0"/>
    <n v="0"/>
    <m/>
    <m/>
    <m/>
    <m/>
    <m/>
    <m/>
    <m/>
    <m/>
    <m/>
    <m/>
    <x v="0"/>
    <x v="0"/>
  </r>
  <r>
    <x v="3"/>
    <s v="Indian River State College "/>
    <m/>
    <n v="134608"/>
    <x v="12"/>
    <n v="330168"/>
    <n v="340729"/>
    <n v="229830"/>
    <n v="239250"/>
    <n v="18212"/>
    <n v="14085"/>
    <n v="81716"/>
    <n v="0"/>
    <n v="0"/>
    <n v="86961"/>
    <n v="0"/>
    <n v="0"/>
    <n v="410"/>
    <n v="433"/>
    <n v="0"/>
    <n v="0"/>
    <m/>
    <m/>
    <m/>
    <m/>
    <m/>
    <m/>
    <m/>
    <m/>
    <m/>
    <m/>
    <x v="0"/>
    <x v="0"/>
  </r>
  <r>
    <x v="3"/>
    <s v="Miami Dade College "/>
    <m/>
    <n v="135717"/>
    <x v="12"/>
    <n v="1513655"/>
    <n v="1456840"/>
    <n v="1385524"/>
    <n v="1330018"/>
    <n v="8692"/>
    <n v="8057"/>
    <n v="119439"/>
    <n v="0"/>
    <n v="0"/>
    <n v="118765"/>
    <n v="0"/>
    <n v="0"/>
    <n v="0"/>
    <n v="0"/>
    <n v="0"/>
    <n v="0"/>
    <m/>
    <m/>
    <m/>
    <m/>
    <m/>
    <m/>
    <m/>
    <m/>
    <m/>
    <m/>
    <x v="0"/>
    <x v="0"/>
  </r>
  <r>
    <x v="3"/>
    <s v="Northwest Florida State College"/>
    <m/>
    <n v="136233"/>
    <x v="12"/>
    <n v="135605"/>
    <n v="128191"/>
    <n v="89310"/>
    <n v="98904"/>
    <n v="13122"/>
    <n v="7623"/>
    <n v="33173"/>
    <n v="0"/>
    <n v="0"/>
    <n v="21664"/>
    <n v="0"/>
    <n v="0"/>
    <n v="0"/>
    <n v="0"/>
    <n v="0"/>
    <n v="0"/>
    <m/>
    <m/>
    <m/>
    <m/>
    <m/>
    <m/>
    <m/>
    <m/>
    <m/>
    <m/>
    <x v="0"/>
    <x v="0"/>
  </r>
  <r>
    <x v="3"/>
    <s v="Palm Beach State College "/>
    <m/>
    <n v="136358"/>
    <x v="12"/>
    <n v="559732"/>
    <n v="559646"/>
    <n v="454045"/>
    <n v="450613"/>
    <n v="10698"/>
    <n v="9449"/>
    <n v="92471"/>
    <n v="0"/>
    <n v="2518"/>
    <n v="96982"/>
    <n v="0"/>
    <n v="2602"/>
    <n v="0"/>
    <n v="0"/>
    <n v="0"/>
    <n v="0"/>
    <m/>
    <m/>
    <m/>
    <m/>
    <m/>
    <m/>
    <m/>
    <m/>
    <m/>
    <m/>
    <x v="0"/>
    <x v="0"/>
  </r>
  <r>
    <x v="3"/>
    <s v="Pensacola State College "/>
    <m/>
    <n v="136473"/>
    <x v="12"/>
    <n v="213505"/>
    <n v="194368"/>
    <n v="149512"/>
    <n v="134721"/>
    <n v="21474"/>
    <n v="19776"/>
    <n v="42519"/>
    <n v="0"/>
    <n v="0"/>
    <n v="39871"/>
    <n v="0"/>
    <n v="0"/>
    <n v="0"/>
    <n v="0"/>
    <n v="0"/>
    <n v="0"/>
    <m/>
    <m/>
    <m/>
    <m/>
    <m/>
    <m/>
    <m/>
    <m/>
    <m/>
    <m/>
    <x v="0"/>
    <x v="0"/>
  </r>
  <r>
    <x v="3"/>
    <s v="Polk State College "/>
    <m/>
    <n v="136516"/>
    <x v="12"/>
    <n v="229208"/>
    <n v="216555"/>
    <n v="149261"/>
    <n v="138215"/>
    <n v="18695"/>
    <n v="18674"/>
    <n v="61252"/>
    <n v="0"/>
    <n v="0"/>
    <n v="59666"/>
    <n v="0"/>
    <n v="0"/>
    <n v="0"/>
    <n v="0"/>
    <n v="0"/>
    <n v="0"/>
    <m/>
    <m/>
    <m/>
    <m/>
    <m/>
    <m/>
    <m/>
    <m/>
    <m/>
    <m/>
    <x v="0"/>
    <x v="0"/>
  </r>
  <r>
    <x v="3"/>
    <s v="Santa Fe College "/>
    <m/>
    <n v="137096"/>
    <x v="12"/>
    <n v="323237"/>
    <n v="312710"/>
    <n v="245481"/>
    <n v="237913"/>
    <n v="4391"/>
    <n v="3878"/>
    <n v="73365"/>
    <n v="0"/>
    <n v="0"/>
    <n v="70919"/>
    <n v="0"/>
    <n v="0"/>
    <n v="0"/>
    <n v="0"/>
    <n v="0"/>
    <n v="0"/>
    <m/>
    <m/>
    <m/>
    <m/>
    <m/>
    <m/>
    <m/>
    <m/>
    <m/>
    <m/>
    <x v="0"/>
    <x v="0"/>
  </r>
  <r>
    <x v="3"/>
    <s v="Seminole State College of Florida"/>
    <m/>
    <n v="137209"/>
    <x v="12"/>
    <n v="363602"/>
    <n v="346111"/>
    <n v="269074"/>
    <n v="247064"/>
    <n v="0"/>
    <n v="0"/>
    <n v="94528"/>
    <n v="0"/>
    <n v="0"/>
    <n v="99047"/>
    <n v="0"/>
    <n v="0"/>
    <n v="0"/>
    <n v="0"/>
    <n v="0"/>
    <n v="0"/>
    <m/>
    <m/>
    <m/>
    <m/>
    <m/>
    <m/>
    <m/>
    <m/>
    <m/>
    <m/>
    <x v="0"/>
    <x v="0"/>
  </r>
  <r>
    <x v="3"/>
    <s v="St. Johns River State College "/>
    <m/>
    <n v="137281"/>
    <x v="12"/>
    <n v="136363"/>
    <n v="134115"/>
    <n v="88649"/>
    <n v="84481"/>
    <n v="13661"/>
    <n v="14474"/>
    <n v="34053"/>
    <n v="0"/>
    <n v="0"/>
    <n v="35160"/>
    <n v="0"/>
    <n v="0"/>
    <n v="0"/>
    <n v="0"/>
    <n v="0"/>
    <n v="0"/>
    <m/>
    <m/>
    <m/>
    <m/>
    <m/>
    <m/>
    <m/>
    <m/>
    <m/>
    <m/>
    <x v="0"/>
    <x v="0"/>
  </r>
  <r>
    <x v="3"/>
    <s v="St. Petersburg College "/>
    <m/>
    <n v="137078"/>
    <x v="12"/>
    <n v="617308"/>
    <n v="610245"/>
    <n v="367771"/>
    <n v="359733"/>
    <n v="0"/>
    <n v="0"/>
    <n v="249345"/>
    <n v="180"/>
    <n v="0"/>
    <n v="250408"/>
    <n v="96"/>
    <n v="0"/>
    <n v="12"/>
    <n v="8"/>
    <n v="0"/>
    <n v="0"/>
    <m/>
    <m/>
    <m/>
    <m/>
    <m/>
    <m/>
    <m/>
    <m/>
    <m/>
    <m/>
    <x v="0"/>
    <x v="0"/>
  </r>
  <r>
    <x v="3"/>
    <s v="State College of Florida, Manatee-Sarasota"/>
    <m/>
    <n v="135391"/>
    <x v="12"/>
    <n v="226357"/>
    <n v="224121"/>
    <n v="156142"/>
    <n v="148642"/>
    <n v="9119"/>
    <n v="10451"/>
    <n v="37360"/>
    <n v="23736"/>
    <n v="0"/>
    <n v="65028"/>
    <n v="0"/>
    <n v="0"/>
    <n v="0"/>
    <n v="0"/>
    <n v="0"/>
    <n v="0"/>
    <m/>
    <m/>
    <m/>
    <m/>
    <m/>
    <m/>
    <m/>
    <m/>
    <m/>
    <m/>
    <x v="0"/>
    <x v="0"/>
  </r>
  <r>
    <x v="3"/>
    <s v="College of Central Florida"/>
    <s v="Reclassified: Met the criteria for Two-Year with Bachelor's in 2013-14, 2014-15, and 2015-16."/>
    <n v="132851"/>
    <x v="12"/>
    <n v="166079"/>
    <n v="162721"/>
    <n v="118025"/>
    <n v="115036"/>
    <n v="0"/>
    <n v="0"/>
    <n v="48054"/>
    <n v="0"/>
    <n v="0"/>
    <n v="47685"/>
    <n v="0"/>
    <n v="0"/>
    <n v="0"/>
    <n v="0"/>
    <n v="0"/>
    <n v="0"/>
    <m/>
    <m/>
    <m/>
    <m/>
    <m/>
    <m/>
    <m/>
    <m/>
    <m/>
    <m/>
    <x v="0"/>
    <x v="0"/>
  </r>
  <r>
    <x v="3"/>
    <s v="Eastern Florida State College"/>
    <s v="Met the criteria for Two-Year with Bachelor's in 2015-16. "/>
    <n v="132693"/>
    <x v="7"/>
    <n v="316935"/>
    <n v="304376"/>
    <n v="237322"/>
    <n v="247462"/>
    <n v="7125"/>
    <n v="6701"/>
    <n v="72488"/>
    <n v="0"/>
    <n v="0"/>
    <n v="50213"/>
    <n v="0"/>
    <n v="0"/>
    <n v="0"/>
    <n v="0"/>
    <n v="0"/>
    <n v="0"/>
    <m/>
    <m/>
    <m/>
    <m/>
    <m/>
    <m/>
    <m/>
    <m/>
    <m/>
    <m/>
    <x v="0"/>
    <x v="0"/>
  </r>
  <r>
    <x v="3"/>
    <s v="Hillsborough Community College "/>
    <m/>
    <n v="134495"/>
    <x v="7"/>
    <n v="559040"/>
    <n v="551430"/>
    <n v="450536"/>
    <n v="433117"/>
    <n v="16654"/>
    <n v="18702"/>
    <n v="90510"/>
    <n v="0"/>
    <n v="1340"/>
    <n v="98963"/>
    <n v="0"/>
    <n v="648"/>
    <n v="0"/>
    <n v="0"/>
    <n v="0"/>
    <n v="0"/>
    <m/>
    <m/>
    <m/>
    <m/>
    <m/>
    <m/>
    <m/>
    <m/>
    <m/>
    <m/>
    <x v="0"/>
    <x v="0"/>
  </r>
  <r>
    <x v="3"/>
    <s v="Pasco-Hernando State College "/>
    <m/>
    <n v="136400"/>
    <x v="7"/>
    <n v="213167"/>
    <n v="222340"/>
    <n v="152798"/>
    <n v="151084"/>
    <n v="8237"/>
    <n v="8080"/>
    <n v="52132"/>
    <n v="0"/>
    <n v="0"/>
    <n v="63176"/>
    <n v="0"/>
    <n v="0"/>
    <n v="0"/>
    <n v="0"/>
    <n v="0"/>
    <n v="0"/>
    <m/>
    <m/>
    <m/>
    <m/>
    <m/>
    <m/>
    <m/>
    <m/>
    <m/>
    <m/>
    <x v="0"/>
    <x v="0"/>
  </r>
  <r>
    <x v="3"/>
    <s v="Tallahassee Community College "/>
    <m/>
    <n v="137759"/>
    <x v="7"/>
    <n v="286053"/>
    <n v="270629"/>
    <n v="230658"/>
    <n v="212349"/>
    <n v="11202"/>
    <n v="10232"/>
    <n v="44193"/>
    <n v="0"/>
    <n v="0"/>
    <n v="48048"/>
    <n v="0"/>
    <n v="0"/>
    <n v="0"/>
    <n v="0"/>
    <n v="0"/>
    <n v="0"/>
    <m/>
    <m/>
    <m/>
    <m/>
    <m/>
    <m/>
    <m/>
    <m/>
    <m/>
    <m/>
    <x v="0"/>
    <x v="0"/>
  </r>
  <r>
    <x v="3"/>
    <s v="Valencia College "/>
    <s v="Reclassified: Met the criteria for Two-Year with Bachelor's in 2013-14, 2014-15, and 2015-16."/>
    <n v="138187"/>
    <x v="12"/>
    <n v="889398"/>
    <n v="894544"/>
    <n v="677017"/>
    <n v="648466"/>
    <n v="5944"/>
    <n v="17467"/>
    <n v="206437"/>
    <n v="0"/>
    <n v="0"/>
    <n v="228611"/>
    <n v="0"/>
    <n v="0"/>
    <n v="0"/>
    <n v="0"/>
    <n v="0"/>
    <n v="0"/>
    <m/>
    <m/>
    <m/>
    <m/>
    <m/>
    <m/>
    <m/>
    <m/>
    <m/>
    <m/>
    <x v="0"/>
    <x v="0"/>
  </r>
  <r>
    <x v="3"/>
    <s v="Florida Gateway College"/>
    <s v="Met the criteria for Two-Year with Bachelor's in 2014-15 and 2015-16."/>
    <n v="135160"/>
    <x v="6"/>
    <n v="53392"/>
    <n v="50063"/>
    <n v="28496"/>
    <n v="23943"/>
    <n v="3544"/>
    <n v="4048"/>
    <n v="21352"/>
    <n v="0"/>
    <n v="0"/>
    <n v="22072"/>
    <n v="0"/>
    <n v="0"/>
    <n v="0"/>
    <n v="0"/>
    <n v="0"/>
    <n v="0"/>
    <m/>
    <m/>
    <m/>
    <m/>
    <m/>
    <m/>
    <m/>
    <m/>
    <m/>
    <m/>
    <x v="0"/>
    <x v="0"/>
  </r>
  <r>
    <x v="3"/>
    <s v="Lake-Sumter State College "/>
    <s v="Met the criteria for Two-Year with Bachelor's in 2015-16. "/>
    <n v="135188"/>
    <x v="6"/>
    <n v="83509"/>
    <n v="85988"/>
    <n v="66076"/>
    <n v="64121"/>
    <n v="0"/>
    <n v="0"/>
    <n v="17433"/>
    <n v="0"/>
    <n v="0"/>
    <n v="21867"/>
    <n v="0"/>
    <n v="0"/>
    <n v="0"/>
    <n v="0"/>
    <n v="0"/>
    <n v="0"/>
    <m/>
    <m/>
    <m/>
    <m/>
    <m/>
    <m/>
    <m/>
    <m/>
    <m/>
    <m/>
    <x v="0"/>
    <x v="0"/>
  </r>
  <r>
    <x v="3"/>
    <s v="South Florida State College "/>
    <s v="Met the criteria for Two-Year with Bachelor's in 2015-16. "/>
    <n v="137315"/>
    <x v="6"/>
    <n v="46699"/>
    <n v="45873"/>
    <n v="26589"/>
    <n v="25927"/>
    <n v="11151"/>
    <n v="10326"/>
    <n v="7889"/>
    <n v="1019"/>
    <n v="51"/>
    <n v="8562"/>
    <n v="1003"/>
    <n v="55"/>
    <n v="0"/>
    <n v="0"/>
    <n v="0"/>
    <n v="0"/>
    <m/>
    <m/>
    <m/>
    <m/>
    <m/>
    <m/>
    <m/>
    <m/>
    <m/>
    <m/>
    <x v="0"/>
    <x v="0"/>
  </r>
  <r>
    <x v="3"/>
    <s v="Florida Keys Community College "/>
    <m/>
    <n v="133960"/>
    <x v="8"/>
    <n v="21013"/>
    <n v="20246"/>
    <n v="16131"/>
    <n v="15373"/>
    <n v="914"/>
    <n v="691"/>
    <n v="3968"/>
    <n v="0"/>
    <n v="0"/>
    <n v="4182"/>
    <n v="0"/>
    <n v="0"/>
    <n v="0"/>
    <n v="0"/>
    <n v="0"/>
    <n v="0"/>
    <m/>
    <m/>
    <m/>
    <m/>
    <m/>
    <m/>
    <m/>
    <m/>
    <m/>
    <m/>
    <x v="0"/>
    <x v="0"/>
  </r>
  <r>
    <x v="3"/>
    <s v="North Florida Community College "/>
    <m/>
    <n v="136145"/>
    <x v="8"/>
    <n v="21277"/>
    <n v="21004"/>
    <n v="14372"/>
    <n v="13731"/>
    <n v="1116"/>
    <n v="783"/>
    <n v="5765"/>
    <n v="24"/>
    <n v="0"/>
    <n v="5986"/>
    <n v="504"/>
    <n v="0"/>
    <n v="0"/>
    <n v="0"/>
    <n v="0"/>
    <n v="0"/>
    <m/>
    <m/>
    <m/>
    <m/>
    <m/>
    <m/>
    <m/>
    <m/>
    <m/>
    <m/>
    <x v="0"/>
    <x v="0"/>
  </r>
  <r>
    <x v="4"/>
    <s v="Georgia State University "/>
    <m/>
    <n v="139940"/>
    <x v="0"/>
    <n v="665386"/>
    <n v="666994"/>
    <n v="620444"/>
    <n v="611168"/>
    <n v="6395"/>
    <n v="7243"/>
    <n v="38547"/>
    <m/>
    <m/>
    <n v="48565"/>
    <m/>
    <n v="18"/>
    <m/>
    <m/>
    <n v="228732.5"/>
    <n v="227395"/>
    <n v="196482"/>
    <n v="193663"/>
    <n v="22090.5"/>
    <n v="23433"/>
    <n v="10160"/>
    <m/>
    <m/>
    <n v="10289"/>
    <m/>
    <n v="10"/>
    <x v="0"/>
    <x v="0"/>
  </r>
  <r>
    <x v="4"/>
    <s v="University of Georgia"/>
    <m/>
    <n v="139959"/>
    <x v="0"/>
    <n v="761126.5"/>
    <n v="785409"/>
    <n v="734368"/>
    <n v="746961"/>
    <n v="16007.5"/>
    <n v="19690"/>
    <n v="8467"/>
    <m/>
    <n v="2284"/>
    <n v="18758"/>
    <m/>
    <m/>
    <m/>
    <m/>
    <n v="244556.4"/>
    <n v="251981"/>
    <n v="215163.6"/>
    <n v="209439"/>
    <n v="22682.799999999999"/>
    <n v="33527"/>
    <n v="4267"/>
    <m/>
    <n v="2443"/>
    <n v="9015"/>
    <m/>
    <m/>
    <x v="0"/>
    <x v="0"/>
  </r>
  <r>
    <x v="4"/>
    <s v="Georgia Institute of Technology"/>
    <m/>
    <n v="139755"/>
    <x v="1"/>
    <n v="428851"/>
    <n v="433619"/>
    <n v="415083"/>
    <n v="415462"/>
    <n v="13034"/>
    <n v="14031"/>
    <n v="734"/>
    <m/>
    <m/>
    <n v="4126"/>
    <m/>
    <m/>
    <m/>
    <m/>
    <n v="242746"/>
    <n v="262428"/>
    <n v="230463"/>
    <n v="232458"/>
    <n v="3149"/>
    <n v="3332"/>
    <n v="9134"/>
    <m/>
    <m/>
    <n v="26611"/>
    <m/>
    <n v="27"/>
    <x v="0"/>
    <x v="0"/>
  </r>
  <r>
    <x v="4"/>
    <s v="Georgia Southern University"/>
    <m/>
    <n v="139931"/>
    <x v="2"/>
    <n v="514285"/>
    <n v="514037"/>
    <n v="438408"/>
    <n v="433117"/>
    <n v="4343"/>
    <n v="4107"/>
    <n v="71194"/>
    <m/>
    <n v="340"/>
    <n v="76696"/>
    <m/>
    <n v="117"/>
    <m/>
    <m/>
    <n v="44622"/>
    <n v="43801"/>
    <n v="17549"/>
    <n v="17595"/>
    <n v="722"/>
    <n v="621"/>
    <n v="26351"/>
    <m/>
    <m/>
    <n v="25576"/>
    <m/>
    <n v="9"/>
    <x v="0"/>
    <x v="0"/>
  </r>
  <r>
    <x v="4"/>
    <s v="Kennesaw State University"/>
    <m/>
    <n v="140164"/>
    <x v="2"/>
    <n v="756361"/>
    <n v="787879"/>
    <n v="620705"/>
    <n v="626881"/>
    <n v="4255"/>
    <n v="6105"/>
    <n v="128492"/>
    <m/>
    <n v="2906"/>
    <n v="151349"/>
    <m/>
    <n v="1067"/>
    <n v="3"/>
    <n v="2477"/>
    <n v="52682.5"/>
    <n v="51961"/>
    <n v="25761"/>
    <n v="25379"/>
    <n v="1995"/>
    <n v="1066"/>
    <n v="24921.5"/>
    <m/>
    <n v="2"/>
    <n v="25222"/>
    <m/>
    <n v="54"/>
    <x v="4"/>
    <x v="4"/>
  </r>
  <r>
    <x v="4"/>
    <s v="University of West Georgia"/>
    <m/>
    <n v="141334"/>
    <x v="2"/>
    <n v="277066"/>
    <n v="286449"/>
    <n v="210228"/>
    <n v="207791"/>
    <n v="7654"/>
    <n v="8081"/>
    <n v="59184"/>
    <m/>
    <m/>
    <n v="70577"/>
    <m/>
    <m/>
    <m/>
    <m/>
    <n v="32944"/>
    <n v="35308"/>
    <n v="8369"/>
    <n v="8038"/>
    <n v="838"/>
    <n v="730"/>
    <n v="23737"/>
    <m/>
    <m/>
    <n v="26540"/>
    <m/>
    <m/>
    <x v="0"/>
    <x v="0"/>
  </r>
  <r>
    <x v="4"/>
    <s v="Valdosta State University "/>
    <m/>
    <n v="141264"/>
    <x v="2"/>
    <n v="259468"/>
    <n v="245830"/>
    <n v="226068"/>
    <n v="208800"/>
    <n v="3975"/>
    <n v="3175"/>
    <n v="29109"/>
    <n v="316"/>
    <m/>
    <n v="33513"/>
    <n v="342"/>
    <m/>
    <m/>
    <m/>
    <n v="40261"/>
    <n v="43671"/>
    <n v="13852"/>
    <n v="14760"/>
    <n v="1938"/>
    <n v="902"/>
    <n v="24465"/>
    <n v="6"/>
    <m/>
    <n v="27991"/>
    <n v="18"/>
    <m/>
    <x v="0"/>
    <x v="0"/>
  </r>
  <r>
    <x v="4"/>
    <s v="Albany State University "/>
    <m/>
    <n v="138716"/>
    <x v="3"/>
    <n v="92642"/>
    <n v="86033"/>
    <n v="74785"/>
    <n v="68435"/>
    <n v="1713"/>
    <n v="1859"/>
    <n v="16045"/>
    <m/>
    <n v="99"/>
    <n v="14856"/>
    <n v="124"/>
    <n v="759"/>
    <m/>
    <m/>
    <n v="10037"/>
    <n v="8768"/>
    <n v="5226"/>
    <n v="4934"/>
    <n v="393"/>
    <n v="309"/>
    <n v="4301"/>
    <m/>
    <n v="117"/>
    <n v="3525"/>
    <m/>
    <m/>
    <x v="0"/>
    <x v="0"/>
  </r>
  <r>
    <x v="4"/>
    <s v="Armstrong State University"/>
    <m/>
    <n v="138789"/>
    <x v="3"/>
    <n v="167958"/>
    <n v="165478"/>
    <n v="143822"/>
    <n v="140585"/>
    <n v="5977"/>
    <n v="6266"/>
    <n v="18159"/>
    <m/>
    <m/>
    <n v="18627"/>
    <m/>
    <m/>
    <m/>
    <m/>
    <n v="14780"/>
    <n v="15222"/>
    <n v="11495"/>
    <n v="11491"/>
    <n v="144"/>
    <n v="0"/>
    <n v="3141"/>
    <m/>
    <m/>
    <n v="3731"/>
    <m/>
    <m/>
    <x v="0"/>
    <x v="0"/>
  </r>
  <r>
    <x v="4"/>
    <s v="Clayton State University"/>
    <m/>
    <n v="139311"/>
    <x v="3"/>
    <n v="158774"/>
    <n v="153972"/>
    <n v="125069"/>
    <n v="115246"/>
    <n v="3324"/>
    <n v="3657"/>
    <n v="30321"/>
    <n v="60"/>
    <m/>
    <n v="35069"/>
    <m/>
    <m/>
    <m/>
    <m/>
    <n v="6821"/>
    <n v="7279"/>
    <n v="5307"/>
    <n v="5298"/>
    <n v="323"/>
    <n v="277"/>
    <n v="1182"/>
    <n v="9"/>
    <m/>
    <n v="1704"/>
    <m/>
    <m/>
    <x v="0"/>
    <x v="0"/>
  </r>
  <r>
    <x v="4"/>
    <s v="Columbus State University"/>
    <s v="Met the criteria for Four-Year 3 in 2015-16."/>
    <n v="139366"/>
    <x v="3"/>
    <n v="180245"/>
    <n v="179355"/>
    <n v="142194"/>
    <n v="137932"/>
    <n v="6422"/>
    <n v="7219"/>
    <n v="31136"/>
    <n v="6"/>
    <n v="442"/>
    <n v="33635"/>
    <n v="15"/>
    <n v="523"/>
    <n v="45"/>
    <n v="31"/>
    <n v="21545"/>
    <n v="24662"/>
    <n v="11291"/>
    <n v="10829"/>
    <n v="608"/>
    <n v="592"/>
    <n v="9646"/>
    <m/>
    <m/>
    <n v="12807"/>
    <m/>
    <n v="434"/>
    <x v="0"/>
    <x v="0"/>
  </r>
  <r>
    <x v="4"/>
    <s v="Georgia College and State University"/>
    <m/>
    <n v="139861"/>
    <x v="3"/>
    <n v="174645"/>
    <n v="179542"/>
    <n v="161384.5"/>
    <n v="163964"/>
    <n v="2820.5"/>
    <n v="2888"/>
    <n v="10440"/>
    <m/>
    <m/>
    <n v="12655"/>
    <m/>
    <n v="35"/>
    <m/>
    <n v="0"/>
    <n v="17380"/>
    <n v="17635"/>
    <n v="6014"/>
    <n v="5174"/>
    <n v="6697"/>
    <n v="3952"/>
    <n v="4669"/>
    <m/>
    <m/>
    <n v="8053"/>
    <m/>
    <n v="456"/>
    <x v="0"/>
    <x v="0"/>
  </r>
  <r>
    <x v="4"/>
    <s v="Georgia Regents University"/>
    <m/>
    <n v="482149"/>
    <x v="3"/>
    <n v="144036"/>
    <n v="136552"/>
    <n v="128425"/>
    <n v="120634"/>
    <n v="1772"/>
    <n v="1967"/>
    <n v="13469"/>
    <n v="237"/>
    <n v="133"/>
    <n v="13951"/>
    <m/>
    <m/>
    <m/>
    <m/>
    <n v="182666"/>
    <n v="184617"/>
    <n v="157040"/>
    <n v="157759"/>
    <n v="16181"/>
    <n v="16305"/>
    <n v="9375"/>
    <m/>
    <n v="70"/>
    <n v="10553"/>
    <m/>
    <m/>
    <x v="0"/>
    <x v="0"/>
  </r>
  <r>
    <x v="4"/>
    <s v="University of North Georgia"/>
    <m/>
    <n v="482680"/>
    <x v="3"/>
    <n v="376762"/>
    <n v="401913"/>
    <n v="346706"/>
    <n v="365343"/>
    <n v="5152"/>
    <n v="4246"/>
    <n v="24904"/>
    <m/>
    <m/>
    <n v="32324"/>
    <m/>
    <m/>
    <m/>
    <m/>
    <n v="11685"/>
    <n v="11026"/>
    <n v="8458"/>
    <n v="6537"/>
    <n v="604"/>
    <n v="1313"/>
    <n v="2623"/>
    <m/>
    <m/>
    <n v="3176"/>
    <m/>
    <m/>
    <x v="0"/>
    <x v="0"/>
  </r>
  <r>
    <x v="4"/>
    <s v="Fort Valley State University"/>
    <s v="Reclassified: Met the criteria for Four-Year 4 in 2013-14, 2014-15, and 2015-16."/>
    <n v="139719"/>
    <x v="3"/>
    <n v="68639"/>
    <n v="64797"/>
    <n v="57906"/>
    <n v="52482"/>
    <n v="69"/>
    <n v="183"/>
    <n v="9265"/>
    <m/>
    <n v="54"/>
    <n v="10322"/>
    <m/>
    <n v="1741"/>
    <n v="1345"/>
    <n v="69"/>
    <n v="5481"/>
    <n v="6977"/>
    <n v="3678"/>
    <n v="5043"/>
    <n v="238"/>
    <n v="30"/>
    <n v="1528"/>
    <m/>
    <m/>
    <n v="1869"/>
    <m/>
    <n v="35"/>
    <x v="5"/>
    <x v="0"/>
  </r>
  <r>
    <x v="4"/>
    <s v="Georgia Southwestern State University"/>
    <s v="Met the criteria for Four-Year 4 in 2015-16."/>
    <n v="139764"/>
    <x v="4"/>
    <n v="66073"/>
    <n v="62875"/>
    <n v="43087"/>
    <n v="40548"/>
    <n v="1558"/>
    <n v="2009"/>
    <n v="21428"/>
    <m/>
    <m/>
    <n v="20318"/>
    <m/>
    <m/>
    <m/>
    <m/>
    <n v="3183"/>
    <n v="5754"/>
    <n v="1467"/>
    <n v="2652"/>
    <m/>
    <n v="324"/>
    <n v="1716"/>
    <m/>
    <m/>
    <n v="2778"/>
    <m/>
    <m/>
    <x v="0"/>
    <x v="0"/>
  </r>
  <r>
    <x v="4"/>
    <s v="Savannah State University"/>
    <m/>
    <n v="140960"/>
    <x v="4"/>
    <n v="132276"/>
    <n v="128302"/>
    <n v="126216"/>
    <n v="118889"/>
    <n v="78"/>
    <n v="404"/>
    <n v="5982"/>
    <m/>
    <m/>
    <n v="9009"/>
    <m/>
    <m/>
    <m/>
    <m/>
    <n v="3708"/>
    <n v="3689"/>
    <n v="2487"/>
    <n v="2606"/>
    <n v="1188"/>
    <n v="927"/>
    <n v="33"/>
    <m/>
    <m/>
    <n v="156"/>
    <m/>
    <m/>
    <x v="0"/>
    <x v="0"/>
  </r>
  <r>
    <x v="4"/>
    <s v="Dalton State College "/>
    <m/>
    <n v="139463"/>
    <x v="5"/>
    <n v="111767"/>
    <n v="116563"/>
    <n v="102093"/>
    <n v="105991"/>
    <n v="5165"/>
    <n v="4036"/>
    <n v="4509"/>
    <m/>
    <m/>
    <n v="6536"/>
    <m/>
    <m/>
    <m/>
    <m/>
    <n v="0"/>
    <n v="0"/>
    <m/>
    <m/>
    <m/>
    <m/>
    <m/>
    <m/>
    <m/>
    <m/>
    <m/>
    <m/>
    <x v="0"/>
    <x v="0"/>
  </r>
  <r>
    <x v="4"/>
    <s v="Georgia Gwinnett College"/>
    <m/>
    <n v="447689"/>
    <x v="5"/>
    <n v="263343"/>
    <n v="281429"/>
    <n v="263143"/>
    <n v="281405"/>
    <n v="78"/>
    <n v="15"/>
    <n v="122"/>
    <m/>
    <m/>
    <n v="9"/>
    <m/>
    <m/>
    <m/>
    <m/>
    <n v="0"/>
    <n v="0"/>
    <m/>
    <m/>
    <m/>
    <m/>
    <m/>
    <m/>
    <m/>
    <m/>
    <m/>
    <m/>
    <x v="0"/>
    <x v="0"/>
  </r>
  <r>
    <x v="4"/>
    <s v="Middle Georgia State College"/>
    <m/>
    <n v="482158"/>
    <x v="5"/>
    <n v="192034"/>
    <n v="183055"/>
    <n v="124229"/>
    <n v="110645"/>
    <n v="29029"/>
    <n v="26299"/>
    <n v="38776"/>
    <m/>
    <m/>
    <n v="45820"/>
    <n v="291"/>
    <m/>
    <m/>
    <m/>
    <n v="0"/>
    <n v="0"/>
    <m/>
    <m/>
    <m/>
    <m/>
    <m/>
    <m/>
    <m/>
    <m/>
    <m/>
    <m/>
    <x v="0"/>
    <x v="0"/>
  </r>
  <r>
    <x v="4"/>
    <s v="Abraham Baldwin Agricultural College "/>
    <m/>
    <n v="138558"/>
    <x v="12"/>
    <n v="83729"/>
    <n v="84213"/>
    <n v="77766"/>
    <n v="77688"/>
    <n v="3631"/>
    <n v="3837"/>
    <n v="2170"/>
    <m/>
    <n v="102"/>
    <n v="2591"/>
    <m/>
    <n v="97"/>
    <n v="60"/>
    <m/>
    <n v="0"/>
    <n v="0"/>
    <m/>
    <m/>
    <m/>
    <m/>
    <m/>
    <m/>
    <m/>
    <m/>
    <m/>
    <m/>
    <x v="0"/>
    <x v="0"/>
  </r>
  <r>
    <x v="4"/>
    <s v="College of Coastal Georgia "/>
    <s v="Met the criteria for Four-Year 6 in 2014-15 and 2015-16. "/>
    <n v="139250"/>
    <x v="12"/>
    <n v="70526"/>
    <n v="73135"/>
    <n v="62124"/>
    <n v="62021"/>
    <n v="1067"/>
    <n v="734"/>
    <n v="7335"/>
    <m/>
    <m/>
    <n v="10380"/>
    <m/>
    <m/>
    <m/>
    <m/>
    <n v="0"/>
    <n v="0"/>
    <m/>
    <m/>
    <m/>
    <m/>
    <m/>
    <m/>
    <m/>
    <m/>
    <m/>
    <m/>
    <x v="0"/>
    <x v="0"/>
  </r>
  <r>
    <x v="4"/>
    <s v="Gordon State College "/>
    <s v="Met the criteria for Four-Year 6 in 2015-16. "/>
    <n v="139968"/>
    <x v="12"/>
    <n v="96722"/>
    <n v="94569"/>
    <n v="86418"/>
    <n v="79273"/>
    <n v="2765"/>
    <n v="3542"/>
    <n v="4976"/>
    <m/>
    <n v="2563"/>
    <n v="11754"/>
    <m/>
    <m/>
    <m/>
    <m/>
    <n v="0"/>
    <n v="0"/>
    <m/>
    <m/>
    <m/>
    <m/>
    <m/>
    <m/>
    <m/>
    <m/>
    <m/>
    <m/>
    <x v="0"/>
    <x v="0"/>
  </r>
  <r>
    <x v="4"/>
    <s v="Georgia Perimeter College "/>
    <m/>
    <n v="244437"/>
    <x v="7"/>
    <n v="461341"/>
    <n v="455219"/>
    <n v="358603"/>
    <n v="344887"/>
    <n v="3167"/>
    <n v="2831"/>
    <n v="87024"/>
    <m/>
    <n v="12547"/>
    <n v="107501"/>
    <m/>
    <m/>
    <m/>
    <m/>
    <n v="0"/>
    <n v="0"/>
    <m/>
    <m/>
    <m/>
    <m/>
    <m/>
    <m/>
    <m/>
    <m/>
    <m/>
    <m/>
    <x v="0"/>
    <x v="0"/>
  </r>
  <r>
    <x v="4"/>
    <s v="Atlanta Metropolitan State College"/>
    <s v="Met the criteria for Two-Year with Bachelor's in 2014-15 and 2015-16. "/>
    <n v="138901"/>
    <x v="6"/>
    <n v="73188"/>
    <n v="70151"/>
    <n v="55163"/>
    <n v="52143"/>
    <n v="405"/>
    <n v="684"/>
    <n v="17509"/>
    <m/>
    <n v="111"/>
    <n v="17243"/>
    <m/>
    <n v="81"/>
    <m/>
    <m/>
    <n v="0"/>
    <n v="0"/>
    <m/>
    <m/>
    <m/>
    <m/>
    <m/>
    <m/>
    <m/>
    <m/>
    <m/>
    <m/>
    <x v="0"/>
    <x v="0"/>
  </r>
  <r>
    <x v="4"/>
    <s v="Bainbridge State College "/>
    <s v="Met the criteria for Two-Year 3 in 2014-15 and 2015-16."/>
    <n v="139010"/>
    <x v="6"/>
    <n v="57994"/>
    <n v="50059"/>
    <n v="32330"/>
    <n v="29868"/>
    <n v="9191"/>
    <n v="4290"/>
    <n v="16473"/>
    <m/>
    <m/>
    <n v="15901"/>
    <m/>
    <m/>
    <m/>
    <m/>
    <n v="0"/>
    <n v="0"/>
    <m/>
    <m/>
    <m/>
    <m/>
    <m/>
    <m/>
    <m/>
    <m/>
    <m/>
    <m/>
    <x v="0"/>
    <x v="0"/>
  </r>
  <r>
    <x v="4"/>
    <s v="Darton State College "/>
    <s v="Met the criteria for Two-Year with Bachelor's in 2014-15 and 2015-16. "/>
    <n v="138691"/>
    <x v="6"/>
    <n v="133516.5"/>
    <n v="129073"/>
    <n v="70163.5"/>
    <n v="64845"/>
    <n v="7011"/>
    <n v="7997"/>
    <n v="56230"/>
    <m/>
    <n v="112"/>
    <n v="55958"/>
    <m/>
    <n v="273"/>
    <m/>
    <m/>
    <n v="0"/>
    <n v="0"/>
    <m/>
    <m/>
    <m/>
    <m/>
    <m/>
    <m/>
    <m/>
    <m/>
    <m/>
    <m/>
    <x v="0"/>
    <x v="0"/>
  </r>
  <r>
    <x v="4"/>
    <s v="East Georgia State College"/>
    <s v="Met the criteria for Two-Year with Bachelor's in 2014-15 and 2015-16. "/>
    <n v="139621"/>
    <x v="6"/>
    <n v="68721"/>
    <n v="70073"/>
    <n v="45104"/>
    <n v="43806"/>
    <n v="11425"/>
    <n v="13253"/>
    <n v="12189"/>
    <m/>
    <n v="3"/>
    <n v="12756"/>
    <m/>
    <n v="258"/>
    <m/>
    <m/>
    <n v="0"/>
    <n v="0"/>
    <m/>
    <m/>
    <m/>
    <m/>
    <m/>
    <m/>
    <m/>
    <m/>
    <m/>
    <m/>
    <x v="0"/>
    <x v="0"/>
  </r>
  <r>
    <x v="4"/>
    <s v="Georgia Highlands College"/>
    <s v="Met the criteria for Two-Year with Bachelor's in 2015-16. "/>
    <n v="139700"/>
    <x v="6"/>
    <n v="118303"/>
    <n v="120950"/>
    <n v="82247"/>
    <n v="77747"/>
    <n v="17675"/>
    <n v="19308"/>
    <n v="16704"/>
    <n v="528"/>
    <n v="669"/>
    <n v="22833"/>
    <m/>
    <n v="708"/>
    <n v="480"/>
    <n v="354"/>
    <n v="0"/>
    <n v="0"/>
    <m/>
    <m/>
    <m/>
    <m/>
    <m/>
    <m/>
    <m/>
    <m/>
    <m/>
    <m/>
    <x v="0"/>
    <x v="0"/>
  </r>
  <r>
    <x v="4"/>
    <s v="South Georgia State College"/>
    <s v="Met the criteria for Two-Year with Bachelor's in 2014-15 and 2015-16. "/>
    <n v="482699"/>
    <x v="6"/>
    <n v="61969"/>
    <n v="63947"/>
    <n v="29360"/>
    <n v="28933"/>
    <n v="28575"/>
    <n v="30791"/>
    <n v="4034"/>
    <m/>
    <m/>
    <n v="3819"/>
    <m/>
    <n v="404"/>
    <m/>
    <m/>
    <n v="0"/>
    <n v="0"/>
    <m/>
    <m/>
    <m/>
    <m/>
    <m/>
    <m/>
    <m/>
    <m/>
    <m/>
    <m/>
    <x v="0"/>
    <x v="0"/>
  </r>
  <r>
    <x v="4"/>
    <s v="Albany Technical College"/>
    <m/>
    <n v="138682"/>
    <x v="9"/>
    <n v="107540"/>
    <n v="97288"/>
    <n v="63195"/>
    <n v="55357"/>
    <m/>
    <m/>
    <n v="44345"/>
    <n v="0"/>
    <n v="0"/>
    <n v="41931"/>
    <n v="0"/>
    <m/>
    <m/>
    <m/>
    <n v="0"/>
    <n v="0"/>
    <m/>
    <m/>
    <m/>
    <m/>
    <m/>
    <m/>
    <m/>
    <m/>
    <m/>
    <m/>
    <x v="0"/>
    <x v="0"/>
  </r>
  <r>
    <x v="4"/>
    <s v="Athens Technical College"/>
    <m/>
    <n v="246813"/>
    <x v="9"/>
    <n v="86355"/>
    <n v="80027"/>
    <n v="70305"/>
    <n v="64359"/>
    <m/>
    <m/>
    <n v="14306"/>
    <n v="1744"/>
    <n v="0"/>
    <n v="14760"/>
    <n v="908"/>
    <m/>
    <m/>
    <m/>
    <n v="0"/>
    <n v="0"/>
    <m/>
    <m/>
    <m/>
    <m/>
    <m/>
    <m/>
    <m/>
    <m/>
    <m/>
    <m/>
    <x v="0"/>
    <x v="0"/>
  </r>
  <r>
    <x v="4"/>
    <s v="Atlanta Technical College"/>
    <m/>
    <n v="138840"/>
    <x v="9"/>
    <n v="118620"/>
    <n v="104951"/>
    <n v="90100"/>
    <n v="74886"/>
    <m/>
    <m/>
    <n v="28520"/>
    <n v="0"/>
    <n v="0"/>
    <n v="30065"/>
    <n v="0"/>
    <m/>
    <m/>
    <m/>
    <n v="0"/>
    <n v="0"/>
    <m/>
    <m/>
    <m/>
    <m/>
    <m/>
    <m/>
    <m/>
    <m/>
    <m/>
    <m/>
    <x v="0"/>
    <x v="0"/>
  </r>
  <r>
    <x v="4"/>
    <s v="Augusta Technical College"/>
    <m/>
    <n v="138956"/>
    <x v="9"/>
    <n v="99888"/>
    <n v="100410"/>
    <n v="88338"/>
    <n v="88042"/>
    <m/>
    <m/>
    <n v="11550"/>
    <n v="0"/>
    <n v="0"/>
    <n v="12368"/>
    <n v="0"/>
    <m/>
    <m/>
    <m/>
    <n v="0"/>
    <n v="0"/>
    <m/>
    <m/>
    <m/>
    <m/>
    <m/>
    <m/>
    <m/>
    <m/>
    <m/>
    <m/>
    <x v="0"/>
    <x v="0"/>
  </r>
  <r>
    <x v="4"/>
    <s v="Central Georgia Technical College"/>
    <m/>
    <n v="483045"/>
    <x v="9"/>
    <n v="192474"/>
    <n v="184002"/>
    <n v="117246"/>
    <n v="105244"/>
    <m/>
    <m/>
    <n v="69908"/>
    <n v="5320"/>
    <n v="0"/>
    <n v="69106"/>
    <n v="9652"/>
    <m/>
    <m/>
    <m/>
    <n v="0"/>
    <n v="0"/>
    <m/>
    <m/>
    <m/>
    <m/>
    <m/>
    <m/>
    <m/>
    <m/>
    <m/>
    <m/>
    <x v="0"/>
    <x v="0"/>
  </r>
  <r>
    <x v="4"/>
    <s v="Chattahoochee Technical College"/>
    <m/>
    <n v="140331"/>
    <x v="9"/>
    <n v="211273"/>
    <n v="199940"/>
    <n v="126392"/>
    <n v="100597"/>
    <m/>
    <m/>
    <n v="84881"/>
    <n v="0"/>
    <n v="0"/>
    <n v="99343"/>
    <n v="0"/>
    <m/>
    <m/>
    <m/>
    <n v="0"/>
    <n v="0"/>
    <m/>
    <m/>
    <m/>
    <m/>
    <m/>
    <m/>
    <m/>
    <m/>
    <m/>
    <m/>
    <x v="0"/>
    <x v="0"/>
  </r>
  <r>
    <x v="4"/>
    <s v="Coastal Pines Technical College"/>
    <m/>
    <n v="485458"/>
    <x v="9"/>
    <n v="51755"/>
    <n v="49910"/>
    <n v="44039"/>
    <n v="41213"/>
    <m/>
    <m/>
    <n v="7716"/>
    <n v="0"/>
    <n v="0"/>
    <n v="8697"/>
    <n v="0"/>
    <m/>
    <m/>
    <m/>
    <n v="0"/>
    <n v="0"/>
    <m/>
    <m/>
    <m/>
    <m/>
    <m/>
    <m/>
    <m/>
    <m/>
    <m/>
    <m/>
    <x v="0"/>
    <x v="0"/>
  </r>
  <r>
    <x v="4"/>
    <s v="Columbus Technical College"/>
    <m/>
    <n v="139357"/>
    <x v="9"/>
    <n v="82008"/>
    <n v="75520"/>
    <n v="52180"/>
    <n v="47168"/>
    <m/>
    <m/>
    <n v="29828"/>
    <n v="0"/>
    <n v="0"/>
    <n v="28352"/>
    <n v="0"/>
    <m/>
    <m/>
    <m/>
    <n v="0"/>
    <n v="0"/>
    <m/>
    <m/>
    <m/>
    <m/>
    <m/>
    <m/>
    <m/>
    <m/>
    <m/>
    <m/>
    <x v="0"/>
    <x v="0"/>
  </r>
  <r>
    <x v="4"/>
    <s v="Georgia Northwestern Technical College"/>
    <m/>
    <n v="139384"/>
    <x v="9"/>
    <n v="127581"/>
    <n v="121287"/>
    <n v="91528"/>
    <n v="83117"/>
    <m/>
    <m/>
    <n v="36053"/>
    <n v="0"/>
    <n v="0"/>
    <n v="38170"/>
    <n v="0"/>
    <m/>
    <m/>
    <m/>
    <n v="0"/>
    <n v="0"/>
    <m/>
    <m/>
    <m/>
    <m/>
    <m/>
    <m/>
    <m/>
    <m/>
    <m/>
    <m/>
    <x v="0"/>
    <x v="0"/>
  </r>
  <r>
    <x v="4"/>
    <s v="Georgia Piedmont Technical College"/>
    <m/>
    <n v="244446"/>
    <x v="9"/>
    <n v="93526"/>
    <n v="88447"/>
    <n v="48368"/>
    <n v="42202"/>
    <m/>
    <m/>
    <n v="44999"/>
    <n v="159"/>
    <n v="0"/>
    <n v="46131"/>
    <n v="114"/>
    <m/>
    <m/>
    <m/>
    <n v="0"/>
    <n v="0"/>
    <m/>
    <m/>
    <m/>
    <m/>
    <m/>
    <m/>
    <m/>
    <m/>
    <m/>
    <m/>
    <x v="0"/>
    <x v="0"/>
  </r>
  <r>
    <x v="4"/>
    <s v="Gwinnett Technical College"/>
    <m/>
    <n v="140012"/>
    <x v="9"/>
    <n v="150763"/>
    <n v="141665"/>
    <n v="81917"/>
    <n v="85269"/>
    <m/>
    <m/>
    <n v="68846"/>
    <n v="0"/>
    <n v="0"/>
    <n v="56396"/>
    <n v="0"/>
    <m/>
    <m/>
    <m/>
    <n v="0"/>
    <n v="0"/>
    <m/>
    <m/>
    <m/>
    <m/>
    <m/>
    <m/>
    <m/>
    <m/>
    <m/>
    <m/>
    <x v="0"/>
    <x v="0"/>
  </r>
  <r>
    <x v="4"/>
    <s v="Lanier Technical College"/>
    <m/>
    <n v="140243"/>
    <x v="9"/>
    <n v="77851"/>
    <n v="74461"/>
    <n v="49354"/>
    <n v="49925"/>
    <m/>
    <m/>
    <n v="28497"/>
    <n v="0"/>
    <n v="0"/>
    <n v="24536"/>
    <n v="0"/>
    <m/>
    <m/>
    <m/>
    <n v="0"/>
    <n v="0"/>
    <m/>
    <m/>
    <m/>
    <m/>
    <m/>
    <m/>
    <m/>
    <m/>
    <m/>
    <m/>
    <x v="0"/>
    <x v="0"/>
  </r>
  <r>
    <x v="4"/>
    <s v="North Georgia Technical College"/>
    <m/>
    <n v="140678"/>
    <x v="9"/>
    <n v="57759"/>
    <n v="57769"/>
    <n v="40005"/>
    <n v="39503"/>
    <m/>
    <m/>
    <n v="17754"/>
    <n v="0"/>
    <n v="0"/>
    <n v="18266"/>
    <n v="0"/>
    <m/>
    <m/>
    <m/>
    <n v="0"/>
    <n v="0"/>
    <m/>
    <m/>
    <m/>
    <m/>
    <m/>
    <m/>
    <m/>
    <m/>
    <m/>
    <m/>
    <x v="0"/>
    <x v="0"/>
  </r>
  <r>
    <x v="4"/>
    <s v="Oconee Fall Line Technical College"/>
    <m/>
    <n v="420431"/>
    <x v="9"/>
    <n v="38711"/>
    <n v="35721"/>
    <n v="26100"/>
    <n v="23843"/>
    <m/>
    <m/>
    <n v="12611"/>
    <n v="0"/>
    <n v="0"/>
    <n v="11878"/>
    <n v="0"/>
    <m/>
    <m/>
    <m/>
    <n v="0"/>
    <n v="0"/>
    <m/>
    <m/>
    <m/>
    <m/>
    <m/>
    <m/>
    <m/>
    <m/>
    <m/>
    <m/>
    <x v="0"/>
    <x v="0"/>
  </r>
  <r>
    <x v="4"/>
    <s v="Ogeechee Technical College"/>
    <m/>
    <n v="366465"/>
    <x v="9"/>
    <n v="59667"/>
    <n v="55250"/>
    <n v="43177"/>
    <n v="38907"/>
    <m/>
    <m/>
    <n v="16490"/>
    <n v="0"/>
    <n v="0"/>
    <n v="16343"/>
    <n v="0"/>
    <m/>
    <m/>
    <m/>
    <n v="0"/>
    <n v="0"/>
    <m/>
    <m/>
    <m/>
    <m/>
    <m/>
    <m/>
    <m/>
    <m/>
    <m/>
    <m/>
    <x v="0"/>
    <x v="0"/>
  </r>
  <r>
    <x v="4"/>
    <s v="Savannah Technical College"/>
    <m/>
    <n v="140942"/>
    <x v="9"/>
    <n v="107493"/>
    <n v="95273"/>
    <n v="77654"/>
    <n v="69904"/>
    <m/>
    <m/>
    <n v="29665"/>
    <n v="174"/>
    <n v="0"/>
    <n v="25097"/>
    <n v="272"/>
    <m/>
    <m/>
    <m/>
    <n v="0"/>
    <n v="0"/>
    <m/>
    <m/>
    <m/>
    <m/>
    <m/>
    <m/>
    <m/>
    <m/>
    <m/>
    <m/>
    <x v="0"/>
    <x v="0"/>
  </r>
  <r>
    <x v="4"/>
    <s v="South Georgia Technical College"/>
    <m/>
    <n v="141006"/>
    <x v="9"/>
    <n v="43690.5"/>
    <n v="43330"/>
    <n v="42402.5"/>
    <n v="41209"/>
    <m/>
    <m/>
    <n v="1288"/>
    <n v="0"/>
    <n v="0"/>
    <n v="2121"/>
    <n v="0"/>
    <m/>
    <m/>
    <m/>
    <n v="0"/>
    <n v="0"/>
    <m/>
    <m/>
    <m/>
    <m/>
    <m/>
    <m/>
    <m/>
    <m/>
    <m/>
    <m/>
    <x v="0"/>
    <x v="0"/>
  </r>
  <r>
    <x v="4"/>
    <s v="Southeastern Technical College"/>
    <m/>
    <n v="368911"/>
    <x v="9"/>
    <n v="33933"/>
    <n v="34443"/>
    <n v="27937"/>
    <n v="28764"/>
    <m/>
    <m/>
    <n v="5996"/>
    <n v="0"/>
    <n v="0"/>
    <n v="5679"/>
    <n v="0"/>
    <m/>
    <m/>
    <m/>
    <n v="0"/>
    <n v="0"/>
    <m/>
    <m/>
    <m/>
    <m/>
    <m/>
    <m/>
    <m/>
    <m/>
    <m/>
    <m/>
    <x v="0"/>
    <x v="0"/>
  </r>
  <r>
    <x v="4"/>
    <s v="Southern Crescent Technical College"/>
    <m/>
    <n v="139986"/>
    <x v="9"/>
    <n v="107995"/>
    <n v="101196"/>
    <n v="77351"/>
    <n v="72628"/>
    <m/>
    <m/>
    <n v="30644"/>
    <n v="0"/>
    <n v="0"/>
    <n v="28568"/>
    <n v="0"/>
    <m/>
    <m/>
    <m/>
    <n v="0"/>
    <n v="0"/>
    <m/>
    <m/>
    <m/>
    <m/>
    <m/>
    <m/>
    <m/>
    <m/>
    <m/>
    <m/>
    <x v="0"/>
    <x v="0"/>
  </r>
  <r>
    <x v="4"/>
    <s v="Southern Regional Technical College"/>
    <m/>
    <n v="487162"/>
    <x v="9"/>
    <n v="77464"/>
    <n v="75623"/>
    <n v="61457"/>
    <n v="58690"/>
    <m/>
    <m/>
    <n v="16007"/>
    <n v="0"/>
    <n v="0"/>
    <n v="16933"/>
    <n v="0"/>
    <m/>
    <m/>
    <m/>
    <n v="0"/>
    <n v="0"/>
    <m/>
    <m/>
    <m/>
    <m/>
    <m/>
    <m/>
    <m/>
    <m/>
    <m/>
    <m/>
    <x v="0"/>
    <x v="0"/>
  </r>
  <r>
    <x v="4"/>
    <s v="West Georgia Technical College"/>
    <m/>
    <n v="139278"/>
    <x v="9"/>
    <n v="141737"/>
    <n v="132957"/>
    <n v="102952"/>
    <n v="95951"/>
    <m/>
    <m/>
    <n v="38785"/>
    <n v="0"/>
    <n v="0"/>
    <n v="37006"/>
    <n v="0"/>
    <m/>
    <m/>
    <m/>
    <n v="0"/>
    <n v="0"/>
    <m/>
    <m/>
    <m/>
    <m/>
    <m/>
    <m/>
    <m/>
    <m/>
    <m/>
    <m/>
    <x v="0"/>
    <x v="0"/>
  </r>
  <r>
    <x v="4"/>
    <s v="Wiregrass Georgia Technical College"/>
    <m/>
    <n v="141255"/>
    <x v="9"/>
    <n v="82512"/>
    <n v="75717"/>
    <n v="63719"/>
    <n v="58172"/>
    <m/>
    <m/>
    <n v="18793"/>
    <n v="0"/>
    <n v="0"/>
    <n v="17545"/>
    <n v="0"/>
    <m/>
    <m/>
    <m/>
    <n v="0"/>
    <n v="0"/>
    <m/>
    <m/>
    <m/>
    <m/>
    <m/>
    <m/>
    <m/>
    <m/>
    <m/>
    <m/>
    <x v="0"/>
    <x v="0"/>
  </r>
  <r>
    <x v="5"/>
    <s v="University of Kentucky"/>
    <m/>
    <n v="157085"/>
    <x v="0"/>
    <n v="609304"/>
    <n v="697979"/>
    <n v="566657"/>
    <n v="642626"/>
    <n v="4898"/>
    <n v="6430"/>
    <n v="34451"/>
    <n v="3298"/>
    <m/>
    <n v="46133"/>
    <n v="2730"/>
    <n v="60"/>
    <m/>
    <m/>
    <n v="80810"/>
    <n v="82764"/>
    <n v="65251"/>
    <n v="65909"/>
    <n v="2085"/>
    <n v="2299"/>
    <n v="12731"/>
    <n v="743"/>
    <m/>
    <n v="13960"/>
    <n v="596"/>
    <m/>
    <x v="0"/>
    <x v="0"/>
  </r>
  <r>
    <x v="5"/>
    <s v="University of Louisville"/>
    <m/>
    <n v="157289"/>
    <x v="0"/>
    <n v="405502"/>
    <n v="407968"/>
    <n v="356647"/>
    <n v="353446"/>
    <n v="11644"/>
    <n v="13610"/>
    <n v="37211"/>
    <m/>
    <m/>
    <n v="40912"/>
    <m/>
    <m/>
    <m/>
    <m/>
    <n v="76877"/>
    <n v="77737"/>
    <n v="62712"/>
    <n v="57991"/>
    <n v="4248"/>
    <n v="7132"/>
    <n v="9917"/>
    <m/>
    <m/>
    <n v="12614"/>
    <m/>
    <m/>
    <x v="0"/>
    <x v="0"/>
  </r>
  <r>
    <x v="5"/>
    <s v="Eastern Kentucky University "/>
    <m/>
    <n v="156620"/>
    <x v="2"/>
    <n v="356275"/>
    <n v="402899"/>
    <n v="275718"/>
    <n v="310571"/>
    <n v="16042"/>
    <n v="15251"/>
    <n v="57330"/>
    <n v="7179"/>
    <n v="6"/>
    <n v="68253"/>
    <n v="7146"/>
    <n v="1678"/>
    <m/>
    <m/>
    <n v="40350"/>
    <n v="42908"/>
    <n v="17479"/>
    <n v="16716"/>
    <n v="662"/>
    <n v="563"/>
    <n v="22173"/>
    <n v="33"/>
    <n v="3"/>
    <n v="25055"/>
    <m/>
    <n v="574"/>
    <x v="0"/>
    <x v="0"/>
  </r>
  <r>
    <x v="5"/>
    <s v="Morehead State University "/>
    <m/>
    <n v="157386"/>
    <x v="2"/>
    <n v="207910"/>
    <n v="210661"/>
    <n v="131857"/>
    <n v="137947"/>
    <n v="22379"/>
    <n v="21069"/>
    <n v="44640"/>
    <n v="9034"/>
    <m/>
    <n v="44070"/>
    <n v="7575"/>
    <m/>
    <m/>
    <m/>
    <n v="17132"/>
    <n v="15991"/>
    <n v="2937"/>
    <n v="2475"/>
    <n v="165"/>
    <n v="501"/>
    <n v="13808"/>
    <n v="222"/>
    <m/>
    <n v="12982"/>
    <n v="33"/>
    <m/>
    <x v="0"/>
    <x v="0"/>
  </r>
  <r>
    <x v="5"/>
    <s v="Murray State University "/>
    <m/>
    <n v="157401"/>
    <x v="2"/>
    <n v="234320"/>
    <n v="243973"/>
    <n v="196013"/>
    <n v="201972"/>
    <n v="10379"/>
    <n v="10804"/>
    <n v="20097"/>
    <n v="7831"/>
    <s v=" "/>
    <n v="21669"/>
    <n v="9528"/>
    <m/>
    <m/>
    <m/>
    <n v="28138"/>
    <n v="28476"/>
    <n v="14035"/>
    <n v="14874"/>
    <n v="2081"/>
    <n v="1777"/>
    <n v="10437"/>
    <n v="1585"/>
    <m/>
    <n v="10824"/>
    <n v="1001"/>
    <m/>
    <x v="0"/>
    <x v="0"/>
  </r>
  <r>
    <x v="5"/>
    <s v="Northern Kentucky University "/>
    <m/>
    <n v="157447"/>
    <x v="2"/>
    <n v="321893"/>
    <n v="363252"/>
    <n v="258108"/>
    <n v="292961"/>
    <n v="10413"/>
    <n v="11089"/>
    <n v="53372"/>
    <m/>
    <m/>
    <n v="58884"/>
    <n v="318"/>
    <m/>
    <m/>
    <m/>
    <n v="36114"/>
    <n v="36507"/>
    <n v="24127"/>
    <n v="25893"/>
    <n v="1064"/>
    <n v="943"/>
    <n v="10923"/>
    <m/>
    <m/>
    <n v="9671"/>
    <m/>
    <m/>
    <x v="0"/>
    <x v="0"/>
  </r>
  <r>
    <x v="5"/>
    <s v="Western Kentucky University "/>
    <m/>
    <n v="157951"/>
    <x v="2"/>
    <n v="436509"/>
    <n v="432977"/>
    <n v="334782"/>
    <n v="329962"/>
    <n v="30987"/>
    <n v="29723"/>
    <n v="63231"/>
    <n v="6808"/>
    <n v="701"/>
    <n v="66728"/>
    <n v="5932"/>
    <n v="632"/>
    <m/>
    <m/>
    <n v="42340"/>
    <n v="42704"/>
    <n v="19922"/>
    <n v="21074"/>
    <n v="855"/>
    <n v="676"/>
    <n v="21139"/>
    <n v="409"/>
    <n v="15"/>
    <n v="20744"/>
    <n v="192"/>
    <n v="18"/>
    <x v="0"/>
    <x v="0"/>
  </r>
  <r>
    <x v="5"/>
    <s v="Kentucky State University "/>
    <m/>
    <n v="157058"/>
    <x v="3"/>
    <n v="47143"/>
    <n v="44123"/>
    <n v="34957"/>
    <n v="33190"/>
    <m/>
    <m/>
    <n v="12186"/>
    <m/>
    <m/>
    <n v="10933"/>
    <m/>
    <m/>
    <m/>
    <m/>
    <n v="2021"/>
    <n v="2227"/>
    <n v="1582"/>
    <n v="1654"/>
    <m/>
    <m/>
    <n v="439"/>
    <m/>
    <m/>
    <n v="573"/>
    <m/>
    <m/>
    <x v="0"/>
    <x v="0"/>
  </r>
  <r>
    <x v="5"/>
    <s v="Bluegrass Community and Technical College"/>
    <m/>
    <n v="157173"/>
    <x v="7"/>
    <n v="221732"/>
    <n v="204085"/>
    <n v="116056"/>
    <n v="106839"/>
    <n v="29354"/>
    <n v="36208"/>
    <n v="76322"/>
    <m/>
    <m/>
    <n v="61038"/>
    <m/>
    <m/>
    <m/>
    <m/>
    <n v="0"/>
    <n v="0"/>
    <m/>
    <m/>
    <m/>
    <m/>
    <m/>
    <m/>
    <m/>
    <m/>
    <m/>
    <m/>
    <x v="0"/>
    <x v="0"/>
  </r>
  <r>
    <x v="5"/>
    <s v="Jefferson Community and Technical College "/>
    <m/>
    <n v="156921"/>
    <x v="7"/>
    <n v="220249"/>
    <n v="213720"/>
    <n v="164542"/>
    <n v="158221"/>
    <n v="10557"/>
    <n v="9613"/>
    <n v="45150"/>
    <m/>
    <m/>
    <n v="45886"/>
    <m/>
    <m/>
    <m/>
    <m/>
    <n v="0"/>
    <n v="0"/>
    <m/>
    <m/>
    <m/>
    <m/>
    <m/>
    <m/>
    <m/>
    <m/>
    <m/>
    <m/>
    <x v="0"/>
    <x v="0"/>
  </r>
  <r>
    <x v="5"/>
    <s v="Ashland Community and Technical College"/>
    <m/>
    <n v="156231"/>
    <x v="6"/>
    <n v="73755"/>
    <n v="62315"/>
    <n v="40411"/>
    <n v="36995"/>
    <n v="3667"/>
    <n v="3367"/>
    <n v="29677"/>
    <m/>
    <m/>
    <n v="21953"/>
    <m/>
    <m/>
    <m/>
    <m/>
    <n v="0"/>
    <n v="0"/>
    <m/>
    <m/>
    <m/>
    <m/>
    <m/>
    <m/>
    <m/>
    <m/>
    <m/>
    <m/>
    <x v="0"/>
    <x v="0"/>
  </r>
  <r>
    <x v="5"/>
    <s v="Big Sandy Community and Technical College "/>
    <m/>
    <n v="157553"/>
    <x v="6"/>
    <n v="75457"/>
    <n v="73968"/>
    <n v="47722"/>
    <n v="42631"/>
    <n v="665"/>
    <n v="376"/>
    <n v="27070"/>
    <m/>
    <m/>
    <n v="30961"/>
    <m/>
    <m/>
    <m/>
    <m/>
    <n v="0"/>
    <n v="0"/>
    <m/>
    <m/>
    <m/>
    <m/>
    <m/>
    <m/>
    <m/>
    <m/>
    <m/>
    <m/>
    <x v="0"/>
    <x v="0"/>
  </r>
  <r>
    <x v="5"/>
    <s v="Elizabethtown Community and Technical College "/>
    <m/>
    <n v="156648"/>
    <x v="6"/>
    <n v="112079"/>
    <n v="105472"/>
    <n v="67032"/>
    <n v="63151"/>
    <n v="5970"/>
    <n v="6017"/>
    <n v="39077"/>
    <m/>
    <m/>
    <n v="36304"/>
    <m/>
    <m/>
    <m/>
    <m/>
    <n v="0"/>
    <n v="0"/>
    <m/>
    <m/>
    <m/>
    <m/>
    <m/>
    <m/>
    <m/>
    <m/>
    <m/>
    <m/>
    <x v="0"/>
    <x v="0"/>
  </r>
  <r>
    <x v="5"/>
    <s v="Hazard Community and Technical College"/>
    <s v="Met the criteria for Two-Year 3 in 2014-15 and 2015-16."/>
    <n v="156790"/>
    <x v="6"/>
    <n v="59995"/>
    <n v="56382"/>
    <n v="27242"/>
    <n v="25669"/>
    <n v="1990"/>
    <n v="1902"/>
    <n v="30763"/>
    <m/>
    <m/>
    <n v="28811"/>
    <m/>
    <m/>
    <m/>
    <m/>
    <n v="0"/>
    <n v="0"/>
    <m/>
    <m/>
    <m/>
    <m/>
    <m/>
    <m/>
    <m/>
    <m/>
    <m/>
    <m/>
    <x v="0"/>
    <x v="0"/>
  </r>
  <r>
    <x v="5"/>
    <s v="Hopkinsville Community College "/>
    <s v="Met the criteria for Two-Year 3 in 2015-16."/>
    <n v="156860"/>
    <x v="6"/>
    <n v="63904"/>
    <n v="59150"/>
    <n v="45172"/>
    <n v="42046"/>
    <n v="1129"/>
    <n v="838"/>
    <n v="17603"/>
    <m/>
    <m/>
    <n v="16266"/>
    <m/>
    <m/>
    <m/>
    <m/>
    <n v="0"/>
    <n v="0"/>
    <m/>
    <m/>
    <m/>
    <m/>
    <m/>
    <m/>
    <m/>
    <m/>
    <m/>
    <m/>
    <x v="0"/>
    <x v="0"/>
  </r>
  <r>
    <x v="5"/>
    <s v="Madisonville Community College"/>
    <s v="Met the criteria for Two-Year 3 in 2015-16."/>
    <n v="157304"/>
    <x v="6"/>
    <n v="63319"/>
    <n v="56168"/>
    <n v="31206"/>
    <n v="29223"/>
    <n v="5309"/>
    <n v="5196"/>
    <n v="26804"/>
    <m/>
    <m/>
    <n v="21749"/>
    <m/>
    <m/>
    <m/>
    <m/>
    <n v="0"/>
    <n v="0"/>
    <m/>
    <m/>
    <m/>
    <m/>
    <m/>
    <m/>
    <m/>
    <m/>
    <m/>
    <m/>
    <x v="0"/>
    <x v="0"/>
  </r>
  <r>
    <x v="5"/>
    <s v="Maysville Community and Technical College "/>
    <m/>
    <n v="157331"/>
    <x v="6"/>
    <n v="77846"/>
    <n v="68130"/>
    <n v="33945"/>
    <n v="33228"/>
    <n v="7030"/>
    <n v="6959"/>
    <n v="36871"/>
    <m/>
    <m/>
    <n v="27943"/>
    <m/>
    <m/>
    <m/>
    <m/>
    <n v="0"/>
    <n v="0"/>
    <m/>
    <m/>
    <m/>
    <m/>
    <m/>
    <m/>
    <m/>
    <m/>
    <m/>
    <m/>
    <x v="0"/>
    <x v="0"/>
  </r>
  <r>
    <x v="5"/>
    <s v="Owensboro Community and Technical College "/>
    <m/>
    <n v="247940"/>
    <x v="6"/>
    <n v="74837"/>
    <n v="65908"/>
    <n v="48161"/>
    <n v="43866"/>
    <n v="3896"/>
    <n v="5058"/>
    <n v="22780"/>
    <m/>
    <m/>
    <n v="16984"/>
    <m/>
    <m/>
    <m/>
    <m/>
    <n v="0"/>
    <n v="0"/>
    <m/>
    <m/>
    <m/>
    <m/>
    <m/>
    <m/>
    <m/>
    <m/>
    <m/>
    <m/>
    <x v="0"/>
    <x v="0"/>
  </r>
  <r>
    <x v="5"/>
    <s v="Somerset Community and Technical College "/>
    <m/>
    <n v="157711"/>
    <x v="6"/>
    <n v="134969"/>
    <n v="126936"/>
    <n v="60366"/>
    <n v="59013"/>
    <n v="10886"/>
    <n v="10539"/>
    <n v="63717"/>
    <m/>
    <m/>
    <n v="57384"/>
    <m/>
    <m/>
    <m/>
    <m/>
    <n v="0"/>
    <n v="0"/>
    <m/>
    <m/>
    <m/>
    <m/>
    <m/>
    <m/>
    <m/>
    <m/>
    <m/>
    <m/>
    <x v="0"/>
    <x v="0"/>
  </r>
  <r>
    <x v="5"/>
    <s v="Southeast Kentucky Community and Technical College"/>
    <s v="Met the criteria for Two-Year 3 in 2015-16."/>
    <n v="157739"/>
    <x v="6"/>
    <n v="62677"/>
    <n v="55536"/>
    <n v="47379"/>
    <n v="41560"/>
    <m/>
    <m/>
    <n v="15298"/>
    <m/>
    <m/>
    <n v="13976"/>
    <m/>
    <m/>
    <m/>
    <m/>
    <n v="0"/>
    <n v="0"/>
    <m/>
    <m/>
    <m/>
    <m/>
    <m/>
    <m/>
    <m/>
    <m/>
    <m/>
    <m/>
    <x v="0"/>
    <x v="0"/>
  </r>
  <r>
    <x v="5"/>
    <s v="West Kentucky Community and Technical College"/>
    <m/>
    <n v="157483"/>
    <x v="6"/>
    <n v="117352"/>
    <n v="106830"/>
    <n v="63548"/>
    <n v="62552"/>
    <n v="6425"/>
    <n v="5705"/>
    <n v="47379"/>
    <m/>
    <m/>
    <n v="38573"/>
    <m/>
    <m/>
    <m/>
    <m/>
    <n v="0"/>
    <n v="0"/>
    <m/>
    <m/>
    <m/>
    <m/>
    <m/>
    <m/>
    <m/>
    <m/>
    <m/>
    <m/>
    <x v="0"/>
    <x v="0"/>
  </r>
  <r>
    <x v="5"/>
    <s v="Henderson Community College "/>
    <m/>
    <n v="156851"/>
    <x v="8"/>
    <n v="33863"/>
    <n v="29352"/>
    <n v="16905"/>
    <n v="15854"/>
    <n v="2714"/>
    <n v="2547"/>
    <n v="14244"/>
    <m/>
    <m/>
    <n v="10951"/>
    <m/>
    <m/>
    <m/>
    <m/>
    <n v="0"/>
    <n v="0"/>
    <m/>
    <m/>
    <m/>
    <m/>
    <m/>
    <m/>
    <m/>
    <m/>
    <m/>
    <m/>
    <x v="0"/>
    <x v="0"/>
  </r>
  <r>
    <x v="5"/>
    <s v="Gateway Community and Technical College"/>
    <m/>
    <n v="157438"/>
    <x v="9"/>
    <n v="73495"/>
    <n v="71221"/>
    <n v="45758"/>
    <n v="36606"/>
    <n v="10631"/>
    <n v="17823"/>
    <n v="17106"/>
    <m/>
    <m/>
    <n v="16792"/>
    <m/>
    <m/>
    <m/>
    <m/>
    <n v="0"/>
    <n v="0"/>
    <m/>
    <m/>
    <m/>
    <m/>
    <m/>
    <m/>
    <m/>
    <m/>
    <m/>
    <m/>
    <x v="0"/>
    <x v="0"/>
  </r>
  <r>
    <x v="5"/>
    <s v="Southcentral Kentucky Community and Technical College"/>
    <m/>
    <n v="156338"/>
    <x v="9"/>
    <n v="79651"/>
    <n v="75716"/>
    <n v="49872"/>
    <n v="49962"/>
    <n v="3442"/>
    <n v="4618"/>
    <n v="26337"/>
    <m/>
    <m/>
    <n v="21136"/>
    <m/>
    <m/>
    <m/>
    <m/>
    <n v="0"/>
    <n v="0"/>
    <m/>
    <m/>
    <m/>
    <m/>
    <m/>
    <m/>
    <m/>
    <m/>
    <m/>
    <m/>
    <x v="0"/>
    <x v="0"/>
  </r>
  <r>
    <x v="6"/>
    <s v="Louisiana State University and A&amp;M College"/>
    <m/>
    <n v="159391"/>
    <x v="0"/>
    <n v="0"/>
    <n v="738492"/>
    <m/>
    <n v="728550.34591747145"/>
    <m/>
    <m/>
    <m/>
    <m/>
    <m/>
    <n v="9941.6540825285338"/>
    <m/>
    <m/>
    <m/>
    <m/>
    <n v="0"/>
    <n v="130715.3"/>
    <m/>
    <n v="127300.61809082031"/>
    <m/>
    <m/>
    <m/>
    <m/>
    <m/>
    <n v="3414.6819091796874"/>
    <m/>
    <m/>
    <x v="0"/>
    <x v="0"/>
  </r>
  <r>
    <x v="6"/>
    <s v="Louisiana Tech University "/>
    <m/>
    <n v="159647"/>
    <x v="1"/>
    <n v="0"/>
    <n v="244494"/>
    <m/>
    <n v="220004.78013029316"/>
    <m/>
    <m/>
    <m/>
    <m/>
    <m/>
    <n v="24489.219869706842"/>
    <m/>
    <m/>
    <m/>
    <m/>
    <n v="0"/>
    <n v="27087"/>
    <m/>
    <n v="22974.997590361447"/>
    <m/>
    <m/>
    <m/>
    <m/>
    <m/>
    <n v="4112.0024096385541"/>
    <m/>
    <m/>
    <x v="0"/>
    <x v="0"/>
  </r>
  <r>
    <x v="6"/>
    <s v="University of Louisiana at Lafayette"/>
    <m/>
    <n v="160658"/>
    <x v="1"/>
    <n v="0"/>
    <n v="419508"/>
    <m/>
    <n v="385392.09422321932"/>
    <m/>
    <m/>
    <m/>
    <m/>
    <m/>
    <n v="34115.905776780703"/>
    <m/>
    <m/>
    <m/>
    <m/>
    <n v="0"/>
    <n v="29611.999999999996"/>
    <m/>
    <n v="26048.077876106192"/>
    <m/>
    <m/>
    <m/>
    <m/>
    <m/>
    <n v="3563.9221238938053"/>
    <m/>
    <m/>
    <x v="0"/>
    <x v="0"/>
  </r>
  <r>
    <x v="6"/>
    <s v="University of New Orleans"/>
    <m/>
    <n v="159939"/>
    <x v="1"/>
    <n v="0"/>
    <n v="174094.00000000003"/>
    <m/>
    <n v="156893.09580838325"/>
    <m/>
    <m/>
    <m/>
    <m/>
    <m/>
    <n v="17200.904191616766"/>
    <m/>
    <m/>
    <m/>
    <m/>
    <n v="0"/>
    <n v="29939.999999999996"/>
    <m/>
    <n v="26308.30945558739"/>
    <m/>
    <m/>
    <m/>
    <m/>
    <m/>
    <n v="3631.6905444126073"/>
    <m/>
    <m/>
    <x v="0"/>
    <x v="0"/>
  </r>
  <r>
    <x v="6"/>
    <s v="Southeastern Louisiana University "/>
    <m/>
    <n v="160612"/>
    <x v="2"/>
    <n v="0"/>
    <n v="324116"/>
    <m/>
    <n v="278178.29921259842"/>
    <m/>
    <m/>
    <m/>
    <m/>
    <m/>
    <n v="45937.700787401576"/>
    <m/>
    <m/>
    <m/>
    <m/>
    <n v="0"/>
    <n v="17647"/>
    <m/>
    <n v="12957.249315068493"/>
    <m/>
    <m/>
    <m/>
    <m/>
    <m/>
    <n v="4689.7506849315068"/>
    <m/>
    <m/>
    <x v="0"/>
    <x v="0"/>
  </r>
  <r>
    <x v="6"/>
    <s v="Southern University and A&amp;M College at Baton Rouge "/>
    <m/>
    <n v="160621"/>
    <x v="2"/>
    <n v="0"/>
    <n v="144833"/>
    <m/>
    <n v="134581.98882450332"/>
    <m/>
    <m/>
    <m/>
    <m/>
    <m/>
    <n v="10251.011175496689"/>
    <m/>
    <m/>
    <m/>
    <m/>
    <n v="0"/>
    <n v="36366"/>
    <m/>
    <n v="32779.733564013841"/>
    <m/>
    <m/>
    <m/>
    <m/>
    <m/>
    <n v="3586.2664359861592"/>
    <m/>
    <m/>
    <x v="0"/>
    <x v="0"/>
  </r>
  <r>
    <x v="6"/>
    <s v="University of Louisiana at Monroe"/>
    <m/>
    <n v="159993"/>
    <x v="2"/>
    <n v="0"/>
    <n v="180126"/>
    <m/>
    <n v="157684.07213114755"/>
    <m/>
    <m/>
    <m/>
    <m/>
    <m/>
    <n v="22441.927868852461"/>
    <m/>
    <m/>
    <m/>
    <m/>
    <n v="0"/>
    <n v="33422"/>
    <m/>
    <n v="19319.546341463414"/>
    <m/>
    <m/>
    <m/>
    <m/>
    <m/>
    <n v="14102.453658536584"/>
    <m/>
    <m/>
    <x v="0"/>
    <x v="0"/>
  </r>
  <r>
    <x v="6"/>
    <s v="Grambling State University"/>
    <m/>
    <n v="159009"/>
    <x v="3"/>
    <n v="0"/>
    <n v="101627"/>
    <m/>
    <n v="96514.977867203226"/>
    <m/>
    <m/>
    <m/>
    <m/>
    <m/>
    <n v="5112.0221327967811"/>
    <m/>
    <m/>
    <m/>
    <m/>
    <n v="0"/>
    <n v="17596"/>
    <m/>
    <n v="12460.980544747083"/>
    <m/>
    <m/>
    <m/>
    <m/>
    <m/>
    <n v="5135.0194552529183"/>
    <m/>
    <m/>
    <x v="0"/>
    <x v="0"/>
  </r>
  <r>
    <x v="6"/>
    <s v="Louisiana State University in Shreveport"/>
    <m/>
    <n v="159416"/>
    <x v="3"/>
    <n v="0"/>
    <n v="66549"/>
    <m/>
    <n v="55593.472854640975"/>
    <m/>
    <m/>
    <m/>
    <m/>
    <m/>
    <n v="10955.527145359018"/>
    <m/>
    <m/>
    <m/>
    <m/>
    <n v="0"/>
    <n v="23436"/>
    <m/>
    <n v="13896.346153846154"/>
    <m/>
    <m/>
    <m/>
    <m/>
    <m/>
    <n v="9539.6538461538457"/>
    <m/>
    <m/>
    <x v="0"/>
    <x v="0"/>
  </r>
  <r>
    <x v="6"/>
    <s v="McNeese State University"/>
    <s v="Met the criteria for Four-Year 3 in 2015-16."/>
    <n v="159717"/>
    <x v="3"/>
    <n v="0"/>
    <n v="194768"/>
    <m/>
    <n v="160687.07056307912"/>
    <m/>
    <m/>
    <m/>
    <m/>
    <m/>
    <n v="34080.929436920887"/>
    <m/>
    <m/>
    <m/>
    <m/>
    <n v="0"/>
    <n v="11742"/>
    <m/>
    <n v="7015.8450000000003"/>
    <m/>
    <m/>
    <m/>
    <m/>
    <m/>
    <n v="4726.1550000000007"/>
    <m/>
    <m/>
    <x v="0"/>
    <x v="0"/>
  </r>
  <r>
    <x v="6"/>
    <s v="Nicholls State University "/>
    <m/>
    <n v="159966"/>
    <x v="3"/>
    <n v="0"/>
    <n v="150602"/>
    <m/>
    <n v="107361.75"/>
    <m/>
    <m/>
    <m/>
    <m/>
    <m/>
    <n v="43240.250000000007"/>
    <m/>
    <m/>
    <m/>
    <m/>
    <n v="0"/>
    <n v="11761"/>
    <m/>
    <n v="6661.50390625"/>
    <m/>
    <m/>
    <m/>
    <m/>
    <m/>
    <n v="5099.49609375"/>
    <m/>
    <m/>
    <x v="0"/>
    <x v="0"/>
  </r>
  <r>
    <x v="6"/>
    <s v="Northwestern State University"/>
    <m/>
    <n v="160038"/>
    <x v="3"/>
    <n v="0"/>
    <n v="198619"/>
    <m/>
    <n v="144284.28245406045"/>
    <m/>
    <m/>
    <m/>
    <m/>
    <m/>
    <n v="54334.717545939544"/>
    <m/>
    <m/>
    <m/>
    <m/>
    <n v="0"/>
    <n v="17297"/>
    <m/>
    <n v="5822.0821917808216"/>
    <m/>
    <m/>
    <m/>
    <m/>
    <m/>
    <n v="11474.917808219179"/>
    <m/>
    <m/>
    <x v="0"/>
    <x v="0"/>
  </r>
  <r>
    <x v="6"/>
    <s v="Southern University at New Orleans"/>
    <m/>
    <n v="160630"/>
    <x v="4"/>
    <n v="0"/>
    <n v="57370"/>
    <m/>
    <n v="50142.724609375"/>
    <m/>
    <m/>
    <m/>
    <m/>
    <m/>
    <n v="7227.275390625"/>
    <m/>
    <m/>
    <m/>
    <m/>
    <n v="0"/>
    <n v="2115"/>
    <m/>
    <n v="1660.3738317757009"/>
    <m/>
    <m/>
    <m/>
    <m/>
    <m/>
    <n v="454.62616822429908"/>
    <m/>
    <m/>
    <x v="0"/>
    <x v="0"/>
  </r>
  <r>
    <x v="6"/>
    <s v="Louisiana State University at Alexandria"/>
    <m/>
    <n v="159382"/>
    <x v="5"/>
    <n v="0"/>
    <n v="60798"/>
    <m/>
    <n v="47031.300291545187"/>
    <m/>
    <m/>
    <m/>
    <m/>
    <m/>
    <n v="13766.699708454811"/>
    <m/>
    <m/>
    <m/>
    <m/>
    <n v="0"/>
    <n v="0"/>
    <m/>
    <m/>
    <m/>
    <m/>
    <m/>
    <m/>
    <m/>
    <m/>
    <m/>
    <m/>
    <x v="0"/>
    <x v="0"/>
  </r>
  <r>
    <x v="6"/>
    <s v="Baton Rouge Community College"/>
    <m/>
    <n v="437103"/>
    <x v="7"/>
    <n v="0"/>
    <n v="203055"/>
    <m/>
    <n v="192217.79494382022"/>
    <m/>
    <m/>
    <m/>
    <m/>
    <m/>
    <n v="10837.205056179775"/>
    <m/>
    <m/>
    <m/>
    <m/>
    <n v="0"/>
    <n v="0"/>
    <m/>
    <m/>
    <m/>
    <m/>
    <m/>
    <m/>
    <m/>
    <m/>
    <m/>
    <m/>
    <x v="0"/>
    <x v="0"/>
  </r>
  <r>
    <x v="6"/>
    <s v="Bossier Parish Community College"/>
    <m/>
    <n v="158431"/>
    <x v="7"/>
    <n v="0"/>
    <n v="151680"/>
    <m/>
    <n v="111469.53020134228"/>
    <m/>
    <m/>
    <m/>
    <m/>
    <m/>
    <n v="40210.469798657716"/>
    <m/>
    <m/>
    <m/>
    <m/>
    <n v="0"/>
    <n v="0"/>
    <m/>
    <m/>
    <m/>
    <m/>
    <m/>
    <m/>
    <m/>
    <m/>
    <m/>
    <m/>
    <x v="0"/>
    <x v="0"/>
  </r>
  <r>
    <x v="6"/>
    <s v="Delgado Community College "/>
    <m/>
    <n v="158662"/>
    <x v="7"/>
    <n v="0"/>
    <n v="333983"/>
    <m/>
    <n v="291595.1790011538"/>
    <m/>
    <m/>
    <m/>
    <m/>
    <m/>
    <n v="42387.820998846211"/>
    <m/>
    <m/>
    <m/>
    <m/>
    <n v="0"/>
    <n v="0"/>
    <m/>
    <m/>
    <m/>
    <m/>
    <m/>
    <m/>
    <m/>
    <m/>
    <m/>
    <m/>
    <x v="0"/>
    <x v="0"/>
  </r>
  <r>
    <x v="6"/>
    <s v="Louisiana Delta Community College"/>
    <m/>
    <n v="440624"/>
    <x v="6"/>
    <n v="0"/>
    <n v="71571"/>
    <m/>
    <n v="63001.675287356324"/>
    <m/>
    <m/>
    <m/>
    <m/>
    <m/>
    <n v="8569.3247126436781"/>
    <m/>
    <m/>
    <m/>
    <m/>
    <n v="0"/>
    <n v="0"/>
    <m/>
    <m/>
    <m/>
    <m/>
    <m/>
    <m/>
    <m/>
    <m/>
    <m/>
    <m/>
    <x v="0"/>
    <x v="0"/>
  </r>
  <r>
    <x v="6"/>
    <s v="Louisiana State University at Eunice"/>
    <s v="Reclassified: Met the criteria for Two-Year 3 in 2013-14, 2014-15, and 2015-16. "/>
    <n v="159407"/>
    <x v="8"/>
    <n v="0"/>
    <n v="51881"/>
    <m/>
    <n v="39444.63438256659"/>
    <m/>
    <m/>
    <m/>
    <m/>
    <m/>
    <n v="12436.365617433414"/>
    <m/>
    <m/>
    <m/>
    <m/>
    <n v="0"/>
    <n v="0"/>
    <m/>
    <m/>
    <m/>
    <m/>
    <m/>
    <m/>
    <m/>
    <m/>
    <m/>
    <m/>
    <x v="0"/>
    <x v="0"/>
  </r>
  <r>
    <x v="6"/>
    <s v="South Louisiana Community College"/>
    <m/>
    <n v="434061"/>
    <x v="6"/>
    <n v="0"/>
    <n v="139616"/>
    <m/>
    <n v="132304.00985828711"/>
    <m/>
    <m/>
    <m/>
    <m/>
    <m/>
    <n v="7311.9901417128776"/>
    <m/>
    <m/>
    <m/>
    <m/>
    <n v="0"/>
    <n v="0"/>
    <m/>
    <m/>
    <m/>
    <m/>
    <m/>
    <m/>
    <m/>
    <m/>
    <m/>
    <m/>
    <x v="0"/>
    <x v="0"/>
  </r>
  <r>
    <x v="6"/>
    <s v="Southern University in Shreveport"/>
    <m/>
    <n v="160649"/>
    <x v="6"/>
    <n v="0"/>
    <n v="65705"/>
    <m/>
    <n v="60875.503629764069"/>
    <m/>
    <m/>
    <m/>
    <m/>
    <m/>
    <n v="4829.4963702359346"/>
    <m/>
    <m/>
    <m/>
    <m/>
    <n v="0"/>
    <n v="0"/>
    <m/>
    <m/>
    <m/>
    <m/>
    <m/>
    <m/>
    <m/>
    <m/>
    <m/>
    <m/>
    <x v="0"/>
    <x v="0"/>
  </r>
  <r>
    <x v="6"/>
    <s v="Nunez Community College"/>
    <m/>
    <n v="158884"/>
    <x v="8"/>
    <n v="0"/>
    <n v="45426"/>
    <m/>
    <n v="34688.045751633988"/>
    <m/>
    <m/>
    <m/>
    <m/>
    <m/>
    <n v="10737.954248366013"/>
    <m/>
    <m/>
    <m/>
    <m/>
    <n v="0"/>
    <n v="0"/>
    <m/>
    <m/>
    <m/>
    <m/>
    <m/>
    <m/>
    <m/>
    <m/>
    <m/>
    <m/>
    <x v="0"/>
    <x v="0"/>
  </r>
  <r>
    <x v="6"/>
    <s v="River Parishes Community College"/>
    <m/>
    <n v="436304"/>
    <x v="8"/>
    <n v="0"/>
    <n v="36849"/>
    <m/>
    <n v="31882.395652173913"/>
    <m/>
    <m/>
    <m/>
    <m/>
    <m/>
    <n v="4966.6043478260872"/>
    <m/>
    <m/>
    <m/>
    <m/>
    <n v="0"/>
    <n v="0"/>
    <m/>
    <m/>
    <m/>
    <m/>
    <m/>
    <m/>
    <m/>
    <m/>
    <m/>
    <m/>
    <x v="0"/>
    <x v="0"/>
  </r>
  <r>
    <x v="6"/>
    <s v="Central LA Technical College"/>
    <m/>
    <n v="158088"/>
    <x v="9"/>
    <n v="0"/>
    <n v="40839.999999999993"/>
    <m/>
    <n v="36525.355404089576"/>
    <m/>
    <m/>
    <m/>
    <m/>
    <m/>
    <n v="4314.6445959104185"/>
    <m/>
    <m/>
    <m/>
    <m/>
    <n v="0"/>
    <n v="0"/>
    <m/>
    <m/>
    <m/>
    <m/>
    <m/>
    <m/>
    <m/>
    <m/>
    <m/>
    <m/>
    <x v="0"/>
    <x v="0"/>
  </r>
  <r>
    <x v="6"/>
    <s v="L.E. Fletcher Technical Community College"/>
    <m/>
    <n v="160481"/>
    <x v="9"/>
    <n v="0"/>
    <n v="76790.5"/>
    <m/>
    <n v="70766.051933701659"/>
    <m/>
    <m/>
    <m/>
    <m/>
    <m/>
    <n v="6024.4480662983424"/>
    <m/>
    <m/>
    <m/>
    <m/>
    <n v="0"/>
    <n v="0"/>
    <m/>
    <m/>
    <m/>
    <m/>
    <m/>
    <m/>
    <m/>
    <m/>
    <m/>
    <m/>
    <x v="0"/>
    <x v="0"/>
  </r>
  <r>
    <x v="6"/>
    <s v="Northshore Technical College"/>
    <m/>
    <n v="160667"/>
    <x v="9"/>
    <n v="0"/>
    <n v="47039"/>
    <m/>
    <n v="43314.328224776502"/>
    <m/>
    <m/>
    <m/>
    <m/>
    <m/>
    <n v="3724.6717752234995"/>
    <m/>
    <m/>
    <m/>
    <m/>
    <n v="0"/>
    <n v="0"/>
    <m/>
    <m/>
    <m/>
    <m/>
    <m/>
    <m/>
    <m/>
    <m/>
    <m/>
    <m/>
    <x v="0"/>
    <x v="0"/>
  </r>
  <r>
    <x v="6"/>
    <s v="Northwest LA Technical College"/>
    <m/>
    <n v="160010"/>
    <x v="9"/>
    <n v="0"/>
    <n v="53021"/>
    <m/>
    <n v="53021"/>
    <m/>
    <m/>
    <m/>
    <m/>
    <m/>
    <n v="0"/>
    <m/>
    <m/>
    <m/>
    <m/>
    <n v="0"/>
    <n v="0"/>
    <m/>
    <m/>
    <m/>
    <m/>
    <m/>
    <m/>
    <m/>
    <m/>
    <m/>
    <m/>
    <x v="0"/>
    <x v="0"/>
  </r>
  <r>
    <x v="6"/>
    <s v="South Central LA Technical College"/>
    <m/>
    <n v="160913"/>
    <x v="9"/>
    <n v="0"/>
    <n v="61401.999999999993"/>
    <m/>
    <n v="57010.958628841603"/>
    <m/>
    <m/>
    <m/>
    <m/>
    <m/>
    <n v="4391.0413711583924"/>
    <m/>
    <m/>
    <m/>
    <m/>
    <n v="0"/>
    <n v="0"/>
    <m/>
    <m/>
    <m/>
    <m/>
    <m/>
    <m/>
    <m/>
    <m/>
    <m/>
    <m/>
    <x v="0"/>
    <x v="0"/>
  </r>
  <r>
    <x v="6"/>
    <s v="Sowela Technical Community College"/>
    <m/>
    <n v="160579"/>
    <x v="9"/>
    <n v="0"/>
    <n v="71206.5"/>
    <m/>
    <n v="62856.179518072291"/>
    <m/>
    <m/>
    <m/>
    <m/>
    <m/>
    <n v="8350.3204819277107"/>
    <m/>
    <m/>
    <m/>
    <m/>
    <n v="0"/>
    <n v="0"/>
    <m/>
    <m/>
    <m/>
    <m/>
    <m/>
    <m/>
    <m/>
    <m/>
    <m/>
    <m/>
    <x v="0"/>
    <x v="0"/>
  </r>
  <r>
    <x v="6"/>
    <s v="Louisiana State University Health Sciences Center - New Orleans"/>
    <m/>
    <n v="159373"/>
    <x v="11"/>
    <n v="0"/>
    <n v="0"/>
    <m/>
    <m/>
    <m/>
    <m/>
    <m/>
    <m/>
    <m/>
    <m/>
    <m/>
    <m/>
    <m/>
    <m/>
    <n v="0"/>
    <n v="0"/>
    <m/>
    <m/>
    <m/>
    <m/>
    <m/>
    <m/>
    <m/>
    <m/>
    <m/>
    <m/>
    <x v="0"/>
    <x v="0"/>
  </r>
  <r>
    <x v="6"/>
    <s v="Louisiana State University Health Sciences Center - Shreveport"/>
    <m/>
    <n v="435000"/>
    <x v="11"/>
    <n v="0"/>
    <n v="0"/>
    <m/>
    <m/>
    <m/>
    <m/>
    <m/>
    <m/>
    <m/>
    <m/>
    <m/>
    <m/>
    <m/>
    <m/>
    <n v="0"/>
    <n v="0"/>
    <m/>
    <m/>
    <m/>
    <m/>
    <m/>
    <m/>
    <m/>
    <m/>
    <m/>
    <m/>
    <x v="0"/>
    <x v="0"/>
  </r>
  <r>
    <x v="7"/>
    <s v="University of Maryland College Park"/>
    <m/>
    <n v="163286"/>
    <x v="0"/>
    <n v="801361"/>
    <n v="814544"/>
    <n v="759431"/>
    <n v="769226"/>
    <n v="20329"/>
    <n v="19943"/>
    <n v="20815"/>
    <n v="786"/>
    <n v="0"/>
    <n v="24491"/>
    <n v="884"/>
    <n v="0"/>
    <n v="0"/>
    <n v="0"/>
    <n v="155362"/>
    <n v="157472.16999999998"/>
    <n v="117701"/>
    <n v="118548.17"/>
    <n v="29566"/>
    <n v="29067"/>
    <n v="7224"/>
    <n v="871"/>
    <n v="0"/>
    <n v="9103"/>
    <n v="754"/>
    <n v="0"/>
    <x v="1"/>
    <x v="1"/>
  </r>
  <r>
    <x v="7"/>
    <s v="Morgan State University"/>
    <m/>
    <n v="163453"/>
    <x v="1"/>
    <n v="176517"/>
    <n v="183399"/>
    <n v="171534"/>
    <n v="175260"/>
    <n v="42"/>
    <n v="87"/>
    <n v="4941"/>
    <n v="0"/>
    <n v="0"/>
    <n v="8052"/>
    <n v="0"/>
    <n v="0"/>
    <n v="0"/>
    <n v="0"/>
    <n v="21129"/>
    <n v="25573"/>
    <n v="19577"/>
    <n v="22119"/>
    <n v="24"/>
    <n v="39"/>
    <n v="1528"/>
    <n v="0"/>
    <n v="0"/>
    <n v="3415"/>
    <n v="0"/>
    <n v="0"/>
    <x v="1"/>
    <x v="1"/>
  </r>
  <r>
    <x v="7"/>
    <s v="University of Maryland, Baltimore County"/>
    <m/>
    <n v="163268"/>
    <x v="1"/>
    <n v="319789"/>
    <n v="319948.5"/>
    <n v="276150"/>
    <n v="271106.5"/>
    <n v="7899"/>
    <n v="7598"/>
    <n v="35740"/>
    <n v="0"/>
    <n v="0"/>
    <n v="41244"/>
    <n v="0"/>
    <n v="0"/>
    <n v="0"/>
    <n v="0"/>
    <n v="35348"/>
    <n v="35116"/>
    <n v="25258"/>
    <n v="24457"/>
    <n v="2658"/>
    <n v="3006"/>
    <n v="7432"/>
    <n v="0"/>
    <n v="0"/>
    <n v="7653"/>
    <n v="0"/>
    <n v="0"/>
    <x v="1"/>
    <x v="1"/>
  </r>
  <r>
    <x v="7"/>
    <s v="Towson University "/>
    <m/>
    <n v="164076"/>
    <x v="2"/>
    <n v="538278"/>
    <n v="541795.5"/>
    <n v="481849"/>
    <n v="475513.5"/>
    <n v="11815"/>
    <n v="13430"/>
    <n v="44425"/>
    <n v="189"/>
    <n v="0"/>
    <n v="52852"/>
    <n v="0"/>
    <n v="0"/>
    <n v="0"/>
    <n v="0"/>
    <n v="51407.5"/>
    <n v="46102.5"/>
    <n v="30772.5"/>
    <n v="28286.5"/>
    <n v="9665.5"/>
    <n v="6072.5"/>
    <n v="10516.5"/>
    <n v="453"/>
    <n v="0"/>
    <n v="11710.5"/>
    <n v="33"/>
    <n v="0"/>
    <x v="1"/>
    <x v="1"/>
  </r>
  <r>
    <x v="7"/>
    <s v="Bowie State University "/>
    <s v="Met the criteria for Four-Year 3 in 2015-16."/>
    <n v="162007"/>
    <x v="3"/>
    <n v="119899"/>
    <n v="119475"/>
    <n v="103570"/>
    <n v="102264"/>
    <n v="0"/>
    <n v="114"/>
    <n v="16329"/>
    <n v="0"/>
    <n v="0"/>
    <n v="17097"/>
    <n v="0"/>
    <n v="0"/>
    <n v="0"/>
    <n v="0"/>
    <n v="18596"/>
    <n v="17562"/>
    <n v="16371"/>
    <n v="16028"/>
    <n v="583"/>
    <n v="465"/>
    <n v="1642"/>
    <n v="0"/>
    <n v="0"/>
    <n v="1069"/>
    <n v="0"/>
    <n v="0"/>
    <x v="1"/>
    <x v="1"/>
  </r>
  <r>
    <x v="7"/>
    <s v="Frostburg State University "/>
    <s v="Met the criteria for Four-Year 3 in 2015-16."/>
    <n v="162584"/>
    <x v="3"/>
    <n v="134434"/>
    <n v="136045"/>
    <n v="109840"/>
    <n v="107959"/>
    <n v="2942"/>
    <n v="3374"/>
    <n v="21652"/>
    <n v="0"/>
    <n v="0"/>
    <n v="24712"/>
    <n v="0"/>
    <n v="0"/>
    <n v="0"/>
    <n v="0"/>
    <n v="11843"/>
    <n v="12153"/>
    <n v="2661"/>
    <n v="2813"/>
    <n v="439"/>
    <n v="588"/>
    <n v="8743"/>
    <n v="0"/>
    <n v="0"/>
    <n v="8752"/>
    <n v="0"/>
    <n v="0"/>
    <x v="1"/>
    <x v="1"/>
  </r>
  <r>
    <x v="7"/>
    <s v="Salisbury University "/>
    <s v="Met the criteria for Four-Year 3 in 2015-16."/>
    <n v="163851"/>
    <x v="3"/>
    <n v="239693"/>
    <n v="232633"/>
    <n v="210710"/>
    <n v="203061"/>
    <n v="3274"/>
    <n v="3909"/>
    <n v="23626"/>
    <n v="2083"/>
    <n v="0"/>
    <n v="25080"/>
    <n v="583"/>
    <n v="0"/>
    <n v="0"/>
    <n v="0"/>
    <n v="11815"/>
    <n v="13534"/>
    <n v="4286"/>
    <n v="3851"/>
    <n v="552"/>
    <n v="201"/>
    <n v="5005"/>
    <n v="1972"/>
    <n v="0"/>
    <n v="8279"/>
    <n v="1203"/>
    <n v="0"/>
    <x v="1"/>
    <x v="1"/>
  </r>
  <r>
    <x v="7"/>
    <s v="University of Baltimore"/>
    <s v="Met the criteria for Four-Year 3 in 2014-15 and 2015-16."/>
    <n v="161873"/>
    <x v="3"/>
    <n v="76623"/>
    <n v="75021"/>
    <n v="59310"/>
    <n v="57733"/>
    <n v="1335"/>
    <n v="1353"/>
    <n v="15978"/>
    <n v="0"/>
    <n v="0"/>
    <n v="15935"/>
    <n v="0"/>
    <n v="0"/>
    <n v="0"/>
    <n v="0"/>
    <n v="52306.5"/>
    <n v="49544.5"/>
    <n v="41765.5"/>
    <n v="39061.5"/>
    <n v="1965.5"/>
    <n v="2213.5"/>
    <n v="8575.5"/>
    <n v="0"/>
    <n v="0"/>
    <n v="8269.5"/>
    <n v="0"/>
    <n v="0"/>
    <x v="1"/>
    <x v="1"/>
  </r>
  <r>
    <x v="7"/>
    <s v="University of Maryland Eastern Shore "/>
    <m/>
    <n v="163338"/>
    <x v="3"/>
    <n v="103932"/>
    <n v="104551.5"/>
    <n v="89742"/>
    <n v="88992.5"/>
    <n v="2742"/>
    <n v="2683"/>
    <n v="11448"/>
    <n v="0"/>
    <n v="0"/>
    <n v="12876"/>
    <n v="0"/>
    <n v="0"/>
    <n v="0"/>
    <n v="0"/>
    <n v="20060"/>
    <n v="21823"/>
    <n v="19590"/>
    <n v="21271"/>
    <n v="269"/>
    <n v="273"/>
    <n v="201"/>
    <n v="0"/>
    <n v="0"/>
    <n v="279"/>
    <n v="0"/>
    <n v="0"/>
    <x v="1"/>
    <x v="1"/>
  </r>
  <r>
    <x v="7"/>
    <s v="Coppin State University"/>
    <m/>
    <n v="162283"/>
    <x v="4"/>
    <n v="72249"/>
    <n v="70100"/>
    <n v="59373"/>
    <n v="57033"/>
    <n v="1643"/>
    <n v="123"/>
    <n v="11233"/>
    <n v="0"/>
    <n v="0"/>
    <n v="12944"/>
    <n v="0"/>
    <n v="0"/>
    <n v="0"/>
    <n v="0"/>
    <n v="5619"/>
    <n v="5952"/>
    <n v="4685"/>
    <n v="4986"/>
    <n v="433"/>
    <n v="366"/>
    <n v="501"/>
    <n v="0"/>
    <n v="0"/>
    <n v="600"/>
    <n v="0"/>
    <n v="0"/>
    <x v="1"/>
    <x v="1"/>
  </r>
  <r>
    <x v="7"/>
    <s v="Saint Mary's College of Maryland"/>
    <m/>
    <n v="163912"/>
    <x v="5"/>
    <n v="54140.5"/>
    <n v="53584.5"/>
    <n v="54140.5"/>
    <n v="53584.5"/>
    <n v="0"/>
    <n v="0"/>
    <n v="0"/>
    <n v="0"/>
    <n v="0"/>
    <n v="0"/>
    <n v="0"/>
    <n v="0"/>
    <n v="0"/>
    <n v="0"/>
    <n v="1382"/>
    <n v="1340"/>
    <n v="1382"/>
    <n v="1340"/>
    <n v="0"/>
    <n v="0"/>
    <n v="0"/>
    <n v="0"/>
    <n v="0"/>
    <n v="0"/>
    <n v="0"/>
    <n v="0"/>
    <x v="1"/>
    <x v="1"/>
  </r>
  <r>
    <x v="7"/>
    <s v="Anne Arundel Community College "/>
    <m/>
    <n v="161767"/>
    <x v="7"/>
    <n v="271660.5"/>
    <n v="266608"/>
    <n v="197420.5"/>
    <n v="184102"/>
    <n v="2906"/>
    <n v="3814"/>
    <n v="71036"/>
    <n v="298"/>
    <n v="0"/>
    <n v="78406"/>
    <n v="286"/>
    <n v="0"/>
    <n v="0"/>
    <n v="0"/>
    <n v="0"/>
    <n v="0"/>
    <n v="0"/>
    <n v="0"/>
    <n v="0"/>
    <n v="0"/>
    <n v="0"/>
    <n v="0"/>
    <n v="0"/>
    <n v="0"/>
    <n v="0"/>
    <n v="0"/>
    <x v="1"/>
    <x v="1"/>
  </r>
  <r>
    <x v="7"/>
    <s v="College of Southern Maryland"/>
    <m/>
    <n v="162122"/>
    <x v="7"/>
    <n v="158537"/>
    <n v="155426"/>
    <n v="100557"/>
    <n v="95884"/>
    <n v="3539"/>
    <n v="4927"/>
    <n v="53976"/>
    <n v="465"/>
    <n v="0"/>
    <n v="54192"/>
    <n v="423"/>
    <n v="0"/>
    <n v="0"/>
    <n v="0"/>
    <n v="0"/>
    <n v="0"/>
    <n v="0"/>
    <n v="0"/>
    <n v="0"/>
    <n v="0"/>
    <n v="0"/>
    <n v="0"/>
    <n v="0"/>
    <n v="0"/>
    <n v="0"/>
    <n v="0"/>
    <x v="1"/>
    <x v="1"/>
  </r>
  <r>
    <x v="7"/>
    <s v="Community College of Baltimore County (all campuses)"/>
    <m/>
    <n v="434672"/>
    <x v="7"/>
    <n v="425577"/>
    <n v="403396"/>
    <n v="322667"/>
    <n v="299622"/>
    <n v="46087"/>
    <n v="45630"/>
    <n v="56799"/>
    <n v="24"/>
    <n v="0"/>
    <n v="58144"/>
    <n v="0"/>
    <n v="0"/>
    <n v="0"/>
    <n v="0"/>
    <n v="0"/>
    <n v="0"/>
    <n v="0"/>
    <n v="0"/>
    <n v="0"/>
    <n v="0"/>
    <n v="0"/>
    <n v="0"/>
    <n v="0"/>
    <n v="0"/>
    <n v="0"/>
    <n v="0"/>
    <x v="1"/>
    <x v="1"/>
  </r>
  <r>
    <x v="7"/>
    <s v="Howard Community College "/>
    <m/>
    <n v="162779"/>
    <x v="7"/>
    <n v="203311"/>
    <n v="193798"/>
    <n v="167983"/>
    <n v="157874"/>
    <n v="8567"/>
    <n v="7334"/>
    <n v="26761"/>
    <n v="0"/>
    <n v="0"/>
    <n v="28590"/>
    <n v="0"/>
    <n v="0"/>
    <n v="0"/>
    <n v="0"/>
    <n v="0"/>
    <n v="0"/>
    <n v="0"/>
    <n v="0"/>
    <n v="0"/>
    <n v="0"/>
    <n v="0"/>
    <n v="0"/>
    <n v="0"/>
    <n v="0"/>
    <n v="0"/>
    <n v="0"/>
    <x v="1"/>
    <x v="1"/>
  </r>
  <r>
    <x v="7"/>
    <s v="Montgomery College (all campuses)"/>
    <m/>
    <n v="163426"/>
    <x v="7"/>
    <n v="700488"/>
    <n v="697499"/>
    <n v="557061"/>
    <n v="551636"/>
    <n v="79776"/>
    <n v="79367"/>
    <n v="63651"/>
    <n v="0"/>
    <n v="0"/>
    <n v="66496"/>
    <n v="0"/>
    <n v="0"/>
    <n v="0"/>
    <n v="0"/>
    <n v="0"/>
    <n v="0"/>
    <n v="0"/>
    <n v="0"/>
    <n v="0"/>
    <n v="0"/>
    <n v="0"/>
    <n v="0"/>
    <n v="0"/>
    <n v="0"/>
    <n v="0"/>
    <n v="0"/>
    <x v="1"/>
    <x v="1"/>
  </r>
  <r>
    <x v="7"/>
    <s v="Prince George's Community College "/>
    <m/>
    <n v="163657"/>
    <x v="7"/>
    <n v="371502"/>
    <n v="295647"/>
    <n v="198432"/>
    <n v="179139"/>
    <n v="126426"/>
    <n v="70305"/>
    <n v="46644"/>
    <n v="0"/>
    <n v="0"/>
    <n v="46203"/>
    <n v="0"/>
    <n v="0"/>
    <n v="0"/>
    <n v="0"/>
    <n v="0"/>
    <n v="0"/>
    <n v="0"/>
    <n v="0"/>
    <n v="0"/>
    <n v="0"/>
    <n v="0"/>
    <n v="0"/>
    <n v="0"/>
    <n v="0"/>
    <n v="0"/>
    <n v="0"/>
    <x v="1"/>
    <x v="1"/>
  </r>
  <r>
    <x v="7"/>
    <s v="Allegany College of Maryland"/>
    <m/>
    <n v="161688"/>
    <x v="6"/>
    <n v="67611"/>
    <n v="64346"/>
    <n v="42548"/>
    <n v="39560"/>
    <n v="11915"/>
    <n v="11253"/>
    <n v="10502"/>
    <n v="2646"/>
    <n v="0"/>
    <n v="11037"/>
    <n v="2496"/>
    <n v="0"/>
    <n v="0"/>
    <n v="0"/>
    <n v="0"/>
    <n v="0"/>
    <n v="0"/>
    <n v="0"/>
    <n v="0"/>
    <n v="0"/>
    <n v="0"/>
    <n v="0"/>
    <n v="0"/>
    <n v="0"/>
    <n v="0"/>
    <n v="0"/>
    <x v="1"/>
    <x v="1"/>
  </r>
  <r>
    <x v="7"/>
    <s v="Baltimore City Community College"/>
    <s v="Met the criteria for Two-Year 3 in 2015-16."/>
    <n v="161864"/>
    <x v="6"/>
    <n v="98869"/>
    <n v="85551"/>
    <n v="71372"/>
    <n v="63595"/>
    <n v="5807"/>
    <n v="564"/>
    <n v="21690"/>
    <n v="0"/>
    <n v="0"/>
    <n v="21392"/>
    <n v="0"/>
    <n v="0"/>
    <n v="0"/>
    <n v="0"/>
    <n v="0"/>
    <n v="0"/>
    <n v="0"/>
    <n v="0"/>
    <n v="0"/>
    <n v="0"/>
    <n v="0"/>
    <n v="0"/>
    <n v="0"/>
    <n v="0"/>
    <n v="0"/>
    <n v="0"/>
    <x v="1"/>
    <x v="1"/>
  </r>
  <r>
    <x v="7"/>
    <s v="Carroll Community College"/>
    <m/>
    <n v="405872"/>
    <x v="6"/>
    <n v="72863"/>
    <n v="68987"/>
    <n v="61497"/>
    <n v="54406"/>
    <n v="797"/>
    <n v="782"/>
    <n v="10467"/>
    <n v="102"/>
    <n v="0"/>
    <n v="13742"/>
    <n v="57"/>
    <n v="0"/>
    <n v="0"/>
    <n v="0"/>
    <n v="0"/>
    <n v="0"/>
    <n v="0"/>
    <n v="0"/>
    <n v="0"/>
    <n v="0"/>
    <n v="0"/>
    <n v="0"/>
    <n v="0"/>
    <n v="0"/>
    <n v="0"/>
    <n v="0"/>
    <x v="1"/>
    <x v="1"/>
  </r>
  <r>
    <x v="7"/>
    <s v="Frederick Community College "/>
    <m/>
    <n v="162557"/>
    <x v="6"/>
    <n v="115156"/>
    <n v="112672"/>
    <n v="90603"/>
    <n v="86769"/>
    <n v="6938"/>
    <n v="6614"/>
    <n v="17615"/>
    <n v="0"/>
    <n v="0"/>
    <n v="19289"/>
    <n v="0"/>
    <n v="0"/>
    <n v="0"/>
    <n v="0"/>
    <n v="0"/>
    <n v="0"/>
    <n v="0"/>
    <n v="0"/>
    <n v="0"/>
    <n v="0"/>
    <n v="0"/>
    <n v="0"/>
    <n v="0"/>
    <n v="0"/>
    <n v="0"/>
    <n v="0"/>
    <x v="1"/>
    <x v="1"/>
  </r>
  <r>
    <x v="7"/>
    <s v="Hagerstown Community College "/>
    <m/>
    <n v="162690"/>
    <x v="6"/>
    <n v="90108"/>
    <n v="85575"/>
    <n v="62516"/>
    <n v="57822"/>
    <n v="5272"/>
    <n v="5004"/>
    <n v="22239"/>
    <n v="0"/>
    <n v="0"/>
    <n v="22749"/>
    <n v="0"/>
    <n v="0"/>
    <n v="81"/>
    <n v="0"/>
    <n v="0"/>
    <n v="0"/>
    <n v="0"/>
    <n v="0"/>
    <n v="0"/>
    <n v="0"/>
    <n v="0"/>
    <n v="0"/>
    <n v="0"/>
    <n v="0"/>
    <n v="0"/>
    <n v="0"/>
    <x v="1"/>
    <x v="1"/>
  </r>
  <r>
    <x v="7"/>
    <s v="Harford Community College "/>
    <m/>
    <n v="162706"/>
    <x v="6"/>
    <n v="125739.5"/>
    <n v="122329"/>
    <n v="92595.5"/>
    <n v="86971"/>
    <n v="1647"/>
    <n v="1827"/>
    <n v="31497"/>
    <n v="0"/>
    <n v="0"/>
    <n v="33531"/>
    <n v="0"/>
    <n v="0"/>
    <n v="0"/>
    <n v="0"/>
    <n v="0"/>
    <n v="0"/>
    <n v="0"/>
    <n v="0"/>
    <n v="0"/>
    <n v="0"/>
    <n v="0"/>
    <n v="0"/>
    <n v="0"/>
    <n v="0"/>
    <n v="0"/>
    <n v="0"/>
    <x v="1"/>
    <x v="1"/>
  </r>
  <r>
    <x v="7"/>
    <s v="Wor-Wic Community College "/>
    <s v="Met the criteria for Two-Year 3 in 2014-15 and 2015-16."/>
    <n v="164313"/>
    <x v="6"/>
    <n v="56902"/>
    <n v="57494"/>
    <n v="47645.5"/>
    <n v="47892"/>
    <n v="1525"/>
    <n v="1495"/>
    <n v="7695.5"/>
    <n v="36"/>
    <n v="0"/>
    <n v="8080"/>
    <n v="27"/>
    <n v="0"/>
    <n v="0"/>
    <n v="0"/>
    <n v="0"/>
    <n v="0"/>
    <n v="0"/>
    <n v="0"/>
    <n v="0"/>
    <n v="0"/>
    <n v="0"/>
    <n v="0"/>
    <n v="0"/>
    <n v="0"/>
    <n v="0"/>
    <n v="0"/>
    <x v="1"/>
    <x v="1"/>
  </r>
  <r>
    <x v="7"/>
    <s v="Cecil Community College "/>
    <m/>
    <n v="162104"/>
    <x v="8"/>
    <n v="48662"/>
    <n v="47648"/>
    <n v="36536"/>
    <n v="35085"/>
    <n v="1092"/>
    <n v="1667"/>
    <n v="11034"/>
    <n v="0"/>
    <n v="0"/>
    <n v="10896"/>
    <n v="0"/>
    <n v="0"/>
    <n v="0"/>
    <n v="0"/>
    <n v="0"/>
    <n v="0"/>
    <n v="0"/>
    <n v="0"/>
    <n v="0"/>
    <n v="0"/>
    <n v="0"/>
    <n v="0"/>
    <n v="0"/>
    <n v="0"/>
    <n v="0"/>
    <n v="0"/>
    <x v="1"/>
    <x v="1"/>
  </r>
  <r>
    <x v="7"/>
    <s v="Chesapeake College "/>
    <m/>
    <n v="162168"/>
    <x v="8"/>
    <n v="43043"/>
    <n v="39769"/>
    <n v="27176"/>
    <n v="24386"/>
    <n v="7208"/>
    <n v="5528"/>
    <n v="7243"/>
    <n v="1416"/>
    <n v="0"/>
    <n v="8434"/>
    <n v="1421"/>
    <n v="0"/>
    <n v="0"/>
    <n v="0"/>
    <n v="0"/>
    <n v="0"/>
    <n v="0"/>
    <n v="0"/>
    <n v="0"/>
    <n v="0"/>
    <n v="0"/>
    <n v="0"/>
    <n v="0"/>
    <n v="0"/>
    <n v="0"/>
    <n v="0"/>
    <x v="1"/>
    <x v="1"/>
  </r>
  <r>
    <x v="7"/>
    <s v="Garrett College "/>
    <m/>
    <n v="162609"/>
    <x v="8"/>
    <n v="18371"/>
    <n v="17553.75"/>
    <n v="14102"/>
    <n v="12903.75"/>
    <n v="939"/>
    <n v="637"/>
    <n v="3093"/>
    <n v="237"/>
    <n v="0"/>
    <n v="3563"/>
    <n v="450"/>
    <n v="0"/>
    <n v="0"/>
    <n v="0"/>
    <n v="0"/>
    <n v="0"/>
    <n v="0"/>
    <n v="0"/>
    <n v="0"/>
    <n v="0"/>
    <n v="0"/>
    <n v="0"/>
    <n v="0"/>
    <n v="0"/>
    <n v="0"/>
    <n v="0"/>
    <x v="1"/>
    <x v="1"/>
  </r>
  <r>
    <x v="7"/>
    <s v="University of Maryland University College"/>
    <m/>
    <n v="163204"/>
    <x v="11"/>
    <n v="555880"/>
    <n v="648980"/>
    <n v="0"/>
    <n v="0"/>
    <n v="33"/>
    <n v="39"/>
    <n v="555847"/>
    <n v="0"/>
    <n v="0"/>
    <n v="648941"/>
    <n v="0"/>
    <n v="0"/>
    <n v="0"/>
    <n v="0"/>
    <n v="171680"/>
    <n v="176989"/>
    <n v="0"/>
    <n v="0"/>
    <n v="1356"/>
    <n v="810"/>
    <n v="170324"/>
    <n v="0"/>
    <n v="0"/>
    <n v="176179"/>
    <n v="0"/>
    <n v="0"/>
    <x v="1"/>
    <x v="1"/>
  </r>
  <r>
    <x v="7"/>
    <s v="University of Maryland, Baltimore"/>
    <m/>
    <n v="163259"/>
    <x v="11"/>
    <n v="18053"/>
    <n v="19984"/>
    <n v="8568.5"/>
    <n v="10095"/>
    <n v="5247"/>
    <n v="6312"/>
    <n v="4236.5"/>
    <n v="0"/>
    <n v="0"/>
    <n v="3577"/>
    <n v="0"/>
    <n v="0"/>
    <n v="1"/>
    <n v="0"/>
    <n v="44129"/>
    <n v="43475"/>
    <n v="25386.5"/>
    <n v="24462.5"/>
    <n v="7160.5"/>
    <n v="6705.5"/>
    <n v="11369"/>
    <n v="213"/>
    <n v="0"/>
    <n v="12082"/>
    <n v="225"/>
    <n v="0"/>
    <x v="1"/>
    <x v="1"/>
  </r>
  <r>
    <x v="8"/>
    <s v="Mississippi State University"/>
    <m/>
    <n v="176080"/>
    <x v="0"/>
    <n v="452584"/>
    <n v="468622"/>
    <n v="416085"/>
    <n v="428990"/>
    <n v="10818"/>
    <n v="10104"/>
    <n v="25276"/>
    <n v="405"/>
    <m/>
    <n v="29279"/>
    <n v="249"/>
    <m/>
    <m/>
    <m/>
    <n v="55968"/>
    <n v="53740"/>
    <n v="39574"/>
    <n v="38629"/>
    <n v="1863"/>
    <n v="1391"/>
    <n v="14096"/>
    <n v="435"/>
    <m/>
    <n v="13169"/>
    <n v="551"/>
    <m/>
    <x v="0"/>
    <x v="0"/>
  </r>
  <r>
    <x v="8"/>
    <s v="University of Southern Mississippi"/>
    <m/>
    <n v="176372"/>
    <x v="0"/>
    <n v="353418"/>
    <n v="325762"/>
    <n v="258765"/>
    <n v="228502"/>
    <n v="40979"/>
    <n v="35544"/>
    <n v="47514"/>
    <n v="6160"/>
    <m/>
    <n v="56068"/>
    <n v="5648"/>
    <m/>
    <m/>
    <m/>
    <n v="58372"/>
    <n v="51603"/>
    <n v="34881"/>
    <n v="31431"/>
    <n v="7716"/>
    <n v="4273"/>
    <n v="15271"/>
    <n v="504"/>
    <m/>
    <n v="14582"/>
    <n v="860"/>
    <m/>
    <x v="0"/>
    <x v="5"/>
  </r>
  <r>
    <x v="8"/>
    <s v="Jackson State University "/>
    <m/>
    <n v="175856"/>
    <x v="1"/>
    <n v="161810"/>
    <n v="165701"/>
    <n v="125419"/>
    <n v="124551"/>
    <n v="8235"/>
    <n v="7504"/>
    <n v="28156"/>
    <m/>
    <m/>
    <n v="33646"/>
    <m/>
    <m/>
    <m/>
    <m/>
    <n v="34198"/>
    <n v="34068"/>
    <n v="14788"/>
    <n v="13388"/>
    <n v="10624"/>
    <n v="9848"/>
    <n v="8786"/>
    <m/>
    <m/>
    <n v="10832"/>
    <m/>
    <m/>
    <x v="0"/>
    <x v="0"/>
  </r>
  <r>
    <x v="8"/>
    <s v="University of Mississippi"/>
    <s v="Met the criteria for Four-Year 1 in 2015-16."/>
    <n v="176017"/>
    <x v="1"/>
    <n v="516284"/>
    <n v="534899"/>
    <n v="443127"/>
    <n v="456585"/>
    <n v="43281"/>
    <n v="40767"/>
    <n v="19277"/>
    <n v="10059"/>
    <m/>
    <n v="26066"/>
    <n v="10590"/>
    <m/>
    <n v="540"/>
    <n v="891"/>
    <n v="64902"/>
    <n v="65555"/>
    <n v="57023"/>
    <n v="57719"/>
    <n v="1155"/>
    <n v="606"/>
    <n v="5569"/>
    <n v="1149"/>
    <m/>
    <n v="5907"/>
    <n v="1311"/>
    <m/>
    <x v="3"/>
    <x v="6"/>
  </r>
  <r>
    <x v="8"/>
    <s v="Alcorn State University"/>
    <m/>
    <n v="175342"/>
    <x v="3"/>
    <n v="81743"/>
    <n v="80937"/>
    <n v="62343"/>
    <n v="62098"/>
    <n v="4930"/>
    <n v="4265"/>
    <n v="14446"/>
    <m/>
    <n v="24"/>
    <n v="14574"/>
    <m/>
    <m/>
    <m/>
    <m/>
    <n v="9620"/>
    <n v="9679"/>
    <n v="3039"/>
    <n v="3384"/>
    <n v="441"/>
    <n v="253"/>
    <n v="6011"/>
    <s v=" "/>
    <n v="129"/>
    <n v="6042"/>
    <m/>
    <m/>
    <x v="0"/>
    <x v="0"/>
  </r>
  <r>
    <x v="8"/>
    <s v="Delta State University"/>
    <s v="Met the criteria for Four-Year 3 in 2015-16."/>
    <n v="175616"/>
    <x v="3"/>
    <n v="70212"/>
    <n v="71515"/>
    <n v="56418"/>
    <n v="55705"/>
    <n v="1705"/>
    <n v="1462"/>
    <n v="12089"/>
    <m/>
    <m/>
    <n v="14228"/>
    <m/>
    <n v="120"/>
    <m/>
    <m/>
    <n v="28486"/>
    <n v="25028"/>
    <n v="3369"/>
    <n v="2854"/>
    <n v="738"/>
    <n v="480"/>
    <n v="24379"/>
    <m/>
    <m/>
    <n v="21607"/>
    <s v=" "/>
    <n v="87"/>
    <x v="0"/>
    <x v="0"/>
  </r>
  <r>
    <x v="8"/>
    <s v="Mississippi Valley State University"/>
    <m/>
    <n v="176044"/>
    <x v="3"/>
    <n v="53236"/>
    <n v="51850"/>
    <n v="43640"/>
    <n v="45957"/>
    <n v="454"/>
    <n v="820"/>
    <n v="8080"/>
    <m/>
    <m/>
    <n v="3909"/>
    <m/>
    <m/>
    <n v="1062"/>
    <n v="1164"/>
    <n v="5074"/>
    <n v="5801"/>
    <n v="2362"/>
    <n v="4184"/>
    <n v="36"/>
    <n v="102"/>
    <n v="2559"/>
    <m/>
    <m/>
    <n v="1431"/>
    <m/>
    <m/>
    <x v="6"/>
    <x v="7"/>
  </r>
  <r>
    <x v="8"/>
    <s v="Mississippi University for Women"/>
    <m/>
    <n v="176035"/>
    <x v="4"/>
    <n v="69272"/>
    <n v="69665"/>
    <n v="34500"/>
    <n v="34357"/>
    <n v="48"/>
    <n v="229"/>
    <n v="34724"/>
    <m/>
    <m/>
    <n v="35079"/>
    <m/>
    <m/>
    <m/>
    <m/>
    <n v="4147"/>
    <n v="4154"/>
    <n v="2536"/>
    <n v="2363"/>
    <n v="354"/>
    <n v="428"/>
    <n v="1257"/>
    <m/>
    <m/>
    <n v="1363"/>
    <m/>
    <m/>
    <x v="0"/>
    <x v="0"/>
  </r>
  <r>
    <x v="8"/>
    <s v="Hinds Community College "/>
    <m/>
    <n v="175786"/>
    <x v="7"/>
    <n v="291139"/>
    <n v="288502"/>
    <n v="235970"/>
    <n v="230411"/>
    <m/>
    <m/>
    <n v="55169"/>
    <m/>
    <m/>
    <n v="58091"/>
    <m/>
    <m/>
    <m/>
    <m/>
    <n v="0"/>
    <n v="0"/>
    <m/>
    <m/>
    <m/>
    <m/>
    <m/>
    <m/>
    <m/>
    <m/>
    <m/>
    <m/>
    <x v="0"/>
    <x v="0"/>
  </r>
  <r>
    <x v="8"/>
    <s v="Itawamba Community College "/>
    <m/>
    <n v="175829"/>
    <x v="7"/>
    <n v="160891"/>
    <n v="151403"/>
    <n v="104440"/>
    <n v="96356"/>
    <m/>
    <m/>
    <n v="56451"/>
    <m/>
    <m/>
    <n v="55047"/>
    <m/>
    <m/>
    <m/>
    <m/>
    <n v="0"/>
    <n v="0"/>
    <m/>
    <m/>
    <m/>
    <m/>
    <m/>
    <m/>
    <m/>
    <m/>
    <m/>
    <m/>
    <x v="0"/>
    <x v="0"/>
  </r>
  <r>
    <x v="8"/>
    <s v="Mississippi Gulf Coast Community College "/>
    <m/>
    <n v="176071"/>
    <x v="7"/>
    <n v="239543"/>
    <n v="241378"/>
    <n v="179940"/>
    <n v="178191"/>
    <m/>
    <m/>
    <n v="59603"/>
    <m/>
    <m/>
    <n v="63187"/>
    <m/>
    <m/>
    <m/>
    <m/>
    <n v="0"/>
    <n v="0"/>
    <m/>
    <m/>
    <m/>
    <m/>
    <m/>
    <m/>
    <m/>
    <m/>
    <m/>
    <m/>
    <x v="0"/>
    <x v="0"/>
  </r>
  <r>
    <x v="8"/>
    <s v="Northwest Mississippi Community College "/>
    <m/>
    <n v="176178"/>
    <x v="7"/>
    <n v="206791"/>
    <n v="201064"/>
    <n v="168468"/>
    <n v="161309"/>
    <m/>
    <m/>
    <n v="38323"/>
    <m/>
    <m/>
    <n v="39755"/>
    <m/>
    <m/>
    <m/>
    <m/>
    <n v="0"/>
    <n v="0"/>
    <m/>
    <m/>
    <m/>
    <m/>
    <m/>
    <m/>
    <m/>
    <m/>
    <m/>
    <m/>
    <x v="0"/>
    <x v="0"/>
  </r>
  <r>
    <x v="8"/>
    <s v="Copiah-Lincoln Community College "/>
    <m/>
    <n v="175573"/>
    <x v="6"/>
    <n v="80734"/>
    <n v="81380"/>
    <n v="63380"/>
    <n v="61026"/>
    <m/>
    <m/>
    <n v="17354"/>
    <m/>
    <m/>
    <n v="20354"/>
    <m/>
    <m/>
    <m/>
    <m/>
    <n v="0"/>
    <n v="0"/>
    <m/>
    <m/>
    <m/>
    <m/>
    <m/>
    <m/>
    <m/>
    <m/>
    <m/>
    <m/>
    <x v="0"/>
    <x v="0"/>
  </r>
  <r>
    <x v="8"/>
    <s v="East Central Community College "/>
    <m/>
    <n v="175643"/>
    <x v="6"/>
    <n v="71570"/>
    <n v="72253"/>
    <n v="54913"/>
    <n v="52924"/>
    <m/>
    <m/>
    <n v="16657"/>
    <m/>
    <m/>
    <n v="19329"/>
    <m/>
    <m/>
    <m/>
    <m/>
    <n v="0"/>
    <n v="0"/>
    <m/>
    <m/>
    <m/>
    <m/>
    <m/>
    <m/>
    <m/>
    <m/>
    <m/>
    <m/>
    <x v="0"/>
    <x v="0"/>
  </r>
  <r>
    <x v="8"/>
    <s v="East Mississippi Community College "/>
    <m/>
    <n v="175652"/>
    <x v="6"/>
    <n v="118617"/>
    <n v="118031"/>
    <n v="78765"/>
    <n v="79232"/>
    <m/>
    <m/>
    <n v="39852"/>
    <m/>
    <m/>
    <n v="38799"/>
    <m/>
    <m/>
    <m/>
    <m/>
    <n v="0"/>
    <n v="0"/>
    <m/>
    <m/>
    <m/>
    <m/>
    <m/>
    <m/>
    <m/>
    <m/>
    <m/>
    <m/>
    <x v="0"/>
    <x v="0"/>
  </r>
  <r>
    <x v="8"/>
    <s v="Holmes Community College "/>
    <s v="Met the criteria for Two-Year 1 in 2015-16."/>
    <n v="175810"/>
    <x v="6"/>
    <n v="158670"/>
    <n v="160096"/>
    <n v="110322"/>
    <n v="103935"/>
    <m/>
    <m/>
    <n v="48348"/>
    <m/>
    <m/>
    <n v="56161"/>
    <m/>
    <m/>
    <m/>
    <m/>
    <n v="0"/>
    <n v="0"/>
    <m/>
    <m/>
    <m/>
    <m/>
    <m/>
    <m/>
    <m/>
    <m/>
    <m/>
    <m/>
    <x v="0"/>
    <x v="0"/>
  </r>
  <r>
    <x v="8"/>
    <s v="Jones County Junior College "/>
    <m/>
    <n v="175883"/>
    <x v="6"/>
    <n v="126450"/>
    <n v="131705"/>
    <n v="107118"/>
    <n v="106052"/>
    <m/>
    <m/>
    <n v="19332"/>
    <m/>
    <m/>
    <n v="25653"/>
    <m/>
    <m/>
    <m/>
    <m/>
    <n v="0"/>
    <n v="0"/>
    <m/>
    <m/>
    <m/>
    <m/>
    <m/>
    <m/>
    <m/>
    <m/>
    <m/>
    <m/>
    <x v="0"/>
    <x v="0"/>
  </r>
  <r>
    <x v="8"/>
    <s v="Meridian Community College "/>
    <m/>
    <n v="175935"/>
    <x v="6"/>
    <n v="90363"/>
    <n v="90248"/>
    <n v="74953"/>
    <n v="73448"/>
    <m/>
    <m/>
    <n v="15410"/>
    <m/>
    <m/>
    <n v="16800"/>
    <m/>
    <m/>
    <m/>
    <m/>
    <n v="0"/>
    <n v="0"/>
    <m/>
    <m/>
    <m/>
    <m/>
    <m/>
    <m/>
    <m/>
    <m/>
    <m/>
    <m/>
    <x v="0"/>
    <x v="0"/>
  </r>
  <r>
    <x v="8"/>
    <s v="Mississippi Delta Community College "/>
    <m/>
    <n v="176008"/>
    <x v="6"/>
    <n v="76016"/>
    <n v="67392"/>
    <n v="66449"/>
    <n v="58599"/>
    <m/>
    <m/>
    <n v="9567"/>
    <m/>
    <m/>
    <n v="8793"/>
    <m/>
    <m/>
    <m/>
    <m/>
    <n v="0"/>
    <n v="0"/>
    <m/>
    <m/>
    <m/>
    <m/>
    <m/>
    <m/>
    <m/>
    <m/>
    <m/>
    <m/>
    <x v="0"/>
    <x v="0"/>
  </r>
  <r>
    <x v="8"/>
    <s v="Northeast Mississippi Community College "/>
    <m/>
    <n v="176169"/>
    <x v="6"/>
    <n v="90789"/>
    <n v="93204"/>
    <n v="73363"/>
    <n v="72495"/>
    <m/>
    <m/>
    <n v="17426"/>
    <m/>
    <m/>
    <n v="20709"/>
    <m/>
    <m/>
    <m/>
    <m/>
    <n v="0"/>
    <n v="0"/>
    <m/>
    <m/>
    <m/>
    <m/>
    <m/>
    <m/>
    <m/>
    <m/>
    <m/>
    <m/>
    <x v="0"/>
    <x v="0"/>
  </r>
  <r>
    <x v="8"/>
    <s v="Pearl River Community College "/>
    <m/>
    <n v="176239"/>
    <x v="6"/>
    <n v="112335"/>
    <n v="109948"/>
    <n v="89539"/>
    <n v="87654"/>
    <m/>
    <m/>
    <n v="22796"/>
    <m/>
    <m/>
    <n v="22294"/>
    <m/>
    <m/>
    <m/>
    <m/>
    <n v="0"/>
    <n v="0"/>
    <m/>
    <m/>
    <m/>
    <m/>
    <m/>
    <m/>
    <m/>
    <m/>
    <m/>
    <m/>
    <x v="0"/>
    <x v="0"/>
  </r>
  <r>
    <x v="8"/>
    <s v="Coahoma Community College "/>
    <m/>
    <n v="175519"/>
    <x v="8"/>
    <n v="52300"/>
    <n v="53437"/>
    <n v="45923"/>
    <n v="46261"/>
    <m/>
    <m/>
    <n v="6377"/>
    <m/>
    <m/>
    <n v="7176"/>
    <m/>
    <m/>
    <m/>
    <m/>
    <n v="0"/>
    <n v="0"/>
    <m/>
    <m/>
    <m/>
    <m/>
    <m/>
    <m/>
    <m/>
    <m/>
    <m/>
    <m/>
    <x v="0"/>
    <x v="0"/>
  </r>
  <r>
    <x v="8"/>
    <s v="Southwest Mississippi Community College"/>
    <m/>
    <n v="176354"/>
    <x v="8"/>
    <n v="56135"/>
    <n v="54313"/>
    <n v="44625"/>
    <n v="43254"/>
    <m/>
    <m/>
    <n v="11510"/>
    <m/>
    <m/>
    <n v="11059"/>
    <m/>
    <m/>
    <m/>
    <m/>
    <n v="0"/>
    <n v="0"/>
    <m/>
    <m/>
    <m/>
    <m/>
    <m/>
    <m/>
    <m/>
    <m/>
    <m/>
    <m/>
    <x v="0"/>
    <x v="0"/>
  </r>
  <r>
    <x v="9"/>
    <s v="North Carolina State University "/>
    <m/>
    <n v="199193"/>
    <x v="0"/>
    <n v="698042"/>
    <n v="691738"/>
    <n v="606311"/>
    <n v="591971"/>
    <n v="2422"/>
    <n v="6181"/>
    <n v="88284"/>
    <m/>
    <n v="1025"/>
    <n v="92867"/>
    <n v="0"/>
    <n v="719"/>
    <m/>
    <m/>
    <n v="132670"/>
    <n v="149019"/>
    <n v="112980"/>
    <n v="117008"/>
    <n v="2474"/>
    <n v="4556"/>
    <n v="16087"/>
    <m/>
    <n v="1129"/>
    <n v="26165"/>
    <n v="0"/>
    <n v="1290"/>
    <x v="0"/>
    <x v="0"/>
  </r>
  <r>
    <x v="9"/>
    <s v="University of North Carolina at Chapel Hill "/>
    <m/>
    <n v="199120"/>
    <x v="0"/>
    <n v="508040"/>
    <n v="503039"/>
    <n v="494810"/>
    <n v="485287"/>
    <n v="402"/>
    <n v="490"/>
    <n v="12828"/>
    <m/>
    <m/>
    <n v="17262"/>
    <n v="0"/>
    <n v="0"/>
    <m/>
    <m/>
    <n v="191821"/>
    <n v="182911"/>
    <n v="157559"/>
    <n v="149953"/>
    <n v="14023"/>
    <n v="13353"/>
    <n v="20188"/>
    <n v="51"/>
    <m/>
    <n v="19504"/>
    <n v="101"/>
    <n v="0"/>
    <x v="0"/>
    <x v="0"/>
  </r>
  <r>
    <x v="9"/>
    <s v="University of North Carolina at Charlotte"/>
    <m/>
    <n v="199139"/>
    <x v="0"/>
    <n v="611011"/>
    <n v="633827"/>
    <n v="555749"/>
    <n v="571698"/>
    <s v="."/>
    <n v="0"/>
    <n v="54964"/>
    <n v="298"/>
    <m/>
    <n v="61924"/>
    <n v="205"/>
    <n v="0"/>
    <m/>
    <m/>
    <n v="76484"/>
    <n v="81828"/>
    <n v="62082"/>
    <n v="66567"/>
    <n v="1489"/>
    <n v="1757"/>
    <n v="12913"/>
    <m/>
    <m/>
    <n v="13504"/>
    <n v="0"/>
    <n v="0"/>
    <x v="0"/>
    <x v="0"/>
  </r>
  <r>
    <x v="9"/>
    <s v="University of North Carolina at Greensboro"/>
    <m/>
    <n v="199148"/>
    <x v="0"/>
    <n v="402261"/>
    <n v="419735"/>
    <n v="325584"/>
    <n v="329032"/>
    <n v="1245"/>
    <n v="2677"/>
    <n v="75402"/>
    <n v="30"/>
    <m/>
    <n v="88026"/>
    <n v="0"/>
    <n v="0"/>
    <m/>
    <m/>
    <n v="63872"/>
    <n v="65262"/>
    <n v="50557"/>
    <n v="49969"/>
    <n v="1646"/>
    <n v="1493"/>
    <n v="11630"/>
    <n v="39"/>
    <m/>
    <n v="13764"/>
    <n v="36"/>
    <n v="0"/>
    <x v="0"/>
    <x v="0"/>
  </r>
  <r>
    <x v="9"/>
    <s v="East Carolina University "/>
    <m/>
    <n v="198464"/>
    <x v="1"/>
    <n v="596907"/>
    <n v="615334"/>
    <n v="488794"/>
    <n v="491385"/>
    <n v="2718"/>
    <n v="457"/>
    <n v="105242"/>
    <n v="153"/>
    <m/>
    <n v="123471"/>
    <n v="21"/>
    <n v="0"/>
    <m/>
    <m/>
    <n v="81153"/>
    <n v="80537"/>
    <n v="39263"/>
    <n v="36882"/>
    <n v="3779"/>
    <n v="4759"/>
    <n v="38102"/>
    <n v="9"/>
    <m/>
    <n v="38896"/>
    <n v="0"/>
    <n v="0"/>
    <x v="0"/>
    <x v="0"/>
  </r>
  <r>
    <x v="9"/>
    <s v="Appalachian State University "/>
    <m/>
    <n v="197869"/>
    <x v="2"/>
    <n v="492284"/>
    <n v="489055"/>
    <n v="460637"/>
    <n v="458494"/>
    <n v="4884"/>
    <n v="2441"/>
    <n v="26719"/>
    <n v="44"/>
    <m/>
    <n v="28039"/>
    <n v="81"/>
    <n v="0"/>
    <m/>
    <m/>
    <n v="34297"/>
    <n v="30550"/>
    <n v="22273"/>
    <n v="23070"/>
    <n v="3405"/>
    <n v="1815"/>
    <n v="8619"/>
    <m/>
    <m/>
    <n v="5656"/>
    <n v="9"/>
    <n v="0"/>
    <x v="0"/>
    <x v="0"/>
  </r>
  <r>
    <x v="9"/>
    <s v="North Carolina A&amp;T State University"/>
    <m/>
    <n v="199102"/>
    <x v="2"/>
    <n v="256733"/>
    <n v="258275"/>
    <n v="240475"/>
    <n v="237592"/>
    <n v="399"/>
    <n v="223"/>
    <n v="15859"/>
    <m/>
    <m/>
    <n v="20460"/>
    <n v="0"/>
    <n v="0"/>
    <m/>
    <m/>
    <n v="30150"/>
    <n v="28465"/>
    <n v="22811"/>
    <n v="21100"/>
    <n v="1456"/>
    <n v="1224"/>
    <n v="5883"/>
    <m/>
    <m/>
    <n v="5863"/>
    <n v="278"/>
    <n v="0"/>
    <x v="0"/>
    <x v="0"/>
  </r>
  <r>
    <x v="9"/>
    <s v="North Carolina Central University "/>
    <m/>
    <n v="199157"/>
    <x v="2"/>
    <n v="177589"/>
    <n v="177687"/>
    <n v="150636"/>
    <n v="148705"/>
    <n v="702"/>
    <n v="789"/>
    <n v="26251"/>
    <m/>
    <m/>
    <n v="28193"/>
    <n v="0"/>
    <n v="0"/>
    <m/>
    <m/>
    <n v="38748"/>
    <n v="38936"/>
    <n v="31028"/>
    <n v="30847"/>
    <n v="477"/>
    <n v="548"/>
    <n v="7243"/>
    <m/>
    <m/>
    <n v="7541"/>
    <n v="0"/>
    <n v="0"/>
    <x v="0"/>
    <x v="0"/>
  </r>
  <r>
    <x v="9"/>
    <s v="University of North Carolina at Wilmington"/>
    <m/>
    <n v="199218"/>
    <x v="2"/>
    <n v="375539"/>
    <n v="386233"/>
    <n v="322767"/>
    <n v="321055"/>
    <n v="3928"/>
    <n v="2968"/>
    <n v="48745"/>
    <n v="99"/>
    <m/>
    <n v="61837"/>
    <n v="373"/>
    <n v="0"/>
    <m/>
    <m/>
    <n v="25726"/>
    <n v="28582"/>
    <n v="14847"/>
    <n v="14770"/>
    <n v="816"/>
    <n v="662"/>
    <n v="10015"/>
    <n v="48"/>
    <m/>
    <n v="12931"/>
    <n v="219"/>
    <n v="0"/>
    <x v="0"/>
    <x v="0"/>
  </r>
  <r>
    <x v="9"/>
    <s v="Western Carolina University "/>
    <m/>
    <n v="200004"/>
    <x v="2"/>
    <n v="242477"/>
    <n v="244595"/>
    <n v="210869"/>
    <n v="210672"/>
    <n v="2617"/>
    <n v="3186"/>
    <n v="28991"/>
    <m/>
    <m/>
    <n v="30731"/>
    <n v="6"/>
    <n v="0"/>
    <m/>
    <m/>
    <n v="30032"/>
    <n v="29457"/>
    <n v="17747"/>
    <n v="14205"/>
    <n v="1222"/>
    <n v="3892"/>
    <n v="11063"/>
    <m/>
    <m/>
    <n v="11360"/>
    <n v="0"/>
    <n v="0"/>
    <x v="0"/>
    <x v="0"/>
  </r>
  <r>
    <x v="9"/>
    <s v="Fayetteville State University "/>
    <m/>
    <n v="198543"/>
    <x v="3"/>
    <n v="148585"/>
    <n v="151383"/>
    <n v="114332"/>
    <n v="107586"/>
    <n v="1914"/>
    <n v="2243"/>
    <n v="32339"/>
    <m/>
    <m/>
    <n v="41554"/>
    <n v="0"/>
    <n v="0"/>
    <m/>
    <m/>
    <n v="11617"/>
    <n v="10098"/>
    <n v="6349"/>
    <n v="5351"/>
    <n v="3074"/>
    <n v="1909"/>
    <n v="2194"/>
    <m/>
    <m/>
    <n v="2838"/>
    <n v="0"/>
    <n v="0"/>
    <x v="0"/>
    <x v="0"/>
  </r>
  <r>
    <x v="9"/>
    <s v="University of North Carolina at Pembroke"/>
    <m/>
    <n v="199281"/>
    <x v="4"/>
    <n v="150302"/>
    <n v="152009"/>
    <n v="113616"/>
    <n v="115197"/>
    <n v="2583"/>
    <n v="1725"/>
    <n v="33184"/>
    <n v="919"/>
    <m/>
    <n v="34400"/>
    <n v="687"/>
    <n v="0"/>
    <m/>
    <m/>
    <n v="12908"/>
    <n v="12557"/>
    <n v="7373"/>
    <n v="7270"/>
    <n v="788"/>
    <n v="629"/>
    <n v="4465"/>
    <n v="282"/>
    <m/>
    <n v="4397"/>
    <n v="261"/>
    <n v="0"/>
    <x v="0"/>
    <x v="0"/>
  </r>
  <r>
    <x v="9"/>
    <s v="Winston-Salem State University "/>
    <m/>
    <n v="199999"/>
    <x v="4"/>
    <n v="136683"/>
    <n v="129202"/>
    <n v="102765"/>
    <n v="103990"/>
    <n v="14643"/>
    <n v="8606"/>
    <n v="19275"/>
    <m/>
    <m/>
    <n v="16606"/>
    <n v="0"/>
    <n v="0"/>
    <m/>
    <m/>
    <n v="10654"/>
    <n v="10162"/>
    <n v="8781"/>
    <n v="8193"/>
    <n v="136"/>
    <n v="59"/>
    <n v="1719"/>
    <n v="18"/>
    <m/>
    <n v="1898"/>
    <n v="12"/>
    <n v="0"/>
    <x v="0"/>
    <x v="0"/>
  </r>
  <r>
    <x v="9"/>
    <s v="Elizabeth City State University "/>
    <m/>
    <n v="198507"/>
    <x v="5"/>
    <n v="60773"/>
    <n v="49158"/>
    <n v="45602"/>
    <n v="36323"/>
    <n v="661"/>
    <n v="150"/>
    <n v="14510"/>
    <m/>
    <m/>
    <n v="12567"/>
    <n v="118"/>
    <n v="0"/>
    <m/>
    <m/>
    <n v="1041"/>
    <n v="816"/>
    <n v="705"/>
    <n v="564"/>
    <m/>
    <n v="3"/>
    <n v="336"/>
    <m/>
    <m/>
    <n v="249"/>
    <n v="0"/>
    <n v="0"/>
    <x v="0"/>
    <x v="0"/>
  </r>
  <r>
    <x v="9"/>
    <s v="University of North Carolina at Asheville"/>
    <m/>
    <n v="199111"/>
    <x v="5"/>
    <n v="100985"/>
    <n v="102872"/>
    <n v="98335"/>
    <n v="100635"/>
    <n v="503"/>
    <n v="570"/>
    <n v="672"/>
    <n v="1203"/>
    <n v="272"/>
    <n v="756"/>
    <n v="791"/>
    <n v="120"/>
    <m/>
    <m/>
    <n v="387"/>
    <n v="341"/>
    <n v="387"/>
    <n v="341"/>
    <m/>
    <n v="0"/>
    <m/>
    <m/>
    <m/>
    <n v="0"/>
    <n v="0"/>
    <n v="0"/>
    <x v="0"/>
    <x v="0"/>
  </r>
  <r>
    <x v="9"/>
    <s v="Asheville-Buncombe Technical Community College"/>
    <m/>
    <n v="197887"/>
    <x v="7"/>
    <n v="157731"/>
    <n v="142791"/>
    <n v="106736"/>
    <n v="101431"/>
    <n v="3127"/>
    <n v="3415"/>
    <n v="47868"/>
    <n v="0"/>
    <n v="0"/>
    <n v="37534"/>
    <n v="411"/>
    <n v="0"/>
    <m/>
    <m/>
    <n v="0"/>
    <n v="0"/>
    <m/>
    <m/>
    <m/>
    <m/>
    <m/>
    <m/>
    <m/>
    <m/>
    <m/>
    <m/>
    <x v="0"/>
    <x v="0"/>
  </r>
  <r>
    <x v="9"/>
    <s v="Cape Fear Community College"/>
    <m/>
    <n v="198154"/>
    <x v="7"/>
    <n v="208621"/>
    <n v="202122"/>
    <n v="142761"/>
    <n v="122228"/>
    <n v="400"/>
    <n v="388"/>
    <n v="65460"/>
    <n v="0"/>
    <n v="0"/>
    <n v="79506"/>
    <n v="0"/>
    <n v="0"/>
    <m/>
    <m/>
    <n v="0"/>
    <n v="0"/>
    <m/>
    <m/>
    <m/>
    <m/>
    <m/>
    <m/>
    <m/>
    <m/>
    <m/>
    <m/>
    <x v="0"/>
    <x v="0"/>
  </r>
  <r>
    <x v="9"/>
    <s v="Central Piedmont Community College "/>
    <m/>
    <n v="198260"/>
    <x v="7"/>
    <n v="407607"/>
    <n v="389293"/>
    <n v="276737"/>
    <n v="256349"/>
    <n v="3410"/>
    <n v="4095"/>
    <n v="126216"/>
    <n v="0"/>
    <n v="1244"/>
    <n v="127706"/>
    <n v="0"/>
    <n v="1143"/>
    <m/>
    <m/>
    <n v="0"/>
    <n v="0"/>
    <m/>
    <m/>
    <m/>
    <m/>
    <m/>
    <m/>
    <m/>
    <m/>
    <m/>
    <m/>
    <x v="0"/>
    <x v="0"/>
  </r>
  <r>
    <x v="9"/>
    <s v="Fayetteville Technical Community College"/>
    <m/>
    <n v="198534"/>
    <x v="7"/>
    <n v="265881"/>
    <n v="261614"/>
    <n v="135704"/>
    <n v="121687"/>
    <n v="1652"/>
    <n v="1844"/>
    <n v="128163"/>
    <n v="362"/>
    <n v="0"/>
    <n v="137514"/>
    <n v="569"/>
    <n v="0"/>
    <m/>
    <m/>
    <n v="0"/>
    <n v="0"/>
    <m/>
    <m/>
    <m/>
    <m/>
    <m/>
    <m/>
    <m/>
    <m/>
    <m/>
    <m/>
    <x v="0"/>
    <x v="0"/>
  </r>
  <r>
    <x v="9"/>
    <s v="Forsyth Technical Community College"/>
    <m/>
    <n v="198552"/>
    <x v="7"/>
    <n v="206275"/>
    <n v="187706"/>
    <n v="131779"/>
    <n v="116315"/>
    <n v="4348"/>
    <n v="4905"/>
    <n v="69715"/>
    <n v="433"/>
    <n v="0"/>
    <n v="65843"/>
    <n v="643"/>
    <n v="0"/>
    <m/>
    <m/>
    <n v="0"/>
    <n v="0"/>
    <m/>
    <m/>
    <m/>
    <m/>
    <m/>
    <m/>
    <m/>
    <m/>
    <m/>
    <m/>
    <x v="0"/>
    <x v="0"/>
  </r>
  <r>
    <x v="9"/>
    <s v="Guilford Technical Community College"/>
    <m/>
    <n v="198622"/>
    <x v="7"/>
    <n v="296472"/>
    <n v="264902"/>
    <n v="143665"/>
    <n v="87513"/>
    <n v="2966"/>
    <n v="2788"/>
    <n v="149841"/>
    <n v="0"/>
    <n v="0"/>
    <n v="174601"/>
    <n v="0"/>
    <n v="0"/>
    <m/>
    <m/>
    <n v="0"/>
    <n v="0"/>
    <m/>
    <m/>
    <m/>
    <m/>
    <m/>
    <m/>
    <m/>
    <m/>
    <m/>
    <m/>
    <x v="0"/>
    <x v="0"/>
  </r>
  <r>
    <x v="9"/>
    <s v="Pitt Community College"/>
    <m/>
    <n v="199333"/>
    <x v="7"/>
    <n v="205873"/>
    <n v="200008"/>
    <n v="116807"/>
    <n v="96261"/>
    <n v="6957"/>
    <n v="6282"/>
    <n v="82109"/>
    <n v="0"/>
    <n v="0"/>
    <n v="97465"/>
    <n v="0"/>
    <n v="0"/>
    <m/>
    <m/>
    <n v="0"/>
    <n v="0"/>
    <m/>
    <m/>
    <m/>
    <m/>
    <m/>
    <m/>
    <m/>
    <m/>
    <m/>
    <m/>
    <x v="0"/>
    <x v="0"/>
  </r>
  <r>
    <x v="9"/>
    <s v="Rowan-Cabarrus Community College"/>
    <m/>
    <n v="199494"/>
    <x v="7"/>
    <n v="145591"/>
    <n v="140179"/>
    <n v="89827"/>
    <n v="79529"/>
    <n v="7661"/>
    <n v="7005"/>
    <n v="48103"/>
    <n v="0"/>
    <n v="0"/>
    <n v="53645"/>
    <n v="0"/>
    <n v="0"/>
    <m/>
    <m/>
    <n v="0"/>
    <n v="0"/>
    <m/>
    <m/>
    <m/>
    <m/>
    <m/>
    <m/>
    <m/>
    <m/>
    <m/>
    <m/>
    <x v="0"/>
    <x v="0"/>
  </r>
  <r>
    <x v="9"/>
    <s v="Wake Technical Community College"/>
    <m/>
    <n v="199856"/>
    <x v="7"/>
    <n v="442208"/>
    <n v="444970"/>
    <n v="287770"/>
    <n v="281791"/>
    <n v="3823"/>
    <n v="3592"/>
    <n v="150615"/>
    <n v="0"/>
    <n v="0"/>
    <n v="159587"/>
    <n v="0"/>
    <n v="0"/>
    <m/>
    <m/>
    <n v="0"/>
    <n v="0"/>
    <m/>
    <m/>
    <m/>
    <m/>
    <m/>
    <m/>
    <m/>
    <m/>
    <m/>
    <m/>
    <x v="0"/>
    <x v="0"/>
  </r>
  <r>
    <x v="9"/>
    <s v="Alamance Community College"/>
    <m/>
    <n v="199786"/>
    <x v="6"/>
    <n v="93521"/>
    <n v="94730"/>
    <n v="67930"/>
    <n v="64822"/>
    <n v="2852"/>
    <n v="2777"/>
    <n v="22739"/>
    <n v="0"/>
    <n v="0"/>
    <n v="27131"/>
    <n v="0"/>
    <n v="0"/>
    <m/>
    <m/>
    <n v="0"/>
    <n v="0"/>
    <m/>
    <m/>
    <m/>
    <m/>
    <m/>
    <m/>
    <m/>
    <m/>
    <m/>
    <m/>
    <x v="0"/>
    <x v="0"/>
  </r>
  <r>
    <x v="9"/>
    <s v="Caldwell Community College &amp; Technical Institute"/>
    <m/>
    <n v="198118"/>
    <x v="6"/>
    <n v="80258"/>
    <n v="77345"/>
    <n v="40339"/>
    <n v="40917"/>
    <n v="1616"/>
    <n v="1619"/>
    <n v="33957"/>
    <n v="4346"/>
    <n v="0"/>
    <n v="30129"/>
    <n v="4680"/>
    <n v="0"/>
    <m/>
    <m/>
    <n v="0"/>
    <n v="0"/>
    <m/>
    <m/>
    <m/>
    <m/>
    <m/>
    <m/>
    <m/>
    <m/>
    <m/>
    <m/>
    <x v="0"/>
    <x v="0"/>
  </r>
  <r>
    <x v="9"/>
    <s v="Catawba Valley Community College"/>
    <m/>
    <n v="198233"/>
    <x v="6"/>
    <n v="93831"/>
    <n v="94869"/>
    <n v="53081"/>
    <n v="47805"/>
    <n v="2003"/>
    <n v="2100"/>
    <n v="38747"/>
    <n v="0"/>
    <n v="0"/>
    <n v="44964"/>
    <n v="0"/>
    <n v="0"/>
    <m/>
    <m/>
    <n v="0"/>
    <n v="0"/>
    <m/>
    <m/>
    <m/>
    <m/>
    <m/>
    <m/>
    <m/>
    <m/>
    <m/>
    <m/>
    <x v="0"/>
    <x v="0"/>
  </r>
  <r>
    <x v="9"/>
    <s v="Central Carolina Commuity College"/>
    <m/>
    <n v="198251"/>
    <x v="6"/>
    <n v="100151"/>
    <n v="99991"/>
    <n v="59583"/>
    <n v="57354"/>
    <n v="3644"/>
    <n v="4258"/>
    <n v="36924"/>
    <n v="0"/>
    <n v="0"/>
    <n v="38379"/>
    <n v="0"/>
    <n v="0"/>
    <m/>
    <m/>
    <n v="0"/>
    <n v="0"/>
    <m/>
    <m/>
    <m/>
    <m/>
    <m/>
    <m/>
    <m/>
    <m/>
    <m/>
    <m/>
    <x v="0"/>
    <x v="0"/>
  </r>
  <r>
    <x v="9"/>
    <s v="Cleveland Community College"/>
    <m/>
    <n v="198321"/>
    <x v="6"/>
    <n v="65114"/>
    <n v="59796"/>
    <n v="34606"/>
    <n v="31969"/>
    <n v="1445"/>
    <n v="1915"/>
    <n v="28749"/>
    <n v="51"/>
    <n v="263"/>
    <n v="25891"/>
    <n v="21"/>
    <n v="0"/>
    <m/>
    <m/>
    <n v="0"/>
    <n v="0"/>
    <m/>
    <m/>
    <m/>
    <m/>
    <m/>
    <m/>
    <m/>
    <m/>
    <m/>
    <m/>
    <x v="0"/>
    <x v="0"/>
  </r>
  <r>
    <x v="9"/>
    <s v="Coastal Carolina Community College "/>
    <m/>
    <n v="198330"/>
    <x v="6"/>
    <n v="106577"/>
    <n v="105343"/>
    <n v="78209"/>
    <n v="75511"/>
    <n v="815"/>
    <n v="527"/>
    <n v="27553"/>
    <n v="0"/>
    <n v="0"/>
    <n v="29305"/>
    <n v="0"/>
    <n v="0"/>
    <m/>
    <m/>
    <n v="0"/>
    <n v="0"/>
    <m/>
    <m/>
    <m/>
    <m/>
    <m/>
    <m/>
    <m/>
    <m/>
    <m/>
    <m/>
    <x v="0"/>
    <x v="0"/>
  </r>
  <r>
    <x v="9"/>
    <s v="Craven Community College "/>
    <m/>
    <n v="198367"/>
    <x v="6"/>
    <n v="71247"/>
    <n v="64760"/>
    <n v="37291"/>
    <n v="30807"/>
    <n v="594"/>
    <n v="697"/>
    <n v="33362"/>
    <n v="0"/>
    <n v="0"/>
    <n v="33256"/>
    <n v="0"/>
    <n v="0"/>
    <m/>
    <m/>
    <n v="0"/>
    <n v="0"/>
    <m/>
    <m/>
    <m/>
    <m/>
    <m/>
    <m/>
    <m/>
    <m/>
    <m/>
    <m/>
    <x v="0"/>
    <x v="0"/>
  </r>
  <r>
    <x v="9"/>
    <s v="Davidson County Community College "/>
    <m/>
    <n v="198376"/>
    <x v="6"/>
    <n v="84342"/>
    <n v="80984"/>
    <n v="41018"/>
    <n v="39176"/>
    <n v="6"/>
    <n v="6"/>
    <n v="41392"/>
    <n v="1926"/>
    <n v="0"/>
    <n v="40920"/>
    <n v="882"/>
    <n v="0"/>
    <m/>
    <m/>
    <n v="0"/>
    <n v="0"/>
    <m/>
    <m/>
    <m/>
    <m/>
    <m/>
    <m/>
    <m/>
    <m/>
    <m/>
    <m/>
    <x v="0"/>
    <x v="0"/>
  </r>
  <r>
    <x v="9"/>
    <s v="Durham Technical Community College"/>
    <m/>
    <n v="198455"/>
    <x v="6"/>
    <n v="106443"/>
    <n v="102735"/>
    <n v="77719"/>
    <n v="71339"/>
    <n v="1249"/>
    <n v="1238"/>
    <n v="27475"/>
    <n v="0"/>
    <n v="0"/>
    <n v="30158"/>
    <n v="0"/>
    <n v="0"/>
    <m/>
    <m/>
    <n v="0"/>
    <n v="0"/>
    <m/>
    <m/>
    <m/>
    <m/>
    <m/>
    <m/>
    <m/>
    <m/>
    <m/>
    <m/>
    <x v="0"/>
    <x v="0"/>
  </r>
  <r>
    <x v="9"/>
    <s v="Edgecombe Community College"/>
    <m/>
    <n v="198491"/>
    <x v="6"/>
    <n v="63634"/>
    <n v="56785"/>
    <n v="37131"/>
    <n v="30860"/>
    <n v="1421"/>
    <n v="1324"/>
    <n v="25082"/>
    <n v="0"/>
    <n v="0"/>
    <n v="24601"/>
    <n v="0"/>
    <n v="0"/>
    <m/>
    <m/>
    <n v="0"/>
    <n v="0"/>
    <m/>
    <m/>
    <m/>
    <m/>
    <m/>
    <m/>
    <m/>
    <m/>
    <m/>
    <m/>
    <x v="0"/>
    <x v="0"/>
  </r>
  <r>
    <x v="9"/>
    <s v="Gaston College "/>
    <m/>
    <n v="198570"/>
    <x v="6"/>
    <n v="124956"/>
    <n v="117809"/>
    <n v="72866"/>
    <n v="68062"/>
    <n v="392"/>
    <n v="547"/>
    <n v="50921"/>
    <n v="777"/>
    <n v="0"/>
    <n v="48558"/>
    <n v="642"/>
    <n v="0"/>
    <m/>
    <m/>
    <n v="0"/>
    <n v="0"/>
    <m/>
    <m/>
    <m/>
    <m/>
    <m/>
    <m/>
    <m/>
    <m/>
    <m/>
    <m/>
    <x v="0"/>
    <x v="0"/>
  </r>
  <r>
    <x v="9"/>
    <s v="Johnston Community College"/>
    <m/>
    <n v="198774"/>
    <x v="6"/>
    <n v="89439"/>
    <n v="80835"/>
    <n v="51738"/>
    <n v="45827"/>
    <n v="1897"/>
    <n v="1814"/>
    <n v="35040"/>
    <n v="764"/>
    <n v="0"/>
    <n v="32366"/>
    <n v="828"/>
    <n v="0"/>
    <m/>
    <m/>
    <n v="0"/>
    <n v="0"/>
    <m/>
    <m/>
    <m/>
    <m/>
    <m/>
    <m/>
    <m/>
    <m/>
    <m/>
    <m/>
    <x v="0"/>
    <x v="0"/>
  </r>
  <r>
    <x v="9"/>
    <s v="Lenoir Community College "/>
    <m/>
    <n v="198817"/>
    <x v="6"/>
    <n v="64359"/>
    <n v="62972"/>
    <n v="31959"/>
    <n v="29623"/>
    <n v="790"/>
    <n v="1034"/>
    <n v="31175"/>
    <n v="435"/>
    <n v="0"/>
    <n v="32114"/>
    <n v="201"/>
    <n v="0"/>
    <m/>
    <m/>
    <n v="0"/>
    <n v="0"/>
    <m/>
    <m/>
    <m/>
    <m/>
    <m/>
    <m/>
    <m/>
    <m/>
    <m/>
    <m/>
    <x v="0"/>
    <x v="0"/>
  </r>
  <r>
    <x v="9"/>
    <s v="Mitchell Community College "/>
    <m/>
    <n v="198987"/>
    <x v="6"/>
    <n v="68343"/>
    <n v="61787"/>
    <n v="33234"/>
    <n v="27362"/>
    <n v="1552"/>
    <n v="1048"/>
    <n v="33557"/>
    <n v="0"/>
    <n v="0"/>
    <n v="33377"/>
    <n v="0"/>
    <n v="0"/>
    <m/>
    <m/>
    <n v="0"/>
    <n v="0"/>
    <m/>
    <m/>
    <m/>
    <m/>
    <m/>
    <m/>
    <m/>
    <m/>
    <m/>
    <m/>
    <x v="0"/>
    <x v="0"/>
  </r>
  <r>
    <x v="9"/>
    <s v="Nash Community College"/>
    <m/>
    <n v="199087"/>
    <x v="6"/>
    <n v="69991"/>
    <n v="70985"/>
    <n v="44674"/>
    <n v="40726"/>
    <n v="1792"/>
    <n v="1477"/>
    <n v="23356"/>
    <n v="169"/>
    <n v="0"/>
    <n v="28578"/>
    <n v="180"/>
    <n v="24"/>
    <m/>
    <m/>
    <n v="0"/>
    <n v="0"/>
    <m/>
    <m/>
    <m/>
    <m/>
    <m/>
    <m/>
    <m/>
    <m/>
    <m/>
    <m/>
    <x v="0"/>
    <x v="0"/>
  </r>
  <r>
    <x v="9"/>
    <s v="Randolph Community College"/>
    <m/>
    <n v="199421"/>
    <x v="6"/>
    <n v="64161"/>
    <n v="60471"/>
    <n v="37449"/>
    <n v="33068"/>
    <n v="1896"/>
    <n v="1837"/>
    <n v="24687"/>
    <n v="129"/>
    <n v="0"/>
    <n v="24056"/>
    <n v="270"/>
    <n v="1240"/>
    <m/>
    <m/>
    <n v="0"/>
    <n v="0"/>
    <m/>
    <m/>
    <m/>
    <m/>
    <m/>
    <m/>
    <m/>
    <m/>
    <m/>
    <m/>
    <x v="0"/>
    <x v="0"/>
  </r>
  <r>
    <x v="9"/>
    <s v="Richmond Community College"/>
    <m/>
    <n v="199449"/>
    <x v="6"/>
    <n v="54020"/>
    <n v="51121"/>
    <n v="36113"/>
    <n v="30827"/>
    <n v="354"/>
    <n v="379"/>
    <n v="17223"/>
    <n v="330"/>
    <n v="0"/>
    <n v="19744"/>
    <n v="171"/>
    <n v="0"/>
    <m/>
    <m/>
    <n v="0"/>
    <n v="0"/>
    <m/>
    <m/>
    <m/>
    <m/>
    <m/>
    <m/>
    <m/>
    <m/>
    <m/>
    <m/>
    <x v="0"/>
    <x v="0"/>
  </r>
  <r>
    <x v="9"/>
    <s v="Robeson Community College"/>
    <m/>
    <n v="199476"/>
    <x v="6"/>
    <n v="46144"/>
    <n v="42599"/>
    <n v="24092"/>
    <n v="29074"/>
    <n v="399"/>
    <n v="395"/>
    <n v="21653"/>
    <n v="0"/>
    <n v="0"/>
    <n v="13130"/>
    <n v="0"/>
    <n v="0"/>
    <m/>
    <m/>
    <n v="0"/>
    <n v="0"/>
    <m/>
    <m/>
    <m/>
    <m/>
    <m/>
    <m/>
    <m/>
    <m/>
    <m/>
    <m/>
    <x v="0"/>
    <x v="0"/>
  </r>
  <r>
    <x v="9"/>
    <s v="Sandhills Community College "/>
    <m/>
    <n v="199634"/>
    <x v="6"/>
    <n v="87471"/>
    <n v="84706"/>
    <n v="51311"/>
    <n v="43270"/>
    <n v="1782"/>
    <n v="1721"/>
    <n v="34378"/>
    <n v="0"/>
    <n v="0"/>
    <n v="39715"/>
    <n v="0"/>
    <n v="0"/>
    <m/>
    <m/>
    <n v="0"/>
    <n v="0"/>
    <m/>
    <m/>
    <m/>
    <m/>
    <m/>
    <m/>
    <m/>
    <m/>
    <m/>
    <m/>
    <x v="0"/>
    <x v="0"/>
  </r>
  <r>
    <x v="9"/>
    <s v="Stanly Community College"/>
    <m/>
    <n v="199740"/>
    <x v="6"/>
    <n v="58634"/>
    <n v="56680"/>
    <n v="18303"/>
    <n v="17221"/>
    <n v="2483"/>
    <n v="2647"/>
    <n v="37797"/>
    <n v="51"/>
    <n v="0"/>
    <n v="36776"/>
    <n v="36"/>
    <n v="0"/>
    <m/>
    <m/>
    <n v="0"/>
    <n v="0"/>
    <m/>
    <m/>
    <m/>
    <m/>
    <m/>
    <m/>
    <m/>
    <m/>
    <m/>
    <m/>
    <x v="0"/>
    <x v="0"/>
  </r>
  <r>
    <x v="9"/>
    <s v="Surry Community College "/>
    <m/>
    <n v="199768"/>
    <x v="6"/>
    <n v="70192"/>
    <n v="65351"/>
    <n v="46224"/>
    <n v="41910"/>
    <n v="84"/>
    <n v="94"/>
    <n v="22577"/>
    <n v="1307"/>
    <n v="0"/>
    <n v="22471"/>
    <n v="876"/>
    <n v="0"/>
    <m/>
    <m/>
    <n v="0"/>
    <n v="0"/>
    <m/>
    <m/>
    <m/>
    <m/>
    <m/>
    <m/>
    <m/>
    <m/>
    <m/>
    <m/>
    <x v="0"/>
    <x v="0"/>
  </r>
  <r>
    <x v="9"/>
    <s v="Vance-Granville Community College "/>
    <m/>
    <n v="199838"/>
    <x v="6"/>
    <n v="74269"/>
    <n v="65820"/>
    <n v="42042"/>
    <n v="35929"/>
    <n v="1429"/>
    <n v="1407"/>
    <n v="29236"/>
    <n v="1562"/>
    <n v="0"/>
    <n v="26908"/>
    <n v="1576"/>
    <n v="0"/>
    <m/>
    <m/>
    <n v="0"/>
    <n v="0"/>
    <m/>
    <m/>
    <m/>
    <m/>
    <m/>
    <m/>
    <m/>
    <m/>
    <m/>
    <m/>
    <x v="0"/>
    <x v="0"/>
  </r>
  <r>
    <x v="9"/>
    <s v="Wayne Community College"/>
    <m/>
    <n v="199892"/>
    <x v="6"/>
    <n v="87957"/>
    <n v="76448"/>
    <n v="47126"/>
    <n v="39654"/>
    <n v="1317"/>
    <n v="254"/>
    <n v="39370"/>
    <n v="0"/>
    <n v="144"/>
    <n v="36540"/>
    <n v="0"/>
    <n v="0"/>
    <m/>
    <m/>
    <n v="0"/>
    <n v="0"/>
    <m/>
    <m/>
    <m/>
    <m/>
    <m/>
    <m/>
    <m/>
    <m/>
    <m/>
    <m/>
    <x v="0"/>
    <x v="0"/>
  </r>
  <r>
    <x v="9"/>
    <s v="Western Piedmont Community College "/>
    <s v="Met the criteria for Two-Year 3 in 2015-16."/>
    <n v="199908"/>
    <x v="6"/>
    <n v="52328"/>
    <n v="45865"/>
    <n v="25515"/>
    <n v="20697"/>
    <n v="227"/>
    <n v="280"/>
    <n v="26586"/>
    <n v="0"/>
    <n v="0"/>
    <n v="24888"/>
    <n v="0"/>
    <n v="0"/>
    <m/>
    <m/>
    <n v="0"/>
    <n v="0"/>
    <m/>
    <m/>
    <m/>
    <m/>
    <m/>
    <m/>
    <m/>
    <m/>
    <m/>
    <m/>
    <x v="0"/>
    <x v="0"/>
  </r>
  <r>
    <x v="9"/>
    <s v="Wilkes Community College "/>
    <m/>
    <n v="199926"/>
    <x v="6"/>
    <n v="63489"/>
    <n v="59763"/>
    <n v="43948"/>
    <n v="40608"/>
    <n v="765"/>
    <n v="941"/>
    <n v="15417"/>
    <n v="3359"/>
    <n v="0"/>
    <n v="14581"/>
    <n v="3447"/>
    <n v="186"/>
    <m/>
    <m/>
    <n v="0"/>
    <n v="0"/>
    <m/>
    <m/>
    <m/>
    <m/>
    <m/>
    <m/>
    <m/>
    <m/>
    <m/>
    <m/>
    <x v="0"/>
    <x v="0"/>
  </r>
  <r>
    <x v="9"/>
    <s v="Beaufort County Community College "/>
    <m/>
    <n v="197966"/>
    <x v="8"/>
    <n v="41145"/>
    <n v="40499"/>
    <n v="19045"/>
    <n v="14929"/>
    <n v="355"/>
    <n v="349"/>
    <n v="20877"/>
    <n v="0"/>
    <n v="868"/>
    <n v="24597"/>
    <n v="0"/>
    <n v="624"/>
    <m/>
    <m/>
    <n v="0"/>
    <n v="0"/>
    <m/>
    <m/>
    <m/>
    <m/>
    <m/>
    <m/>
    <m/>
    <m/>
    <m/>
    <m/>
    <x v="0"/>
    <x v="0"/>
  </r>
  <r>
    <x v="9"/>
    <s v="Bladen Community College"/>
    <m/>
    <n v="198011"/>
    <x v="8"/>
    <n v="30060"/>
    <n v="29209"/>
    <n v="12759"/>
    <n v="12641"/>
    <n v="16"/>
    <n v="20"/>
    <n v="15987"/>
    <n v="1281"/>
    <n v="17"/>
    <n v="15291"/>
    <n v="1257"/>
    <n v="0"/>
    <m/>
    <m/>
    <n v="0"/>
    <n v="0"/>
    <m/>
    <m/>
    <m/>
    <m/>
    <m/>
    <m/>
    <m/>
    <m/>
    <m/>
    <m/>
    <x v="0"/>
    <x v="0"/>
  </r>
  <r>
    <x v="9"/>
    <s v="Blue Ridge Community College"/>
    <m/>
    <n v="198039"/>
    <x v="8"/>
    <n v="45379"/>
    <n v="43268"/>
    <n v="26758"/>
    <n v="22686"/>
    <n v="767"/>
    <n v="463"/>
    <n v="17806"/>
    <n v="48"/>
    <n v="0"/>
    <n v="20119"/>
    <n v="0"/>
    <n v="0"/>
    <m/>
    <m/>
    <n v="0"/>
    <n v="0"/>
    <m/>
    <m/>
    <m/>
    <m/>
    <m/>
    <m/>
    <m/>
    <m/>
    <m/>
    <m/>
    <x v="0"/>
    <x v="0"/>
  </r>
  <r>
    <x v="9"/>
    <s v="Brunswick Community College"/>
    <m/>
    <n v="198084"/>
    <x v="8"/>
    <n v="34811"/>
    <n v="34871"/>
    <n v="20254"/>
    <n v="20163"/>
    <n v="139"/>
    <n v="174"/>
    <n v="14260"/>
    <n v="158"/>
    <n v="0"/>
    <n v="14444"/>
    <n v="90"/>
    <n v="0"/>
    <m/>
    <m/>
    <n v="0"/>
    <n v="0"/>
    <m/>
    <m/>
    <m/>
    <m/>
    <m/>
    <m/>
    <m/>
    <m/>
    <m/>
    <m/>
    <x v="0"/>
    <x v="0"/>
  </r>
  <r>
    <x v="9"/>
    <s v="Carteret Community College"/>
    <m/>
    <n v="198206"/>
    <x v="8"/>
    <n v="31866"/>
    <n v="31705"/>
    <n v="18235"/>
    <n v="17977"/>
    <n v="1093"/>
    <n v="1003"/>
    <n v="12538"/>
    <n v="0"/>
    <n v="0"/>
    <n v="12725"/>
    <n v="0"/>
    <n v="0"/>
    <m/>
    <m/>
    <n v="0"/>
    <n v="0"/>
    <m/>
    <m/>
    <m/>
    <m/>
    <m/>
    <m/>
    <m/>
    <m/>
    <m/>
    <m/>
    <x v="0"/>
    <x v="0"/>
  </r>
  <r>
    <x v="9"/>
    <s v="College of the Albemarle"/>
    <m/>
    <n v="197814"/>
    <x v="8"/>
    <n v="51637"/>
    <n v="49633"/>
    <n v="26034"/>
    <n v="23178"/>
    <n v="521"/>
    <n v="547"/>
    <n v="25082"/>
    <n v="0"/>
    <n v="0"/>
    <n v="25908"/>
    <n v="0"/>
    <n v="0"/>
    <m/>
    <m/>
    <n v="0"/>
    <n v="0"/>
    <m/>
    <m/>
    <m/>
    <m/>
    <m/>
    <m/>
    <m/>
    <m/>
    <m/>
    <m/>
    <x v="0"/>
    <x v="0"/>
  </r>
  <r>
    <x v="9"/>
    <s v="Halifax Community College "/>
    <m/>
    <n v="198640"/>
    <x v="8"/>
    <n v="29989"/>
    <n v="26767"/>
    <n v="15130"/>
    <n v="12644"/>
    <n v="2642"/>
    <n v="2274"/>
    <n v="11830"/>
    <n v="387"/>
    <n v="0"/>
    <n v="11402"/>
    <n v="447"/>
    <n v="0"/>
    <m/>
    <m/>
    <n v="0"/>
    <n v="0"/>
    <m/>
    <m/>
    <m/>
    <m/>
    <m/>
    <m/>
    <m/>
    <m/>
    <m/>
    <m/>
    <x v="0"/>
    <x v="0"/>
  </r>
  <r>
    <x v="9"/>
    <s v="Haywood Community College"/>
    <m/>
    <n v="198668"/>
    <x v="8"/>
    <n v="42500"/>
    <n v="38761"/>
    <n v="22598"/>
    <n v="19943"/>
    <n v="738"/>
    <n v="807"/>
    <n v="19164"/>
    <n v="0"/>
    <n v="0"/>
    <n v="18011"/>
    <n v="0"/>
    <n v="0"/>
    <m/>
    <m/>
    <n v="0"/>
    <n v="0"/>
    <m/>
    <m/>
    <m/>
    <m/>
    <m/>
    <m/>
    <m/>
    <m/>
    <m/>
    <m/>
    <x v="0"/>
    <x v="0"/>
  </r>
  <r>
    <x v="9"/>
    <s v="Isothermal Community College "/>
    <m/>
    <n v="198710"/>
    <x v="8"/>
    <n v="47983"/>
    <n v="43554"/>
    <n v="28914"/>
    <n v="24697"/>
    <n v="3809"/>
    <n v="2981"/>
    <n v="15260"/>
    <n v="0"/>
    <n v="0"/>
    <n v="15876"/>
    <n v="0"/>
    <n v="0"/>
    <m/>
    <m/>
    <n v="0"/>
    <n v="0"/>
    <m/>
    <m/>
    <m/>
    <m/>
    <m/>
    <m/>
    <m/>
    <m/>
    <m/>
    <m/>
    <x v="0"/>
    <x v="0"/>
  </r>
  <r>
    <x v="9"/>
    <s v="James Sprunt Community College"/>
    <m/>
    <n v="198729"/>
    <x v="8"/>
    <n v="27878"/>
    <n v="24059"/>
    <n v="16782"/>
    <n v="14291"/>
    <n v="16"/>
    <n v="12"/>
    <n v="10294"/>
    <n v="786"/>
    <n v="0"/>
    <n v="9297"/>
    <n v="459"/>
    <n v="0"/>
    <m/>
    <m/>
    <n v="0"/>
    <n v="0"/>
    <m/>
    <m/>
    <m/>
    <m/>
    <m/>
    <m/>
    <m/>
    <m/>
    <m/>
    <m/>
    <x v="0"/>
    <x v="0"/>
  </r>
  <r>
    <x v="9"/>
    <s v="Martin Community College "/>
    <m/>
    <n v="198905"/>
    <x v="8"/>
    <n v="15250"/>
    <n v="12788"/>
    <n v="9273"/>
    <n v="7188"/>
    <n v="400"/>
    <n v="610"/>
    <n v="5234"/>
    <n v="343"/>
    <n v="0"/>
    <n v="4753"/>
    <n v="237"/>
    <n v="0"/>
    <m/>
    <m/>
    <n v="0"/>
    <n v="0"/>
    <m/>
    <m/>
    <m/>
    <m/>
    <m/>
    <m/>
    <m/>
    <m/>
    <m/>
    <m/>
    <x v="0"/>
    <x v="0"/>
  </r>
  <r>
    <x v="9"/>
    <s v="Mayland Community College"/>
    <m/>
    <n v="198914"/>
    <x v="8"/>
    <n v="22390"/>
    <n v="20202"/>
    <n v="15548"/>
    <n v="13787"/>
    <n v="1952"/>
    <n v="1017"/>
    <n v="4890"/>
    <n v="0"/>
    <n v="0"/>
    <n v="5398"/>
    <n v="0"/>
    <n v="0"/>
    <m/>
    <m/>
    <n v="0"/>
    <n v="0"/>
    <m/>
    <m/>
    <m/>
    <m/>
    <m/>
    <m/>
    <m/>
    <m/>
    <m/>
    <m/>
    <x v="0"/>
    <x v="0"/>
  </r>
  <r>
    <x v="9"/>
    <s v="McDowell Technical Community College"/>
    <m/>
    <n v="198923"/>
    <x v="8"/>
    <n v="25171"/>
    <n v="22067"/>
    <n v="16523"/>
    <n v="13670"/>
    <n v="1"/>
    <n v="0"/>
    <n v="8575"/>
    <n v="0"/>
    <n v="72"/>
    <n v="8316"/>
    <n v="81"/>
    <n v="0"/>
    <m/>
    <m/>
    <n v="0"/>
    <n v="0"/>
    <m/>
    <m/>
    <m/>
    <m/>
    <m/>
    <m/>
    <m/>
    <m/>
    <m/>
    <m/>
    <x v="0"/>
    <x v="0"/>
  </r>
  <r>
    <x v="9"/>
    <s v="Montgomery Community College"/>
    <m/>
    <n v="199023"/>
    <x v="8"/>
    <n v="17482"/>
    <n v="17325"/>
    <n v="7906"/>
    <n v="7631"/>
    <n v="627"/>
    <n v="699"/>
    <n v="8940"/>
    <n v="9"/>
    <n v="0"/>
    <n v="8950"/>
    <n v="45"/>
    <n v="0"/>
    <m/>
    <m/>
    <n v="0"/>
    <n v="0"/>
    <m/>
    <m/>
    <m/>
    <m/>
    <m/>
    <m/>
    <m/>
    <m/>
    <m/>
    <m/>
    <x v="0"/>
    <x v="0"/>
  </r>
  <r>
    <x v="9"/>
    <s v="Pamlico Community College"/>
    <m/>
    <n v="199263"/>
    <x v="8"/>
    <n v="11677"/>
    <n v="9873"/>
    <n v="2332"/>
    <n v="1576"/>
    <n v="3216"/>
    <n v="3628"/>
    <n v="6108"/>
    <n v="21"/>
    <n v="0"/>
    <n v="4654"/>
    <n v="15"/>
    <n v="0"/>
    <m/>
    <m/>
    <n v="0"/>
    <n v="0"/>
    <m/>
    <m/>
    <m/>
    <m/>
    <m/>
    <m/>
    <m/>
    <m/>
    <m/>
    <m/>
    <x v="0"/>
    <x v="0"/>
  </r>
  <r>
    <x v="9"/>
    <s v="Piedmont Community College"/>
    <m/>
    <n v="199324"/>
    <x v="8"/>
    <n v="31169"/>
    <n v="28089"/>
    <n v="19978"/>
    <n v="18083"/>
    <n v="964"/>
    <n v="324"/>
    <n v="8467"/>
    <n v="1718"/>
    <n v="42"/>
    <n v="7943"/>
    <n v="1739"/>
    <n v="0"/>
    <m/>
    <m/>
    <n v="0"/>
    <n v="0"/>
    <m/>
    <m/>
    <m/>
    <m/>
    <m/>
    <m/>
    <m/>
    <m/>
    <m/>
    <m/>
    <x v="0"/>
    <x v="0"/>
  </r>
  <r>
    <x v="9"/>
    <s v="Roanoke-Chowan Community College"/>
    <m/>
    <n v="199467"/>
    <x v="8"/>
    <n v="16962"/>
    <n v="16105"/>
    <n v="11473"/>
    <n v="9345"/>
    <n v="190"/>
    <n v="134"/>
    <n v="5033"/>
    <n v="266"/>
    <n v="0"/>
    <n v="6470"/>
    <n v="156"/>
    <n v="0"/>
    <m/>
    <m/>
    <n v="0"/>
    <n v="0"/>
    <m/>
    <m/>
    <m/>
    <m/>
    <m/>
    <m/>
    <m/>
    <m/>
    <m/>
    <m/>
    <x v="0"/>
    <x v="0"/>
  </r>
  <r>
    <x v="9"/>
    <s v="Rockingham Community College "/>
    <m/>
    <n v="199485"/>
    <x v="8"/>
    <n v="39473"/>
    <n v="36990"/>
    <n v="34086"/>
    <n v="30081"/>
    <n v="0"/>
    <n v="12"/>
    <n v="5359"/>
    <n v="28"/>
    <n v="0"/>
    <n v="6897"/>
    <n v="0"/>
    <n v="0"/>
    <m/>
    <m/>
    <n v="0"/>
    <n v="0"/>
    <m/>
    <m/>
    <m/>
    <m/>
    <m/>
    <m/>
    <m/>
    <m/>
    <m/>
    <m/>
    <x v="0"/>
    <x v="0"/>
  </r>
  <r>
    <x v="9"/>
    <s v="Sampson Community College"/>
    <m/>
    <n v="199625"/>
    <x v="8"/>
    <n v="29917"/>
    <n v="28585"/>
    <n v="21696"/>
    <n v="19857"/>
    <n v="125"/>
    <n v="115"/>
    <n v="7607"/>
    <n v="489"/>
    <n v="0"/>
    <n v="8122"/>
    <n v="491"/>
    <n v="0"/>
    <m/>
    <m/>
    <n v="0"/>
    <n v="0"/>
    <m/>
    <m/>
    <m/>
    <m/>
    <m/>
    <m/>
    <m/>
    <m/>
    <m/>
    <m/>
    <x v="0"/>
    <x v="0"/>
  </r>
  <r>
    <x v="9"/>
    <s v="South Piedmont Community College"/>
    <m/>
    <n v="197850"/>
    <x v="8"/>
    <n v="47537"/>
    <n v="46265"/>
    <n v="16483"/>
    <n v="15211"/>
    <n v="817"/>
    <n v="691"/>
    <n v="29885"/>
    <n v="352"/>
    <n v="0"/>
    <n v="29814"/>
    <n v="549"/>
    <n v="0"/>
    <m/>
    <m/>
    <n v="0"/>
    <n v="0"/>
    <m/>
    <m/>
    <m/>
    <m/>
    <m/>
    <m/>
    <m/>
    <m/>
    <m/>
    <m/>
    <x v="0"/>
    <x v="0"/>
  </r>
  <r>
    <x v="9"/>
    <s v="Southeastern Community College "/>
    <m/>
    <n v="199722"/>
    <x v="8"/>
    <n v="30074"/>
    <n v="30203"/>
    <n v="20315"/>
    <n v="20042"/>
    <n v="571"/>
    <n v="405"/>
    <n v="8947"/>
    <n v="241"/>
    <n v="0"/>
    <n v="9582"/>
    <n v="174"/>
    <n v="0"/>
    <m/>
    <m/>
    <n v="0"/>
    <n v="0"/>
    <m/>
    <m/>
    <m/>
    <m/>
    <m/>
    <m/>
    <m/>
    <m/>
    <m/>
    <m/>
    <x v="0"/>
    <x v="0"/>
  </r>
  <r>
    <x v="9"/>
    <s v="Southwestern Community College "/>
    <m/>
    <n v="199731"/>
    <x v="8"/>
    <n v="52273"/>
    <n v="52541"/>
    <n v="26023"/>
    <n v="27113"/>
    <n v="1892"/>
    <n v="2004"/>
    <n v="23753"/>
    <n v="458"/>
    <n v="147"/>
    <n v="23123"/>
    <n v="301"/>
    <n v="0"/>
    <m/>
    <m/>
    <n v="0"/>
    <n v="0"/>
    <m/>
    <m/>
    <m/>
    <m/>
    <m/>
    <m/>
    <m/>
    <m/>
    <m/>
    <m/>
    <x v="0"/>
    <x v="0"/>
  </r>
  <r>
    <x v="9"/>
    <s v="Tri-County Community College "/>
    <m/>
    <n v="199795"/>
    <x v="8"/>
    <n v="30411"/>
    <n v="26471"/>
    <n v="10866"/>
    <n v="8500"/>
    <n v="606"/>
    <n v="808"/>
    <n v="18824"/>
    <n v="115"/>
    <n v="0"/>
    <n v="17055"/>
    <n v="108"/>
    <n v="0"/>
    <m/>
    <m/>
    <n v="0"/>
    <n v="0"/>
    <m/>
    <m/>
    <m/>
    <m/>
    <m/>
    <m/>
    <m/>
    <m/>
    <m/>
    <m/>
    <x v="0"/>
    <x v="0"/>
  </r>
  <r>
    <x v="9"/>
    <s v="Wilson Community College"/>
    <m/>
    <n v="199953"/>
    <x v="8"/>
    <n v="43230"/>
    <n v="39195"/>
    <n v="19912"/>
    <n v="15937"/>
    <n v="942"/>
    <n v="664"/>
    <n v="21867"/>
    <n v="0"/>
    <n v="509"/>
    <n v="22594"/>
    <n v="0"/>
    <n v="0"/>
    <m/>
    <m/>
    <n v="0"/>
    <n v="0"/>
    <m/>
    <m/>
    <m/>
    <m/>
    <m/>
    <m/>
    <m/>
    <m/>
    <m/>
    <m/>
    <x v="0"/>
    <x v="0"/>
  </r>
  <r>
    <x v="10"/>
    <s v="Oklahoma State University Main Campus"/>
    <m/>
    <n v="207388"/>
    <x v="0"/>
    <n v="623576"/>
    <n v="580436"/>
    <n v="558918"/>
    <n v="512026"/>
    <n v="6069"/>
    <n v="4996"/>
    <n v="56687"/>
    <n v="0"/>
    <n v="0"/>
    <n v="62425"/>
    <n v="0"/>
    <n v="0"/>
    <n v="1902"/>
    <n v="989"/>
    <n v="61100"/>
    <n v="104112"/>
    <n v="43238"/>
    <n v="87991"/>
    <n v="599"/>
    <n v="1762"/>
    <n v="16911"/>
    <m/>
    <m/>
    <n v="13978"/>
    <m/>
    <m/>
    <x v="7"/>
    <x v="8"/>
  </r>
  <r>
    <x v="10"/>
    <s v="University of Oklahoma Norman Campus"/>
    <m/>
    <n v="207500"/>
    <x v="0"/>
    <n v="712179"/>
    <n v="612819"/>
    <n v="598538"/>
    <n v="520071"/>
    <n v="9749"/>
    <n v="6195"/>
    <n v="80616"/>
    <n v="20382"/>
    <n v="2894"/>
    <n v="80857"/>
    <n v="1542"/>
    <n v="4154"/>
    <m/>
    <m/>
    <n v="87331"/>
    <n v="191968"/>
    <n v="47477"/>
    <n v="134920"/>
    <n v="15533"/>
    <n v="14964"/>
    <n v="20998"/>
    <n v="620"/>
    <n v="2703"/>
    <n v="24596"/>
    <n v="7308"/>
    <n v="10180"/>
    <x v="0"/>
    <x v="0"/>
  </r>
  <r>
    <x v="10"/>
    <s v="Northeastern State University"/>
    <m/>
    <n v="207263"/>
    <x v="2"/>
    <n v="179145"/>
    <n v="173467"/>
    <n v="134141"/>
    <n v="126116"/>
    <n v="158"/>
    <n v="147"/>
    <n v="44217"/>
    <n v="629"/>
    <m/>
    <n v="46403"/>
    <n v="801"/>
    <n v="0"/>
    <m/>
    <m/>
    <n v="18206"/>
    <n v="21798"/>
    <n v="14426"/>
    <n v="17510"/>
    <n v="0"/>
    <n v="0"/>
    <n v="3188"/>
    <n v="592"/>
    <m/>
    <n v="3696"/>
    <n v="592"/>
    <m/>
    <x v="0"/>
    <x v="0"/>
  </r>
  <r>
    <x v="10"/>
    <s v="University of Central Oklahoma"/>
    <m/>
    <n v="206941"/>
    <x v="2"/>
    <n v="369667"/>
    <n v="366331"/>
    <n v="309166"/>
    <n v="163672"/>
    <n v="2767"/>
    <n v="139280"/>
    <n v="52924"/>
    <n v="403"/>
    <n v="4407"/>
    <n v="58430"/>
    <n v="877"/>
    <n v="4072"/>
    <m/>
    <m/>
    <n v="26969"/>
    <n v="27370"/>
    <n v="23589"/>
    <n v="13138"/>
    <n v="55"/>
    <n v="10729"/>
    <n v="1733"/>
    <n v="42"/>
    <n v="1550"/>
    <n v="1923"/>
    <n v="27"/>
    <n v="1553"/>
    <x v="0"/>
    <x v="0"/>
  </r>
  <r>
    <x v="10"/>
    <s v="Southeastern Oklahoma State University "/>
    <m/>
    <n v="207847"/>
    <x v="3"/>
    <n v="89245"/>
    <n v="83925"/>
    <n v="58369"/>
    <n v="55216"/>
    <n v="569"/>
    <n v="417"/>
    <n v="26692"/>
    <n v="2357"/>
    <n v="1258"/>
    <n v="25345"/>
    <n v="1896"/>
    <n v="1051"/>
    <m/>
    <m/>
    <n v="5818"/>
    <n v="7840"/>
    <n v="2534"/>
    <n v="2536"/>
    <n v="441"/>
    <n v="579"/>
    <n v="2774"/>
    <n v="42"/>
    <n v="27"/>
    <n v="4644"/>
    <n v="57"/>
    <n v="24"/>
    <x v="0"/>
    <x v="0"/>
  </r>
  <r>
    <x v="10"/>
    <s v="Cameron University "/>
    <m/>
    <n v="206914"/>
    <x v="4"/>
    <n v="120596"/>
    <n v="113769"/>
    <n v="92669"/>
    <n v="84581"/>
    <n v="974"/>
    <n v="1181"/>
    <n v="18738"/>
    <n v="8215"/>
    <m/>
    <n v="19595"/>
    <n v="8412"/>
    <n v="0"/>
    <m/>
    <m/>
    <n v="7029"/>
    <n v="6665"/>
    <n v="3057"/>
    <n v="3143"/>
    <m/>
    <m/>
    <n v="3141"/>
    <n v="831"/>
    <m/>
    <n v="2958"/>
    <n v="564"/>
    <m/>
    <x v="0"/>
    <x v="0"/>
  </r>
  <r>
    <x v="10"/>
    <s v="East Central University "/>
    <m/>
    <n v="207041"/>
    <x v="4"/>
    <n v="99391"/>
    <n v="99205"/>
    <n v="84156"/>
    <n v="82566"/>
    <n v="209"/>
    <n v="865"/>
    <n v="7965"/>
    <n v="3512"/>
    <n v="3549"/>
    <n v="10105"/>
    <n v="2367"/>
    <n v="3302"/>
    <m/>
    <m/>
    <n v="13650"/>
    <n v="12281"/>
    <n v="3926"/>
    <n v="3759"/>
    <n v="316"/>
    <n v="182"/>
    <n v="7242"/>
    <n v="1356"/>
    <n v="810"/>
    <n v="6482"/>
    <n v="999"/>
    <n v="859"/>
    <x v="0"/>
    <x v="0"/>
  </r>
  <r>
    <x v="10"/>
    <s v="Langston University"/>
    <m/>
    <n v="207209"/>
    <x v="4"/>
    <n v="55277"/>
    <n v="56805"/>
    <n v="53687"/>
    <n v="54822"/>
    <n v="0"/>
    <n v="0"/>
    <n v="990"/>
    <n v="600"/>
    <m/>
    <n v="1721"/>
    <n v="262"/>
    <n v="0"/>
    <m/>
    <m/>
    <n v="5946"/>
    <n v="7133"/>
    <n v="4080"/>
    <n v="5405"/>
    <m/>
    <n v="0"/>
    <n v="1461"/>
    <n v="405"/>
    <m/>
    <n v="1539"/>
    <n v="189"/>
    <m/>
    <x v="0"/>
    <x v="0"/>
  </r>
  <r>
    <x v="10"/>
    <s v="Northwestern Oklahoma State University "/>
    <m/>
    <n v="207306"/>
    <x v="4"/>
    <n v="48658"/>
    <n v="48214"/>
    <n v="35393"/>
    <n v="34333"/>
    <n v="57"/>
    <n v="48"/>
    <n v="5212"/>
    <n v="7684"/>
    <n v="312"/>
    <n v="6493"/>
    <n v="6926"/>
    <n v="414"/>
    <m/>
    <m/>
    <n v="2403"/>
    <n v="2535"/>
    <n v="1032"/>
    <n v="911"/>
    <n v="5"/>
    <n v="3"/>
    <n v="302"/>
    <n v="1064"/>
    <m/>
    <n v="388"/>
    <n v="1233"/>
    <m/>
    <x v="0"/>
    <x v="0"/>
  </r>
  <r>
    <x v="10"/>
    <s v="Southwestern Oklahoma State University"/>
    <s v="Met the criteria for Four-Year 4 in 2015-16."/>
    <n v="207865"/>
    <x v="4"/>
    <n v="117069"/>
    <n v="118358"/>
    <n v="94060"/>
    <n v="94407"/>
    <n v="1404"/>
    <n v="1562"/>
    <n v="20393"/>
    <n v="1209"/>
    <n v="3"/>
    <n v="21025"/>
    <n v="1316"/>
    <n v="48"/>
    <m/>
    <m/>
    <n v="12050"/>
    <n v="12701"/>
    <n v="7239"/>
    <n v="7558"/>
    <m/>
    <n v="18"/>
    <n v="4205"/>
    <n v="606"/>
    <m/>
    <n v="4423"/>
    <n v="702"/>
    <m/>
    <x v="0"/>
    <x v="0"/>
  </r>
  <r>
    <x v="10"/>
    <s v="Oklahoma Panhandle State University "/>
    <m/>
    <n v="207351"/>
    <x v="5"/>
    <n v="33689"/>
    <n v="33931"/>
    <n v="26645"/>
    <n v="27219"/>
    <n v="0"/>
    <n v="0"/>
    <n v="6834"/>
    <n v="210"/>
    <m/>
    <n v="6379"/>
    <n v="333"/>
    <n v="0"/>
    <m/>
    <m/>
    <n v="0"/>
    <n v="0"/>
    <m/>
    <n v="0"/>
    <m/>
    <n v="0"/>
    <m/>
    <m/>
    <m/>
    <m/>
    <m/>
    <m/>
    <x v="0"/>
    <x v="0"/>
  </r>
  <r>
    <x v="10"/>
    <s v="Rogers State University"/>
    <m/>
    <n v="207661"/>
    <x v="5"/>
    <n v="89911"/>
    <n v="88319"/>
    <n v="62644"/>
    <n v="61860"/>
    <n v="1087"/>
    <n v="142"/>
    <n v="24179"/>
    <n v="2001"/>
    <m/>
    <n v="24061"/>
    <n v="2256"/>
    <n v="0"/>
    <m/>
    <m/>
    <n v="75"/>
    <n v="261"/>
    <n v="75"/>
    <n v="261"/>
    <m/>
    <n v="0"/>
    <m/>
    <m/>
    <m/>
    <m/>
    <m/>
    <m/>
    <x v="0"/>
    <x v="0"/>
  </r>
  <r>
    <x v="10"/>
    <s v="University of Science and Arts of Oklahoma"/>
    <m/>
    <n v="207722"/>
    <x v="5"/>
    <n v="27027"/>
    <n v="25979"/>
    <n v="26965"/>
    <n v="25928"/>
    <n v="62"/>
    <n v="51"/>
    <n v="0"/>
    <m/>
    <m/>
    <n v="0"/>
    <n v="0"/>
    <n v="0"/>
    <m/>
    <m/>
    <n v="0"/>
    <n v="0"/>
    <m/>
    <m/>
    <m/>
    <m/>
    <m/>
    <m/>
    <m/>
    <m/>
    <m/>
    <m/>
    <x v="0"/>
    <x v="0"/>
  </r>
  <r>
    <x v="10"/>
    <s v="Oklahoma State University Technical Branch-Okmulgee "/>
    <m/>
    <n v="207564"/>
    <x v="12"/>
    <n v="93399"/>
    <n v="82440"/>
    <n v="70059"/>
    <n v="63913"/>
    <n v="11708"/>
    <n v="7044"/>
    <n v="11632"/>
    <m/>
    <m/>
    <n v="11483"/>
    <n v="0"/>
    <n v="0"/>
    <m/>
    <m/>
    <n v="0"/>
    <n v="0"/>
    <m/>
    <m/>
    <m/>
    <m/>
    <m/>
    <m/>
    <m/>
    <m/>
    <m/>
    <m/>
    <x v="0"/>
    <x v="0"/>
  </r>
  <r>
    <x v="10"/>
    <s v="Oklahoma State University-Oklahoma City"/>
    <m/>
    <n v="207397"/>
    <x v="12"/>
    <n v="130772"/>
    <n v="116991"/>
    <n v="74743"/>
    <n v="67285"/>
    <n v="4199"/>
    <n v="1550"/>
    <n v="49910"/>
    <n v="1920"/>
    <m/>
    <n v="45896"/>
    <n v="2141"/>
    <n v="0"/>
    <m/>
    <n v="119"/>
    <n v="0"/>
    <n v="0"/>
    <m/>
    <m/>
    <m/>
    <m/>
    <m/>
    <m/>
    <m/>
    <m/>
    <m/>
    <m/>
    <x v="0"/>
    <x v="0"/>
  </r>
  <r>
    <x v="10"/>
    <s v="Oklahoma City Community College "/>
    <m/>
    <n v="207449"/>
    <x v="7"/>
    <n v="254888"/>
    <n v="256009"/>
    <n v="173094"/>
    <n v="176534"/>
    <n v="15905"/>
    <n v="10991"/>
    <n v="65462"/>
    <m/>
    <n v="427"/>
    <n v="68119"/>
    <n v="0"/>
    <n v="365"/>
    <m/>
    <m/>
    <n v="0"/>
    <n v="0"/>
    <m/>
    <m/>
    <m/>
    <m/>
    <m/>
    <m/>
    <m/>
    <m/>
    <m/>
    <m/>
    <x v="0"/>
    <x v="0"/>
  </r>
  <r>
    <x v="10"/>
    <s v="Rose State College "/>
    <s v="Reclassified: Met the criteria for Two-Year 2 institution in 2013-14, 2014-15, and 2015-16."/>
    <n v="207670"/>
    <x v="6"/>
    <n v="130720"/>
    <n v="127159"/>
    <n v="91256"/>
    <n v="89276"/>
    <n v="3465"/>
    <n v="1482"/>
    <n v="34035"/>
    <n v="516"/>
    <n v="1448"/>
    <n v="34163"/>
    <n v="834"/>
    <n v="1404"/>
    <m/>
    <m/>
    <n v="0"/>
    <n v="0"/>
    <m/>
    <m/>
    <m/>
    <m/>
    <m/>
    <m/>
    <m/>
    <m/>
    <m/>
    <m/>
    <x v="0"/>
    <x v="0"/>
  </r>
  <r>
    <x v="10"/>
    <s v="Tulsa Community College "/>
    <m/>
    <n v="207935"/>
    <x v="7"/>
    <n v="336810"/>
    <n v="324297"/>
    <n v="225160"/>
    <n v="199133"/>
    <n v="24331"/>
    <n v="21224"/>
    <n v="87319"/>
    <m/>
    <m/>
    <n v="103859"/>
    <n v="51"/>
    <n v="21"/>
    <m/>
    <n v="9"/>
    <n v="0"/>
    <n v="0"/>
    <m/>
    <m/>
    <m/>
    <m/>
    <m/>
    <m/>
    <m/>
    <m/>
    <m/>
    <m/>
    <x v="0"/>
    <x v="0"/>
  </r>
  <r>
    <x v="10"/>
    <s v="Carl Albert State College"/>
    <s v="Reclassified: Met the criteria for Two-Year 3 institution in 2013-14, 2014-15, and 2015-16."/>
    <n v="206923"/>
    <x v="8"/>
    <n v="54021"/>
    <n v="51506"/>
    <n v="52411"/>
    <n v="49915"/>
    <n v="0"/>
    <n v="0"/>
    <n v="0"/>
    <n v="1610"/>
    <m/>
    <n v="0"/>
    <n v="1591"/>
    <n v="0"/>
    <m/>
    <m/>
    <n v="0"/>
    <n v="0"/>
    <m/>
    <m/>
    <m/>
    <m/>
    <m/>
    <m/>
    <m/>
    <m/>
    <m/>
    <m/>
    <x v="0"/>
    <x v="0"/>
  </r>
  <r>
    <x v="10"/>
    <s v="Northern Oklahoma College "/>
    <m/>
    <n v="207281"/>
    <x v="6"/>
    <n v="93431"/>
    <n v="91921"/>
    <n v="64397"/>
    <n v="64415"/>
    <n v="5995"/>
    <n v="4315"/>
    <n v="10206"/>
    <n v="12833"/>
    <m/>
    <n v="10302"/>
    <n v="12889"/>
    <n v="0"/>
    <m/>
    <m/>
    <n v="0"/>
    <n v="0"/>
    <m/>
    <m/>
    <m/>
    <m/>
    <m/>
    <m/>
    <m/>
    <m/>
    <m/>
    <m/>
    <x v="0"/>
    <x v="0"/>
  </r>
  <r>
    <x v="10"/>
    <s v="Connors State College "/>
    <m/>
    <n v="206996"/>
    <x v="8"/>
    <n v="52005"/>
    <n v="51066"/>
    <n v="33925"/>
    <n v="29754"/>
    <n v="6727"/>
    <n v="6287"/>
    <n v="11353"/>
    <m/>
    <m/>
    <n v="15025"/>
    <n v="0"/>
    <n v="0"/>
    <m/>
    <m/>
    <n v="0"/>
    <n v="0"/>
    <m/>
    <m/>
    <m/>
    <m/>
    <m/>
    <m/>
    <m/>
    <m/>
    <m/>
    <m/>
    <x v="0"/>
    <x v="0"/>
  </r>
  <r>
    <x v="10"/>
    <s v="Eastern Oklahoma State College "/>
    <m/>
    <n v="207050"/>
    <x v="8"/>
    <n v="36204"/>
    <n v="34566"/>
    <n v="25370"/>
    <n v="23377"/>
    <n v="1036"/>
    <n v="656"/>
    <n v="7287"/>
    <n v="2511"/>
    <m/>
    <n v="8324"/>
    <n v="2209"/>
    <n v="0"/>
    <m/>
    <m/>
    <n v="0"/>
    <n v="0"/>
    <m/>
    <m/>
    <m/>
    <m/>
    <m/>
    <m/>
    <m/>
    <m/>
    <m/>
    <m/>
    <x v="0"/>
    <x v="0"/>
  </r>
  <r>
    <x v="10"/>
    <s v="Murray State College "/>
    <m/>
    <n v="207236"/>
    <x v="8"/>
    <n v="49034"/>
    <n v="47580"/>
    <n v="28007"/>
    <n v="28037"/>
    <n v="3295"/>
    <n v="1249"/>
    <n v="12888"/>
    <n v="4734"/>
    <n v="110"/>
    <n v="13635"/>
    <n v="4568"/>
    <n v="91"/>
    <m/>
    <m/>
    <n v="0"/>
    <n v="0"/>
    <m/>
    <m/>
    <m/>
    <m/>
    <m/>
    <m/>
    <m/>
    <m/>
    <m/>
    <m/>
    <x v="0"/>
    <x v="0"/>
  </r>
  <r>
    <x v="10"/>
    <s v="Northeastern Oklahoma A &amp; M College "/>
    <m/>
    <n v="207290"/>
    <x v="8"/>
    <n v="57813"/>
    <n v="53807"/>
    <n v="44966"/>
    <n v="42640"/>
    <n v="1302"/>
    <n v="1232"/>
    <n v="10402"/>
    <n v="1143"/>
    <m/>
    <n v="8927"/>
    <n v="1008"/>
    <n v="0"/>
    <m/>
    <m/>
    <n v="0"/>
    <n v="0"/>
    <m/>
    <m/>
    <m/>
    <m/>
    <m/>
    <m/>
    <m/>
    <m/>
    <m/>
    <m/>
    <x v="0"/>
    <x v="0"/>
  </r>
  <r>
    <x v="10"/>
    <s v="Redlands Community College"/>
    <m/>
    <n v="207069"/>
    <x v="8"/>
    <n v="40502"/>
    <n v="39513"/>
    <n v="22053"/>
    <n v="20693"/>
    <n v="6065"/>
    <n v="5585"/>
    <n v="10641"/>
    <n v="1743"/>
    <m/>
    <n v="11510"/>
    <n v="1725"/>
    <n v="0"/>
    <m/>
    <m/>
    <n v="0"/>
    <n v="0"/>
    <m/>
    <m/>
    <m/>
    <m/>
    <m/>
    <m/>
    <m/>
    <m/>
    <m/>
    <m/>
    <x v="0"/>
    <x v="0"/>
  </r>
  <r>
    <x v="10"/>
    <s v="Seminole State College "/>
    <m/>
    <n v="207740"/>
    <x v="8"/>
    <n v="38178"/>
    <n v="38400"/>
    <n v="24232"/>
    <n v="26601"/>
    <n v="5977"/>
    <n v="4702"/>
    <n v="7906"/>
    <n v="33"/>
    <n v="30"/>
    <n v="6899"/>
    <n v="198"/>
    <n v="0"/>
    <m/>
    <m/>
    <n v="0"/>
    <n v="0"/>
    <m/>
    <m/>
    <m/>
    <m/>
    <m/>
    <m/>
    <m/>
    <m/>
    <m/>
    <m/>
    <x v="0"/>
    <x v="0"/>
  </r>
  <r>
    <x v="10"/>
    <s v="Western Oklahoma State College "/>
    <m/>
    <n v="208035"/>
    <x v="8"/>
    <n v="29530"/>
    <n v="28144"/>
    <n v="15711"/>
    <n v="15490"/>
    <n v="3556"/>
    <n v="1790"/>
    <n v="8618"/>
    <n v="1645"/>
    <m/>
    <n v="8773"/>
    <n v="2091"/>
    <n v="0"/>
    <m/>
    <m/>
    <n v="0"/>
    <n v="0"/>
    <m/>
    <m/>
    <m/>
    <m/>
    <m/>
    <m/>
    <m/>
    <m/>
    <m/>
    <m/>
    <x v="0"/>
    <x v="0"/>
  </r>
  <r>
    <x v="11"/>
    <s v="Clemson University"/>
    <m/>
    <n v="217882"/>
    <x v="0"/>
    <n v="606707"/>
    <n v="539706"/>
    <n v="528139"/>
    <n v="489579"/>
    <n v="34839"/>
    <n v="10345"/>
    <n v="43729"/>
    <m/>
    <m/>
    <n v="39782"/>
    <m/>
    <m/>
    <m/>
    <m/>
    <n v="89736"/>
    <n v="90626"/>
    <n v="53579"/>
    <n v="52042"/>
    <n v="24934"/>
    <n v="25778"/>
    <n v="11223"/>
    <m/>
    <m/>
    <n v="12806"/>
    <m/>
    <m/>
    <x v="0"/>
    <x v="0"/>
  </r>
  <r>
    <x v="11"/>
    <s v="University of South Carolina-Columbia"/>
    <m/>
    <n v="218663"/>
    <x v="0"/>
    <n v="903508"/>
    <n v="699226"/>
    <n v="798024"/>
    <n v="641566"/>
    <n v="27300"/>
    <n v="18865"/>
    <n v="60623"/>
    <n v="12951"/>
    <n v="4610"/>
    <n v="38795"/>
    <m/>
    <m/>
    <m/>
    <m/>
    <n v="167884"/>
    <n v="234148"/>
    <n v="126366"/>
    <n v="176197"/>
    <n v="6034"/>
    <n v="6201"/>
    <n v="28115"/>
    <n v="3403"/>
    <n v="3966"/>
    <n v="37856"/>
    <n v="12483"/>
    <n v="1411"/>
    <x v="0"/>
    <x v="0"/>
  </r>
  <r>
    <x v="11"/>
    <s v="College of Charleston"/>
    <m/>
    <n v="217819"/>
    <x v="2"/>
    <n v="321172"/>
    <n v="304995"/>
    <n v="306076"/>
    <n v="292782"/>
    <n v="7497"/>
    <n v="3850"/>
    <n v="7599"/>
    <m/>
    <m/>
    <n v="8363"/>
    <m/>
    <m/>
    <m/>
    <m/>
    <n v="15588"/>
    <n v="14943"/>
    <n v="8949"/>
    <n v="8329"/>
    <n v="4593"/>
    <n v="3845"/>
    <n v="2046"/>
    <m/>
    <m/>
    <n v="2769"/>
    <m/>
    <m/>
    <x v="0"/>
    <x v="0"/>
  </r>
  <r>
    <x v="11"/>
    <s v="The Citadel, the Military College of South Carolina "/>
    <m/>
    <n v="217864"/>
    <x v="2"/>
    <n v="110783"/>
    <n v="95559"/>
    <n v="104967"/>
    <n v="93571"/>
    <n v="1659"/>
    <n v="207"/>
    <n v="4106"/>
    <n v="51"/>
    <m/>
    <n v="1781"/>
    <m/>
    <m/>
    <m/>
    <m/>
    <n v="13901"/>
    <n v="13865"/>
    <n v="9922"/>
    <n v="9799"/>
    <n v="1476"/>
    <n v="1713"/>
    <n v="2503"/>
    <m/>
    <m/>
    <n v="2353"/>
    <m/>
    <m/>
    <x v="0"/>
    <x v="0"/>
  </r>
  <r>
    <x v="11"/>
    <s v="Winthrop University "/>
    <m/>
    <n v="218964"/>
    <x v="2"/>
    <n v="158851"/>
    <n v="135777.5"/>
    <n v="149195"/>
    <n v="127554.5"/>
    <n v="3706"/>
    <n v="1414"/>
    <n v="5950"/>
    <m/>
    <m/>
    <n v="6809"/>
    <m/>
    <m/>
    <m/>
    <m/>
    <n v="24493"/>
    <n v="24004.5"/>
    <n v="21568"/>
    <n v="21341"/>
    <n v="2108"/>
    <n v="1621"/>
    <n v="817"/>
    <m/>
    <m/>
    <n v="1042.5"/>
    <m/>
    <m/>
    <x v="0"/>
    <x v="0"/>
  </r>
  <r>
    <x v="11"/>
    <s v="Coastal Carolina University"/>
    <m/>
    <n v="218724"/>
    <x v="4"/>
    <n v="275731"/>
    <n v="276301"/>
    <n v="243704"/>
    <n v="244796"/>
    <n v="3150"/>
    <n v="1911"/>
    <n v="28877"/>
    <m/>
    <m/>
    <n v="29594"/>
    <m/>
    <m/>
    <m/>
    <m/>
    <n v="11639"/>
    <n v="12116"/>
    <n v="5691"/>
    <n v="5271"/>
    <n v="1311"/>
    <n v="1122"/>
    <n v="4637"/>
    <m/>
    <m/>
    <n v="5723"/>
    <m/>
    <m/>
    <x v="0"/>
    <x v="0"/>
  </r>
  <r>
    <x v="11"/>
    <s v="Francis Marion University "/>
    <m/>
    <n v="218061"/>
    <x v="4"/>
    <n v="103758"/>
    <n v="96009"/>
    <n v="99759"/>
    <n v="94806"/>
    <n v="1373"/>
    <n v="343"/>
    <n v="2626"/>
    <m/>
    <m/>
    <n v="860"/>
    <m/>
    <m/>
    <m/>
    <m/>
    <n v="6570"/>
    <n v="6913"/>
    <n v="4155"/>
    <n v="4592"/>
    <n v="885"/>
    <n v="828"/>
    <n v="1530"/>
    <m/>
    <m/>
    <n v="1493"/>
    <m/>
    <m/>
    <x v="0"/>
    <x v="0"/>
  </r>
  <r>
    <x v="11"/>
    <s v="South Carolina State University "/>
    <m/>
    <n v="218733"/>
    <x v="4"/>
    <n v="91612"/>
    <n v="76233"/>
    <n v="87787"/>
    <n v="72605"/>
    <m/>
    <m/>
    <n v="3825"/>
    <m/>
    <m/>
    <n v="3628"/>
    <m/>
    <m/>
    <m/>
    <m/>
    <n v="8874"/>
    <n v="7674"/>
    <n v="7929"/>
    <n v="6852"/>
    <m/>
    <m/>
    <n v="945"/>
    <m/>
    <m/>
    <n v="822"/>
    <m/>
    <m/>
    <x v="0"/>
    <x v="0"/>
  </r>
  <r>
    <x v="11"/>
    <s v="Lander University"/>
    <m/>
    <n v="218229"/>
    <x v="5"/>
    <n v="79605"/>
    <n v="76209.5"/>
    <n v="73019"/>
    <n v="70030.5"/>
    <n v="30"/>
    <n v="12"/>
    <n v="6556"/>
    <m/>
    <m/>
    <n v="6167"/>
    <m/>
    <m/>
    <m/>
    <m/>
    <n v="1575"/>
    <n v="1113"/>
    <n v="927"/>
    <n v="441"/>
    <n v="15"/>
    <m/>
    <n v="633"/>
    <m/>
    <m/>
    <n v="672"/>
    <m/>
    <m/>
    <x v="0"/>
    <x v="0"/>
  </r>
  <r>
    <x v="11"/>
    <s v="University of South Carolina-Aiken"/>
    <m/>
    <n v="218645"/>
    <x v="5"/>
    <n v="89448"/>
    <n v="43111"/>
    <n v="77065"/>
    <n v="34175"/>
    <n v="4979"/>
    <n v="2095"/>
    <n v="7404"/>
    <m/>
    <m/>
    <n v="6841"/>
    <m/>
    <m/>
    <m/>
    <m/>
    <n v="4520"/>
    <n v="47512"/>
    <n v="2875"/>
    <n v="41039"/>
    <n v="61"/>
    <n v="1714"/>
    <n v="1584"/>
    <m/>
    <m/>
    <n v="4759"/>
    <m/>
    <m/>
    <x v="0"/>
    <x v="0"/>
  </r>
  <r>
    <x v="11"/>
    <s v="University of South Carolina-Beaufort"/>
    <m/>
    <n v="218654"/>
    <x v="5"/>
    <n v="46512"/>
    <n v="24838"/>
    <n v="39597"/>
    <n v="21494"/>
    <n v="1165"/>
    <n v="397"/>
    <n v="5630"/>
    <m/>
    <n v="120"/>
    <n v="2783"/>
    <m/>
    <n v="164"/>
    <m/>
    <m/>
    <n v="0"/>
    <n v="27210"/>
    <m/>
    <n v="24632"/>
    <m/>
    <n v="238"/>
    <m/>
    <m/>
    <m/>
    <n v="2244"/>
    <m/>
    <n v="96"/>
    <x v="0"/>
    <x v="0"/>
  </r>
  <r>
    <x v="11"/>
    <s v="University of South Carolina-Upstate"/>
    <m/>
    <n v="218742"/>
    <x v="5"/>
    <n v="150269"/>
    <n v="74464"/>
    <n v="123267"/>
    <n v="58615"/>
    <n v="9664"/>
    <n v="5659"/>
    <n v="16774"/>
    <n v="564"/>
    <m/>
    <n v="10190"/>
    <m/>
    <m/>
    <m/>
    <m/>
    <n v="4668"/>
    <n v="78615"/>
    <n v="3351"/>
    <n v="65591"/>
    <m/>
    <n v="5141"/>
    <n v="1257"/>
    <n v="60"/>
    <m/>
    <n v="7883"/>
    <m/>
    <m/>
    <x v="0"/>
    <x v="0"/>
  </r>
  <r>
    <x v="11"/>
    <s v="Florence-Darlington Technical College "/>
    <s v="Met the criteria for Two-Year 2 in 2015-16."/>
    <n v="218025"/>
    <x v="7"/>
    <n v="137560"/>
    <n v="126696"/>
    <n v="89294"/>
    <n v="58506"/>
    <n v="9605"/>
    <n v="12133"/>
    <n v="32775"/>
    <n v="5886"/>
    <m/>
    <n v="50985"/>
    <n v="5072"/>
    <m/>
    <m/>
    <m/>
    <n v="0"/>
    <n v="0"/>
    <m/>
    <m/>
    <m/>
    <m/>
    <m/>
    <m/>
    <m/>
    <m/>
    <m/>
    <m/>
    <x v="0"/>
    <x v="0"/>
  </r>
  <r>
    <x v="11"/>
    <s v="Greenville Technical College "/>
    <m/>
    <n v="218113"/>
    <x v="7"/>
    <n v="266598"/>
    <n v="254910"/>
    <n v="187176"/>
    <n v="172019"/>
    <n v="15662"/>
    <n v="16029"/>
    <n v="63760"/>
    <m/>
    <m/>
    <n v="66862"/>
    <m/>
    <m/>
    <m/>
    <m/>
    <n v="0"/>
    <n v="0"/>
    <m/>
    <m/>
    <m/>
    <m/>
    <m/>
    <m/>
    <m/>
    <m/>
    <m/>
    <m/>
    <x v="0"/>
    <x v="0"/>
  </r>
  <r>
    <x v="11"/>
    <s v="Horry-Georgetown Technical College "/>
    <m/>
    <n v="218140"/>
    <x v="7"/>
    <n v="166199"/>
    <n v="161966"/>
    <n v="111778"/>
    <n v="104361"/>
    <n v="9146"/>
    <n v="8992"/>
    <n v="45275"/>
    <m/>
    <m/>
    <n v="48613"/>
    <m/>
    <m/>
    <m/>
    <m/>
    <n v="0"/>
    <n v="0"/>
    <m/>
    <m/>
    <m/>
    <m/>
    <m/>
    <m/>
    <m/>
    <m/>
    <m/>
    <m/>
    <x v="0"/>
    <x v="0"/>
  </r>
  <r>
    <x v="11"/>
    <s v="Midlands Technical College "/>
    <m/>
    <n v="218353"/>
    <x v="7"/>
    <n v="256118"/>
    <n v="247980"/>
    <n v="193510"/>
    <n v="182441"/>
    <n v="13701"/>
    <n v="13507"/>
    <n v="48907"/>
    <m/>
    <m/>
    <n v="52032"/>
    <m/>
    <m/>
    <m/>
    <m/>
    <n v="0"/>
    <n v="0"/>
    <m/>
    <m/>
    <m/>
    <m/>
    <m/>
    <m/>
    <m/>
    <m/>
    <m/>
    <m/>
    <x v="0"/>
    <x v="0"/>
  </r>
  <r>
    <x v="11"/>
    <s v="Piedmont Technical College "/>
    <s v="Met the criteria for Two-Year 2 in 2014-15 and 2015-16."/>
    <n v="218520"/>
    <x v="7"/>
    <n v="131679"/>
    <n v="119311"/>
    <n v="61320"/>
    <n v="56242"/>
    <n v="11916"/>
    <n v="10953"/>
    <n v="51532"/>
    <n v="6911"/>
    <m/>
    <n v="45530"/>
    <n v="6586"/>
    <m/>
    <m/>
    <m/>
    <n v="0"/>
    <n v="0"/>
    <m/>
    <m/>
    <m/>
    <m/>
    <m/>
    <m/>
    <m/>
    <m/>
    <m/>
    <m/>
    <x v="0"/>
    <x v="0"/>
  </r>
  <r>
    <x v="11"/>
    <s v="Tri-County Technical College "/>
    <m/>
    <n v="218885"/>
    <x v="7"/>
    <n v="154944"/>
    <n v="148361"/>
    <n v="116857"/>
    <n v="110664"/>
    <n v="6031"/>
    <n v="6173"/>
    <n v="32056"/>
    <m/>
    <m/>
    <n v="31524"/>
    <m/>
    <m/>
    <m/>
    <m/>
    <n v="0"/>
    <n v="0"/>
    <m/>
    <m/>
    <m/>
    <m/>
    <m/>
    <m/>
    <m/>
    <m/>
    <m/>
    <m/>
    <x v="0"/>
    <x v="0"/>
  </r>
  <r>
    <x v="11"/>
    <s v="Trident Technical College "/>
    <m/>
    <n v="218894"/>
    <x v="7"/>
    <n v="372456"/>
    <n v="344972"/>
    <n v="244850"/>
    <n v="218603"/>
    <n v="21171"/>
    <n v="18229"/>
    <n v="106435"/>
    <m/>
    <m/>
    <n v="108140"/>
    <m/>
    <m/>
    <m/>
    <m/>
    <n v="0"/>
    <n v="0"/>
    <m/>
    <m/>
    <m/>
    <m/>
    <m/>
    <m/>
    <m/>
    <m/>
    <m/>
    <m/>
    <x v="0"/>
    <x v="0"/>
  </r>
  <r>
    <x v="11"/>
    <s v="Aiken Technical College "/>
    <s v="Met the criteria for Two-Year 3 in 2014-15 and 2015-16."/>
    <n v="217615"/>
    <x v="6"/>
    <n v="53726"/>
    <n v="49696"/>
    <n v="39177"/>
    <n v="34113"/>
    <n v="3441"/>
    <n v="3492"/>
    <n v="11108"/>
    <m/>
    <m/>
    <n v="12091"/>
    <m/>
    <m/>
    <m/>
    <m/>
    <n v="0"/>
    <n v="0"/>
    <m/>
    <m/>
    <m/>
    <m/>
    <m/>
    <m/>
    <m/>
    <m/>
    <m/>
    <m/>
    <x v="0"/>
    <x v="0"/>
  </r>
  <r>
    <x v="11"/>
    <s v="Central Carolina Technical College "/>
    <m/>
    <n v="218858"/>
    <x v="6"/>
    <n v="81806"/>
    <n v="77294"/>
    <n v="60140"/>
    <n v="54633"/>
    <n v="2397"/>
    <n v="1686"/>
    <n v="19269"/>
    <m/>
    <m/>
    <n v="20975"/>
    <m/>
    <m/>
    <m/>
    <m/>
    <n v="0"/>
    <n v="0"/>
    <m/>
    <m/>
    <m/>
    <m/>
    <m/>
    <m/>
    <m/>
    <m/>
    <m/>
    <m/>
    <x v="0"/>
    <x v="0"/>
  </r>
  <r>
    <x v="11"/>
    <s v="Orangeburg-Calhoun Technical College "/>
    <m/>
    <n v="218487"/>
    <x v="6"/>
    <n v="63519"/>
    <n v="59669"/>
    <n v="43900"/>
    <n v="41575"/>
    <n v="9610"/>
    <n v="7471"/>
    <n v="10009"/>
    <m/>
    <m/>
    <n v="10623"/>
    <m/>
    <m/>
    <m/>
    <m/>
    <n v="0"/>
    <n v="0"/>
    <m/>
    <m/>
    <m/>
    <m/>
    <m/>
    <m/>
    <m/>
    <m/>
    <m/>
    <m/>
    <x v="0"/>
    <x v="0"/>
  </r>
  <r>
    <x v="11"/>
    <s v="Spartanburg Community College "/>
    <m/>
    <n v="218830"/>
    <x v="6"/>
    <n v="119672"/>
    <n v="109586"/>
    <n v="85541"/>
    <n v="76417"/>
    <n v="11253"/>
    <n v="11853"/>
    <n v="22878"/>
    <m/>
    <m/>
    <n v="21316"/>
    <m/>
    <m/>
    <m/>
    <m/>
    <n v="0"/>
    <n v="0"/>
    <m/>
    <m/>
    <m/>
    <m/>
    <m/>
    <m/>
    <m/>
    <m/>
    <m/>
    <m/>
    <x v="0"/>
    <x v="0"/>
  </r>
  <r>
    <x v="11"/>
    <s v="York Technical College "/>
    <m/>
    <n v="218991"/>
    <x v="6"/>
    <n v="115474"/>
    <n v="107583"/>
    <n v="85353"/>
    <n v="79266"/>
    <n v="5149"/>
    <n v="4846"/>
    <n v="23148"/>
    <n v="1823"/>
    <n v="1"/>
    <n v="22443"/>
    <n v="1028"/>
    <m/>
    <m/>
    <m/>
    <n v="0"/>
    <n v="0"/>
    <m/>
    <m/>
    <m/>
    <m/>
    <m/>
    <m/>
    <m/>
    <m/>
    <m/>
    <m/>
    <x v="0"/>
    <x v="0"/>
  </r>
  <r>
    <x v="11"/>
    <s v="Denmark Technical College "/>
    <m/>
    <n v="217989"/>
    <x v="8"/>
    <n v="53836"/>
    <n v="37327"/>
    <n v="53358"/>
    <n v="31164"/>
    <n v="478"/>
    <n v="2347"/>
    <m/>
    <m/>
    <m/>
    <n v="3816"/>
    <m/>
    <m/>
    <m/>
    <m/>
    <n v="0"/>
    <n v="0"/>
    <m/>
    <m/>
    <m/>
    <m/>
    <m/>
    <m/>
    <m/>
    <m/>
    <m/>
    <m/>
    <x v="0"/>
    <x v="0"/>
  </r>
  <r>
    <x v="11"/>
    <s v="Northeastern Technical College "/>
    <m/>
    <n v="217837"/>
    <x v="8"/>
    <n v="25591"/>
    <n v="23269"/>
    <n v="13718"/>
    <n v="11387"/>
    <n v="331"/>
    <n v="640"/>
    <n v="7354"/>
    <n v="4188"/>
    <m/>
    <n v="7537"/>
    <n v="3705"/>
    <m/>
    <m/>
    <m/>
    <n v="0"/>
    <n v="0"/>
    <m/>
    <m/>
    <m/>
    <m/>
    <m/>
    <m/>
    <m/>
    <m/>
    <m/>
    <m/>
    <x v="0"/>
    <x v="0"/>
  </r>
  <r>
    <x v="11"/>
    <s v="Technical College of the Lowcountry"/>
    <m/>
    <n v="217712"/>
    <x v="8"/>
    <n v="50125"/>
    <n v="48875"/>
    <n v="36359"/>
    <n v="32912"/>
    <n v="2026"/>
    <n v="2223"/>
    <n v="11740"/>
    <m/>
    <m/>
    <n v="13740"/>
    <m/>
    <m/>
    <m/>
    <m/>
    <n v="0"/>
    <n v="0"/>
    <m/>
    <m/>
    <m/>
    <m/>
    <m/>
    <m/>
    <m/>
    <m/>
    <m/>
    <m/>
    <x v="0"/>
    <x v="0"/>
  </r>
  <r>
    <x v="11"/>
    <s v="University of South Carolina-Lancaster"/>
    <m/>
    <n v="218672"/>
    <x v="8"/>
    <n v="34135"/>
    <n v="32979"/>
    <n v="26960"/>
    <n v="26521"/>
    <n v="189"/>
    <n v="250"/>
    <n v="1065"/>
    <m/>
    <n v="5921"/>
    <n v="1078"/>
    <m/>
    <n v="5130"/>
    <m/>
    <m/>
    <n v="0"/>
    <n v="0"/>
    <m/>
    <m/>
    <m/>
    <m/>
    <m/>
    <m/>
    <m/>
    <m/>
    <m/>
    <m/>
    <x v="0"/>
    <x v="0"/>
  </r>
  <r>
    <x v="11"/>
    <s v="University of South Carolina-Salkehatchie"/>
    <m/>
    <n v="218681"/>
    <x v="8"/>
    <n v="22405"/>
    <n v="21004"/>
    <n v="20769"/>
    <n v="15915"/>
    <n v="709"/>
    <n v="2740"/>
    <n v="927"/>
    <m/>
    <m/>
    <n v="2349"/>
    <m/>
    <m/>
    <m/>
    <m/>
    <n v="0"/>
    <n v="0"/>
    <m/>
    <m/>
    <m/>
    <m/>
    <m/>
    <m/>
    <m/>
    <m/>
    <m/>
    <m/>
    <x v="0"/>
    <x v="0"/>
  </r>
  <r>
    <x v="11"/>
    <s v="University of South Carolina-Sumter"/>
    <m/>
    <n v="218690"/>
    <x v="8"/>
    <n v="20299"/>
    <n v="20079"/>
    <n v="17656"/>
    <n v="16794"/>
    <n v="1952"/>
    <n v="1921"/>
    <n v="691"/>
    <m/>
    <m/>
    <n v="1364"/>
    <m/>
    <m/>
    <m/>
    <m/>
    <n v="0"/>
    <n v="0"/>
    <m/>
    <m/>
    <m/>
    <m/>
    <m/>
    <m/>
    <m/>
    <m/>
    <m/>
    <m/>
    <x v="0"/>
    <x v="0"/>
  </r>
  <r>
    <x v="11"/>
    <s v="University of South Carolina-Union"/>
    <m/>
    <n v="218706"/>
    <x v="8"/>
    <n v="12066"/>
    <n v="10522"/>
    <n v="9544"/>
    <n v="6910"/>
    <n v="2289"/>
    <n v="3486"/>
    <n v="233"/>
    <m/>
    <m/>
    <n v="126"/>
    <m/>
    <m/>
    <m/>
    <m/>
    <n v="0"/>
    <n v="0"/>
    <m/>
    <m/>
    <m/>
    <m/>
    <m/>
    <m/>
    <m/>
    <m/>
    <m/>
    <m/>
    <x v="0"/>
    <x v="0"/>
  </r>
  <r>
    <x v="11"/>
    <s v="Willamsburg Technical College "/>
    <m/>
    <n v="218955"/>
    <x v="8"/>
    <n v="14938"/>
    <n v="14312"/>
    <n v="12862"/>
    <n v="11044"/>
    <n v="2076"/>
    <n v="2557"/>
    <m/>
    <m/>
    <m/>
    <n v="711"/>
    <m/>
    <m/>
    <m/>
    <m/>
    <n v="0"/>
    <n v="0"/>
    <m/>
    <m/>
    <m/>
    <m/>
    <m/>
    <m/>
    <m/>
    <m/>
    <m/>
    <m/>
    <x v="0"/>
    <x v="0"/>
  </r>
  <r>
    <x v="12"/>
    <s v="University of Memphis"/>
    <m/>
    <n v="220862"/>
    <x v="0"/>
    <n v="410921"/>
    <n v="407602"/>
    <n v="303621"/>
    <n v="294048"/>
    <n v="18790"/>
    <n v="18874"/>
    <n v="63045"/>
    <m/>
    <n v="23340"/>
    <n v="66783"/>
    <n v="341"/>
    <n v="25427"/>
    <n v="2125"/>
    <n v="2129"/>
    <n v="61550"/>
    <n v="59189"/>
    <n v="37929"/>
    <n v="36835"/>
    <n v="276"/>
    <n v="89"/>
    <n v="15906"/>
    <n v="189"/>
    <n v="2815"/>
    <n v="15899"/>
    <n v="144"/>
    <n v="2487"/>
    <x v="8"/>
    <x v="9"/>
  </r>
  <r>
    <x v="12"/>
    <s v="University of Tennessee, Knoxville"/>
    <m/>
    <n v="221759"/>
    <x v="0"/>
    <n v="587902"/>
    <n v="599602"/>
    <n v="568523"/>
    <n v="578144"/>
    <n v="15"/>
    <n v="21"/>
    <n v="13989"/>
    <n v="3"/>
    <n v="1456"/>
    <n v="16213"/>
    <n v="0"/>
    <n v="1555"/>
    <n v="3916"/>
    <n v="3669"/>
    <n v="91887.5"/>
    <n v="90986.5"/>
    <n v="71180.5"/>
    <n v="70363.5"/>
    <n v="3013"/>
    <n v="3066"/>
    <n v="13629"/>
    <n v="181"/>
    <n v="1331"/>
    <n v="13622"/>
    <n v="21"/>
    <n v="1220"/>
    <x v="9"/>
    <x v="10"/>
  </r>
  <r>
    <x v="12"/>
    <s v="Tennessee State University "/>
    <m/>
    <n v="221838"/>
    <x v="1"/>
    <n v="183724"/>
    <n v="191452"/>
    <n v="145988"/>
    <n v="151032"/>
    <n v="21829"/>
    <n v="22373"/>
    <n v="14154"/>
    <m/>
    <n v="1411"/>
    <n v="15886"/>
    <n v="33"/>
    <n v="1865"/>
    <n v="342"/>
    <n v="263"/>
    <n v="30462"/>
    <n v="29064"/>
    <n v="14800"/>
    <n v="14204"/>
    <n v="7074"/>
    <n v="6787"/>
    <n v="6620"/>
    <m/>
    <n v="692"/>
    <n v="6597"/>
    <n v="0"/>
    <n v="487"/>
    <x v="10"/>
    <x v="11"/>
  </r>
  <r>
    <x v="12"/>
    <s v="Austin Peay State University "/>
    <m/>
    <n v="219602"/>
    <x v="2"/>
    <n v="235384"/>
    <n v="233643"/>
    <n v="153897"/>
    <n v="152425"/>
    <n v="11521"/>
    <n v="9196"/>
    <n v="64102"/>
    <m/>
    <n v="5603"/>
    <n v="62460"/>
    <n v="0"/>
    <n v="9308"/>
    <n v="261"/>
    <n v="254"/>
    <n v="14785"/>
    <n v="15323"/>
    <n v="4345"/>
    <n v="4283"/>
    <n v="375"/>
    <n v="205"/>
    <n v="9477"/>
    <m/>
    <n v="560"/>
    <n v="10316"/>
    <n v="0"/>
    <n v="514"/>
    <x v="11"/>
    <x v="12"/>
  </r>
  <r>
    <x v="12"/>
    <s v="East Tennessee State University "/>
    <s v="Reclassified: Met the criteria for Four-Year 2 in 2013-14, 2014-15, and 2015-16."/>
    <n v="220075"/>
    <x v="1"/>
    <n v="299596"/>
    <n v="300762"/>
    <n v="199672"/>
    <n v="205436"/>
    <n v="6833"/>
    <n v="6370"/>
    <n v="63628"/>
    <n v="7235"/>
    <n v="20251"/>
    <n v="63165"/>
    <n v="6645"/>
    <n v="17017"/>
    <n v="1977"/>
    <n v="2129"/>
    <n v="40814"/>
    <n v="42586"/>
    <n v="18622"/>
    <n v="19106"/>
    <n v="177"/>
    <n v="458"/>
    <n v="17919"/>
    <n v="265"/>
    <n v="1534"/>
    <n v="18661"/>
    <n v="413"/>
    <n v="1650"/>
    <x v="12"/>
    <x v="13"/>
  </r>
  <r>
    <x v="12"/>
    <s v="Middle Tennessee State University "/>
    <s v="Met the criteria for Four-Year 2 in 2015-16."/>
    <n v="220978"/>
    <x v="2"/>
    <n v="532652"/>
    <n v="523287"/>
    <n v="445736"/>
    <n v="433529"/>
    <n v="835"/>
    <n v="1060"/>
    <n v="61273"/>
    <n v="393"/>
    <n v="20140"/>
    <n v="66420"/>
    <n v="213"/>
    <n v="17742"/>
    <n v="4275"/>
    <n v="4323"/>
    <n v="39088"/>
    <n v="36382"/>
    <n v="23684"/>
    <n v="22625"/>
    <n v="1419"/>
    <n v="1077"/>
    <n v="11438"/>
    <n v="30"/>
    <n v="752"/>
    <n v="10051"/>
    <n v="0"/>
    <n v="907"/>
    <x v="13"/>
    <x v="14"/>
  </r>
  <r>
    <x v="12"/>
    <s v="Tennessee Technological University "/>
    <m/>
    <n v="221847"/>
    <x v="2"/>
    <n v="272548"/>
    <n v="267065"/>
    <n v="178001"/>
    <n v="173377"/>
    <n v="3660"/>
    <n v="1428"/>
    <n v="19769"/>
    <m/>
    <n v="66438"/>
    <n v="19555"/>
    <n v="0"/>
    <n v="68683"/>
    <n v="4680"/>
    <n v="4022"/>
    <n v="15238"/>
    <n v="15698"/>
    <n v="4447"/>
    <n v="4533"/>
    <n v="21"/>
    <n v="3"/>
    <n v="6831"/>
    <m/>
    <n v="3061"/>
    <n v="7490"/>
    <n v="0"/>
    <n v="2520"/>
    <x v="14"/>
    <x v="15"/>
  </r>
  <r>
    <x v="12"/>
    <s v="University of Tennessee at Chattanooga"/>
    <m/>
    <n v="221740"/>
    <x v="2"/>
    <n v="275979"/>
    <n v="273050"/>
    <n v="247063"/>
    <n v="238425"/>
    <n v="762"/>
    <n v="643"/>
    <n v="27096"/>
    <m/>
    <n v="3"/>
    <n v="32985"/>
    <n v="0"/>
    <n v="21"/>
    <n v="1055"/>
    <n v="976"/>
    <n v="23550"/>
    <n v="23207"/>
    <n v="16229"/>
    <n v="16200"/>
    <m/>
    <n v="0"/>
    <n v="6712"/>
    <n v="144"/>
    <n v="198"/>
    <n v="6578"/>
    <n v="20"/>
    <n v="0"/>
    <x v="15"/>
    <x v="16"/>
  </r>
  <r>
    <x v="12"/>
    <s v="University of Tennessee at Martin"/>
    <m/>
    <n v="221768"/>
    <x v="4"/>
    <n v="186493"/>
    <n v="177711"/>
    <n v="152434"/>
    <n v="143071"/>
    <n v="14895"/>
    <n v="14732"/>
    <n v="16260"/>
    <n v="2556"/>
    <n v="36"/>
    <n v="16703"/>
    <n v="2877"/>
    <n v="108"/>
    <n v="312"/>
    <n v="220"/>
    <n v="5817"/>
    <n v="5859"/>
    <n v="905"/>
    <n v="712"/>
    <m/>
    <n v="9"/>
    <n v="4909"/>
    <m/>
    <m/>
    <n v="5132"/>
    <n v="0"/>
    <n v="0"/>
    <x v="4"/>
    <x v="17"/>
  </r>
  <r>
    <x v="12"/>
    <s v="Chattanooga State Technical Community College "/>
    <m/>
    <n v="219824"/>
    <x v="7"/>
    <n v="183469"/>
    <n v="185932"/>
    <n v="103574"/>
    <n v="111274"/>
    <n v="12547"/>
    <n v="9781"/>
    <n v="44490"/>
    <m/>
    <n v="22588"/>
    <n v="46548"/>
    <n v="0"/>
    <n v="18047"/>
    <n v="270"/>
    <n v="282"/>
    <n v="0"/>
    <n v="0"/>
    <m/>
    <n v="0"/>
    <m/>
    <n v="0"/>
    <m/>
    <m/>
    <m/>
    <n v="0"/>
    <n v="0"/>
    <n v="0"/>
    <x v="0"/>
    <x v="1"/>
  </r>
  <r>
    <x v="12"/>
    <s v="Nashville State Technical Community College"/>
    <m/>
    <n v="221184"/>
    <x v="7"/>
    <n v="189399"/>
    <n v="197465"/>
    <n v="112231"/>
    <n v="119183"/>
    <n v="26238"/>
    <n v="29443"/>
    <n v="44728"/>
    <m/>
    <n v="6158"/>
    <n v="44235"/>
    <n v="0"/>
    <n v="4519"/>
    <n v="44"/>
    <n v="85"/>
    <n v="0"/>
    <n v="0"/>
    <m/>
    <n v="0"/>
    <m/>
    <n v="0"/>
    <m/>
    <m/>
    <m/>
    <n v="0"/>
    <n v="0"/>
    <n v="0"/>
    <x v="0"/>
    <x v="1"/>
  </r>
  <r>
    <x v="12"/>
    <s v="Pellissippi State Technical Community College"/>
    <m/>
    <n v="221643"/>
    <x v="7"/>
    <n v="211657.5"/>
    <n v="208788"/>
    <n v="122957"/>
    <n v="123530"/>
    <n v="54646.5"/>
    <n v="53287"/>
    <n v="26584"/>
    <n v="686"/>
    <n v="6615"/>
    <n v="26136"/>
    <n v="540"/>
    <n v="5213"/>
    <n v="169"/>
    <n v="82"/>
    <n v="0"/>
    <n v="0"/>
    <m/>
    <n v="0"/>
    <m/>
    <n v="0"/>
    <m/>
    <m/>
    <m/>
    <n v="0"/>
    <n v="0"/>
    <n v="0"/>
    <x v="0"/>
    <x v="1"/>
  </r>
  <r>
    <x v="12"/>
    <s v="Southwest Tennessee Community College"/>
    <m/>
    <n v="221485"/>
    <x v="7"/>
    <n v="179025"/>
    <n v="165153"/>
    <n v="15868"/>
    <n v="14678"/>
    <n v="131122"/>
    <n v="115985"/>
    <n v="25527"/>
    <m/>
    <n v="6496"/>
    <n v="27287"/>
    <n v="0"/>
    <n v="7201"/>
    <n v="12"/>
    <n v="2"/>
    <n v="0"/>
    <n v="0"/>
    <m/>
    <n v="0"/>
    <m/>
    <n v="0"/>
    <m/>
    <m/>
    <m/>
    <n v="0"/>
    <n v="0"/>
    <n v="0"/>
    <x v="0"/>
    <x v="1"/>
  </r>
  <r>
    <x v="12"/>
    <s v="Volunteer State Community College "/>
    <m/>
    <n v="222053"/>
    <x v="7"/>
    <n v="148992"/>
    <n v="154955"/>
    <n v="87798"/>
    <n v="95042"/>
    <n v="17771"/>
    <n v="15733"/>
    <n v="40241"/>
    <n v="147"/>
    <n v="2706"/>
    <n v="41096"/>
    <n v="69"/>
    <n v="2697"/>
    <n v="329"/>
    <n v="318"/>
    <n v="0"/>
    <n v="0"/>
    <m/>
    <n v="0"/>
    <m/>
    <n v="0"/>
    <m/>
    <m/>
    <m/>
    <n v="0"/>
    <n v="0"/>
    <n v="0"/>
    <x v="0"/>
    <x v="1"/>
  </r>
  <r>
    <x v="12"/>
    <s v="Cleveland State Community College "/>
    <m/>
    <n v="219879"/>
    <x v="6"/>
    <n v="67984"/>
    <n v="68952"/>
    <n v="40297"/>
    <n v="40159"/>
    <n v="9106"/>
    <n v="9681"/>
    <n v="10138"/>
    <n v="195"/>
    <n v="7389"/>
    <n v="10515"/>
    <n v="177"/>
    <n v="7805"/>
    <n v="859"/>
    <n v="615"/>
    <n v="0"/>
    <n v="0"/>
    <m/>
    <n v="0"/>
    <m/>
    <n v="0"/>
    <m/>
    <m/>
    <m/>
    <n v="0"/>
    <n v="0"/>
    <n v="0"/>
    <x v="0"/>
    <x v="1"/>
  </r>
  <r>
    <x v="12"/>
    <s v="Columbia State Community College "/>
    <m/>
    <n v="219888"/>
    <x v="6"/>
    <n v="98894"/>
    <n v="101080"/>
    <n v="35819"/>
    <n v="36846"/>
    <n v="30648"/>
    <n v="31775"/>
    <n v="20196"/>
    <n v="5574"/>
    <n v="6605"/>
    <n v="20977"/>
    <n v="5114"/>
    <n v="6282"/>
    <n v="52"/>
    <n v="86"/>
    <n v="0"/>
    <n v="0"/>
    <m/>
    <n v="0"/>
    <m/>
    <n v="0"/>
    <m/>
    <m/>
    <m/>
    <n v="0"/>
    <n v="0"/>
    <n v="0"/>
    <x v="0"/>
    <x v="1"/>
  </r>
  <r>
    <x v="12"/>
    <s v="Dyersburg State Community College "/>
    <s v="Met the criteria for Two-Year 3 in 2014-15 and 2015-16."/>
    <n v="220057"/>
    <x v="6"/>
    <n v="52366"/>
    <n v="49449"/>
    <n v="19041"/>
    <n v="17908"/>
    <n v="19698"/>
    <n v="18968"/>
    <n v="9820"/>
    <n v="2396"/>
    <n v="1095"/>
    <n v="9129"/>
    <n v="2252"/>
    <n v="1029"/>
    <n v="316"/>
    <n v="163"/>
    <n v="0"/>
    <n v="0"/>
    <m/>
    <n v="0"/>
    <m/>
    <n v="0"/>
    <m/>
    <m/>
    <m/>
    <n v="0"/>
    <n v="0"/>
    <n v="0"/>
    <x v="0"/>
    <x v="1"/>
  </r>
  <r>
    <x v="12"/>
    <s v="Jackson State Community College "/>
    <m/>
    <n v="220400"/>
    <x v="6"/>
    <n v="83932"/>
    <n v="86420"/>
    <n v="45144"/>
    <n v="45978"/>
    <n v="9982"/>
    <n v="9276"/>
    <n v="18963"/>
    <n v="4071"/>
    <n v="5678"/>
    <n v="18628"/>
    <n v="5069"/>
    <n v="7313"/>
    <n v="94"/>
    <n v="156"/>
    <n v="0"/>
    <n v="0"/>
    <m/>
    <n v="0"/>
    <m/>
    <n v="0"/>
    <m/>
    <m/>
    <m/>
    <n v="0"/>
    <n v="0"/>
    <n v="0"/>
    <x v="0"/>
    <x v="1"/>
  </r>
  <r>
    <x v="12"/>
    <s v="Motlow State Community College "/>
    <m/>
    <n v="221096"/>
    <x v="6"/>
    <n v="91223"/>
    <n v="101729"/>
    <n v="22778"/>
    <n v="24799"/>
    <n v="43912"/>
    <n v="50818"/>
    <n v="15817"/>
    <n v="4999"/>
    <n v="3425"/>
    <n v="16967"/>
    <n v="5539"/>
    <n v="3274"/>
    <n v="292"/>
    <n v="332"/>
    <n v="0"/>
    <n v="0"/>
    <m/>
    <n v="0"/>
    <m/>
    <n v="0"/>
    <m/>
    <m/>
    <m/>
    <n v="0"/>
    <n v="0"/>
    <n v="0"/>
    <x v="0"/>
    <x v="1"/>
  </r>
  <r>
    <x v="12"/>
    <s v="Northeast State Technical Community College"/>
    <m/>
    <n v="221908"/>
    <x v="6"/>
    <n v="117823"/>
    <n v="121773"/>
    <n v="65235"/>
    <n v="69053"/>
    <n v="31767"/>
    <n v="32457"/>
    <n v="16023"/>
    <n v="4391"/>
    <n v="376"/>
    <n v="15192"/>
    <n v="4406"/>
    <n v="568"/>
    <n v="31"/>
    <n v="97"/>
    <n v="0"/>
    <n v="0"/>
    <m/>
    <n v="0"/>
    <m/>
    <n v="0"/>
    <m/>
    <m/>
    <m/>
    <n v="0"/>
    <n v="0"/>
    <n v="0"/>
    <x v="0"/>
    <x v="1"/>
  </r>
  <r>
    <x v="12"/>
    <s v="Roane State Community College "/>
    <m/>
    <n v="221397"/>
    <x v="6"/>
    <n v="107262"/>
    <n v="107743"/>
    <n v="22135"/>
    <n v="22221"/>
    <n v="48447"/>
    <n v="50679"/>
    <n v="24695"/>
    <n v="5639"/>
    <n v="6289"/>
    <n v="22490"/>
    <n v="6066"/>
    <n v="6230"/>
    <n v="57"/>
    <n v="57"/>
    <n v="0"/>
    <n v="0"/>
    <m/>
    <n v="0"/>
    <m/>
    <n v="0"/>
    <m/>
    <m/>
    <m/>
    <n v="0"/>
    <n v="0"/>
    <n v="0"/>
    <x v="0"/>
    <x v="1"/>
  </r>
  <r>
    <x v="12"/>
    <s v="Walters State Community College "/>
    <m/>
    <n v="222062"/>
    <x v="6"/>
    <n v="113865"/>
    <n v="113277"/>
    <n v="47872"/>
    <n v="46880"/>
    <n v="39577"/>
    <n v="39303"/>
    <n v="16986"/>
    <n v="6096"/>
    <n v="3326"/>
    <n v="18547"/>
    <n v="6147"/>
    <n v="2379"/>
    <n v="8"/>
    <n v="21"/>
    <n v="0"/>
    <n v="0"/>
    <m/>
    <n v="0"/>
    <m/>
    <n v="0"/>
    <m/>
    <m/>
    <m/>
    <n v="0"/>
    <n v="0"/>
    <n v="0"/>
    <x v="0"/>
    <x v="1"/>
  </r>
  <r>
    <x v="12"/>
    <s v="Tennessee College of Applied Technology at Chattanooga"/>
    <m/>
    <s v="219824B"/>
    <x v="9"/>
    <n v="0"/>
    <n v="0"/>
    <m/>
    <m/>
    <m/>
    <m/>
    <m/>
    <m/>
    <m/>
    <m/>
    <m/>
    <m/>
    <m/>
    <m/>
    <n v="0"/>
    <n v="0"/>
    <m/>
    <m/>
    <m/>
    <m/>
    <m/>
    <m/>
    <m/>
    <m/>
    <m/>
    <m/>
    <x v="0"/>
    <x v="0"/>
  </r>
  <r>
    <x v="12"/>
    <s v="Tennessee College of Applied Technology at Athens"/>
    <m/>
    <n v="219596"/>
    <x v="10"/>
    <n v="0"/>
    <n v="0"/>
    <m/>
    <m/>
    <m/>
    <m/>
    <m/>
    <m/>
    <m/>
    <m/>
    <m/>
    <m/>
    <m/>
    <m/>
    <n v="0"/>
    <n v="0"/>
    <m/>
    <m/>
    <m/>
    <m/>
    <m/>
    <m/>
    <m/>
    <m/>
    <m/>
    <m/>
    <x v="0"/>
    <x v="0"/>
  </r>
  <r>
    <x v="12"/>
    <s v="Tennessee College of Applied Technology at Covington"/>
    <m/>
    <n v="219921"/>
    <x v="10"/>
    <n v="0"/>
    <n v="0"/>
    <m/>
    <m/>
    <m/>
    <m/>
    <m/>
    <m/>
    <m/>
    <m/>
    <m/>
    <m/>
    <m/>
    <m/>
    <n v="0"/>
    <n v="0"/>
    <m/>
    <m/>
    <m/>
    <m/>
    <m/>
    <m/>
    <m/>
    <m/>
    <m/>
    <m/>
    <x v="0"/>
    <x v="0"/>
  </r>
  <r>
    <x v="12"/>
    <s v="Tennessee College of Applied Technology at Crossville"/>
    <m/>
    <n v="221591"/>
    <x v="10"/>
    <n v="0"/>
    <n v="0"/>
    <m/>
    <m/>
    <m/>
    <m/>
    <m/>
    <m/>
    <m/>
    <m/>
    <m/>
    <m/>
    <m/>
    <m/>
    <n v="0"/>
    <n v="0"/>
    <m/>
    <m/>
    <m/>
    <m/>
    <m/>
    <m/>
    <m/>
    <m/>
    <m/>
    <m/>
    <x v="0"/>
    <x v="0"/>
  </r>
  <r>
    <x v="12"/>
    <s v="Tennessee College of Applied Technology at Crump"/>
    <m/>
    <n v="221430"/>
    <x v="10"/>
    <n v="0"/>
    <n v="0"/>
    <m/>
    <m/>
    <m/>
    <m/>
    <m/>
    <m/>
    <m/>
    <m/>
    <m/>
    <m/>
    <m/>
    <m/>
    <n v="0"/>
    <n v="0"/>
    <m/>
    <m/>
    <m/>
    <m/>
    <m/>
    <m/>
    <m/>
    <m/>
    <m/>
    <m/>
    <x v="0"/>
    <x v="0"/>
  </r>
  <r>
    <x v="12"/>
    <s v="Tennessee College of Applied Technology at Dickson"/>
    <m/>
    <n v="219994"/>
    <x v="10"/>
    <n v="0"/>
    <n v="0"/>
    <m/>
    <m/>
    <m/>
    <m/>
    <m/>
    <m/>
    <m/>
    <m/>
    <m/>
    <m/>
    <m/>
    <m/>
    <n v="0"/>
    <n v="0"/>
    <m/>
    <m/>
    <m/>
    <m/>
    <m/>
    <m/>
    <m/>
    <m/>
    <m/>
    <m/>
    <x v="0"/>
    <x v="0"/>
  </r>
  <r>
    <x v="12"/>
    <s v="Tennessee College of Applied Technology at Elizabethton"/>
    <m/>
    <n v="220127"/>
    <x v="10"/>
    <n v="0"/>
    <n v="0"/>
    <m/>
    <m/>
    <m/>
    <m/>
    <m/>
    <m/>
    <m/>
    <m/>
    <m/>
    <m/>
    <m/>
    <m/>
    <n v="0"/>
    <n v="0"/>
    <m/>
    <m/>
    <m/>
    <m/>
    <m/>
    <m/>
    <m/>
    <m/>
    <m/>
    <m/>
    <x v="0"/>
    <x v="0"/>
  </r>
  <r>
    <x v="12"/>
    <s v="Tennessee College of Applied Technology at Harriman"/>
    <m/>
    <n v="220251"/>
    <x v="10"/>
    <n v="0"/>
    <n v="0"/>
    <m/>
    <m/>
    <m/>
    <m/>
    <m/>
    <m/>
    <m/>
    <m/>
    <m/>
    <m/>
    <m/>
    <m/>
    <n v="0"/>
    <n v="0"/>
    <m/>
    <m/>
    <m/>
    <m/>
    <m/>
    <m/>
    <m/>
    <m/>
    <m/>
    <m/>
    <x v="0"/>
    <x v="0"/>
  </r>
  <r>
    <x v="12"/>
    <s v="Tennessee College of Applied Technology at Hartsville"/>
    <m/>
    <n v="220279"/>
    <x v="10"/>
    <n v="0"/>
    <n v="0"/>
    <m/>
    <m/>
    <m/>
    <m/>
    <m/>
    <m/>
    <m/>
    <m/>
    <m/>
    <m/>
    <m/>
    <m/>
    <n v="0"/>
    <n v="0"/>
    <m/>
    <m/>
    <m/>
    <m/>
    <m/>
    <m/>
    <m/>
    <m/>
    <m/>
    <m/>
    <x v="0"/>
    <x v="0"/>
  </r>
  <r>
    <x v="12"/>
    <s v="Tennessee College of Applied Technology at Hohenwald"/>
    <m/>
    <n v="220321"/>
    <x v="10"/>
    <n v="0"/>
    <n v="0"/>
    <m/>
    <m/>
    <m/>
    <m/>
    <m/>
    <m/>
    <m/>
    <m/>
    <m/>
    <m/>
    <m/>
    <m/>
    <n v="0"/>
    <n v="0"/>
    <m/>
    <m/>
    <m/>
    <m/>
    <m/>
    <m/>
    <m/>
    <m/>
    <m/>
    <m/>
    <x v="0"/>
    <x v="0"/>
  </r>
  <r>
    <x v="12"/>
    <s v="Tennessee College of Applied Technology at Jacksboro"/>
    <m/>
    <n v="220394"/>
    <x v="10"/>
    <n v="0"/>
    <n v="0"/>
    <m/>
    <m/>
    <m/>
    <m/>
    <m/>
    <m/>
    <m/>
    <m/>
    <m/>
    <m/>
    <m/>
    <m/>
    <n v="0"/>
    <n v="0"/>
    <m/>
    <m/>
    <m/>
    <m/>
    <m/>
    <m/>
    <m/>
    <m/>
    <m/>
    <m/>
    <x v="0"/>
    <x v="0"/>
  </r>
  <r>
    <x v="12"/>
    <s v="Tennessee College of Applied Technology at Jackson"/>
    <m/>
    <n v="221616"/>
    <x v="10"/>
    <n v="0"/>
    <n v="0"/>
    <m/>
    <m/>
    <m/>
    <m/>
    <m/>
    <m/>
    <m/>
    <m/>
    <m/>
    <m/>
    <m/>
    <m/>
    <n v="0"/>
    <n v="0"/>
    <m/>
    <m/>
    <m/>
    <m/>
    <m/>
    <m/>
    <m/>
    <m/>
    <m/>
    <m/>
    <x v="0"/>
    <x v="0"/>
  </r>
  <r>
    <x v="12"/>
    <s v="Tennessee College of Applied Technology at Knoxville"/>
    <m/>
    <n v="221625"/>
    <x v="10"/>
    <n v="0"/>
    <n v="0"/>
    <m/>
    <m/>
    <m/>
    <m/>
    <m/>
    <m/>
    <m/>
    <m/>
    <m/>
    <m/>
    <m/>
    <m/>
    <n v="0"/>
    <n v="0"/>
    <m/>
    <m/>
    <m/>
    <m/>
    <m/>
    <m/>
    <m/>
    <m/>
    <m/>
    <m/>
    <x v="0"/>
    <x v="0"/>
  </r>
  <r>
    <x v="12"/>
    <s v="Tennessee College of Applied Technology at Livingston"/>
    <m/>
    <n v="220640"/>
    <x v="10"/>
    <n v="0"/>
    <n v="0"/>
    <m/>
    <m/>
    <m/>
    <m/>
    <m/>
    <m/>
    <m/>
    <m/>
    <m/>
    <m/>
    <m/>
    <m/>
    <n v="0"/>
    <n v="0"/>
    <m/>
    <m/>
    <m/>
    <m/>
    <m/>
    <m/>
    <m/>
    <m/>
    <m/>
    <m/>
    <x v="0"/>
    <x v="0"/>
  </r>
  <r>
    <x v="12"/>
    <s v="Tennessee College of Applied Technology at McKenzie"/>
    <m/>
    <n v="220756"/>
    <x v="10"/>
    <n v="0"/>
    <n v="0"/>
    <m/>
    <m/>
    <m/>
    <m/>
    <m/>
    <m/>
    <m/>
    <m/>
    <m/>
    <m/>
    <m/>
    <m/>
    <n v="0"/>
    <n v="0"/>
    <m/>
    <m/>
    <m/>
    <m/>
    <m/>
    <m/>
    <m/>
    <m/>
    <m/>
    <m/>
    <x v="0"/>
    <x v="0"/>
  </r>
  <r>
    <x v="12"/>
    <s v="Tennessee College of Applied Technology at McMinnville"/>
    <m/>
    <n v="221607"/>
    <x v="10"/>
    <n v="0"/>
    <n v="0"/>
    <m/>
    <m/>
    <m/>
    <m/>
    <m/>
    <m/>
    <m/>
    <m/>
    <m/>
    <m/>
    <m/>
    <m/>
    <n v="0"/>
    <n v="0"/>
    <m/>
    <m/>
    <m/>
    <m/>
    <m/>
    <m/>
    <m/>
    <m/>
    <m/>
    <m/>
    <x v="0"/>
    <x v="0"/>
  </r>
  <r>
    <x v="12"/>
    <s v="Tennessee College of Applied Technology at Memphis"/>
    <m/>
    <n v="220853"/>
    <x v="10"/>
    <n v="0"/>
    <n v="0"/>
    <m/>
    <m/>
    <m/>
    <m/>
    <m/>
    <m/>
    <m/>
    <m/>
    <m/>
    <m/>
    <m/>
    <m/>
    <n v="0"/>
    <n v="0"/>
    <m/>
    <m/>
    <m/>
    <m/>
    <m/>
    <m/>
    <m/>
    <m/>
    <m/>
    <m/>
    <x v="0"/>
    <x v="0"/>
  </r>
  <r>
    <x v="12"/>
    <s v="Tennessee College of Applied Technology at Morristown"/>
    <m/>
    <n v="221050"/>
    <x v="10"/>
    <n v="0"/>
    <n v="0"/>
    <m/>
    <m/>
    <m/>
    <m/>
    <m/>
    <m/>
    <m/>
    <m/>
    <m/>
    <m/>
    <m/>
    <m/>
    <n v="0"/>
    <n v="0"/>
    <m/>
    <m/>
    <m/>
    <m/>
    <m/>
    <m/>
    <m/>
    <m/>
    <m/>
    <m/>
    <x v="0"/>
    <x v="0"/>
  </r>
  <r>
    <x v="12"/>
    <s v="Tennessee College of Applied Technology at Murfreesboro"/>
    <m/>
    <n v="221102"/>
    <x v="10"/>
    <n v="0"/>
    <n v="0"/>
    <m/>
    <m/>
    <m/>
    <m/>
    <m/>
    <m/>
    <m/>
    <m/>
    <m/>
    <m/>
    <m/>
    <m/>
    <n v="0"/>
    <n v="0"/>
    <m/>
    <m/>
    <m/>
    <m/>
    <m/>
    <m/>
    <m/>
    <m/>
    <m/>
    <m/>
    <x v="0"/>
    <x v="0"/>
  </r>
  <r>
    <x v="12"/>
    <s v="Tennessee College of Applied Technology at Nashville"/>
    <m/>
    <n v="248925"/>
    <x v="10"/>
    <n v="0"/>
    <n v="0"/>
    <m/>
    <m/>
    <m/>
    <m/>
    <m/>
    <m/>
    <m/>
    <m/>
    <m/>
    <m/>
    <m/>
    <m/>
    <n v="0"/>
    <n v="0"/>
    <m/>
    <m/>
    <m/>
    <m/>
    <m/>
    <m/>
    <m/>
    <m/>
    <m/>
    <m/>
    <x v="0"/>
    <x v="0"/>
  </r>
  <r>
    <x v="12"/>
    <s v="Tennessee College of Applied Technology at Newbern"/>
    <m/>
    <n v="221236"/>
    <x v="10"/>
    <n v="0"/>
    <n v="0"/>
    <m/>
    <m/>
    <m/>
    <m/>
    <m/>
    <m/>
    <m/>
    <m/>
    <m/>
    <m/>
    <m/>
    <m/>
    <n v="0"/>
    <n v="0"/>
    <m/>
    <m/>
    <m/>
    <m/>
    <m/>
    <m/>
    <m/>
    <m/>
    <m/>
    <m/>
    <x v="0"/>
    <x v="0"/>
  </r>
  <r>
    <x v="12"/>
    <s v="Tennessee College of Applied Technology at Oneida"/>
    <m/>
    <n v="221582"/>
    <x v="10"/>
    <n v="0"/>
    <n v="0"/>
    <m/>
    <m/>
    <m/>
    <m/>
    <m/>
    <m/>
    <m/>
    <m/>
    <m/>
    <m/>
    <m/>
    <m/>
    <n v="0"/>
    <n v="0"/>
    <m/>
    <m/>
    <m/>
    <m/>
    <m/>
    <m/>
    <m/>
    <m/>
    <m/>
    <m/>
    <x v="0"/>
    <x v="0"/>
  </r>
  <r>
    <x v="12"/>
    <s v="Tennessee College of Applied Technology at Paris"/>
    <m/>
    <n v="221281"/>
    <x v="10"/>
    <n v="0"/>
    <n v="0"/>
    <m/>
    <m/>
    <m/>
    <m/>
    <m/>
    <m/>
    <m/>
    <m/>
    <m/>
    <m/>
    <m/>
    <m/>
    <n v="0"/>
    <n v="0"/>
    <m/>
    <m/>
    <m/>
    <m/>
    <m/>
    <m/>
    <m/>
    <m/>
    <m/>
    <m/>
    <x v="0"/>
    <x v="0"/>
  </r>
  <r>
    <x v="12"/>
    <s v="Tennessee College of Applied Technology at Pulaski"/>
    <m/>
    <n v="221333"/>
    <x v="10"/>
    <n v="0"/>
    <n v="0"/>
    <m/>
    <m/>
    <m/>
    <m/>
    <m/>
    <m/>
    <m/>
    <m/>
    <m/>
    <m/>
    <m/>
    <m/>
    <n v="0"/>
    <n v="0"/>
    <m/>
    <m/>
    <m/>
    <m/>
    <m/>
    <m/>
    <m/>
    <m/>
    <m/>
    <m/>
    <x v="0"/>
    <x v="0"/>
  </r>
  <r>
    <x v="12"/>
    <s v="Tennessee College of Applied Technology at Ripley"/>
    <m/>
    <n v="221388"/>
    <x v="10"/>
    <n v="0"/>
    <n v="0"/>
    <m/>
    <m/>
    <m/>
    <m/>
    <m/>
    <m/>
    <m/>
    <m/>
    <m/>
    <m/>
    <m/>
    <m/>
    <n v="0"/>
    <n v="0"/>
    <m/>
    <m/>
    <m/>
    <m/>
    <m/>
    <m/>
    <m/>
    <m/>
    <m/>
    <m/>
    <x v="0"/>
    <x v="0"/>
  </r>
  <r>
    <x v="12"/>
    <s v="Tennessee College of Applied Technology at Shelbyville"/>
    <m/>
    <n v="221494"/>
    <x v="10"/>
    <n v="0"/>
    <n v="0"/>
    <m/>
    <m/>
    <m/>
    <m/>
    <m/>
    <m/>
    <m/>
    <m/>
    <m/>
    <m/>
    <m/>
    <m/>
    <n v="0"/>
    <n v="0"/>
    <m/>
    <m/>
    <m/>
    <m/>
    <m/>
    <m/>
    <m/>
    <m/>
    <m/>
    <m/>
    <x v="0"/>
    <x v="0"/>
  </r>
  <r>
    <x v="12"/>
    <s v="Tennessee College of Applied Technology at Whiteville"/>
    <m/>
    <n v="221634"/>
    <x v="10"/>
    <n v="0"/>
    <n v="0"/>
    <m/>
    <m/>
    <m/>
    <m/>
    <m/>
    <m/>
    <m/>
    <m/>
    <m/>
    <m/>
    <m/>
    <m/>
    <n v="0"/>
    <n v="0"/>
    <m/>
    <m/>
    <m/>
    <m/>
    <m/>
    <m/>
    <m/>
    <m/>
    <m/>
    <m/>
    <x v="0"/>
    <x v="0"/>
  </r>
  <r>
    <x v="13"/>
    <s v="Texas A &amp; M University "/>
    <m/>
    <n v="228723"/>
    <x v="0"/>
    <n v="1168921"/>
    <n v="1226554"/>
    <n v="1079924"/>
    <n v="1102959"/>
    <n v="7711"/>
    <n v="7401"/>
    <n v="74449"/>
    <n v="0"/>
    <n v="6837"/>
    <n v="102512"/>
    <n v="0"/>
    <n v="13682"/>
    <m/>
    <m/>
    <n v="213607"/>
    <n v="215784"/>
    <n v="183607"/>
    <n v="188208"/>
    <n v="5177"/>
    <m/>
    <n v="20862"/>
    <n v="32"/>
    <n v="3929"/>
    <n v="23194"/>
    <n v="52"/>
    <n v="4330"/>
    <x v="0"/>
    <x v="0"/>
  </r>
  <r>
    <x v="13"/>
    <s v="Texas Tech University "/>
    <m/>
    <n v="229115"/>
    <x v="0"/>
    <n v="744454"/>
    <n v="764400"/>
    <n v="642400"/>
    <n v="637325"/>
    <n v="7986"/>
    <n v="9417"/>
    <n v="93972"/>
    <n v="96"/>
    <n v="0"/>
    <n v="117222"/>
    <n v="436"/>
    <n v="0"/>
    <m/>
    <m/>
    <n v="122989"/>
    <n v="124499"/>
    <n v="94950"/>
    <n v="94658"/>
    <n v="1497"/>
    <m/>
    <n v="26440"/>
    <n v="102"/>
    <n v="0"/>
    <n v="29823"/>
    <n v="18"/>
    <n v="0"/>
    <x v="0"/>
    <x v="0"/>
  </r>
  <r>
    <x v="13"/>
    <s v="University of Houston"/>
    <m/>
    <n v="225511"/>
    <x v="0"/>
    <n v="794730"/>
    <n v="843076"/>
    <n v="613352"/>
    <n v="639932"/>
    <n v="9095"/>
    <n v="11049"/>
    <n v="172283"/>
    <n v="0"/>
    <n v="0"/>
    <n v="192041"/>
    <n v="54"/>
    <n v="0"/>
    <m/>
    <m/>
    <n v="177295"/>
    <n v="164541"/>
    <n v="159747"/>
    <n v="152023"/>
    <n v="3679"/>
    <m/>
    <n v="13854"/>
    <n v="15"/>
    <n v="0"/>
    <n v="12326"/>
    <n v="192"/>
    <n v="0"/>
    <x v="0"/>
    <x v="0"/>
  </r>
  <r>
    <x v="13"/>
    <s v="University of North Texas"/>
    <m/>
    <n v="227216"/>
    <x v="0"/>
    <n v="762278"/>
    <n v="790618"/>
    <n v="656457"/>
    <n v="676974"/>
    <n v="2828"/>
    <n v="3351"/>
    <n v="102843"/>
    <n v="120"/>
    <n v="30"/>
    <n v="110134"/>
    <n v="123"/>
    <n v="36"/>
    <m/>
    <m/>
    <n v="96280"/>
    <n v="100577"/>
    <n v="67813"/>
    <n v="68309"/>
    <n v="1278"/>
    <m/>
    <n v="27165"/>
    <n v="24"/>
    <n v="0"/>
    <n v="32223"/>
    <n v="45"/>
    <n v="0"/>
    <x v="0"/>
    <x v="0"/>
  </r>
  <r>
    <x v="13"/>
    <s v="University of Texas at Arlington"/>
    <m/>
    <n v="228769"/>
    <x v="0"/>
    <n v="624135"/>
    <n v="630246"/>
    <n v="475369"/>
    <n v="470201"/>
    <n v="882"/>
    <n v="1245"/>
    <n v="147200"/>
    <n v="15"/>
    <n v="669"/>
    <n v="158257"/>
    <n v="0"/>
    <n v="543"/>
    <m/>
    <m/>
    <n v="147365"/>
    <n v="170890"/>
    <n v="95085"/>
    <n v="110528"/>
    <n v="8073"/>
    <m/>
    <n v="44075"/>
    <n v="114"/>
    <n v="18"/>
    <n v="60173"/>
    <n v="186"/>
    <n v="3"/>
    <x v="0"/>
    <x v="0"/>
  </r>
  <r>
    <x v="13"/>
    <s v="University of Texas at Austin"/>
    <m/>
    <n v="228778"/>
    <x v="0"/>
    <n v="1074072"/>
    <n v="1060057"/>
    <n v="1039331"/>
    <n v="1010626"/>
    <n v="5992"/>
    <n v="5523"/>
    <n v="14914"/>
    <n v="13383"/>
    <n v="452"/>
    <n v="27890"/>
    <n v="15951"/>
    <n v="67"/>
    <m/>
    <m/>
    <n v="254324"/>
    <n v="247050"/>
    <n v="248494"/>
    <n v="242177"/>
    <n v="348"/>
    <m/>
    <n v="2267"/>
    <n v="2161"/>
    <n v="1054"/>
    <n v="1882"/>
    <n v="2075"/>
    <n v="916"/>
    <x v="0"/>
    <x v="0"/>
  </r>
  <r>
    <x v="13"/>
    <s v="University of Texas at Dallas"/>
    <m/>
    <n v="228787"/>
    <x v="0"/>
    <n v="360716"/>
    <n v="395053"/>
    <n v="339768"/>
    <n v="373501"/>
    <n v="1695"/>
    <n v="1851"/>
    <n v="19253"/>
    <n v="0"/>
    <n v="0"/>
    <n v="19701"/>
    <n v="0"/>
    <n v="0"/>
    <m/>
    <m/>
    <n v="147979"/>
    <n v="156792"/>
    <n v="130672"/>
    <n v="139450"/>
    <n v="377"/>
    <m/>
    <n v="16924"/>
    <n v="6"/>
    <n v="0"/>
    <n v="17342"/>
    <n v="0"/>
    <n v="0"/>
    <x v="0"/>
    <x v="0"/>
  </r>
  <r>
    <x v="13"/>
    <s v="Texas Woman's University"/>
    <m/>
    <n v="229179"/>
    <x v="1"/>
    <n v="237848"/>
    <n v="234593"/>
    <n v="166263"/>
    <n v="160497"/>
    <n v="2365"/>
    <n v="4241"/>
    <n v="69124"/>
    <n v="0"/>
    <n v="96"/>
    <n v="69520"/>
    <n v="335"/>
    <n v="0"/>
    <m/>
    <m/>
    <n v="101142"/>
    <n v="93198"/>
    <n v="49056"/>
    <n v="45843"/>
    <n v="447"/>
    <m/>
    <n v="51289"/>
    <n v="350"/>
    <n v="0"/>
    <n v="46418"/>
    <n v="937"/>
    <n v="0"/>
    <x v="0"/>
    <x v="0"/>
  </r>
  <r>
    <x v="13"/>
    <s v="University of Texas at El Paso"/>
    <m/>
    <n v="228796"/>
    <x v="1"/>
    <n v="471058"/>
    <n v="481654"/>
    <n v="400654"/>
    <n v="399887"/>
    <n v="1376"/>
    <n v="1629"/>
    <n v="69028"/>
    <n v="0"/>
    <n v="0"/>
    <n v="80138"/>
    <n v="0"/>
    <n v="0"/>
    <m/>
    <m/>
    <n v="55275"/>
    <n v="52361"/>
    <n v="38396"/>
    <n v="35958"/>
    <n v="346"/>
    <m/>
    <n v="16533"/>
    <n v="0"/>
    <n v="0"/>
    <n v="16403"/>
    <n v="0"/>
    <n v="0"/>
    <x v="0"/>
    <x v="0"/>
  </r>
  <r>
    <x v="13"/>
    <s v="University of Texas at San Antonio"/>
    <s v="Met the criteria for Four-Year 1 in 2014-15 and 2015-16."/>
    <n v="229027"/>
    <x v="1"/>
    <n v="602775"/>
    <n v="611096"/>
    <n v="565865"/>
    <n v="561288"/>
    <n v="1379"/>
    <n v="1460"/>
    <n v="33218"/>
    <n v="2118"/>
    <n v="195"/>
    <n v="45720"/>
    <n v="2457"/>
    <n v="171"/>
    <m/>
    <m/>
    <n v="66009"/>
    <n v="64188"/>
    <n v="61245"/>
    <n v="59979"/>
    <n v="1941"/>
    <m/>
    <n v="2796"/>
    <n v="27"/>
    <n v="0"/>
    <n v="4209"/>
    <n v="0"/>
    <n v="0"/>
    <x v="0"/>
    <x v="0"/>
  </r>
  <r>
    <x v="13"/>
    <s v="Angelo State University"/>
    <m/>
    <n v="222831"/>
    <x v="2"/>
    <n v="140674"/>
    <n v="149227"/>
    <n v="120400"/>
    <n v="135761"/>
    <n v="0"/>
    <n v="0"/>
    <n v="20274"/>
    <n v="0"/>
    <n v="0"/>
    <n v="13466"/>
    <n v="0"/>
    <n v="0"/>
    <m/>
    <m/>
    <n v="18824"/>
    <n v="19232"/>
    <n v="5280"/>
    <n v="9153"/>
    <n v="0"/>
    <m/>
    <n v="13544"/>
    <n v="0"/>
    <n v="0"/>
    <n v="9953"/>
    <n v="126"/>
    <n v="0"/>
    <x v="0"/>
    <x v="0"/>
  </r>
  <r>
    <x v="13"/>
    <s v="Lamar University"/>
    <m/>
    <n v="226091"/>
    <x v="2"/>
    <n v="228064"/>
    <n v="220858"/>
    <n v="163507"/>
    <n v="156131"/>
    <n v="1379"/>
    <n v="795"/>
    <n v="62632"/>
    <n v="408"/>
    <n v="138"/>
    <n v="63860"/>
    <n v="72"/>
    <n v="0"/>
    <m/>
    <m/>
    <n v="109621"/>
    <n v="118511"/>
    <n v="25281"/>
    <n v="27049"/>
    <n v="12"/>
    <m/>
    <n v="84280"/>
    <n v="0"/>
    <n v="48"/>
    <n v="91462"/>
    <n v="0"/>
    <n v="0"/>
    <x v="0"/>
    <x v="0"/>
  </r>
  <r>
    <x v="13"/>
    <s v="Midwestern State University"/>
    <m/>
    <n v="226833"/>
    <x v="2"/>
    <n v="126273"/>
    <n v="128285"/>
    <n v="104837"/>
    <n v="106270"/>
    <n v="1488"/>
    <n v="1334"/>
    <n v="19942"/>
    <n v="6"/>
    <n v="0"/>
    <n v="20645"/>
    <n v="36"/>
    <n v="0"/>
    <m/>
    <m/>
    <n v="9130"/>
    <n v="9614"/>
    <n v="4407"/>
    <n v="4320"/>
    <n v="27"/>
    <m/>
    <n v="4696"/>
    <n v="0"/>
    <n v="0"/>
    <n v="5294"/>
    <n v="0"/>
    <n v="0"/>
    <x v="0"/>
    <x v="0"/>
  </r>
  <r>
    <x v="13"/>
    <s v="Prairie View A &amp; M University"/>
    <m/>
    <n v="227526"/>
    <x v="2"/>
    <n v="188203"/>
    <n v="191143"/>
    <n v="169978"/>
    <n v="172563"/>
    <n v="11553"/>
    <n v="10711"/>
    <n v="6402"/>
    <n v="270"/>
    <n v="0"/>
    <n v="7518"/>
    <n v="351"/>
    <n v="0"/>
    <m/>
    <m/>
    <n v="24505"/>
    <n v="18101"/>
    <n v="8879"/>
    <n v="8669"/>
    <n v="6350"/>
    <m/>
    <n v="9177"/>
    <n v="99"/>
    <n v="0"/>
    <n v="9288"/>
    <n v="144"/>
    <n v="0"/>
    <x v="0"/>
    <x v="0"/>
  </r>
  <r>
    <x v="13"/>
    <s v="Sam Houston State University "/>
    <m/>
    <n v="227881"/>
    <x v="2"/>
    <n v="435878"/>
    <n v="454984"/>
    <n v="385596"/>
    <n v="360532"/>
    <n v="3462"/>
    <n v="2947"/>
    <n v="46805"/>
    <n v="15"/>
    <n v="0"/>
    <n v="91466"/>
    <n v="39"/>
    <n v="0"/>
    <m/>
    <m/>
    <n v="43895"/>
    <n v="41753"/>
    <n v="28312"/>
    <n v="18922"/>
    <n v="147"/>
    <m/>
    <n v="15316"/>
    <n v="120"/>
    <n v="0"/>
    <n v="22648"/>
    <n v="183"/>
    <n v="0"/>
    <x v="0"/>
    <x v="0"/>
  </r>
  <r>
    <x v="13"/>
    <s v="Stephen F. Austin State University"/>
    <m/>
    <n v="228431"/>
    <x v="2"/>
    <n v="290849"/>
    <n v="285133"/>
    <n v="240601"/>
    <n v="234331"/>
    <n v="1523"/>
    <n v="1705"/>
    <n v="48613"/>
    <n v="112"/>
    <n v="0"/>
    <n v="48921"/>
    <n v="136"/>
    <n v="40"/>
    <m/>
    <m/>
    <n v="28760"/>
    <n v="28462"/>
    <n v="14227"/>
    <n v="13821"/>
    <n v="126"/>
    <m/>
    <n v="14092"/>
    <n v="189"/>
    <n v="126"/>
    <n v="14436"/>
    <n v="130"/>
    <n v="75"/>
    <x v="0"/>
    <x v="0"/>
  </r>
  <r>
    <x v="13"/>
    <s v="Sul Ross State University "/>
    <m/>
    <n v="228501"/>
    <x v="2"/>
    <n v="32749"/>
    <n v="33377"/>
    <n v="28329"/>
    <n v="28475"/>
    <n v="115"/>
    <n v="401"/>
    <n v="3690"/>
    <n v="525"/>
    <n v="90"/>
    <n v="3985"/>
    <n v="516"/>
    <n v="0"/>
    <m/>
    <m/>
    <n v="9254"/>
    <n v="10074"/>
    <n v="2262"/>
    <n v="2826"/>
    <n v="228"/>
    <m/>
    <n v="6731"/>
    <n v="33"/>
    <n v="0"/>
    <n v="7242"/>
    <n v="6"/>
    <n v="0"/>
    <x v="0"/>
    <x v="0"/>
  </r>
  <r>
    <x v="13"/>
    <s v="Tarleton State University"/>
    <m/>
    <n v="228529"/>
    <x v="2"/>
    <n v="256499"/>
    <n v="268496"/>
    <n v="192208"/>
    <n v="197489"/>
    <n v="23225"/>
    <n v="22837"/>
    <n v="39990"/>
    <n v="1076"/>
    <n v="0"/>
    <n v="47365"/>
    <n v="805"/>
    <n v="0"/>
    <m/>
    <m/>
    <n v="23307"/>
    <n v="18955"/>
    <n v="5032"/>
    <n v="4987"/>
    <n v="6204"/>
    <m/>
    <n v="12071"/>
    <n v="0"/>
    <n v="0"/>
    <n v="13968"/>
    <n v="0"/>
    <n v="0"/>
    <x v="0"/>
    <x v="0"/>
  </r>
  <r>
    <x v="13"/>
    <s v="Texas A &amp; M International University"/>
    <m/>
    <n v="226152"/>
    <x v="2"/>
    <n v="147658"/>
    <n v="152402"/>
    <n v="129586"/>
    <n v="135677"/>
    <n v="4991"/>
    <n v="2956"/>
    <n v="12763"/>
    <n v="318"/>
    <n v="0"/>
    <n v="13688"/>
    <n v="81"/>
    <n v="0"/>
    <m/>
    <m/>
    <n v="12382"/>
    <n v="13701"/>
    <n v="7332"/>
    <n v="8596"/>
    <n v="30"/>
    <m/>
    <n v="5014"/>
    <n v="6"/>
    <n v="0"/>
    <n v="5102"/>
    <n v="3"/>
    <n v="0"/>
    <x v="0"/>
    <x v="0"/>
  </r>
  <r>
    <x v="13"/>
    <s v="Texas A &amp; M University - Commerce"/>
    <m/>
    <n v="224554"/>
    <x v="2"/>
    <n v="168510"/>
    <n v="181424"/>
    <n v="106207"/>
    <n v="109898"/>
    <n v="12305"/>
    <n v="13864"/>
    <n v="49136"/>
    <n v="366"/>
    <n v="496"/>
    <n v="54587"/>
    <n v="246"/>
    <n v="2829"/>
    <m/>
    <m/>
    <n v="73958"/>
    <n v="74642"/>
    <n v="14030"/>
    <n v="17924"/>
    <n v="8640"/>
    <m/>
    <n v="50976"/>
    <n v="312"/>
    <n v="0"/>
    <n v="56316"/>
    <n v="399"/>
    <n v="3"/>
    <x v="0"/>
    <x v="0"/>
  </r>
  <r>
    <x v="13"/>
    <s v="Texas A &amp; M University-Corpus Christi "/>
    <m/>
    <n v="224147"/>
    <x v="2"/>
    <n v="234285"/>
    <n v="237187"/>
    <n v="233523"/>
    <n v="236515"/>
    <n v="0"/>
    <n v="0"/>
    <n v="717"/>
    <n v="0"/>
    <n v="45"/>
    <n v="600"/>
    <n v="0"/>
    <n v="72"/>
    <m/>
    <m/>
    <n v="29912"/>
    <n v="30340"/>
    <n v="28634"/>
    <n v="29116"/>
    <n v="0"/>
    <m/>
    <n v="1278"/>
    <n v="0"/>
    <n v="0"/>
    <n v="1224"/>
    <n v="0"/>
    <n v="0"/>
    <x v="0"/>
    <x v="0"/>
  </r>
  <r>
    <x v="13"/>
    <s v="Texas A &amp; M University-Kingsville"/>
    <m/>
    <n v="228705"/>
    <x v="2"/>
    <n v="155784"/>
    <n v="158772"/>
    <n v="142829"/>
    <n v="136571"/>
    <n v="3744"/>
    <n v="10693"/>
    <n v="8863"/>
    <n v="348"/>
    <n v="0"/>
    <n v="10977"/>
    <n v="531"/>
    <n v="0"/>
    <m/>
    <m/>
    <n v="44371"/>
    <n v="53335"/>
    <n v="36716"/>
    <n v="44044"/>
    <n v="108"/>
    <m/>
    <n v="7358"/>
    <n v="189"/>
    <n v="0"/>
    <n v="8859"/>
    <n v="432"/>
    <n v="0"/>
    <x v="0"/>
    <x v="0"/>
  </r>
  <r>
    <x v="13"/>
    <s v="Texas Southern University "/>
    <m/>
    <n v="229063"/>
    <x v="2"/>
    <n v="174897"/>
    <n v="178611"/>
    <n v="167310"/>
    <n v="167178"/>
    <n v="0"/>
    <n v="3"/>
    <n v="0"/>
    <n v="0"/>
    <n v="7587"/>
    <n v="0"/>
    <n v="0"/>
    <n v="11430"/>
    <m/>
    <m/>
    <n v="51972"/>
    <n v="50753"/>
    <n v="44910"/>
    <n v="43046"/>
    <n v="0"/>
    <m/>
    <n v="0"/>
    <n v="0"/>
    <n v="7062"/>
    <n v="0"/>
    <n v="0"/>
    <n v="7707"/>
    <x v="0"/>
    <x v="0"/>
  </r>
  <r>
    <x v="13"/>
    <s v="Texas State University"/>
    <s v="Met the criteria for Four-Year 2 in 2014-15 and 2015-16."/>
    <n v="228459"/>
    <x v="2"/>
    <n v="814640"/>
    <n v="841767"/>
    <n v="754462"/>
    <n v="772273"/>
    <n v="29516"/>
    <n v="25570"/>
    <n v="30269"/>
    <n v="288"/>
    <n v="105"/>
    <n v="43464"/>
    <n v="288"/>
    <n v="172"/>
    <m/>
    <m/>
    <n v="75107"/>
    <n v="66016"/>
    <n v="58061"/>
    <n v="55954"/>
    <n v="8314"/>
    <m/>
    <n v="7871"/>
    <n v="711"/>
    <n v="150"/>
    <n v="8817"/>
    <n v="804"/>
    <n v="441"/>
    <x v="0"/>
    <x v="0"/>
  </r>
  <r>
    <x v="13"/>
    <s v="University of Houston-Clear Lake "/>
    <m/>
    <n v="225414"/>
    <x v="2"/>
    <n v="107419"/>
    <n v="116725"/>
    <n v="73690"/>
    <n v="82795"/>
    <n v="8099"/>
    <n v="7740"/>
    <n v="25630"/>
    <n v="0"/>
    <n v="0"/>
    <n v="26190"/>
    <n v="0"/>
    <n v="0"/>
    <m/>
    <m/>
    <n v="57183"/>
    <n v="53024"/>
    <n v="36041"/>
    <n v="37244"/>
    <n v="4771"/>
    <m/>
    <n v="16371"/>
    <n v="0"/>
    <n v="0"/>
    <n v="15780"/>
    <n v="0"/>
    <n v="0"/>
    <x v="0"/>
    <x v="0"/>
  </r>
  <r>
    <x v="13"/>
    <s v="University of Texas at Tyler"/>
    <m/>
    <n v="228802"/>
    <x v="2"/>
    <n v="137209"/>
    <n v="149797"/>
    <n v="93603"/>
    <n v="97357"/>
    <n v="8819"/>
    <n v="9869"/>
    <n v="34472"/>
    <n v="315"/>
    <n v="0"/>
    <n v="42343"/>
    <n v="228"/>
    <n v="0"/>
    <m/>
    <m/>
    <n v="34818"/>
    <n v="38780"/>
    <n v="8187"/>
    <n v="8219"/>
    <n v="339"/>
    <m/>
    <n v="26271"/>
    <n v="21"/>
    <n v="0"/>
    <n v="30558"/>
    <n v="3"/>
    <n v="0"/>
    <x v="0"/>
    <x v="0"/>
  </r>
  <r>
    <x v="13"/>
    <s v="University of Texas of the Permian Basin"/>
    <m/>
    <n v="229018"/>
    <x v="2"/>
    <n v="100339"/>
    <n v="106011"/>
    <n v="54094"/>
    <n v="56838"/>
    <n v="57"/>
    <n v="95"/>
    <n v="46155"/>
    <n v="12"/>
    <n v="21"/>
    <n v="49078"/>
    <n v="0"/>
    <n v="0"/>
    <m/>
    <m/>
    <n v="10661"/>
    <n v="10673"/>
    <n v="3756"/>
    <n v="3180"/>
    <n v="0"/>
    <m/>
    <n v="6905"/>
    <n v="0"/>
    <n v="0"/>
    <n v="7493"/>
    <n v="0"/>
    <n v="0"/>
    <x v="0"/>
    <x v="0"/>
  </r>
  <r>
    <x v="13"/>
    <s v="University of Texas - Rio Grande Valley"/>
    <m/>
    <n v="227368"/>
    <x v="2"/>
    <n v="624217"/>
    <n v="637740"/>
    <n v="527274"/>
    <n v="529848"/>
    <n v="1531"/>
    <n v="1557"/>
    <n v="95055"/>
    <n v="357"/>
    <n v="0"/>
    <n v="105975"/>
    <n v="360"/>
    <n v="0"/>
    <m/>
    <m/>
    <n v="62101"/>
    <n v="66498"/>
    <n v="34307"/>
    <n v="33246"/>
    <n v="4026"/>
    <n v="0"/>
    <n v="23543"/>
    <n v="225"/>
    <n v="0"/>
    <n v="33057"/>
    <n v="195"/>
    <n v="0"/>
    <x v="0"/>
    <x v="0"/>
  </r>
  <r>
    <x v="13"/>
    <s v="West Texas A &amp; M University"/>
    <m/>
    <n v="229814"/>
    <x v="2"/>
    <n v="185421"/>
    <n v="186444"/>
    <n v="144943"/>
    <n v="146442"/>
    <n v="249"/>
    <n v="135"/>
    <n v="40229"/>
    <n v="0"/>
    <n v="0"/>
    <n v="39867"/>
    <n v="0"/>
    <n v="0"/>
    <m/>
    <m/>
    <n v="26928"/>
    <n v="32482"/>
    <n v="10047"/>
    <n v="10365"/>
    <n v="0"/>
    <m/>
    <n v="16881"/>
    <n v="0"/>
    <n v="0"/>
    <n v="22117"/>
    <n v="0"/>
    <n v="0"/>
    <x v="0"/>
    <x v="0"/>
  </r>
  <r>
    <x v="13"/>
    <s v="Texas A &amp; M -Texarkana"/>
    <m/>
    <n v="483036"/>
    <x v="3"/>
    <n v="32674"/>
    <n v="33517"/>
    <n v="21159"/>
    <n v="20601"/>
    <n v="1971"/>
    <n v="1938"/>
    <n v="9409"/>
    <n v="135"/>
    <n v="0"/>
    <n v="10753"/>
    <n v="225"/>
    <n v="0"/>
    <m/>
    <m/>
    <n v="6348"/>
    <n v="5872"/>
    <n v="1905"/>
    <n v="1963"/>
    <n v="552"/>
    <m/>
    <n v="3891"/>
    <n v="0"/>
    <n v="0"/>
    <n v="3909"/>
    <n v="0"/>
    <n v="0"/>
    <x v="0"/>
    <x v="0"/>
  </r>
  <r>
    <x v="13"/>
    <s v="Texas A &amp; M University - Central Texas"/>
    <m/>
    <n v="224545"/>
    <x v="3"/>
    <n v="36680"/>
    <n v="39565"/>
    <n v="20448"/>
    <n v="27577"/>
    <n v="4725"/>
    <n v="1383"/>
    <n v="11507"/>
    <n v="0"/>
    <n v="0"/>
    <n v="10473"/>
    <n v="132"/>
    <n v="0"/>
    <m/>
    <m/>
    <n v="9839"/>
    <n v="10303"/>
    <n v="5861"/>
    <n v="6895"/>
    <n v="243"/>
    <m/>
    <n v="3735"/>
    <n v="0"/>
    <n v="0"/>
    <n v="3408"/>
    <n v="0"/>
    <n v="0"/>
    <x v="0"/>
    <x v="0"/>
  </r>
  <r>
    <x v="13"/>
    <s v="University of Houston-Victoria"/>
    <m/>
    <n v="225502"/>
    <x v="3"/>
    <n v="66531"/>
    <n v="67966"/>
    <n v="18642"/>
    <n v="19961"/>
    <n v="6679"/>
    <n v="6640"/>
    <n v="38430"/>
    <n v="2780"/>
    <n v="0"/>
    <n v="38445"/>
    <n v="2920"/>
    <n v="0"/>
    <m/>
    <m/>
    <n v="21846"/>
    <n v="16476"/>
    <n v="336"/>
    <n v="252"/>
    <n v="3381"/>
    <m/>
    <n v="17175"/>
    <n v="954"/>
    <n v="0"/>
    <n v="15201"/>
    <n v="1023"/>
    <n v="0"/>
    <x v="0"/>
    <x v="0"/>
  </r>
  <r>
    <x v="13"/>
    <s v="Sul Ross State University-Rio Grande College"/>
    <m/>
    <s v="228501B"/>
    <x v="4"/>
    <n v="12359"/>
    <n v="14933"/>
    <n v="3753"/>
    <n v="3242"/>
    <n v="0"/>
    <n v="0"/>
    <n v="4793"/>
    <n v="3813"/>
    <n v="0"/>
    <n v="6618"/>
    <n v="5073"/>
    <n v="0"/>
    <m/>
    <m/>
    <n v="2361"/>
    <n v="2667"/>
    <n v="1233"/>
    <n v="1341"/>
    <n v="0"/>
    <m/>
    <n v="975"/>
    <n v="153"/>
    <n v="0"/>
    <n v="1038"/>
    <n v="288"/>
    <n v="0"/>
    <x v="0"/>
    <x v="0"/>
  </r>
  <r>
    <x v="13"/>
    <s v="Texas A &amp; M University - San Antonio"/>
    <m/>
    <n v="870501"/>
    <x v="4"/>
    <n v="69607"/>
    <n v="72599"/>
    <n v="41818"/>
    <n v="40656"/>
    <n v="3303"/>
    <n v="2396"/>
    <n v="24486"/>
    <n v="0"/>
    <n v="0"/>
    <n v="29547"/>
    <n v="0"/>
    <n v="0"/>
    <m/>
    <m/>
    <n v="17194"/>
    <n v="14530"/>
    <n v="7552"/>
    <n v="5848"/>
    <n v="411"/>
    <m/>
    <n v="9231"/>
    <n v="0"/>
    <n v="0"/>
    <n v="8676"/>
    <n v="0"/>
    <n v="6"/>
    <x v="0"/>
    <x v="0"/>
  </r>
  <r>
    <x v="13"/>
    <s v="University of Houston-Downtown"/>
    <m/>
    <n v="225432"/>
    <x v="4"/>
    <n v="281037"/>
    <n v="271798"/>
    <n v="166386"/>
    <n v="152792"/>
    <n v="7544"/>
    <n v="9249"/>
    <n v="107062"/>
    <n v="45"/>
    <n v="0"/>
    <n v="109718"/>
    <n v="39"/>
    <n v="0"/>
    <m/>
    <m/>
    <n v="5818"/>
    <n v="12463"/>
    <n v="741"/>
    <n v="1299"/>
    <n v="330"/>
    <m/>
    <n v="4747"/>
    <n v="0"/>
    <n v="0"/>
    <n v="11164"/>
    <n v="0"/>
    <n v="0"/>
    <x v="0"/>
    <x v="0"/>
  </r>
  <r>
    <x v="13"/>
    <s v="Texas A &amp; M University at Galveston"/>
    <s v="Met the criteria for Four-Year 5 in 2014-15 and 2015-16."/>
    <n v="228714"/>
    <x v="5"/>
    <n v="60520"/>
    <n v="62442"/>
    <n v="59739"/>
    <n v="61176"/>
    <n v="118"/>
    <n v="95"/>
    <n v="635"/>
    <n v="0"/>
    <n v="28"/>
    <n v="1123"/>
    <n v="0"/>
    <n v="48"/>
    <m/>
    <m/>
    <n v="2086"/>
    <n v="2210"/>
    <n v="1686"/>
    <n v="1981"/>
    <n v="13"/>
    <m/>
    <n v="384"/>
    <n v="3"/>
    <n v="0"/>
    <n v="229"/>
    <n v="0"/>
    <n v="0"/>
    <x v="0"/>
    <x v="0"/>
  </r>
  <r>
    <x v="13"/>
    <s v="Brazosport College "/>
    <m/>
    <n v="223506"/>
    <x v="12"/>
    <n v="74948"/>
    <n v="74685"/>
    <n v="54016"/>
    <n v="51817"/>
    <n v="4664"/>
    <n v="5331"/>
    <n v="16268"/>
    <n v="0"/>
    <n v="0"/>
    <n v="17537"/>
    <n v="0"/>
    <n v="0"/>
    <m/>
    <m/>
    <n v="0"/>
    <n v="0"/>
    <n v="0"/>
    <n v="0"/>
    <n v="0"/>
    <m/>
    <n v="0"/>
    <n v="0"/>
    <n v="0"/>
    <n v="0"/>
    <n v="0"/>
    <n v="0"/>
    <x v="0"/>
    <x v="0"/>
  </r>
  <r>
    <x v="13"/>
    <s v="Midland College "/>
    <m/>
    <n v="226806"/>
    <x v="12"/>
    <n v="102071"/>
    <n v="107508"/>
    <n v="59944"/>
    <n v="60533"/>
    <n v="1722"/>
    <n v="5490"/>
    <n v="39613"/>
    <n v="792"/>
    <n v="0"/>
    <n v="40632"/>
    <n v="853"/>
    <n v="0"/>
    <m/>
    <m/>
    <n v="0"/>
    <n v="0"/>
    <n v="0"/>
    <n v="0"/>
    <n v="0"/>
    <m/>
    <n v="0"/>
    <n v="0"/>
    <n v="0"/>
    <n v="0"/>
    <n v="0"/>
    <n v="0"/>
    <x v="0"/>
    <x v="0"/>
  </r>
  <r>
    <x v="13"/>
    <s v="South Texas College"/>
    <m/>
    <n v="409315"/>
    <x v="12"/>
    <n v="576236"/>
    <n v="603524"/>
    <n v="477904"/>
    <n v="493053"/>
    <n v="0"/>
    <n v="0"/>
    <n v="98124"/>
    <n v="0"/>
    <n v="208"/>
    <n v="109348"/>
    <n v="0"/>
    <n v="1123"/>
    <m/>
    <m/>
    <n v="0"/>
    <n v="0"/>
    <n v="0"/>
    <n v="0"/>
    <n v="0"/>
    <m/>
    <n v="0"/>
    <n v="0"/>
    <n v="0"/>
    <n v="0"/>
    <n v="0"/>
    <n v="0"/>
    <x v="0"/>
    <x v="0"/>
  </r>
  <r>
    <x v="13"/>
    <s v="Amarillo College "/>
    <m/>
    <n v="222576"/>
    <x v="7"/>
    <n v="176153"/>
    <n v="172237"/>
    <n v="105934"/>
    <n v="99856"/>
    <n v="12843"/>
    <n v="13324"/>
    <n v="57156"/>
    <n v="0"/>
    <n v="220"/>
    <n v="59057"/>
    <n v="0"/>
    <n v="0"/>
    <m/>
    <m/>
    <n v="0"/>
    <n v="0"/>
    <n v="0"/>
    <n v="0"/>
    <n v="0"/>
    <m/>
    <n v="0"/>
    <n v="0"/>
    <n v="0"/>
    <n v="0"/>
    <n v="0"/>
    <n v="0"/>
    <x v="0"/>
    <x v="0"/>
  </r>
  <r>
    <x v="13"/>
    <s v="Austin Community College "/>
    <m/>
    <n v="222992"/>
    <x v="7"/>
    <n v="727775"/>
    <n v="734922"/>
    <n v="559172"/>
    <n v="567095"/>
    <n v="48717"/>
    <n v="44052"/>
    <n v="119886"/>
    <n v="0"/>
    <n v="0"/>
    <n v="123775"/>
    <n v="0"/>
    <n v="0"/>
    <m/>
    <m/>
    <n v="0"/>
    <n v="0"/>
    <n v="0"/>
    <n v="0"/>
    <n v="0"/>
    <m/>
    <n v="0"/>
    <n v="0"/>
    <n v="0"/>
    <n v="0"/>
    <n v="0"/>
    <n v="0"/>
    <x v="0"/>
    <x v="0"/>
  </r>
  <r>
    <x v="13"/>
    <s v="Blinn College "/>
    <m/>
    <n v="223427"/>
    <x v="7"/>
    <n v="415038"/>
    <n v="426719"/>
    <n v="54671"/>
    <n v="54251"/>
    <n v="273421"/>
    <n v="273162"/>
    <n v="86853"/>
    <n v="93"/>
    <n v="0"/>
    <n v="99159"/>
    <n v="126"/>
    <n v="21"/>
    <m/>
    <m/>
    <n v="0"/>
    <n v="0"/>
    <n v="0"/>
    <n v="0"/>
    <n v="0"/>
    <m/>
    <n v="0"/>
    <n v="0"/>
    <n v="0"/>
    <n v="0"/>
    <n v="0"/>
    <n v="0"/>
    <x v="0"/>
    <x v="0"/>
  </r>
  <r>
    <x v="13"/>
    <s v="Brookhaven College (DCCCD)"/>
    <m/>
    <n v="223524"/>
    <x v="7"/>
    <n v="185163"/>
    <n v="188199"/>
    <n v="125618"/>
    <n v="118009"/>
    <n v="1062"/>
    <n v="3521"/>
    <n v="58402"/>
    <n v="0"/>
    <n v="81"/>
    <n v="66669"/>
    <n v="0"/>
    <n v="0"/>
    <m/>
    <m/>
    <n v="0"/>
    <n v="0"/>
    <n v="0"/>
    <n v="0"/>
    <n v="0"/>
    <m/>
    <n v="0"/>
    <n v="0"/>
    <n v="0"/>
    <n v="0"/>
    <n v="0"/>
    <n v="0"/>
    <x v="0"/>
    <x v="0"/>
  </r>
  <r>
    <x v="13"/>
    <s v="Central Texas College "/>
    <m/>
    <n v="223816"/>
    <x v="7"/>
    <n v="273024"/>
    <n v="261530"/>
    <n v="97837"/>
    <n v="88156"/>
    <n v="41652"/>
    <n v="38806"/>
    <n v="121352"/>
    <n v="780"/>
    <n v="11403"/>
    <n v="119749"/>
    <n v="366"/>
    <n v="14453"/>
    <m/>
    <m/>
    <n v="0"/>
    <n v="0"/>
    <n v="0"/>
    <n v="0"/>
    <n v="0"/>
    <m/>
    <n v="0"/>
    <n v="0"/>
    <n v="0"/>
    <n v="0"/>
    <n v="0"/>
    <n v="0"/>
    <x v="0"/>
    <x v="0"/>
  </r>
  <r>
    <x v="13"/>
    <s v="Collin County Community College District"/>
    <m/>
    <n v="247834"/>
    <x v="7"/>
    <n v="539402"/>
    <n v="537411"/>
    <n v="434044"/>
    <n v="420314"/>
    <n v="18194"/>
    <n v="22918"/>
    <n v="87164"/>
    <n v="0"/>
    <n v="0"/>
    <n v="94179"/>
    <n v="0"/>
    <n v="0"/>
    <m/>
    <m/>
    <n v="0"/>
    <n v="0"/>
    <n v="0"/>
    <n v="0"/>
    <n v="0"/>
    <m/>
    <n v="0"/>
    <n v="0"/>
    <n v="0"/>
    <n v="0"/>
    <n v="0"/>
    <n v="0"/>
    <x v="0"/>
    <x v="0"/>
  </r>
  <r>
    <x v="13"/>
    <s v="Del Mar College "/>
    <m/>
    <n v="224350"/>
    <x v="7"/>
    <n v="192070"/>
    <n v="195701"/>
    <n v="165759"/>
    <n v="176977"/>
    <n v="3906"/>
    <n v="4178"/>
    <n v="22405"/>
    <n v="0"/>
    <n v="0"/>
    <n v="14546"/>
    <n v="0"/>
    <n v="0"/>
    <m/>
    <m/>
    <n v="0"/>
    <n v="0"/>
    <n v="0"/>
    <n v="0"/>
    <n v="0"/>
    <m/>
    <n v="0"/>
    <n v="0"/>
    <n v="0"/>
    <n v="0"/>
    <n v="0"/>
    <n v="0"/>
    <x v="0"/>
    <x v="0"/>
  </r>
  <r>
    <x v="13"/>
    <s v="Eastfield College (DCCCD)"/>
    <m/>
    <n v="224572"/>
    <x v="7"/>
    <n v="236577"/>
    <n v="236561"/>
    <n v="147768"/>
    <n v="147348"/>
    <n v="258"/>
    <n v="83"/>
    <n v="88490"/>
    <n v="0"/>
    <n v="61"/>
    <n v="88909"/>
    <n v="0"/>
    <n v="221"/>
    <m/>
    <m/>
    <n v="0"/>
    <n v="0"/>
    <n v="0"/>
    <n v="0"/>
    <n v="0"/>
    <m/>
    <n v="0"/>
    <n v="0"/>
    <n v="0"/>
    <n v="0"/>
    <n v="0"/>
    <n v="0"/>
    <x v="0"/>
    <x v="0"/>
  </r>
  <r>
    <x v="13"/>
    <s v="El Centro College  (DCCCD)"/>
    <m/>
    <n v="224615"/>
    <x v="7"/>
    <n v="163681"/>
    <n v="155887"/>
    <n v="118662"/>
    <n v="106985"/>
    <n v="3346"/>
    <n v="4403"/>
    <n v="41673"/>
    <n v="0"/>
    <n v="0"/>
    <n v="44499"/>
    <n v="0"/>
    <n v="0"/>
    <m/>
    <m/>
    <n v="0"/>
    <n v="0"/>
    <n v="0"/>
    <n v="0"/>
    <n v="0"/>
    <m/>
    <n v="0"/>
    <n v="0"/>
    <n v="0"/>
    <n v="0"/>
    <n v="0"/>
    <n v="0"/>
    <x v="0"/>
    <x v="0"/>
  </r>
  <r>
    <x v="13"/>
    <s v="El Paso County Community College District"/>
    <m/>
    <n v="224642"/>
    <x v="7"/>
    <n v="529978"/>
    <n v="515925"/>
    <n v="433505"/>
    <n v="402258"/>
    <n v="36042"/>
    <n v="46195"/>
    <n v="60311"/>
    <n v="120"/>
    <n v="0"/>
    <n v="67472"/>
    <n v="0"/>
    <n v="0"/>
    <m/>
    <m/>
    <n v="0"/>
    <n v="0"/>
    <n v="0"/>
    <n v="0"/>
    <n v="0"/>
    <m/>
    <n v="0"/>
    <n v="0"/>
    <n v="0"/>
    <n v="0"/>
    <n v="0"/>
    <n v="0"/>
    <x v="0"/>
    <x v="0"/>
  </r>
  <r>
    <x v="13"/>
    <s v="Houston Community College"/>
    <m/>
    <n v="225423"/>
    <x v="7"/>
    <n v="1090521"/>
    <n v="1107510"/>
    <n v="550645"/>
    <n v="544150"/>
    <n v="190794"/>
    <n v="187760"/>
    <n v="348710"/>
    <n v="0"/>
    <n v="372"/>
    <n v="375319"/>
    <n v="0"/>
    <n v="281"/>
    <m/>
    <m/>
    <n v="0"/>
    <n v="0"/>
    <n v="0"/>
    <n v="0"/>
    <n v="0"/>
    <m/>
    <n v="0"/>
    <n v="0"/>
    <n v="0"/>
    <n v="0"/>
    <n v="0"/>
    <n v="0"/>
    <x v="0"/>
    <x v="0"/>
  </r>
  <r>
    <x v="13"/>
    <s v="Kilgore College "/>
    <s v="Reclassified: Met the criteria for Two-Year 2 in 2013-14, 2014-15, and 2015-16."/>
    <n v="226019"/>
    <x v="6"/>
    <n v="122666"/>
    <n v="111572"/>
    <n v="72702"/>
    <n v="65039"/>
    <n v="32849"/>
    <n v="30972"/>
    <n v="16818"/>
    <n v="297"/>
    <n v="0"/>
    <n v="15108"/>
    <n v="453"/>
    <n v="0"/>
    <m/>
    <m/>
    <n v="0"/>
    <n v="0"/>
    <n v="0"/>
    <n v="0"/>
    <n v="0"/>
    <m/>
    <n v="0"/>
    <n v="0"/>
    <n v="0"/>
    <n v="0"/>
    <n v="0"/>
    <n v="0"/>
    <x v="0"/>
    <x v="0"/>
  </r>
  <r>
    <x v="13"/>
    <s v="Laredo Community College "/>
    <m/>
    <n v="226134"/>
    <x v="7"/>
    <n v="155660"/>
    <n v="150670"/>
    <n v="130760"/>
    <n v="122720"/>
    <n v="4276"/>
    <n v="6141"/>
    <n v="19682"/>
    <n v="942"/>
    <n v="0"/>
    <n v="20807"/>
    <n v="870"/>
    <n v="132"/>
    <m/>
    <m/>
    <n v="0"/>
    <n v="0"/>
    <n v="0"/>
    <n v="0"/>
    <n v="0"/>
    <m/>
    <n v="0"/>
    <n v="0"/>
    <n v="0"/>
    <n v="0"/>
    <n v="0"/>
    <n v="0"/>
    <x v="0"/>
    <x v="0"/>
  </r>
  <r>
    <x v="13"/>
    <s v="Lone Star College System District"/>
    <m/>
    <n v="227182"/>
    <x v="7"/>
    <n v="1258581"/>
    <n v="1268134"/>
    <n v="869349"/>
    <n v="850842"/>
    <n v="67843"/>
    <n v="83874"/>
    <n v="321389"/>
    <n v="0"/>
    <n v="0"/>
    <n v="333418"/>
    <n v="0"/>
    <n v="0"/>
    <m/>
    <m/>
    <n v="0"/>
    <n v="0"/>
    <n v="0"/>
    <n v="0"/>
    <n v="0"/>
    <m/>
    <n v="0"/>
    <n v="0"/>
    <n v="0"/>
    <n v="0"/>
    <n v="0"/>
    <n v="0"/>
    <x v="0"/>
    <x v="0"/>
  </r>
  <r>
    <x v="13"/>
    <s v="McLennan Community College "/>
    <m/>
    <n v="226578"/>
    <x v="7"/>
    <n v="180193"/>
    <n v="176780"/>
    <n v="124832"/>
    <n v="120106"/>
    <n v="27"/>
    <n v="79"/>
    <n v="54626"/>
    <n v="708"/>
    <n v="0"/>
    <n v="56091"/>
    <n v="504"/>
    <n v="0"/>
    <m/>
    <m/>
    <n v="0"/>
    <n v="0"/>
    <n v="0"/>
    <n v="0"/>
    <n v="0"/>
    <m/>
    <n v="0"/>
    <n v="0"/>
    <n v="0"/>
    <n v="0"/>
    <n v="0"/>
    <n v="0"/>
    <x v="0"/>
    <x v="0"/>
  </r>
  <r>
    <x v="13"/>
    <s v="Navarro College "/>
    <m/>
    <n v="227146"/>
    <x v="7"/>
    <n v="213383"/>
    <n v="202099"/>
    <n v="69007"/>
    <n v="61045"/>
    <n v="84898"/>
    <n v="80893"/>
    <n v="58156"/>
    <n v="14"/>
    <n v="1308"/>
    <n v="59148"/>
    <n v="0"/>
    <n v="1013"/>
    <m/>
    <m/>
    <n v="0"/>
    <n v="0"/>
    <n v="0"/>
    <n v="0"/>
    <n v="0"/>
    <m/>
    <n v="0"/>
    <n v="0"/>
    <n v="0"/>
    <n v="0"/>
    <n v="0"/>
    <n v="0"/>
    <x v="0"/>
    <x v="0"/>
  </r>
  <r>
    <x v="13"/>
    <s v="North Central Texas Community College"/>
    <m/>
    <n v="224110"/>
    <x v="7"/>
    <n v="188617"/>
    <n v="179485"/>
    <n v="27388"/>
    <n v="28456"/>
    <n v="135834"/>
    <n v="128606"/>
    <n v="24922"/>
    <n v="161"/>
    <n v="312"/>
    <n v="22191"/>
    <n v="24"/>
    <n v="208"/>
    <m/>
    <m/>
    <n v="0"/>
    <n v="0"/>
    <n v="0"/>
    <n v="0"/>
    <n v="0"/>
    <m/>
    <n v="0"/>
    <n v="0"/>
    <n v="0"/>
    <n v="0"/>
    <n v="0"/>
    <n v="0"/>
    <x v="0"/>
    <x v="0"/>
  </r>
  <r>
    <x v="13"/>
    <s v="North Lake College (DCCCD)"/>
    <m/>
    <n v="227191"/>
    <x v="7"/>
    <n v="175919"/>
    <n v="167692"/>
    <n v="121316"/>
    <n v="118381"/>
    <n v="1607"/>
    <n v="1712"/>
    <n v="52873"/>
    <n v="0"/>
    <n v="123"/>
    <n v="47554"/>
    <n v="0"/>
    <n v="45"/>
    <m/>
    <m/>
    <n v="0"/>
    <n v="0"/>
    <n v="0"/>
    <n v="0"/>
    <n v="0"/>
    <m/>
    <n v="0"/>
    <n v="0"/>
    <n v="0"/>
    <n v="0"/>
    <n v="0"/>
    <n v="0"/>
    <x v="0"/>
    <x v="0"/>
  </r>
  <r>
    <x v="13"/>
    <s v="Northwest Vista College (ACCD)"/>
    <m/>
    <n v="420398"/>
    <x v="7"/>
    <n v="281326"/>
    <n v="290179"/>
    <n v="210747"/>
    <n v="213807"/>
    <n v="24470"/>
    <n v="27651"/>
    <n v="46109"/>
    <n v="0"/>
    <n v="0"/>
    <n v="48721"/>
    <n v="0"/>
    <n v="0"/>
    <m/>
    <m/>
    <n v="0"/>
    <n v="0"/>
    <n v="0"/>
    <n v="0"/>
    <n v="0"/>
    <m/>
    <n v="0"/>
    <n v="0"/>
    <n v="0"/>
    <n v="0"/>
    <n v="0"/>
    <n v="0"/>
    <x v="0"/>
    <x v="0"/>
  </r>
  <r>
    <x v="13"/>
    <s v="Palo Alto College (ACCD)"/>
    <s v="Met the criteria for Two-Year 2 in 2014-15 and 2015-16."/>
    <n v="246354"/>
    <x v="7"/>
    <n v="145511"/>
    <n v="146814"/>
    <n v="85030"/>
    <n v="86865"/>
    <n v="5953"/>
    <n v="3977"/>
    <n v="53070"/>
    <n v="306"/>
    <n v="1152"/>
    <n v="54901"/>
    <n v="57"/>
    <n v="1014"/>
    <m/>
    <m/>
    <n v="0"/>
    <n v="0"/>
    <n v="0"/>
    <n v="0"/>
    <n v="0"/>
    <m/>
    <n v="0"/>
    <n v="0"/>
    <n v="0"/>
    <n v="0"/>
    <n v="0"/>
    <n v="0"/>
    <x v="0"/>
    <x v="0"/>
  </r>
  <r>
    <x v="13"/>
    <s v="Richland College (DCCCD)"/>
    <m/>
    <n v="227766"/>
    <x v="7"/>
    <n v="323031"/>
    <n v="322325"/>
    <n v="222889"/>
    <n v="221402"/>
    <n v="249"/>
    <n v="781"/>
    <n v="99893"/>
    <n v="0"/>
    <n v="0"/>
    <n v="100142"/>
    <n v="0"/>
    <n v="0"/>
    <m/>
    <m/>
    <n v="0"/>
    <n v="0"/>
    <n v="0"/>
    <n v="0"/>
    <n v="0"/>
    <m/>
    <n v="0"/>
    <n v="0"/>
    <n v="0"/>
    <n v="0"/>
    <n v="0"/>
    <n v="0"/>
    <x v="0"/>
    <x v="0"/>
  </r>
  <r>
    <x v="13"/>
    <s v="San Antonio College (ACCD)"/>
    <m/>
    <n v="227924"/>
    <x v="7"/>
    <n v="404138"/>
    <n v="368361"/>
    <n v="297373"/>
    <n v="257334"/>
    <n v="13496"/>
    <n v="14506"/>
    <n v="93269"/>
    <n v="0"/>
    <n v="0"/>
    <n v="96521"/>
    <n v="0"/>
    <n v="0"/>
    <m/>
    <m/>
    <n v="0"/>
    <n v="0"/>
    <n v="0"/>
    <n v="0"/>
    <n v="0"/>
    <m/>
    <n v="0"/>
    <n v="0"/>
    <n v="0"/>
    <n v="0"/>
    <n v="0"/>
    <n v="0"/>
    <x v="0"/>
    <x v="0"/>
  </r>
  <r>
    <x v="13"/>
    <s v="San Jacinto College"/>
    <m/>
    <n v="227979"/>
    <x v="7"/>
    <n v="561496"/>
    <n v="559753"/>
    <n v="468011"/>
    <n v="473954"/>
    <n v="8600"/>
    <n v="7466"/>
    <n v="84846"/>
    <n v="39"/>
    <n v="0"/>
    <n v="78261"/>
    <n v="72"/>
    <n v="0"/>
    <m/>
    <m/>
    <n v="0"/>
    <n v="0"/>
    <n v="0"/>
    <n v="0"/>
    <n v="0"/>
    <m/>
    <n v="0"/>
    <n v="0"/>
    <n v="0"/>
    <n v="0"/>
    <n v="0"/>
    <n v="0"/>
    <x v="0"/>
    <x v="0"/>
  </r>
  <r>
    <x v="13"/>
    <s v="South Plains College "/>
    <m/>
    <n v="228158"/>
    <x v="7"/>
    <n v="200024"/>
    <n v="196906"/>
    <n v="87211"/>
    <n v="87254"/>
    <n v="73554"/>
    <n v="67092"/>
    <n v="34287"/>
    <n v="1782"/>
    <n v="3190"/>
    <n v="40455"/>
    <n v="2105"/>
    <n v="0"/>
    <m/>
    <m/>
    <n v="0"/>
    <n v="0"/>
    <n v="0"/>
    <n v="0"/>
    <n v="0"/>
    <m/>
    <n v="0"/>
    <n v="0"/>
    <n v="0"/>
    <n v="0"/>
    <n v="0"/>
    <n v="0"/>
    <x v="0"/>
    <x v="0"/>
  </r>
  <r>
    <x v="13"/>
    <s v="St. Philip's College (ACCD)"/>
    <m/>
    <n v="227854"/>
    <x v="7"/>
    <n v="173817"/>
    <n v="184870"/>
    <n v="100112"/>
    <n v="104150"/>
    <n v="13902"/>
    <n v="16142"/>
    <n v="59803"/>
    <n v="0"/>
    <n v="0"/>
    <n v="64578"/>
    <n v="0"/>
    <n v="0"/>
    <m/>
    <m/>
    <n v="0"/>
    <n v="0"/>
    <n v="0"/>
    <n v="0"/>
    <n v="0"/>
    <m/>
    <n v="0"/>
    <n v="0"/>
    <n v="0"/>
    <n v="0"/>
    <n v="0"/>
    <n v="0"/>
    <x v="0"/>
    <x v="0"/>
  </r>
  <r>
    <x v="13"/>
    <s v="Tarrant County College"/>
    <m/>
    <n v="228547"/>
    <x v="7"/>
    <n v="967173"/>
    <n v="952369"/>
    <n v="731548"/>
    <n v="739231"/>
    <n v="40582"/>
    <n v="41774"/>
    <n v="195040"/>
    <n v="0"/>
    <n v="3"/>
    <n v="171364"/>
    <n v="0"/>
    <n v="0"/>
    <m/>
    <m/>
    <n v="0"/>
    <n v="0"/>
    <n v="0"/>
    <n v="0"/>
    <n v="0"/>
    <m/>
    <n v="0"/>
    <n v="0"/>
    <n v="0"/>
    <n v="0"/>
    <n v="0"/>
    <n v="0"/>
    <x v="0"/>
    <x v="0"/>
  </r>
  <r>
    <x v="13"/>
    <s v="Trinity Valley Community College"/>
    <m/>
    <n v="225308"/>
    <x v="7"/>
    <n v="148335"/>
    <n v="141872"/>
    <n v="74793"/>
    <n v="68558"/>
    <n v="32109"/>
    <n v="30649"/>
    <n v="41433"/>
    <n v="0"/>
    <n v="0"/>
    <n v="42665"/>
    <n v="0"/>
    <n v="0"/>
    <m/>
    <m/>
    <n v="0"/>
    <n v="0"/>
    <n v="0"/>
    <n v="0"/>
    <n v="0"/>
    <m/>
    <n v="0"/>
    <n v="0"/>
    <n v="0"/>
    <n v="0"/>
    <n v="0"/>
    <n v="0"/>
    <x v="0"/>
    <x v="0"/>
  </r>
  <r>
    <x v="13"/>
    <s v="Tyler Junior College "/>
    <m/>
    <n v="229355"/>
    <x v="7"/>
    <n v="237997"/>
    <n v="232370"/>
    <n v="148690"/>
    <n v="144352"/>
    <n v="19773"/>
    <n v="17376"/>
    <n v="69534"/>
    <n v="0"/>
    <n v="0"/>
    <n v="70330"/>
    <n v="180"/>
    <n v="132"/>
    <m/>
    <m/>
    <n v="0"/>
    <n v="0"/>
    <n v="0"/>
    <n v="0"/>
    <n v="0"/>
    <m/>
    <n v="0"/>
    <n v="0"/>
    <n v="0"/>
    <n v="0"/>
    <n v="0"/>
    <n v="0"/>
    <x v="0"/>
    <x v="0"/>
  </r>
  <r>
    <x v="13"/>
    <s v="Alvin Community College "/>
    <m/>
    <n v="222567"/>
    <x v="6"/>
    <n v="98010"/>
    <n v="97509"/>
    <n v="59099"/>
    <n v="57209"/>
    <n v="21176"/>
    <n v="21048"/>
    <n v="17735"/>
    <n v="0"/>
    <n v="0"/>
    <n v="19252"/>
    <n v="0"/>
    <n v="0"/>
    <m/>
    <m/>
    <n v="0"/>
    <n v="0"/>
    <n v="0"/>
    <n v="0"/>
    <n v="0"/>
    <m/>
    <n v="0"/>
    <n v="0"/>
    <n v="0"/>
    <n v="0"/>
    <n v="0"/>
    <n v="0"/>
    <x v="0"/>
    <x v="0"/>
  </r>
  <r>
    <x v="13"/>
    <s v="Angelina College "/>
    <m/>
    <n v="222822"/>
    <x v="6"/>
    <n v="97791"/>
    <n v="94800"/>
    <n v="54743"/>
    <n v="51733"/>
    <n v="10935"/>
    <n v="10401"/>
    <n v="23033"/>
    <n v="8981"/>
    <n v="99"/>
    <n v="23929"/>
    <n v="8539"/>
    <n v="198"/>
    <m/>
    <m/>
    <n v="0"/>
    <n v="0"/>
    <n v="0"/>
    <n v="0"/>
    <n v="0"/>
    <m/>
    <n v="0"/>
    <n v="0"/>
    <n v="0"/>
    <n v="0"/>
    <n v="0"/>
    <n v="0"/>
    <x v="0"/>
    <x v="0"/>
  </r>
  <r>
    <x v="13"/>
    <s v="Cedar Valley College (DCCCD)"/>
    <m/>
    <n v="223773"/>
    <x v="6"/>
    <n v="103899"/>
    <n v="106614"/>
    <n v="57782"/>
    <n v="55632"/>
    <n v="0"/>
    <n v="753"/>
    <n v="46117"/>
    <n v="0"/>
    <n v="0"/>
    <n v="50229"/>
    <n v="0"/>
    <n v="0"/>
    <m/>
    <m/>
    <n v="0"/>
    <n v="0"/>
    <n v="0"/>
    <n v="0"/>
    <n v="0"/>
    <m/>
    <n v="0"/>
    <n v="0"/>
    <n v="0"/>
    <n v="0"/>
    <n v="0"/>
    <n v="0"/>
    <x v="0"/>
    <x v="0"/>
  </r>
  <r>
    <x v="13"/>
    <s v="Cisco Junior College "/>
    <m/>
    <n v="223898"/>
    <x v="6"/>
    <n v="75103"/>
    <n v="71066"/>
    <n v="11619"/>
    <n v="10814"/>
    <n v="42795"/>
    <n v="36617"/>
    <n v="19952"/>
    <n v="737"/>
    <n v="0"/>
    <n v="23039"/>
    <n v="596"/>
    <n v="0"/>
    <m/>
    <m/>
    <n v="0"/>
    <n v="0"/>
    <n v="0"/>
    <n v="0"/>
    <n v="0"/>
    <m/>
    <n v="0"/>
    <n v="0"/>
    <n v="0"/>
    <n v="0"/>
    <n v="0"/>
    <n v="0"/>
    <x v="0"/>
    <x v="0"/>
  </r>
  <r>
    <x v="13"/>
    <s v="Coastal Bend College"/>
    <m/>
    <n v="223320"/>
    <x v="6"/>
    <n v="70675"/>
    <n v="75988"/>
    <n v="20597"/>
    <n v="19866"/>
    <n v="24506"/>
    <n v="26399"/>
    <n v="16783"/>
    <n v="6229"/>
    <n v="2560"/>
    <n v="20233"/>
    <n v="5666"/>
    <n v="3824"/>
    <m/>
    <m/>
    <n v="0"/>
    <n v="0"/>
    <n v="0"/>
    <n v="0"/>
    <n v="0"/>
    <m/>
    <n v="0"/>
    <n v="0"/>
    <n v="0"/>
    <n v="0"/>
    <n v="0"/>
    <n v="0"/>
    <x v="0"/>
    <x v="0"/>
  </r>
  <r>
    <x v="13"/>
    <s v="College of the Mainland"/>
    <m/>
    <n v="226408"/>
    <x v="6"/>
    <n v="79162"/>
    <n v="76265"/>
    <n v="59417"/>
    <n v="51627"/>
    <n v="9614"/>
    <n v="9430"/>
    <n v="10131"/>
    <n v="0"/>
    <n v="0"/>
    <n v="15208"/>
    <n v="0"/>
    <n v="0"/>
    <m/>
    <m/>
    <n v="0"/>
    <n v="0"/>
    <n v="0"/>
    <n v="0"/>
    <n v="0"/>
    <m/>
    <n v="0"/>
    <n v="0"/>
    <n v="0"/>
    <n v="0"/>
    <n v="0"/>
    <n v="0"/>
    <x v="0"/>
    <x v="0"/>
  </r>
  <r>
    <x v="13"/>
    <s v="Grayson County College "/>
    <m/>
    <n v="225070"/>
    <x v="6"/>
    <n v="98061"/>
    <n v="91674"/>
    <n v="60204"/>
    <n v="54793"/>
    <n v="3300"/>
    <n v="3561"/>
    <n v="31653"/>
    <n v="0"/>
    <n v="2904"/>
    <n v="30443"/>
    <n v="0"/>
    <n v="2877"/>
    <m/>
    <m/>
    <n v="0"/>
    <n v="0"/>
    <n v="0"/>
    <n v="0"/>
    <n v="0"/>
    <m/>
    <n v="0"/>
    <n v="0"/>
    <n v="0"/>
    <n v="0"/>
    <n v="0"/>
    <n v="0"/>
    <x v="0"/>
    <x v="0"/>
  </r>
  <r>
    <x v="13"/>
    <s v="Hill College"/>
    <m/>
    <n v="225371"/>
    <x v="6"/>
    <n v="86028"/>
    <n v="79611"/>
    <n v="17322"/>
    <n v="14395"/>
    <n v="35920"/>
    <n v="33157"/>
    <n v="31739"/>
    <n v="1047"/>
    <n v="0"/>
    <n v="30990"/>
    <n v="1069"/>
    <n v="0"/>
    <m/>
    <m/>
    <n v="0"/>
    <n v="0"/>
    <n v="0"/>
    <n v="0"/>
    <n v="0"/>
    <m/>
    <n v="0"/>
    <n v="0"/>
    <n v="0"/>
    <n v="0"/>
    <n v="0"/>
    <n v="0"/>
    <x v="0"/>
    <x v="0"/>
  </r>
  <r>
    <x v="13"/>
    <s v="Howard College (HCJCD)"/>
    <m/>
    <n v="225520"/>
    <x v="6"/>
    <n v="64441"/>
    <n v="60897"/>
    <n v="16181"/>
    <n v="13706"/>
    <n v="25507"/>
    <n v="23049"/>
    <n v="19486"/>
    <n v="3249"/>
    <n v="18"/>
    <n v="20538"/>
    <n v="3604"/>
    <n v="0"/>
    <m/>
    <m/>
    <n v="0"/>
    <n v="0"/>
    <n v="0"/>
    <n v="0"/>
    <n v="0"/>
    <m/>
    <n v="0"/>
    <n v="0"/>
    <n v="0"/>
    <n v="0"/>
    <n v="0"/>
    <n v="0"/>
    <x v="0"/>
    <x v="0"/>
  </r>
  <r>
    <x v="13"/>
    <s v="Lamar Institute of Technology"/>
    <m/>
    <n v="441760"/>
    <x v="6"/>
    <n v="58972"/>
    <n v="59045"/>
    <n v="54435"/>
    <n v="55145"/>
    <n v="1610"/>
    <n v="983"/>
    <n v="2891"/>
    <n v="30"/>
    <n v="6"/>
    <n v="2875"/>
    <n v="42"/>
    <n v="0"/>
    <m/>
    <m/>
    <n v="0"/>
    <n v="0"/>
    <n v="0"/>
    <n v="0"/>
    <n v="0"/>
    <m/>
    <n v="0"/>
    <n v="0"/>
    <n v="0"/>
    <n v="0"/>
    <n v="0"/>
    <n v="0"/>
    <x v="0"/>
    <x v="0"/>
  </r>
  <r>
    <x v="13"/>
    <s v="Lamar State College-Port Arthur"/>
    <s v="Met the criteria for Two-Year 3 in 2014-15 and 2015-16."/>
    <n v="226116"/>
    <x v="6"/>
    <n v="46343"/>
    <n v="38977"/>
    <n v="30790"/>
    <n v="28357"/>
    <n v="3054"/>
    <n v="4470"/>
    <n v="12499"/>
    <n v="0"/>
    <n v="0"/>
    <n v="6150"/>
    <n v="0"/>
    <n v="0"/>
    <m/>
    <m/>
    <n v="0"/>
    <n v="0"/>
    <n v="0"/>
    <n v="0"/>
    <n v="0"/>
    <m/>
    <n v="0"/>
    <n v="0"/>
    <n v="0"/>
    <n v="0"/>
    <n v="0"/>
    <n v="0"/>
    <x v="0"/>
    <x v="0"/>
  </r>
  <r>
    <x v="13"/>
    <s v="Lee College "/>
    <m/>
    <n v="226204"/>
    <x v="6"/>
    <n v="130977"/>
    <n v="129988"/>
    <n v="89946"/>
    <n v="88763"/>
    <n v="25946"/>
    <n v="23824"/>
    <n v="15085"/>
    <n v="0"/>
    <n v="0"/>
    <n v="17401"/>
    <n v="0"/>
    <n v="0"/>
    <m/>
    <m/>
    <n v="0"/>
    <n v="0"/>
    <n v="0"/>
    <n v="0"/>
    <n v="0"/>
    <m/>
    <n v="0"/>
    <n v="0"/>
    <n v="0"/>
    <n v="0"/>
    <n v="0"/>
    <n v="0"/>
    <x v="0"/>
    <x v="0"/>
  </r>
  <r>
    <x v="13"/>
    <s v="Mountain View College  (DCCCD)"/>
    <m/>
    <n v="226930"/>
    <x v="6"/>
    <n v="139257"/>
    <n v="143841"/>
    <n v="97433"/>
    <n v="99721"/>
    <n v="0"/>
    <n v="0"/>
    <n v="41824"/>
    <n v="0"/>
    <n v="0"/>
    <n v="44120"/>
    <n v="0"/>
    <n v="0"/>
    <m/>
    <m/>
    <n v="0"/>
    <n v="0"/>
    <n v="0"/>
    <n v="0"/>
    <n v="0"/>
    <m/>
    <n v="0"/>
    <n v="0"/>
    <n v="0"/>
    <n v="0"/>
    <n v="0"/>
    <n v="0"/>
    <x v="0"/>
    <x v="0"/>
  </r>
  <r>
    <x v="13"/>
    <s v="Northeast Texas Community College "/>
    <s v="Met the criteria for Two-Year 3 in 2015-16."/>
    <n v="227225"/>
    <x v="6"/>
    <n v="67291"/>
    <n v="56909"/>
    <n v="41651"/>
    <n v="37207"/>
    <n v="1966"/>
    <n v="1812"/>
    <n v="23674"/>
    <n v="0"/>
    <n v="0"/>
    <n v="17890"/>
    <n v="0"/>
    <n v="0"/>
    <m/>
    <m/>
    <n v="0"/>
    <n v="0"/>
    <n v="0"/>
    <n v="0"/>
    <n v="0"/>
    <m/>
    <n v="0"/>
    <n v="0"/>
    <n v="0"/>
    <n v="0"/>
    <n v="0"/>
    <n v="0"/>
    <x v="0"/>
    <x v="0"/>
  </r>
  <r>
    <x v="13"/>
    <s v="Odessa College "/>
    <m/>
    <n v="227304"/>
    <x v="6"/>
    <n v="81883"/>
    <n v="109738"/>
    <n v="37448"/>
    <n v="54897"/>
    <n v="9403"/>
    <n v="7591"/>
    <n v="35032"/>
    <n v="0"/>
    <n v="0"/>
    <n v="47250"/>
    <n v="0"/>
    <n v="0"/>
    <m/>
    <m/>
    <n v="0"/>
    <n v="0"/>
    <n v="0"/>
    <n v="0"/>
    <n v="0"/>
    <m/>
    <n v="0"/>
    <n v="0"/>
    <n v="0"/>
    <n v="0"/>
    <n v="0"/>
    <n v="0"/>
    <x v="0"/>
    <x v="0"/>
  </r>
  <r>
    <x v="13"/>
    <s v="Paris Junior College"/>
    <m/>
    <n v="227401"/>
    <x v="6"/>
    <n v="112101"/>
    <n v="106427"/>
    <n v="35792"/>
    <n v="28915"/>
    <n v="34242"/>
    <n v="29589"/>
    <n v="39194"/>
    <n v="2873"/>
    <n v="0"/>
    <n v="44358"/>
    <n v="3565"/>
    <n v="0"/>
    <m/>
    <m/>
    <n v="0"/>
    <n v="0"/>
    <n v="0"/>
    <n v="0"/>
    <n v="0"/>
    <m/>
    <n v="0"/>
    <n v="0"/>
    <n v="0"/>
    <n v="0"/>
    <n v="0"/>
    <n v="0"/>
    <x v="0"/>
    <x v="0"/>
  </r>
  <r>
    <x v="13"/>
    <s v="Southwest Texas Junior College "/>
    <m/>
    <n v="228316"/>
    <x v="6"/>
    <n v="98586"/>
    <n v="100657"/>
    <n v="24595"/>
    <n v="22483"/>
    <n v="48416"/>
    <n v="51550"/>
    <n v="10028"/>
    <n v="15547"/>
    <n v="0"/>
    <n v="10563"/>
    <n v="16061"/>
    <n v="0"/>
    <m/>
    <m/>
    <n v="0"/>
    <n v="0"/>
    <n v="0"/>
    <n v="0"/>
    <n v="0"/>
    <m/>
    <n v="0"/>
    <n v="0"/>
    <n v="0"/>
    <n v="0"/>
    <n v="0"/>
    <n v="0"/>
    <x v="0"/>
    <x v="0"/>
  </r>
  <r>
    <x v="13"/>
    <s v="Temple College "/>
    <m/>
    <n v="228608"/>
    <x v="6"/>
    <n v="108589"/>
    <n v="103912"/>
    <n v="60435"/>
    <n v="57273"/>
    <n v="13370"/>
    <n v="13414"/>
    <n v="34618"/>
    <n v="166"/>
    <n v="0"/>
    <n v="32975"/>
    <n v="250"/>
    <n v="0"/>
    <m/>
    <m/>
    <n v="0"/>
    <n v="0"/>
    <n v="0"/>
    <n v="0"/>
    <n v="0"/>
    <m/>
    <n v="0"/>
    <n v="0"/>
    <n v="0"/>
    <n v="0"/>
    <n v="0"/>
    <n v="0"/>
    <x v="0"/>
    <x v="0"/>
  </r>
  <r>
    <x v="13"/>
    <s v="Texarkana College "/>
    <m/>
    <n v="228699"/>
    <x v="6"/>
    <n v="78255"/>
    <n v="76128"/>
    <n v="63231"/>
    <n v="56926"/>
    <n v="6072"/>
    <n v="8161"/>
    <n v="8916"/>
    <n v="0"/>
    <n v="36"/>
    <n v="10966"/>
    <n v="0"/>
    <n v="75"/>
    <m/>
    <m/>
    <n v="0"/>
    <n v="0"/>
    <n v="0"/>
    <n v="0"/>
    <n v="0"/>
    <m/>
    <n v="0"/>
    <n v="0"/>
    <n v="0"/>
    <n v="0"/>
    <n v="0"/>
    <n v="0"/>
    <x v="0"/>
    <x v="0"/>
  </r>
  <r>
    <x v="13"/>
    <s v="Texas Southmost College "/>
    <m/>
    <n v="229072"/>
    <x v="6"/>
    <n v="68330"/>
    <n v="70307"/>
    <n v="61073"/>
    <n v="59886"/>
    <n v="7257"/>
    <n v="10391"/>
    <n v="0"/>
    <n v="0"/>
    <n v="0"/>
    <n v="30"/>
    <n v="0"/>
    <n v="0"/>
    <m/>
    <m/>
    <n v="0"/>
    <n v="0"/>
    <n v="0"/>
    <n v="0"/>
    <n v="0"/>
    <m/>
    <n v="0"/>
    <n v="0"/>
    <n v="0"/>
    <n v="0"/>
    <n v="0"/>
    <n v="0"/>
    <x v="0"/>
    <x v="0"/>
  </r>
  <r>
    <x v="13"/>
    <s v="Texas State Technical College-Harlingen "/>
    <m/>
    <n v="229319"/>
    <x v="6"/>
    <n v="121406"/>
    <n v="111588"/>
    <n v="105600"/>
    <n v="95488"/>
    <n v="8470"/>
    <n v="9088"/>
    <n v="7336"/>
    <n v="0"/>
    <n v="0"/>
    <n v="7012"/>
    <n v="0"/>
    <n v="0"/>
    <m/>
    <m/>
    <n v="0"/>
    <n v="0"/>
    <n v="0"/>
    <n v="0"/>
    <n v="0"/>
    <m/>
    <n v="0"/>
    <n v="0"/>
    <n v="0"/>
    <n v="0"/>
    <n v="0"/>
    <n v="0"/>
    <x v="0"/>
    <x v="0"/>
  </r>
  <r>
    <x v="13"/>
    <s v="Texas State Technical College-Waco"/>
    <m/>
    <n v="228680"/>
    <x v="6"/>
    <n v="117460"/>
    <n v="111033"/>
    <n v="101308"/>
    <n v="99315"/>
    <n v="2028"/>
    <n v="2966"/>
    <n v="14124"/>
    <n v="0"/>
    <n v="0"/>
    <n v="8752"/>
    <n v="0"/>
    <n v="0"/>
    <m/>
    <m/>
    <n v="0"/>
    <n v="0"/>
    <n v="0"/>
    <n v="0"/>
    <n v="0"/>
    <m/>
    <n v="0"/>
    <n v="0"/>
    <n v="0"/>
    <n v="0"/>
    <n v="0"/>
    <n v="0"/>
    <x v="0"/>
    <x v="0"/>
  </r>
  <r>
    <x v="13"/>
    <s v="Vernon College "/>
    <m/>
    <n v="229504"/>
    <x v="6"/>
    <n v="62837"/>
    <n v="58321"/>
    <n v="9708"/>
    <n v="9020"/>
    <n v="33583"/>
    <n v="29950"/>
    <n v="16877"/>
    <n v="2597"/>
    <n v="72"/>
    <n v="15615"/>
    <n v="3691"/>
    <n v="45"/>
    <m/>
    <m/>
    <n v="0"/>
    <n v="0"/>
    <n v="0"/>
    <n v="0"/>
    <n v="0"/>
    <m/>
    <n v="0"/>
    <n v="0"/>
    <n v="0"/>
    <n v="0"/>
    <n v="0"/>
    <n v="0"/>
    <x v="0"/>
    <x v="0"/>
  </r>
  <r>
    <x v="13"/>
    <s v="Victoria College "/>
    <m/>
    <n v="229540"/>
    <x v="6"/>
    <n v="73904"/>
    <n v="70484"/>
    <n v="47430"/>
    <n v="44908"/>
    <n v="5029"/>
    <n v="5398"/>
    <n v="17761"/>
    <n v="3684"/>
    <n v="0"/>
    <n v="17129"/>
    <n v="3049"/>
    <n v="0"/>
    <m/>
    <m/>
    <n v="0"/>
    <n v="0"/>
    <n v="0"/>
    <n v="0"/>
    <n v="0"/>
    <m/>
    <n v="0"/>
    <n v="0"/>
    <n v="0"/>
    <n v="0"/>
    <n v="0"/>
    <n v="0"/>
    <x v="0"/>
    <x v="0"/>
  </r>
  <r>
    <x v="13"/>
    <s v="Weatherford College "/>
    <m/>
    <n v="229799"/>
    <x v="6"/>
    <n v="113019"/>
    <n v="107408"/>
    <n v="59747"/>
    <n v="58233"/>
    <n v="17668"/>
    <n v="15872"/>
    <n v="33551"/>
    <n v="2053"/>
    <n v="0"/>
    <n v="32055"/>
    <n v="1149"/>
    <n v="99"/>
    <m/>
    <m/>
    <n v="0"/>
    <n v="0"/>
    <n v="0"/>
    <n v="0"/>
    <n v="0"/>
    <m/>
    <n v="0"/>
    <n v="0"/>
    <n v="0"/>
    <n v="0"/>
    <n v="0"/>
    <n v="0"/>
    <x v="0"/>
    <x v="0"/>
  </r>
  <r>
    <x v="13"/>
    <s v="Wharton County Junior College "/>
    <m/>
    <n v="229841"/>
    <x v="6"/>
    <n v="145055"/>
    <n v="144513"/>
    <n v="35467"/>
    <n v="35067"/>
    <n v="83314"/>
    <n v="81012"/>
    <n v="23601"/>
    <n v="2673"/>
    <n v="0"/>
    <n v="26142"/>
    <n v="2292"/>
    <n v="0"/>
    <m/>
    <m/>
    <n v="0"/>
    <n v="0"/>
    <n v="0"/>
    <n v="0"/>
    <n v="0"/>
    <m/>
    <n v="0"/>
    <n v="0"/>
    <n v="0"/>
    <n v="0"/>
    <n v="0"/>
    <n v="0"/>
    <x v="0"/>
    <x v="0"/>
  </r>
  <r>
    <x v="13"/>
    <s v="Clarendon College "/>
    <m/>
    <n v="223922"/>
    <x v="8"/>
    <n v="28445"/>
    <n v="27397"/>
    <n v="11449"/>
    <n v="10735"/>
    <n v="9854"/>
    <n v="9336"/>
    <n v="6538"/>
    <n v="604"/>
    <n v="0"/>
    <n v="6608"/>
    <n v="718"/>
    <n v="0"/>
    <m/>
    <m/>
    <n v="0"/>
    <n v="0"/>
    <n v="0"/>
    <n v="0"/>
    <n v="0"/>
    <m/>
    <n v="0"/>
    <n v="0"/>
    <n v="0"/>
    <n v="0"/>
    <n v="0"/>
    <n v="0"/>
    <x v="0"/>
    <x v="0"/>
  </r>
  <r>
    <x v="13"/>
    <s v="Frank Phillips College "/>
    <m/>
    <n v="224891"/>
    <x v="8"/>
    <n v="23649"/>
    <n v="26286"/>
    <n v="15014"/>
    <n v="16684"/>
    <n v="2570"/>
    <n v="2998"/>
    <n v="1789"/>
    <n v="36"/>
    <n v="4240"/>
    <n v="2170"/>
    <n v="496"/>
    <n v="3938"/>
    <m/>
    <m/>
    <n v="0"/>
    <n v="0"/>
    <n v="0"/>
    <n v="0"/>
    <n v="0"/>
    <m/>
    <n v="0"/>
    <n v="0"/>
    <n v="0"/>
    <n v="0"/>
    <n v="0"/>
    <n v="0"/>
    <x v="0"/>
    <x v="0"/>
  </r>
  <r>
    <x v="13"/>
    <s v="Galveston College "/>
    <m/>
    <n v="224961"/>
    <x v="8"/>
    <n v="43185"/>
    <n v="41499"/>
    <n v="37102"/>
    <n v="26622"/>
    <n v="313"/>
    <n v="276"/>
    <n v="5770"/>
    <n v="0"/>
    <n v="0"/>
    <n v="14598"/>
    <n v="0"/>
    <n v="3"/>
    <m/>
    <m/>
    <n v="0"/>
    <n v="0"/>
    <n v="0"/>
    <n v="0"/>
    <n v="0"/>
    <m/>
    <n v="0"/>
    <n v="0"/>
    <n v="0"/>
    <n v="0"/>
    <n v="0"/>
    <n v="0"/>
    <x v="0"/>
    <x v="0"/>
  </r>
  <r>
    <x v="13"/>
    <s v="Lamar State College-Orange"/>
    <m/>
    <n v="226107"/>
    <x v="8"/>
    <n v="46760"/>
    <n v="45884"/>
    <n v="35212"/>
    <n v="31793"/>
    <n v="1853"/>
    <n v="1991"/>
    <n v="9695"/>
    <n v="0"/>
    <n v="0"/>
    <n v="12100"/>
    <n v="0"/>
    <n v="0"/>
    <m/>
    <m/>
    <n v="0"/>
    <n v="0"/>
    <n v="0"/>
    <n v="0"/>
    <n v="0"/>
    <m/>
    <n v="0"/>
    <n v="0"/>
    <n v="0"/>
    <n v="0"/>
    <n v="0"/>
    <n v="0"/>
    <x v="0"/>
    <x v="0"/>
  </r>
  <r>
    <x v="13"/>
    <s v="Northeast Lakeview College (ACCD)"/>
    <m/>
    <s v="???"/>
    <x v="8"/>
    <n v="28066"/>
    <n v="43121"/>
    <n v="25260"/>
    <n v="36350"/>
    <n v="0"/>
    <n v="0"/>
    <n v="2806"/>
    <n v="0"/>
    <n v="0"/>
    <n v="6771"/>
    <n v="0"/>
    <n v="0"/>
    <m/>
    <m/>
    <n v="0"/>
    <n v="0"/>
    <n v="0"/>
    <n v="0"/>
    <n v="0"/>
    <m/>
    <n v="0"/>
    <n v="0"/>
    <n v="0"/>
    <n v="0"/>
    <n v="0"/>
    <n v="0"/>
    <x v="0"/>
    <x v="0"/>
  </r>
  <r>
    <x v="13"/>
    <s v="Panola College"/>
    <m/>
    <n v="227386"/>
    <x v="8"/>
    <n v="55868"/>
    <n v="56665"/>
    <n v="23987"/>
    <n v="22581"/>
    <n v="7719"/>
    <n v="9024"/>
    <n v="23137"/>
    <n v="1025"/>
    <n v="0"/>
    <n v="24118"/>
    <n v="942"/>
    <n v="0"/>
    <m/>
    <m/>
    <n v="0"/>
    <n v="0"/>
    <n v="0"/>
    <n v="0"/>
    <n v="0"/>
    <m/>
    <n v="0"/>
    <n v="0"/>
    <n v="0"/>
    <n v="0"/>
    <n v="0"/>
    <n v="0"/>
    <x v="0"/>
    <x v="0"/>
  </r>
  <r>
    <x v="13"/>
    <s v="Ranger College "/>
    <m/>
    <n v="227687"/>
    <x v="8"/>
    <n v="42905"/>
    <n v="44412"/>
    <n v="12924"/>
    <n v="12491"/>
    <n v="16306"/>
    <n v="17785"/>
    <n v="10745"/>
    <n v="2651"/>
    <n v="279"/>
    <n v="11423"/>
    <n v="2203"/>
    <n v="510"/>
    <m/>
    <m/>
    <n v="0"/>
    <n v="0"/>
    <n v="0"/>
    <n v="0"/>
    <n v="0"/>
    <m/>
    <n v="0"/>
    <n v="0"/>
    <n v="0"/>
    <n v="0"/>
    <n v="0"/>
    <n v="0"/>
    <x v="0"/>
    <x v="0"/>
  </r>
  <r>
    <x v="13"/>
    <s v="Southwest Collegiate Institute for the Deaf (HCJCD)"/>
    <m/>
    <n v="382911"/>
    <x v="8"/>
    <n v="2735"/>
    <n v="2340"/>
    <n v="2567"/>
    <n v="2199"/>
    <n v="123"/>
    <n v="0"/>
    <n v="9"/>
    <n v="36"/>
    <n v="0"/>
    <n v="30"/>
    <n v="111"/>
    <n v="0"/>
    <m/>
    <m/>
    <n v="0"/>
    <n v="0"/>
    <n v="0"/>
    <n v="0"/>
    <n v="0"/>
    <m/>
    <n v="0"/>
    <n v="0"/>
    <n v="0"/>
    <n v="0"/>
    <n v="0"/>
    <n v="0"/>
    <x v="0"/>
    <x v="0"/>
  </r>
  <r>
    <x v="13"/>
    <s v="Texas State Technical College-Marshall"/>
    <m/>
    <n v="408394"/>
    <x v="8"/>
    <n v="19057"/>
    <n v="18559"/>
    <n v="11517"/>
    <n v="10471"/>
    <n v="1406"/>
    <n v="2591"/>
    <n v="6134"/>
    <n v="0"/>
    <n v="0"/>
    <n v="5497"/>
    <n v="0"/>
    <n v="0"/>
    <m/>
    <m/>
    <n v="0"/>
    <n v="0"/>
    <n v="0"/>
    <n v="0"/>
    <n v="0"/>
    <m/>
    <n v="0"/>
    <n v="0"/>
    <n v="0"/>
    <n v="0"/>
    <n v="0"/>
    <n v="0"/>
    <x v="0"/>
    <x v="0"/>
  </r>
  <r>
    <x v="13"/>
    <s v="Texas State Technical College-West Texas"/>
    <m/>
    <n v="229328"/>
    <x v="8"/>
    <n v="29183"/>
    <n v="27430"/>
    <n v="6337"/>
    <n v="6333"/>
    <n v="6540"/>
    <n v="5741"/>
    <n v="16288"/>
    <n v="18"/>
    <n v="0"/>
    <n v="15356"/>
    <n v="0"/>
    <n v="0"/>
    <m/>
    <m/>
    <n v="0"/>
    <n v="0"/>
    <n v="0"/>
    <n v="0"/>
    <n v="0"/>
    <m/>
    <n v="0"/>
    <n v="0"/>
    <n v="0"/>
    <n v="0"/>
    <n v="0"/>
    <n v="0"/>
    <x v="0"/>
    <x v="0"/>
  </r>
  <r>
    <x v="13"/>
    <s v="Western Texas College "/>
    <m/>
    <n v="229832"/>
    <x v="8"/>
    <n v="43246"/>
    <n v="43561"/>
    <n v="13074"/>
    <n v="12761"/>
    <n v="6779"/>
    <n v="6811"/>
    <n v="19814"/>
    <n v="3579"/>
    <n v="0"/>
    <n v="21058"/>
    <n v="2928"/>
    <n v="3"/>
    <m/>
    <m/>
    <n v="0"/>
    <n v="0"/>
    <n v="0"/>
    <n v="0"/>
    <n v="0"/>
    <m/>
    <n v="0"/>
    <n v="0"/>
    <n v="0"/>
    <n v="0"/>
    <n v="0"/>
    <n v="0"/>
    <x v="0"/>
    <x v="0"/>
  </r>
  <r>
    <x v="13"/>
    <s v="University of North Texas at Dallas"/>
    <s v="New fall 2009. No degrees yet granted."/>
    <n v="443711"/>
    <x v="13"/>
    <n v="37352"/>
    <n v="44047"/>
    <n v="28243"/>
    <n v="23223"/>
    <n v="231"/>
    <n v="144"/>
    <n v="8797"/>
    <n v="81"/>
    <n v="0"/>
    <n v="20680"/>
    <n v="0"/>
    <n v="0"/>
    <m/>
    <m/>
    <n v="4624"/>
    <n v="8177"/>
    <n v="3340"/>
    <n v="5705"/>
    <n v="75"/>
    <m/>
    <n v="1209"/>
    <n v="0"/>
    <n v="0"/>
    <n v="2472"/>
    <n v="0"/>
    <n v="0"/>
    <x v="0"/>
    <x v="0"/>
  </r>
  <r>
    <x v="13"/>
    <s v="University of North Texas at Dallas College of Law"/>
    <s v="New fall 2014?"/>
    <s v="???"/>
    <x v="13"/>
    <n v="0"/>
    <n v="0"/>
    <n v="0"/>
    <n v="0"/>
    <n v="0"/>
    <n v="0"/>
    <n v="0"/>
    <n v="0"/>
    <n v="0"/>
    <n v="0"/>
    <n v="0"/>
    <n v="0"/>
    <m/>
    <m/>
    <n v="2191"/>
    <n v="2079"/>
    <n v="2191"/>
    <n v="2079"/>
    <n v="0"/>
    <m/>
    <n v="0"/>
    <n v="0"/>
    <n v="0"/>
    <n v="0"/>
    <n v="0"/>
    <n v="0"/>
    <x v="0"/>
    <x v="0"/>
  </r>
  <r>
    <x v="14"/>
    <s v="George Mason University "/>
    <m/>
    <n v="232186"/>
    <x v="0"/>
    <n v="620785.5"/>
    <n v="640392.5"/>
    <n v="554395"/>
    <n v="566794"/>
    <n v="20408.5"/>
    <n v="16657.5"/>
    <n v="41311"/>
    <n v="4671"/>
    <m/>
    <n v="53093"/>
    <n v="3848"/>
    <n v="0"/>
    <m/>
    <m/>
    <n v="166366.5"/>
    <n v="163297.5"/>
    <n v="123347"/>
    <n v="123903"/>
    <n v="24837.5"/>
    <n v="18649.5"/>
    <n v="14670"/>
    <n v="3512"/>
    <m/>
    <n v="16474"/>
    <n v="4271"/>
    <n v="0"/>
    <x v="0"/>
    <x v="0"/>
  </r>
  <r>
    <x v="14"/>
    <s v="Old Dominion University "/>
    <m/>
    <n v="232982"/>
    <x v="0"/>
    <n v="523299"/>
    <n v="525590"/>
    <n v="431867"/>
    <n v="423384"/>
    <n v="838"/>
    <n v="199"/>
    <n v="64847"/>
    <n v="25747"/>
    <m/>
    <n v="79297"/>
    <n v="22267"/>
    <n v="443"/>
    <m/>
    <m/>
    <n v="69982"/>
    <n v="68227"/>
    <n v="42556"/>
    <n v="38646"/>
    <n v="1920"/>
    <n v="499"/>
    <n v="14476"/>
    <n v="11030"/>
    <m/>
    <n v="14937"/>
    <n v="11455"/>
    <n v="2690"/>
    <x v="0"/>
    <x v="0"/>
  </r>
  <r>
    <x v="14"/>
    <s v="University of Virginia"/>
    <m/>
    <n v="234076"/>
    <x v="0"/>
    <n v="483467.5"/>
    <n v="488511.5"/>
    <n v="444796"/>
    <n v="452901.5"/>
    <n v="35646.5"/>
    <n v="30700"/>
    <n v="2884"/>
    <n v="141"/>
    <m/>
    <n v="4181"/>
    <n v="729"/>
    <n v="0"/>
    <m/>
    <m/>
    <n v="183654.9"/>
    <n v="180840.5"/>
    <n v="165697.1"/>
    <n v="165167.5"/>
    <n v="9858"/>
    <n v="8244"/>
    <n v="6597"/>
    <n v="1502.8"/>
    <m/>
    <n v="6933"/>
    <n v="496"/>
    <n v="0"/>
    <x v="0"/>
    <x v="0"/>
  </r>
  <r>
    <x v="14"/>
    <s v="Virginia Tech "/>
    <m/>
    <n v="233921"/>
    <x v="0"/>
    <n v="761729"/>
    <n v="783258"/>
    <n v="745439"/>
    <n v="762143"/>
    <n v="394"/>
    <n v="361"/>
    <n v="15151"/>
    <n v="745"/>
    <m/>
    <n v="20007"/>
    <n v="747"/>
    <n v="0"/>
    <m/>
    <m/>
    <n v="144439"/>
    <n v="145110"/>
    <n v="110389"/>
    <n v="112137"/>
    <n v="21116"/>
    <n v="19941"/>
    <n v="8784"/>
    <n v="4150"/>
    <m/>
    <n v="9100"/>
    <n v="3932"/>
    <n v="0"/>
    <x v="0"/>
    <x v="0"/>
  </r>
  <r>
    <x v="14"/>
    <s v="College of William &amp; Mary"/>
    <m/>
    <n v="231624"/>
    <x v="1"/>
    <n v="184836.8"/>
    <n v="186329.9"/>
    <n v="180540.5"/>
    <n v="181770"/>
    <n v="4173.3"/>
    <n v="4495.8999999999996"/>
    <n v="69"/>
    <n v="54"/>
    <m/>
    <n v="64"/>
    <n v="0"/>
    <n v="0"/>
    <m/>
    <m/>
    <n v="55441.5"/>
    <n v="54717"/>
    <n v="50737"/>
    <n v="49339"/>
    <n v="4587.5"/>
    <n v="4732"/>
    <n v="0"/>
    <n v="117"/>
    <m/>
    <n v="589"/>
    <n v="57"/>
    <n v="0"/>
    <x v="0"/>
    <x v="0"/>
  </r>
  <r>
    <x v="14"/>
    <s v="Virginia Commonwealth University"/>
    <s v="Reclassified: Met the criteria for Four-Year 1 in 2013-14, 2014-15, and 2015-16."/>
    <n v="234030"/>
    <x v="0"/>
    <n v="655957.5"/>
    <n v="661120"/>
    <n v="602045.5"/>
    <n v="603853"/>
    <n v="8065"/>
    <n v="7038"/>
    <n v="44890"/>
    <n v="957"/>
    <m/>
    <n v="49209"/>
    <n v="1020"/>
    <n v="0"/>
    <m/>
    <m/>
    <n v="131586.5"/>
    <n v="133350.5"/>
    <n v="116352.5"/>
    <n v="117076.5"/>
    <n v="5443"/>
    <n v="5375"/>
    <n v="8670"/>
    <n v="1121"/>
    <m/>
    <n v="9591"/>
    <n v="1308"/>
    <n v="0"/>
    <x v="0"/>
    <x v="0"/>
  </r>
  <r>
    <x v="14"/>
    <s v="James Madison University"/>
    <m/>
    <n v="232423"/>
    <x v="2"/>
    <n v="562519"/>
    <n v="572719"/>
    <n v="529318"/>
    <n v="537641"/>
    <n v="10963"/>
    <n v="11641"/>
    <n v="22226"/>
    <n v="12"/>
    <m/>
    <n v="23431"/>
    <n v="6"/>
    <n v="0"/>
    <m/>
    <m/>
    <n v="35321"/>
    <n v="35255"/>
    <n v="28199"/>
    <n v="27896"/>
    <n v="2513"/>
    <n v="2898"/>
    <n v="4546"/>
    <n v="63"/>
    <m/>
    <n v="4455"/>
    <n v="6"/>
    <n v="0"/>
    <x v="0"/>
    <x v="0"/>
  </r>
  <r>
    <x v="14"/>
    <s v="Longwood University "/>
    <m/>
    <n v="232566"/>
    <x v="2"/>
    <n v="133119.5"/>
    <n v="135420"/>
    <n v="121139.5"/>
    <n v="120926"/>
    <n v="653"/>
    <n v="1199"/>
    <n v="11070"/>
    <n v="257"/>
    <m/>
    <n v="13117"/>
    <n v="178"/>
    <n v="0"/>
    <m/>
    <m/>
    <n v="8242"/>
    <n v="8616"/>
    <n v="3740"/>
    <n v="3960"/>
    <n v="1008"/>
    <n v="857"/>
    <n v="3236"/>
    <n v="258"/>
    <m/>
    <n v="3745"/>
    <n v="54"/>
    <n v="0"/>
    <x v="0"/>
    <x v="0"/>
  </r>
  <r>
    <x v="14"/>
    <s v="Norfolk State University "/>
    <m/>
    <n v="232937"/>
    <x v="2"/>
    <n v="156194"/>
    <n v="135495"/>
    <n v="124660"/>
    <n v="106682"/>
    <n v="3417"/>
    <n v="2993"/>
    <n v="28117"/>
    <n v="0"/>
    <m/>
    <n v="25820"/>
    <n v="0"/>
    <n v="0"/>
    <m/>
    <m/>
    <n v="12095"/>
    <n v="11019"/>
    <n v="9936"/>
    <n v="8793"/>
    <n v="0"/>
    <n v="0"/>
    <n v="2159"/>
    <n v="0"/>
    <m/>
    <n v="2226"/>
    <n v="0"/>
    <n v="0"/>
    <x v="0"/>
    <x v="0"/>
  </r>
  <r>
    <x v="14"/>
    <s v="Radford University"/>
    <m/>
    <n v="233277"/>
    <x v="2"/>
    <n v="264082"/>
    <n v="262500"/>
    <n v="240132"/>
    <n v="232515"/>
    <n v="4571"/>
    <n v="4432"/>
    <n v="17259"/>
    <n v="2120"/>
    <m/>
    <n v="23462"/>
    <n v="2091"/>
    <n v="0"/>
    <m/>
    <m/>
    <n v="20859"/>
    <n v="19200"/>
    <n v="12537"/>
    <n v="11302"/>
    <n v="3366"/>
    <n v="3771"/>
    <n v="2355"/>
    <n v="2601"/>
    <m/>
    <n v="2003"/>
    <n v="2124"/>
    <n v="0"/>
    <x v="0"/>
    <x v="0"/>
  </r>
  <r>
    <x v="14"/>
    <s v="University of Mary Washington "/>
    <m/>
    <n v="232681"/>
    <x v="2"/>
    <n v="120254"/>
    <n v="119302"/>
    <n v="115261"/>
    <n v="113055"/>
    <n v="0"/>
    <n v="0"/>
    <n v="4960"/>
    <n v="33"/>
    <m/>
    <n v="6046"/>
    <n v="201"/>
    <n v="0"/>
    <m/>
    <m/>
    <n v="5868.2000000000007"/>
    <n v="5651.4"/>
    <n v="3825.8"/>
    <n v="3789"/>
    <n v="0"/>
    <n v="0"/>
    <n v="2036.4"/>
    <n v="6"/>
    <m/>
    <n v="1859.4"/>
    <n v="3"/>
    <n v="0"/>
    <x v="0"/>
    <x v="0"/>
  </r>
  <r>
    <x v="14"/>
    <s v="Virginia State University "/>
    <m/>
    <n v="234155"/>
    <x v="2"/>
    <n v="141004"/>
    <n v="132793"/>
    <n v="138190"/>
    <n v="126286"/>
    <n v="2003"/>
    <n v="6026"/>
    <n v="811"/>
    <n v="0"/>
    <m/>
    <n v="481"/>
    <n v="0"/>
    <n v="0"/>
    <m/>
    <m/>
    <n v="9514"/>
    <n v="7595"/>
    <n v="8893"/>
    <n v="7415"/>
    <n v="621"/>
    <n v="180"/>
    <n v="0"/>
    <n v="0"/>
    <m/>
    <m/>
    <m/>
    <m/>
    <x v="0"/>
    <x v="0"/>
  </r>
  <r>
    <x v="14"/>
    <s v="Christopher Newport University"/>
    <m/>
    <n v="231712"/>
    <x v="4"/>
    <n v="148364"/>
    <n v="147791"/>
    <n v="147848"/>
    <n v="147167"/>
    <n v="516"/>
    <n v="624"/>
    <n v="0"/>
    <n v="0"/>
    <m/>
    <n v="0"/>
    <n v="0"/>
    <n v="0"/>
    <m/>
    <m/>
    <n v="3394"/>
    <n v="3282"/>
    <n v="3335"/>
    <n v="3208"/>
    <n v="59"/>
    <n v="74"/>
    <n v="0"/>
    <n v="0"/>
    <m/>
    <m/>
    <m/>
    <m/>
    <x v="0"/>
    <x v="0"/>
  </r>
  <r>
    <x v="14"/>
    <s v="University of Virginia's College at Wise "/>
    <m/>
    <n v="233897"/>
    <x v="5"/>
    <n v="52685"/>
    <n v="51940"/>
    <n v="42229"/>
    <n v="41813"/>
    <n v="117"/>
    <n v="0"/>
    <n v="10339"/>
    <n v="0"/>
    <m/>
    <n v="10127"/>
    <n v="0"/>
    <n v="0"/>
    <m/>
    <m/>
    <n v="0"/>
    <n v="0"/>
    <m/>
    <m/>
    <m/>
    <m/>
    <m/>
    <m/>
    <m/>
    <m/>
    <m/>
    <m/>
    <x v="0"/>
    <x v="0"/>
  </r>
  <r>
    <x v="14"/>
    <s v="J.S. Reynolds Community College"/>
    <m/>
    <n v="232414"/>
    <x v="7"/>
    <n v="232247"/>
    <n v="216026"/>
    <n v="146267"/>
    <n v="134176"/>
    <n v="8193"/>
    <n v="7784"/>
    <n v="77685"/>
    <n v="102"/>
    <m/>
    <n v="74015"/>
    <n v="51"/>
    <n v="0"/>
    <m/>
    <m/>
    <n v="0"/>
    <n v="0"/>
    <m/>
    <m/>
    <m/>
    <m/>
    <m/>
    <m/>
    <m/>
    <m/>
    <m/>
    <m/>
    <x v="0"/>
    <x v="0"/>
  </r>
  <r>
    <x v="14"/>
    <s v="John Tyler Community College"/>
    <m/>
    <n v="232450"/>
    <x v="7"/>
    <n v="170311"/>
    <n v="165394"/>
    <n v="100372"/>
    <n v="93977"/>
    <n v="19876"/>
    <n v="21092"/>
    <n v="50008"/>
    <n v="55"/>
    <m/>
    <n v="50183"/>
    <n v="142"/>
    <n v="0"/>
    <m/>
    <m/>
    <n v="0"/>
    <n v="0"/>
    <m/>
    <m/>
    <m/>
    <m/>
    <m/>
    <m/>
    <m/>
    <m/>
    <m/>
    <m/>
    <x v="0"/>
    <x v="0"/>
  </r>
  <r>
    <x v="14"/>
    <s v="Northern Virginia Community College "/>
    <m/>
    <n v="232946"/>
    <x v="7"/>
    <n v="1057740"/>
    <n v="1037235.5"/>
    <n v="742325"/>
    <n v="726162.5"/>
    <n v="58234"/>
    <n v="63202"/>
    <n v="255899"/>
    <n v="1282"/>
    <m/>
    <n v="246995"/>
    <n v="876"/>
    <n v="0"/>
    <m/>
    <m/>
    <n v="0"/>
    <n v="0"/>
    <m/>
    <m/>
    <m/>
    <m/>
    <m/>
    <m/>
    <m/>
    <m/>
    <m/>
    <m/>
    <x v="0"/>
    <x v="0"/>
  </r>
  <r>
    <x v="14"/>
    <s v="Thomas Nelson Community College "/>
    <m/>
    <n v="233754"/>
    <x v="7"/>
    <n v="205718"/>
    <n v="186552"/>
    <n v="139685"/>
    <n v="122594"/>
    <n v="12177"/>
    <n v="10663"/>
    <n v="53704"/>
    <n v="152"/>
    <m/>
    <n v="52795"/>
    <n v="500"/>
    <n v="0"/>
    <m/>
    <m/>
    <n v="0"/>
    <n v="0"/>
    <m/>
    <m/>
    <m/>
    <m/>
    <m/>
    <m/>
    <m/>
    <m/>
    <m/>
    <m/>
    <x v="0"/>
    <x v="0"/>
  </r>
  <r>
    <x v="14"/>
    <s v="Tidewater Community College "/>
    <m/>
    <n v="233772"/>
    <x v="7"/>
    <n v="586435"/>
    <n v="542389"/>
    <n v="384979"/>
    <n v="355019"/>
    <n v="35536"/>
    <n v="29980"/>
    <n v="165833"/>
    <n v="87"/>
    <m/>
    <n v="157268"/>
    <n v="122"/>
    <n v="0"/>
    <m/>
    <m/>
    <n v="0"/>
    <n v="0"/>
    <m/>
    <m/>
    <m/>
    <m/>
    <m/>
    <m/>
    <m/>
    <m/>
    <m/>
    <m/>
    <x v="0"/>
    <x v="0"/>
  </r>
  <r>
    <x v="14"/>
    <s v="Blue Ridge Community College "/>
    <m/>
    <n v="231536"/>
    <x v="6"/>
    <n v="86430"/>
    <n v="82046"/>
    <n v="43918"/>
    <n v="42502"/>
    <n v="9665"/>
    <n v="8570"/>
    <n v="32847"/>
    <n v="0"/>
    <m/>
    <n v="30974"/>
    <n v="0"/>
    <n v="0"/>
    <m/>
    <m/>
    <n v="0"/>
    <n v="0"/>
    <m/>
    <m/>
    <m/>
    <m/>
    <m/>
    <m/>
    <m/>
    <m/>
    <m/>
    <m/>
    <x v="0"/>
    <x v="0"/>
  </r>
  <r>
    <x v="14"/>
    <s v="Central Virginia Community College "/>
    <m/>
    <n v="231697"/>
    <x v="6"/>
    <n v="79535"/>
    <n v="77861"/>
    <n v="48565"/>
    <n v="46321"/>
    <n v="14767"/>
    <n v="13673"/>
    <n v="13058"/>
    <n v="3145"/>
    <m/>
    <n v="13893"/>
    <n v="3974"/>
    <n v="0"/>
    <m/>
    <m/>
    <n v="0"/>
    <n v="0"/>
    <m/>
    <m/>
    <m/>
    <m/>
    <m/>
    <m/>
    <m/>
    <m/>
    <m/>
    <m/>
    <x v="0"/>
    <x v="0"/>
  </r>
  <r>
    <x v="14"/>
    <s v="Danville Community College "/>
    <m/>
    <n v="231882"/>
    <x v="6"/>
    <n v="75768"/>
    <n v="69094"/>
    <n v="47788"/>
    <n v="42504"/>
    <n v="19436"/>
    <n v="18551"/>
    <n v="8006"/>
    <n v="538"/>
    <m/>
    <n v="7640"/>
    <n v="399"/>
    <n v="0"/>
    <m/>
    <m/>
    <n v="0"/>
    <n v="0"/>
    <m/>
    <m/>
    <m/>
    <m/>
    <m/>
    <m/>
    <m/>
    <m/>
    <m/>
    <m/>
    <x v="0"/>
    <x v="0"/>
  </r>
  <r>
    <x v="14"/>
    <s v="Germanna Community College"/>
    <m/>
    <n v="232195"/>
    <x v="6"/>
    <n v="133739"/>
    <n v="133098"/>
    <n v="73637"/>
    <n v="69833"/>
    <n v="18881"/>
    <n v="18683"/>
    <n v="29775"/>
    <n v="11446"/>
    <m/>
    <n v="32182"/>
    <n v="12400"/>
    <n v="0"/>
    <m/>
    <m/>
    <n v="0"/>
    <n v="0"/>
    <m/>
    <m/>
    <m/>
    <m/>
    <m/>
    <m/>
    <m/>
    <m/>
    <m/>
    <m/>
    <x v="0"/>
    <x v="0"/>
  </r>
  <r>
    <x v="14"/>
    <s v="Lord Fairfax Community College"/>
    <m/>
    <n v="232575"/>
    <x v="6"/>
    <n v="120783"/>
    <n v="120566"/>
    <n v="59194"/>
    <n v="51499"/>
    <n v="22939"/>
    <n v="25659"/>
    <n v="30941"/>
    <n v="7709"/>
    <m/>
    <n v="35326"/>
    <n v="8082"/>
    <n v="0"/>
    <m/>
    <m/>
    <n v="0"/>
    <n v="0"/>
    <m/>
    <m/>
    <m/>
    <m/>
    <m/>
    <m/>
    <m/>
    <m/>
    <m/>
    <m/>
    <x v="0"/>
    <x v="0"/>
  </r>
  <r>
    <x v="14"/>
    <s v="Mountain Empire Community College"/>
    <s v="Reclassified: Met the criteria for Two-Year 3 in 2013-14, 2014-15, and 2015-16. "/>
    <n v="232788"/>
    <x v="8"/>
    <n v="53356"/>
    <n v="53121"/>
    <n v="26379"/>
    <n v="25243"/>
    <n v="8069"/>
    <n v="8619"/>
    <n v="17307"/>
    <n v="1601"/>
    <m/>
    <n v="17827"/>
    <n v="1432"/>
    <n v="0"/>
    <m/>
    <m/>
    <n v="0"/>
    <n v="0"/>
    <m/>
    <m/>
    <m/>
    <m/>
    <m/>
    <m/>
    <m/>
    <m/>
    <m/>
    <m/>
    <x v="0"/>
    <x v="0"/>
  </r>
  <r>
    <x v="14"/>
    <s v="New River Community College "/>
    <m/>
    <n v="232867"/>
    <x v="6"/>
    <n v="86634"/>
    <n v="85602"/>
    <n v="27236"/>
    <n v="25278"/>
    <n v="27582"/>
    <n v="29231"/>
    <n v="31075"/>
    <n v="741"/>
    <m/>
    <n v="30118"/>
    <n v="975"/>
    <n v="0"/>
    <m/>
    <m/>
    <n v="0"/>
    <n v="0"/>
    <m/>
    <m/>
    <m/>
    <m/>
    <m/>
    <m/>
    <m/>
    <m/>
    <m/>
    <m/>
    <x v="0"/>
    <x v="0"/>
  </r>
  <r>
    <x v="14"/>
    <s v="Patrick Henry Community College "/>
    <s v="Met the criteria for Two-Year 3 in 2015-16. "/>
    <n v="233019"/>
    <x v="6"/>
    <n v="63752"/>
    <n v="58866"/>
    <n v="30416"/>
    <n v="28015"/>
    <n v="13091"/>
    <n v="11760"/>
    <n v="19244"/>
    <n v="1001"/>
    <m/>
    <n v="17796"/>
    <n v="1295"/>
    <n v="0"/>
    <m/>
    <m/>
    <n v="0"/>
    <n v="0"/>
    <m/>
    <m/>
    <m/>
    <m/>
    <m/>
    <m/>
    <m/>
    <m/>
    <m/>
    <m/>
    <x v="0"/>
    <x v="0"/>
  </r>
  <r>
    <x v="14"/>
    <s v="Piedmont Virginia Community College "/>
    <m/>
    <n v="233116"/>
    <x v="6"/>
    <n v="90935"/>
    <n v="89302"/>
    <n v="54893"/>
    <n v="52981"/>
    <n v="16280"/>
    <n v="17132"/>
    <n v="19212"/>
    <n v="550"/>
    <m/>
    <n v="18270"/>
    <n v="919"/>
    <n v="0"/>
    <m/>
    <m/>
    <n v="0"/>
    <n v="0"/>
    <m/>
    <m/>
    <m/>
    <m/>
    <m/>
    <m/>
    <m/>
    <m/>
    <m/>
    <m/>
    <x v="0"/>
    <x v="0"/>
  </r>
  <r>
    <x v="14"/>
    <s v="Southside Virginia Community College"/>
    <m/>
    <n v="233639"/>
    <x v="6"/>
    <n v="102894"/>
    <n v="90202"/>
    <n v="24535"/>
    <n v="22582"/>
    <n v="50364"/>
    <n v="40713"/>
    <n v="26856"/>
    <n v="1139"/>
    <m/>
    <n v="25680"/>
    <n v="1227"/>
    <n v="0"/>
    <m/>
    <m/>
    <n v="0"/>
    <n v="0"/>
    <m/>
    <m/>
    <m/>
    <m/>
    <m/>
    <m/>
    <m/>
    <m/>
    <m/>
    <m/>
    <x v="0"/>
    <x v="0"/>
  </r>
  <r>
    <x v="14"/>
    <s v="Virginia Western Community College "/>
    <m/>
    <n v="233949"/>
    <x v="6"/>
    <n v="150419"/>
    <n v="143601"/>
    <n v="85956"/>
    <n v="79231"/>
    <n v="29112"/>
    <n v="29609"/>
    <n v="25140"/>
    <n v="10211"/>
    <m/>
    <n v="25319"/>
    <n v="9442"/>
    <n v="0"/>
    <m/>
    <m/>
    <n v="0"/>
    <n v="0"/>
    <m/>
    <m/>
    <m/>
    <m/>
    <m/>
    <m/>
    <m/>
    <m/>
    <m/>
    <m/>
    <x v="0"/>
    <x v="0"/>
  </r>
  <r>
    <x v="14"/>
    <s v="Wytheville Community College "/>
    <s v="Met the criteria for Two-Year 3 in 2015-16. "/>
    <n v="234377"/>
    <x v="6"/>
    <n v="60166"/>
    <n v="55632"/>
    <n v="11577"/>
    <n v="10146"/>
    <n v="17622"/>
    <n v="16403"/>
    <n v="23945"/>
    <n v="7022"/>
    <m/>
    <n v="22790"/>
    <n v="6293"/>
    <n v="0"/>
    <m/>
    <m/>
    <n v="0"/>
    <n v="0"/>
    <m/>
    <m/>
    <m/>
    <m/>
    <m/>
    <m/>
    <m/>
    <m/>
    <m/>
    <m/>
    <x v="0"/>
    <x v="0"/>
  </r>
  <r>
    <x v="14"/>
    <s v="D.S. Lancaster Community College "/>
    <m/>
    <n v="231873"/>
    <x v="8"/>
    <n v="21390"/>
    <n v="21682"/>
    <n v="9130"/>
    <n v="9526"/>
    <n v="5653"/>
    <n v="6405"/>
    <n v="2543"/>
    <n v="4064"/>
    <m/>
    <n v="2865"/>
    <n v="2886"/>
    <n v="0"/>
    <m/>
    <m/>
    <n v="0"/>
    <n v="0"/>
    <m/>
    <m/>
    <m/>
    <m/>
    <m/>
    <m/>
    <m/>
    <m/>
    <m/>
    <m/>
    <x v="0"/>
    <x v="0"/>
  </r>
  <r>
    <x v="14"/>
    <s v="Eastern Shore Community College"/>
    <m/>
    <n v="232052"/>
    <x v="8"/>
    <n v="14982"/>
    <n v="13777"/>
    <n v="10176"/>
    <n v="9270"/>
    <n v="2372"/>
    <n v="2592"/>
    <n v="2434"/>
    <n v="0"/>
    <m/>
    <n v="1915"/>
    <n v="0"/>
    <n v="0"/>
    <m/>
    <m/>
    <n v="0"/>
    <n v="0"/>
    <m/>
    <m/>
    <m/>
    <m/>
    <m/>
    <m/>
    <m/>
    <m/>
    <m/>
    <m/>
    <x v="0"/>
    <x v="0"/>
  </r>
  <r>
    <x v="14"/>
    <s v="Paul D. Camp Community College"/>
    <m/>
    <n v="233037"/>
    <x v="8"/>
    <n v="24515"/>
    <n v="24286"/>
    <n v="10319"/>
    <n v="9718"/>
    <n v="4312"/>
    <n v="4485"/>
    <n v="7650"/>
    <n v="2234"/>
    <m/>
    <n v="7227"/>
    <n v="2856"/>
    <n v="0"/>
    <m/>
    <m/>
    <n v="0"/>
    <n v="0"/>
    <m/>
    <m/>
    <m/>
    <m/>
    <m/>
    <m/>
    <m/>
    <m/>
    <m/>
    <m/>
    <x v="0"/>
    <x v="0"/>
  </r>
  <r>
    <x v="14"/>
    <s v="Rappahannock Community College"/>
    <m/>
    <n v="233310"/>
    <x v="8"/>
    <n v="56718"/>
    <n v="55958"/>
    <n v="13448"/>
    <n v="12635"/>
    <n v="17099"/>
    <n v="17430"/>
    <n v="16116"/>
    <n v="10055"/>
    <m/>
    <n v="15897"/>
    <n v="9996"/>
    <n v="0"/>
    <m/>
    <m/>
    <n v="0"/>
    <n v="0"/>
    <m/>
    <m/>
    <m/>
    <m/>
    <m/>
    <m/>
    <m/>
    <m/>
    <m/>
    <m/>
    <x v="0"/>
    <x v="0"/>
  </r>
  <r>
    <x v="14"/>
    <s v="Richard Bland College "/>
    <m/>
    <n v="233338"/>
    <x v="8"/>
    <n v="31976"/>
    <n v="34309"/>
    <n v="26295"/>
    <n v="25365"/>
    <n v="2845"/>
    <n v="5688"/>
    <n v="2836"/>
    <n v="0"/>
    <m/>
    <n v="3256"/>
    <n v="0"/>
    <n v="0"/>
    <m/>
    <m/>
    <n v="0"/>
    <n v="0"/>
    <m/>
    <m/>
    <m/>
    <m/>
    <m/>
    <m/>
    <m/>
    <m/>
    <m/>
    <m/>
    <x v="0"/>
    <x v="0"/>
  </r>
  <r>
    <x v="14"/>
    <s v="Southwest Virginia Community College "/>
    <m/>
    <n v="233648"/>
    <x v="8"/>
    <n v="52425"/>
    <n v="54150"/>
    <n v="19743"/>
    <n v="20141"/>
    <n v="10306"/>
    <n v="9369"/>
    <n v="19694"/>
    <n v="2682"/>
    <m/>
    <n v="20476"/>
    <n v="4164"/>
    <n v="0"/>
    <m/>
    <m/>
    <n v="0"/>
    <n v="0"/>
    <m/>
    <m/>
    <m/>
    <m/>
    <m/>
    <m/>
    <m/>
    <m/>
    <m/>
    <m/>
    <x v="0"/>
    <x v="0"/>
  </r>
  <r>
    <x v="14"/>
    <s v="Virginia Highlands Community College "/>
    <m/>
    <n v="233903"/>
    <x v="8"/>
    <n v="49032"/>
    <n v="46853"/>
    <n v="25480"/>
    <n v="21629"/>
    <n v="6663"/>
    <n v="8303"/>
    <n v="14909"/>
    <n v="1980"/>
    <m/>
    <n v="15244"/>
    <n v="1677"/>
    <n v="0"/>
    <m/>
    <m/>
    <n v="0"/>
    <n v="0"/>
    <m/>
    <m/>
    <m/>
    <m/>
    <m/>
    <m/>
    <m/>
    <m/>
    <m/>
    <m/>
    <x v="0"/>
    <x v="0"/>
  </r>
  <r>
    <x v="15"/>
    <s v="West Virginia University"/>
    <m/>
    <n v="238032"/>
    <x v="0"/>
    <n v="666742"/>
    <n v="657473"/>
    <n v="605628"/>
    <n v="591651"/>
    <n v="905"/>
    <n v="1018"/>
    <n v="58140"/>
    <m/>
    <n v="2069"/>
    <n v="62074"/>
    <n v="4"/>
    <n v="2726"/>
    <m/>
    <m/>
    <n v="103371"/>
    <n v="98656"/>
    <n v="68591"/>
    <n v="66150"/>
    <n v="6428"/>
    <n v="3687"/>
    <n v="27688"/>
    <n v="399"/>
    <n v="265"/>
    <n v="28188"/>
    <n v="218"/>
    <n v="413"/>
    <x v="0"/>
    <x v="0"/>
  </r>
  <r>
    <x v="15"/>
    <s v="Marshall University "/>
    <m/>
    <n v="237525"/>
    <x v="2"/>
    <n v="267453"/>
    <n v="265653"/>
    <n v="212015"/>
    <n v="209848"/>
    <n v="17214"/>
    <n v="20373"/>
    <n v="33446"/>
    <n v="4778"/>
    <m/>
    <n v="33679"/>
    <n v="1753"/>
    <m/>
    <m/>
    <m/>
    <n v="59404"/>
    <n v="65963"/>
    <n v="23392"/>
    <n v="30967"/>
    <n v="18091"/>
    <n v="18894"/>
    <n v="16681"/>
    <n v="1240"/>
    <m/>
    <n v="15677"/>
    <n v="425"/>
    <m/>
    <x v="0"/>
    <x v="0"/>
  </r>
  <r>
    <x v="15"/>
    <s v="Fairmont State University"/>
    <m/>
    <n v="237367"/>
    <x v="4"/>
    <n v="105285"/>
    <n v="101747"/>
    <n v="81361"/>
    <n v="77131"/>
    <n v="9602"/>
    <n v="7741"/>
    <n v="14322"/>
    <m/>
    <m/>
    <n v="16875"/>
    <m/>
    <m/>
    <m/>
    <m/>
    <n v="3987"/>
    <n v="3843"/>
    <n v="829"/>
    <n v="746"/>
    <n v="0"/>
    <m/>
    <n v="3158"/>
    <m/>
    <m/>
    <n v="3097"/>
    <m/>
    <m/>
    <x v="0"/>
    <x v="0"/>
  </r>
  <r>
    <x v="15"/>
    <s v="Shepherd University "/>
    <m/>
    <n v="237792"/>
    <x v="4"/>
    <n v="102409"/>
    <n v="96671"/>
    <n v="99075"/>
    <n v="92096"/>
    <n v="0"/>
    <n v="0"/>
    <n v="3334"/>
    <m/>
    <m/>
    <n v="4575"/>
    <m/>
    <m/>
    <m/>
    <m/>
    <n v="4501"/>
    <n v="4212"/>
    <n v="3668"/>
    <n v="3357"/>
    <n v="0"/>
    <m/>
    <n v="833"/>
    <m/>
    <m/>
    <n v="855"/>
    <m/>
    <m/>
    <x v="0"/>
    <x v="0"/>
  </r>
  <r>
    <x v="15"/>
    <s v="Bluefield State College "/>
    <m/>
    <n v="237215"/>
    <x v="5"/>
    <n v="43084"/>
    <n v="39479"/>
    <n v="21767"/>
    <n v="19445"/>
    <n v="3012"/>
    <n v="3422"/>
    <n v="13566"/>
    <n v="4739"/>
    <m/>
    <n v="12793"/>
    <n v="3819"/>
    <m/>
    <m/>
    <m/>
    <n v="0"/>
    <n v="0"/>
    <m/>
    <m/>
    <m/>
    <m/>
    <m/>
    <m/>
    <m/>
    <m/>
    <m/>
    <m/>
    <x v="0"/>
    <x v="0"/>
  </r>
  <r>
    <x v="15"/>
    <s v="Concord University "/>
    <s v="Met the criteria for Four-Year 5 in 2014-15 and 2015-16."/>
    <n v="237330"/>
    <x v="5"/>
    <n v="68841"/>
    <n v="62917"/>
    <n v="51272"/>
    <n v="45384"/>
    <n v="8600"/>
    <n v="7938"/>
    <n v="8654"/>
    <n v="315"/>
    <m/>
    <n v="9462"/>
    <n v="69"/>
    <n v="64"/>
    <m/>
    <m/>
    <n v="4620"/>
    <n v="6111"/>
    <n v="105"/>
    <n v="144"/>
    <n v="0"/>
    <m/>
    <n v="4515"/>
    <m/>
    <m/>
    <n v="5967"/>
    <m/>
    <m/>
    <x v="0"/>
    <x v="0"/>
  </r>
  <r>
    <x v="15"/>
    <s v="Glenville State College "/>
    <m/>
    <n v="237385"/>
    <x v="5"/>
    <n v="37537"/>
    <n v="37395"/>
    <n v="28917"/>
    <n v="29210"/>
    <n v="3534"/>
    <n v="3082"/>
    <n v="5086"/>
    <m/>
    <m/>
    <n v="5103"/>
    <m/>
    <m/>
    <m/>
    <m/>
    <n v="0"/>
    <n v="0"/>
    <m/>
    <m/>
    <m/>
    <m/>
    <m/>
    <m/>
    <m/>
    <m/>
    <m/>
    <m/>
    <x v="0"/>
    <x v="0"/>
  </r>
  <r>
    <x v="15"/>
    <s v="West Liberty University"/>
    <s v="Met the criteria for Four-Year 5 in 2014-15 and 2015-16."/>
    <n v="237932"/>
    <x v="5"/>
    <n v="72834"/>
    <n v="66054"/>
    <n v="61232"/>
    <n v="56055"/>
    <n v="3783"/>
    <n v="3432"/>
    <n v="7819"/>
    <m/>
    <m/>
    <n v="6567"/>
    <m/>
    <m/>
    <m/>
    <m/>
    <n v="3865"/>
    <n v="4392"/>
    <n v="2167"/>
    <n v="2067"/>
    <n v="1482"/>
    <n v="1479"/>
    <n v="216"/>
    <m/>
    <m/>
    <n v="846"/>
    <m/>
    <m/>
    <x v="0"/>
    <x v="0"/>
  </r>
  <r>
    <x v="15"/>
    <s v="West Virginia State University "/>
    <m/>
    <n v="237899"/>
    <x v="5"/>
    <n v="64761"/>
    <n v="67364"/>
    <n v="48650"/>
    <n v="46501"/>
    <n v="2315"/>
    <n v="4739"/>
    <n v="13796"/>
    <m/>
    <m/>
    <n v="16124"/>
    <m/>
    <m/>
    <m/>
    <m/>
    <n v="822"/>
    <n v="855"/>
    <n v="774"/>
    <n v="684"/>
    <n v="0"/>
    <m/>
    <n v="48"/>
    <m/>
    <m/>
    <n v="171"/>
    <m/>
    <m/>
    <x v="0"/>
    <x v="0"/>
  </r>
  <r>
    <x v="15"/>
    <s v="West Virginia University Institute of Technology"/>
    <m/>
    <n v="237950"/>
    <x v="5"/>
    <n v="32762"/>
    <n v="32817"/>
    <n v="28191"/>
    <n v="27210"/>
    <n v="851"/>
    <n v="834"/>
    <n v="3720"/>
    <m/>
    <m/>
    <n v="4773"/>
    <m/>
    <m/>
    <m/>
    <m/>
    <n v="0"/>
    <n v="0"/>
    <m/>
    <m/>
    <m/>
    <m/>
    <m/>
    <m/>
    <m/>
    <m/>
    <m/>
    <m/>
    <x v="0"/>
    <x v="0"/>
  </r>
  <r>
    <x v="15"/>
    <s v="Potomac State College of West Virginia University"/>
    <m/>
    <n v="237701"/>
    <x v="12"/>
    <n v="39646"/>
    <n v="37552"/>
    <n v="34919"/>
    <n v="31629"/>
    <n v="2063"/>
    <n v="2339"/>
    <n v="2664"/>
    <m/>
    <m/>
    <n v="3584"/>
    <m/>
    <m/>
    <m/>
    <m/>
    <n v="0"/>
    <n v="0"/>
    <m/>
    <m/>
    <m/>
    <m/>
    <m/>
    <m/>
    <m/>
    <m/>
    <m/>
    <m/>
    <x v="0"/>
    <x v="0"/>
  </r>
  <r>
    <x v="15"/>
    <s v="West Virginia University at Parkersburg"/>
    <s v="Reclassified: Met the criteria for Four-Year 6 in 2013-14, 2014-15, and 2015-16."/>
    <n v="237686"/>
    <x v="5"/>
    <n v="69347"/>
    <n v="60616"/>
    <n v="56675"/>
    <n v="37360"/>
    <n v="8893"/>
    <n v="7291"/>
    <n v="2982"/>
    <m/>
    <n v="797"/>
    <n v="9690"/>
    <m/>
    <n v="6275"/>
    <m/>
    <m/>
    <n v="0"/>
    <n v="0"/>
    <m/>
    <m/>
    <m/>
    <m/>
    <m/>
    <m/>
    <m/>
    <m/>
    <m/>
    <m/>
    <x v="0"/>
    <x v="0"/>
  </r>
  <r>
    <x v="15"/>
    <s v="New River Community &amp; Technical College"/>
    <s v="Met the criteria for Two-Year 3 in 2014-15 and 2015-16."/>
    <n v="447582"/>
    <x v="6"/>
    <n v="54220"/>
    <n v="42596"/>
    <n v="31150"/>
    <n v="26671"/>
    <n v="5393"/>
    <n v="469"/>
    <n v="12678"/>
    <n v="4999"/>
    <m/>
    <n v="11531"/>
    <n v="3925"/>
    <m/>
    <m/>
    <m/>
    <n v="0"/>
    <n v="0"/>
    <m/>
    <m/>
    <m/>
    <m/>
    <m/>
    <m/>
    <m/>
    <m/>
    <m/>
    <m/>
    <x v="0"/>
    <x v="0"/>
  </r>
  <r>
    <x v="15"/>
    <s v="Pierpont Community &amp; Technical College"/>
    <s v="Met the criteria for Two-Year 3 in 2014-15 and 2015-16."/>
    <n v="443492"/>
    <x v="6"/>
    <n v="50831"/>
    <n v="44759"/>
    <n v="25577"/>
    <n v="20364"/>
    <n v="19637"/>
    <n v="17802"/>
    <n v="5617"/>
    <m/>
    <m/>
    <n v="6593"/>
    <m/>
    <m/>
    <m/>
    <m/>
    <n v="3"/>
    <n v="0"/>
    <m/>
    <m/>
    <m/>
    <m/>
    <n v="3"/>
    <m/>
    <m/>
    <m/>
    <m/>
    <m/>
    <x v="0"/>
    <x v="0"/>
  </r>
  <r>
    <x v="15"/>
    <s v="Blue Ridge Community &amp; Technical College"/>
    <s v="Met the criteria for Two-Year 2 in 2014-15 and 2015-16."/>
    <n v="446774"/>
    <x v="8"/>
    <n v="61095"/>
    <n v="60038"/>
    <n v="22795"/>
    <n v="33664"/>
    <n v="25335"/>
    <n v="12108"/>
    <n v="12965"/>
    <m/>
    <m/>
    <n v="14266"/>
    <m/>
    <m/>
    <m/>
    <m/>
    <n v="0"/>
    <n v="0"/>
    <m/>
    <m/>
    <m/>
    <m/>
    <m/>
    <m/>
    <m/>
    <m/>
    <m/>
    <m/>
    <x v="0"/>
    <x v="0"/>
  </r>
  <r>
    <x v="15"/>
    <s v="BridgeValley Community &amp; Technical College"/>
    <s v="New"/>
    <n v="484932"/>
    <x v="8"/>
    <n v="48091"/>
    <n v="43469"/>
    <n v="38727"/>
    <n v="35432"/>
    <n v="726"/>
    <n v="645"/>
    <n v="8638"/>
    <m/>
    <m/>
    <n v="7392"/>
    <m/>
    <m/>
    <m/>
    <m/>
    <n v="0"/>
    <n v="0"/>
    <m/>
    <m/>
    <m/>
    <m/>
    <m/>
    <m/>
    <m/>
    <m/>
    <m/>
    <m/>
    <x v="0"/>
    <x v="0"/>
  </r>
  <r>
    <x v="15"/>
    <s v="Eastern West Virginia Community &amp; Technical College"/>
    <m/>
    <n v="438708"/>
    <x v="8"/>
    <n v="14760"/>
    <n v="13604"/>
    <n v="5996"/>
    <n v="5936"/>
    <n v="4608"/>
    <n v="3923"/>
    <n v="4030"/>
    <n v="126"/>
    <m/>
    <n v="3745"/>
    <m/>
    <m/>
    <m/>
    <m/>
    <n v="0"/>
    <n v="0"/>
    <m/>
    <m/>
    <m/>
    <m/>
    <m/>
    <m/>
    <m/>
    <m/>
    <m/>
    <m/>
    <x v="0"/>
    <x v="0"/>
  </r>
  <r>
    <x v="15"/>
    <s v="Mountwest Community &amp; Technical College"/>
    <m/>
    <n v="444954"/>
    <x v="8"/>
    <n v="48280"/>
    <n v="45274"/>
    <n v="27658"/>
    <n v="25162"/>
    <n v="10382"/>
    <n v="8848"/>
    <n v="10240"/>
    <m/>
    <m/>
    <n v="11264"/>
    <m/>
    <m/>
    <m/>
    <m/>
    <n v="0"/>
    <n v="0"/>
    <m/>
    <m/>
    <m/>
    <m/>
    <m/>
    <m/>
    <m/>
    <m/>
    <m/>
    <m/>
    <x v="0"/>
    <x v="0"/>
  </r>
  <r>
    <x v="15"/>
    <s v="Southern West Virginia Community &amp; Technical College "/>
    <m/>
    <n v="237817"/>
    <x v="8"/>
    <n v="41200"/>
    <n v="37461"/>
    <n v="27990"/>
    <n v="23695"/>
    <n v="2085"/>
    <n v="1414"/>
    <n v="8196"/>
    <n v="2929"/>
    <m/>
    <n v="8919"/>
    <n v="3433"/>
    <m/>
    <m/>
    <m/>
    <n v="0"/>
    <n v="0"/>
    <m/>
    <m/>
    <m/>
    <m/>
    <m/>
    <m/>
    <m/>
    <m/>
    <m/>
    <m/>
    <x v="0"/>
    <x v="0"/>
  </r>
  <r>
    <x v="15"/>
    <s v="West Virginia Northern Community College"/>
    <m/>
    <n v="238014"/>
    <x v="8"/>
    <n v="41963"/>
    <n v="39484"/>
    <n v="32926"/>
    <n v="27897"/>
    <n v="0"/>
    <n v="0"/>
    <n v="7336"/>
    <n v="1701"/>
    <m/>
    <n v="10036"/>
    <n v="1551"/>
    <m/>
    <m/>
    <m/>
    <n v="0"/>
    <n v="0"/>
    <m/>
    <m/>
    <m/>
    <m/>
    <m/>
    <m/>
    <m/>
    <m/>
    <m/>
    <m/>
    <x v="0"/>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6">
  <r>
    <x v="0"/>
    <s v="Auburn University"/>
    <m/>
    <n v="100858"/>
    <x v="0"/>
    <n v="622670"/>
    <n v="651666"/>
    <n v="593877"/>
    <n v="614587"/>
    <m/>
    <m/>
    <n v="28793"/>
    <m/>
    <m/>
    <n v="37079"/>
    <m/>
    <m/>
    <m/>
    <m/>
    <n v="101550"/>
    <n v="103440"/>
    <n v="80421"/>
    <n v="80954"/>
    <n v="2146"/>
    <n v="2268"/>
    <n v="18983"/>
    <m/>
    <m/>
    <n v="20218"/>
    <m/>
    <m/>
    <m/>
    <m/>
  </r>
  <r>
    <x v="0"/>
    <s v="University of Alabama "/>
    <m/>
    <n v="100751"/>
    <x v="0"/>
    <n v="884462"/>
    <n v="909843"/>
    <n v="807113"/>
    <n v="827187"/>
    <n v="367"/>
    <n v="477"/>
    <n v="76177"/>
    <n v="805"/>
    <m/>
    <n v="80757"/>
    <n v="1422"/>
    <m/>
    <m/>
    <m/>
    <n v="97041"/>
    <n v="96912"/>
    <n v="76279"/>
    <n v="75212"/>
    <n v="3194"/>
    <n v="3008"/>
    <n v="17271"/>
    <n v="297"/>
    <m/>
    <n v="18488"/>
    <n v="204"/>
    <m/>
    <m/>
    <m/>
  </r>
  <r>
    <x v="0"/>
    <s v="University of Alabama at Birmingham"/>
    <s v="Met the criteria for Four-Year 1 in 2016-17."/>
    <n v="100663"/>
    <x v="1"/>
    <n v="262982.5"/>
    <n v="273551.5"/>
    <n v="202197.5"/>
    <n v="199337.5"/>
    <n v="161"/>
    <n v="186"/>
    <n v="60552"/>
    <n v="72"/>
    <n v="0"/>
    <n v="73968"/>
    <n v="60"/>
    <m/>
    <m/>
    <m/>
    <n v="43148"/>
    <n v="43330"/>
    <n v="28916"/>
    <n v="26796"/>
    <n v="233"/>
    <n v="176"/>
    <n v="13870"/>
    <n v="129"/>
    <m/>
    <n v="16223"/>
    <n v="135"/>
    <m/>
    <m/>
    <m/>
  </r>
  <r>
    <x v="0"/>
    <s v="University of Alabama in Huntsville"/>
    <m/>
    <n v="100706"/>
    <x v="1"/>
    <n v="154043"/>
    <n v="166306"/>
    <n v="150879"/>
    <n v="161965"/>
    <m/>
    <m/>
    <n v="3164"/>
    <m/>
    <m/>
    <n v="4341"/>
    <m/>
    <m/>
    <m/>
    <m/>
    <n v="27416"/>
    <n v="29506"/>
    <n v="21672"/>
    <n v="21456"/>
    <m/>
    <m/>
    <n v="5744"/>
    <m/>
    <m/>
    <n v="8050"/>
    <m/>
    <m/>
    <m/>
    <m/>
  </r>
  <r>
    <x v="0"/>
    <s v="Alabama Agricultural &amp; Mechanical University"/>
    <m/>
    <n v="100654"/>
    <x v="2"/>
    <n v="112060"/>
    <n v="120596"/>
    <n v="106477"/>
    <n v="113677"/>
    <m/>
    <m/>
    <n v="5583"/>
    <m/>
    <m/>
    <n v="6919"/>
    <m/>
    <m/>
    <m/>
    <m/>
    <n v="20175"/>
    <n v="18715"/>
    <n v="19218"/>
    <n v="17751"/>
    <m/>
    <m/>
    <n v="957"/>
    <m/>
    <m/>
    <n v="964"/>
    <m/>
    <m/>
    <m/>
    <m/>
  </r>
  <r>
    <x v="0"/>
    <s v="Jacksonville State University "/>
    <m/>
    <n v="101480"/>
    <x v="2"/>
    <n v="187565"/>
    <n v="187104"/>
    <n v="143892"/>
    <n v="132502"/>
    <n v="2823"/>
    <n v="3104"/>
    <n v="39227"/>
    <n v="1623"/>
    <m/>
    <n v="50265"/>
    <n v="1233"/>
    <n v="0"/>
    <m/>
    <m/>
    <n v="14781"/>
    <n v="14986"/>
    <n v="4174"/>
    <n v="3966"/>
    <m/>
    <m/>
    <n v="10589"/>
    <n v="18"/>
    <m/>
    <n v="11020"/>
    <n v="0"/>
    <m/>
    <m/>
    <m/>
  </r>
  <r>
    <x v="0"/>
    <s v="Troy University"/>
    <m/>
    <n v="102368"/>
    <x v="2"/>
    <n v="263960"/>
    <n v="272341"/>
    <n v="202127"/>
    <n v="214024"/>
    <n v="57"/>
    <n v="0"/>
    <n v="59535"/>
    <n v="0"/>
    <n v="2241"/>
    <n v="57930"/>
    <n v="0"/>
    <n v="387"/>
    <m/>
    <m/>
    <n v="35195"/>
    <n v="36503"/>
    <n v="22482"/>
    <n v="23287"/>
    <n v="39"/>
    <n v="21"/>
    <n v="12326"/>
    <n v="0"/>
    <n v="348"/>
    <n v="12700"/>
    <n v="0"/>
    <n v="495"/>
    <m/>
    <m/>
  </r>
  <r>
    <x v="0"/>
    <s v="University of South Alabama"/>
    <s v="Met the criteria for Four-Year 2 in 2016-17."/>
    <n v="102094"/>
    <x v="2"/>
    <n v="281713"/>
    <n v="295806"/>
    <n v="251305"/>
    <n v="259483"/>
    <n v="712"/>
    <n v="816"/>
    <n v="29696"/>
    <m/>
    <m/>
    <n v="35507"/>
    <m/>
    <m/>
    <m/>
    <m/>
    <n v="20897"/>
    <n v="19703"/>
    <n v="15321"/>
    <n v="14276"/>
    <m/>
    <m/>
    <n v="5576"/>
    <m/>
    <m/>
    <n v="5427"/>
    <m/>
    <m/>
    <m/>
    <m/>
  </r>
  <r>
    <x v="0"/>
    <s v="Alabama State University "/>
    <m/>
    <n v="100724"/>
    <x v="3"/>
    <n v="149838"/>
    <n v="146482"/>
    <n v="135524"/>
    <n v="130727"/>
    <n v="4"/>
    <n v="0"/>
    <n v="14310"/>
    <m/>
    <m/>
    <n v="15755"/>
    <m/>
    <m/>
    <m/>
    <m/>
    <n v="15071"/>
    <n v="14175"/>
    <n v="12398"/>
    <n v="11985"/>
    <n v="0"/>
    <n v="0"/>
    <n v="2673"/>
    <m/>
    <m/>
    <n v="2190"/>
    <m/>
    <m/>
    <m/>
    <m/>
  </r>
  <r>
    <x v="0"/>
    <s v="Auburn University at Montgomery"/>
    <s v="Met the criteria for Four-Year 3 in 2016-17."/>
    <n v="100830"/>
    <x v="3"/>
    <n v="106663"/>
    <n v="105529"/>
    <n v="86455"/>
    <n v="85468"/>
    <n v="593"/>
    <n v="189"/>
    <n v="19615"/>
    <m/>
    <m/>
    <n v="19872"/>
    <m/>
    <m/>
    <m/>
    <m/>
    <n v="10699"/>
    <n v="9963"/>
    <n v="5226"/>
    <n v="4492"/>
    <n v="0"/>
    <n v="0"/>
    <n v="5473"/>
    <m/>
    <m/>
    <n v="5471"/>
    <m/>
    <m/>
    <m/>
    <m/>
  </r>
  <r>
    <x v="0"/>
    <s v="University of North Alabama"/>
    <s v="Reclassified: Met the criteria for Four-Year 3 in 2014-15 and 2015-16 and 2016-17."/>
    <n v="101879"/>
    <x v="2"/>
    <n v="151675"/>
    <n v="160248"/>
    <n v="124853"/>
    <n v="130612"/>
    <m/>
    <m/>
    <n v="26822"/>
    <m/>
    <m/>
    <n v="29636"/>
    <m/>
    <m/>
    <m/>
    <m/>
    <n v="14095"/>
    <n v="16454"/>
    <n v="4596"/>
    <n v="6731"/>
    <m/>
    <m/>
    <n v="9499"/>
    <m/>
    <m/>
    <n v="9723"/>
    <m/>
    <m/>
    <m/>
    <m/>
  </r>
  <r>
    <x v="0"/>
    <s v="University of Montevallo"/>
    <m/>
    <n v="101709"/>
    <x v="4"/>
    <n v="71119"/>
    <n v="67694"/>
    <n v="68584"/>
    <n v="64490"/>
    <n v="12"/>
    <n v="12"/>
    <n v="2523"/>
    <m/>
    <m/>
    <n v="3192"/>
    <m/>
    <m/>
    <m/>
    <m/>
    <n v="8469"/>
    <n v="7914"/>
    <n v="7251"/>
    <n v="6660"/>
    <n v="0"/>
    <n v="12"/>
    <n v="1218"/>
    <m/>
    <m/>
    <n v="1242"/>
    <m/>
    <m/>
    <m/>
    <m/>
  </r>
  <r>
    <x v="0"/>
    <s v="University of West Alabama"/>
    <m/>
    <n v="101587"/>
    <x v="4"/>
    <n v="52958"/>
    <n v="55155"/>
    <n v="48819"/>
    <n v="48354"/>
    <n v="373"/>
    <n v="372"/>
    <n v="3766"/>
    <m/>
    <m/>
    <n v="6429"/>
    <m/>
    <m/>
    <m/>
    <m/>
    <n v="32543"/>
    <n v="35704"/>
    <n v="2719"/>
    <n v="2047"/>
    <n v="0"/>
    <n v="0"/>
    <n v="29824"/>
    <m/>
    <m/>
    <n v="33657"/>
    <m/>
    <m/>
    <m/>
    <m/>
  </r>
  <r>
    <x v="0"/>
    <s v="Athens State University"/>
    <m/>
    <s v="100812"/>
    <x v="5"/>
    <n v="70416"/>
    <n v="69518"/>
    <n v="15672"/>
    <n v="14275"/>
    <n v="3264"/>
    <n v="2877"/>
    <n v="51480"/>
    <m/>
    <m/>
    <n v="52366"/>
    <m/>
    <m/>
    <m/>
    <m/>
    <n v="0"/>
    <n v="309"/>
    <m/>
    <m/>
    <m/>
    <m/>
    <m/>
    <m/>
    <m/>
    <n v="309"/>
    <m/>
    <m/>
    <m/>
    <m/>
  </r>
  <r>
    <x v="0"/>
    <s v="Jefferson State Community College"/>
    <m/>
    <n v="101505"/>
    <x v="6"/>
    <n v="170342"/>
    <n v="169629"/>
    <n v="94238"/>
    <n v="94853"/>
    <n v="23407"/>
    <n v="23794"/>
    <n v="51402"/>
    <n v="1295"/>
    <n v="0"/>
    <n v="48596"/>
    <n v="1614"/>
    <n v="772"/>
    <m/>
    <m/>
    <n v="0"/>
    <n v="0"/>
    <m/>
    <m/>
    <m/>
    <m/>
    <m/>
    <m/>
    <m/>
    <m/>
    <m/>
    <m/>
    <m/>
    <m/>
  </r>
  <r>
    <x v="0"/>
    <s v="John C. Calhoun State Community College "/>
    <m/>
    <n v="101514"/>
    <x v="6"/>
    <n v="217086"/>
    <n v="206172"/>
    <n v="150950"/>
    <n v="132537"/>
    <n v="0"/>
    <n v="9217"/>
    <n v="66136"/>
    <n v="0"/>
    <n v="0"/>
    <n v="64418"/>
    <m/>
    <m/>
    <m/>
    <m/>
    <n v="0"/>
    <n v="0"/>
    <m/>
    <m/>
    <m/>
    <m/>
    <m/>
    <m/>
    <m/>
    <m/>
    <m/>
    <m/>
    <m/>
    <m/>
  </r>
  <r>
    <x v="0"/>
    <s v="Bevill State Community College"/>
    <m/>
    <n v="102429"/>
    <x v="7"/>
    <n v="84488"/>
    <n v="86647"/>
    <n v="22246"/>
    <n v="26748"/>
    <n v="41184"/>
    <n v="41791"/>
    <n v="16889"/>
    <n v="4169"/>
    <n v="0"/>
    <n v="13885"/>
    <n v="4175"/>
    <n v="48"/>
    <m/>
    <m/>
    <n v="0"/>
    <n v="0"/>
    <m/>
    <m/>
    <m/>
    <m/>
    <m/>
    <m/>
    <m/>
    <m/>
    <m/>
    <m/>
    <m/>
    <m/>
  </r>
  <r>
    <x v="0"/>
    <s v="Bishop State Community College"/>
    <m/>
    <n v="102030"/>
    <x v="7"/>
    <n v="72124"/>
    <n v="69087"/>
    <n v="64419"/>
    <n v="60414"/>
    <n v="577"/>
    <n v="303"/>
    <n v="6101"/>
    <n v="0"/>
    <n v="1027"/>
    <n v="6839"/>
    <m/>
    <n v="76"/>
    <m/>
    <n v="1455"/>
    <n v="0"/>
    <n v="0"/>
    <m/>
    <m/>
    <m/>
    <m/>
    <m/>
    <m/>
    <m/>
    <m/>
    <m/>
    <m/>
    <m/>
    <m/>
  </r>
  <r>
    <x v="0"/>
    <s v="Enterprise-Ozark Community College"/>
    <s v="Reclassified: Met the criteria for Two-Year 3 in 2014-15, 2015-16, and 2016-17."/>
    <n v="101143"/>
    <x v="8"/>
    <n v="44645"/>
    <n v="40782.5"/>
    <n v="34308"/>
    <n v="23924"/>
    <n v="3"/>
    <n v="6887.5"/>
    <n v="10334"/>
    <n v="0"/>
    <n v="0"/>
    <n v="9928"/>
    <m/>
    <n v="43"/>
    <m/>
    <m/>
    <n v="0"/>
    <n v="0"/>
    <m/>
    <m/>
    <m/>
    <m/>
    <m/>
    <m/>
    <m/>
    <m/>
    <m/>
    <m/>
    <m/>
    <m/>
  </r>
  <r>
    <x v="0"/>
    <s v="Gadsden State Community College"/>
    <m/>
    <n v="101240"/>
    <x v="7"/>
    <n v="119047"/>
    <n v="117969"/>
    <n v="96325"/>
    <n v="79830"/>
    <n v="0"/>
    <n v="11927"/>
    <n v="22722"/>
    <n v="0"/>
    <n v="0"/>
    <n v="26170"/>
    <m/>
    <n v="42"/>
    <m/>
    <m/>
    <n v="0"/>
    <n v="0"/>
    <m/>
    <m/>
    <m/>
    <m/>
    <m/>
    <m/>
    <m/>
    <m/>
    <m/>
    <m/>
    <m/>
    <m/>
  </r>
  <r>
    <x v="0"/>
    <s v="George C. Wallace State Community College - Dothan"/>
    <m/>
    <n v="101286"/>
    <x v="7"/>
    <n v="107954"/>
    <n v="99928"/>
    <n v="78560"/>
    <n v="82269"/>
    <n v="6548"/>
    <n v="5350"/>
    <n v="22846"/>
    <n v="0"/>
    <n v="0"/>
    <n v="11825"/>
    <m/>
    <n v="484"/>
    <m/>
    <m/>
    <n v="0"/>
    <n v="0"/>
    <m/>
    <m/>
    <m/>
    <m/>
    <m/>
    <m/>
    <m/>
    <m/>
    <m/>
    <m/>
    <m/>
    <m/>
  </r>
  <r>
    <x v="0"/>
    <s v="James H. Faulkner State Community College"/>
    <m/>
    <n v="101161"/>
    <x v="7"/>
    <n v="114972"/>
    <n v="115003"/>
    <n v="74133"/>
    <n v="84480"/>
    <n v="14817"/>
    <n v="2842"/>
    <n v="24961"/>
    <n v="0"/>
    <n v="1061"/>
    <n v="26762"/>
    <m/>
    <n v="10"/>
    <m/>
    <n v="909"/>
    <n v="0"/>
    <n v="0"/>
    <m/>
    <m/>
    <m/>
    <m/>
    <m/>
    <m/>
    <m/>
    <m/>
    <m/>
    <m/>
    <m/>
    <m/>
  </r>
  <r>
    <x v="0"/>
    <s v="Lawson State Community College "/>
    <m/>
    <n v="101569"/>
    <x v="7"/>
    <n v="73963"/>
    <n v="74362"/>
    <n v="64671"/>
    <n v="64274"/>
    <n v="479"/>
    <n v="0"/>
    <n v="8813"/>
    <n v="0"/>
    <n v="0"/>
    <n v="9712"/>
    <m/>
    <n v="376"/>
    <m/>
    <m/>
    <n v="0"/>
    <n v="0"/>
    <m/>
    <m/>
    <m/>
    <m/>
    <m/>
    <m/>
    <m/>
    <m/>
    <m/>
    <m/>
    <m/>
    <m/>
  </r>
  <r>
    <x v="0"/>
    <s v="Northeast Alabama State Community College "/>
    <s v="Met the criteria for Two-Year 3 in 2015-16 and 2016-17."/>
    <n v="101897"/>
    <x v="7"/>
    <n v="57241"/>
    <n v="57174"/>
    <n v="38355"/>
    <n v="36993"/>
    <n v="4894"/>
    <n v="4647"/>
    <n v="13992"/>
    <n v="0"/>
    <n v="0"/>
    <n v="15534"/>
    <m/>
    <m/>
    <m/>
    <m/>
    <n v="0"/>
    <n v="0"/>
    <m/>
    <m/>
    <m/>
    <m/>
    <m/>
    <m/>
    <m/>
    <m/>
    <m/>
    <m/>
    <m/>
    <m/>
  </r>
  <r>
    <x v="0"/>
    <s v="Northwest-Shoals Community College"/>
    <m/>
    <n v="101736"/>
    <x v="7"/>
    <n v="78045"/>
    <n v="74377"/>
    <n v="66927"/>
    <n v="57281"/>
    <n v="33"/>
    <n v="4278"/>
    <n v="10140"/>
    <n v="945"/>
    <n v="0"/>
    <n v="11051"/>
    <n v="1055"/>
    <n v="712"/>
    <m/>
    <m/>
    <n v="0"/>
    <n v="0"/>
    <m/>
    <m/>
    <m/>
    <m/>
    <m/>
    <m/>
    <m/>
    <m/>
    <m/>
    <m/>
    <m/>
    <m/>
  </r>
  <r>
    <x v="0"/>
    <s v="Shelton State Community College"/>
    <m/>
    <n v="102067"/>
    <x v="7"/>
    <n v="111221"/>
    <n v="108452"/>
    <n v="101597"/>
    <n v="91695"/>
    <n v="0"/>
    <n v="706"/>
    <n v="9624"/>
    <n v="0"/>
    <n v="0"/>
    <n v="15568"/>
    <m/>
    <n v="483"/>
    <m/>
    <m/>
    <n v="0"/>
    <n v="0"/>
    <m/>
    <m/>
    <m/>
    <m/>
    <m/>
    <m/>
    <m/>
    <m/>
    <m/>
    <m/>
    <m/>
    <m/>
  </r>
  <r>
    <x v="0"/>
    <s v="Southern Union State Community College"/>
    <m/>
    <n v="251260"/>
    <x v="7"/>
    <n v="117916"/>
    <n v="115248"/>
    <n v="14873"/>
    <n v="95917"/>
    <n v="85897"/>
    <n v="3528"/>
    <n v="17146"/>
    <n v="0"/>
    <n v="0"/>
    <n v="15803"/>
    <m/>
    <m/>
    <m/>
    <m/>
    <n v="0"/>
    <n v="0"/>
    <m/>
    <m/>
    <m/>
    <m/>
    <m/>
    <m/>
    <m/>
    <m/>
    <m/>
    <m/>
    <m/>
    <m/>
  </r>
  <r>
    <x v="0"/>
    <s v="Wallace Community College - Hanceville"/>
    <m/>
    <n v="101295"/>
    <x v="7"/>
    <n v="129525"/>
    <n v="129207"/>
    <n v="97906"/>
    <n v="96147"/>
    <n v="0"/>
    <n v="0"/>
    <n v="31619"/>
    <n v="0"/>
    <n v="0"/>
    <n v="33060"/>
    <m/>
    <m/>
    <m/>
    <m/>
    <n v="0"/>
    <n v="0"/>
    <m/>
    <m/>
    <m/>
    <m/>
    <m/>
    <m/>
    <m/>
    <m/>
    <m/>
    <m/>
    <m/>
    <m/>
  </r>
  <r>
    <x v="0"/>
    <s v="Alabama Southern Community College"/>
    <m/>
    <n v="101949"/>
    <x v="8"/>
    <n v="33581"/>
    <n v="32652"/>
    <n v="11415"/>
    <n v="11812"/>
    <n v="18404"/>
    <n v="17117"/>
    <n v="3762"/>
    <n v="0"/>
    <n v="0"/>
    <n v="3717"/>
    <m/>
    <n v="6"/>
    <m/>
    <m/>
    <n v="0"/>
    <n v="0"/>
    <m/>
    <m/>
    <m/>
    <m/>
    <m/>
    <m/>
    <m/>
    <m/>
    <m/>
    <m/>
    <m/>
    <m/>
  </r>
  <r>
    <x v="0"/>
    <s v="Central Alabama Community College"/>
    <m/>
    <n v="100760"/>
    <x v="8"/>
    <n v="42868"/>
    <n v="40957"/>
    <n v="33971"/>
    <n v="27422"/>
    <n v="0"/>
    <n v="4048"/>
    <n v="8897"/>
    <n v="0"/>
    <n v="0"/>
    <n v="9481"/>
    <m/>
    <n v="6"/>
    <m/>
    <m/>
    <n v="0"/>
    <n v="0"/>
    <m/>
    <m/>
    <m/>
    <m/>
    <m/>
    <m/>
    <m/>
    <m/>
    <m/>
    <m/>
    <m/>
    <m/>
  </r>
  <r>
    <x v="0"/>
    <s v="Chattahoochee Valley State Community College "/>
    <m/>
    <n v="101028"/>
    <x v="8"/>
    <n v="41842"/>
    <n v="38520"/>
    <n v="38793"/>
    <n v="35155"/>
    <n v="351"/>
    <n v="49"/>
    <n v="2698"/>
    <n v="0"/>
    <n v="0"/>
    <n v="2999"/>
    <m/>
    <n v="317"/>
    <m/>
    <m/>
    <n v="0"/>
    <n v="0"/>
    <m/>
    <m/>
    <m/>
    <m/>
    <m/>
    <m/>
    <m/>
    <m/>
    <m/>
    <m/>
    <m/>
    <m/>
  </r>
  <r>
    <x v="0"/>
    <s v="George Corley Wallace State Community College - Selma"/>
    <m/>
    <n v="101301"/>
    <x v="8"/>
    <n v="43562"/>
    <n v="43915"/>
    <n v="28925"/>
    <n v="28237"/>
    <n v="0"/>
    <n v="0"/>
    <n v="14637"/>
    <n v="0"/>
    <n v="0"/>
    <n v="15678"/>
    <m/>
    <m/>
    <m/>
    <m/>
    <n v="0"/>
    <n v="0"/>
    <m/>
    <m/>
    <m/>
    <m/>
    <m/>
    <m/>
    <m/>
    <m/>
    <m/>
    <m/>
    <m/>
    <m/>
  </r>
  <r>
    <x v="0"/>
    <s v="Jefferson Davis Community College"/>
    <m/>
    <n v="101499"/>
    <x v="8"/>
    <n v="28068"/>
    <n v="27600"/>
    <n v="12230"/>
    <n v="23749"/>
    <n v="11630"/>
    <n v="28"/>
    <n v="3642"/>
    <n v="0"/>
    <n v="566"/>
    <n v="3788"/>
    <m/>
    <n v="0"/>
    <m/>
    <n v="35"/>
    <n v="0"/>
    <n v="0"/>
    <m/>
    <m/>
    <m/>
    <m/>
    <m/>
    <m/>
    <m/>
    <m/>
    <m/>
    <m/>
    <m/>
    <m/>
  </r>
  <r>
    <x v="0"/>
    <s v="Lurleen B. Wallace Community College "/>
    <m/>
    <n v="101602"/>
    <x v="8"/>
    <n v="39899"/>
    <n v="41792"/>
    <n v="29266"/>
    <n v="34070"/>
    <n v="1352"/>
    <n v="1627"/>
    <n v="9281"/>
    <n v="0"/>
    <n v="0"/>
    <n v="6095"/>
    <m/>
    <n v="0"/>
    <m/>
    <m/>
    <n v="0"/>
    <n v="0"/>
    <m/>
    <m/>
    <m/>
    <m/>
    <m/>
    <m/>
    <m/>
    <m/>
    <m/>
    <m/>
    <m/>
    <m/>
  </r>
  <r>
    <x v="0"/>
    <s v="Snead State Community College "/>
    <s v="Met the criteria for Two-Year 2 in 2015-16 and 2016-17."/>
    <n v="102076"/>
    <x v="8"/>
    <n v="63042"/>
    <n v="61943"/>
    <n v="33424"/>
    <n v="30094"/>
    <n v="0"/>
    <n v="0"/>
    <n v="29618"/>
    <n v="0"/>
    <n v="0"/>
    <n v="31849"/>
    <m/>
    <m/>
    <m/>
    <m/>
    <n v="0"/>
    <n v="0"/>
    <m/>
    <m/>
    <m/>
    <m/>
    <m/>
    <m/>
    <m/>
    <m/>
    <m/>
    <m/>
    <m/>
    <m/>
  </r>
  <r>
    <x v="0"/>
    <s v="Trenholm State Technical College "/>
    <m/>
    <n v="102313"/>
    <x v="9"/>
    <n v="36087"/>
    <n v="38556"/>
    <n v="31366"/>
    <n v="33894"/>
    <n v="2260"/>
    <n v="0"/>
    <n v="2461"/>
    <n v="0"/>
    <n v="0"/>
    <n v="2387"/>
    <m/>
    <n v="2275"/>
    <m/>
    <m/>
    <n v="0"/>
    <n v="0"/>
    <m/>
    <m/>
    <m/>
    <m/>
    <m/>
    <m/>
    <m/>
    <m/>
    <m/>
    <m/>
    <m/>
    <m/>
  </r>
  <r>
    <x v="0"/>
    <s v="J.F. Drake State Technical College "/>
    <m/>
    <n v="101462"/>
    <x v="10"/>
    <n v="22869"/>
    <n v="20532"/>
    <n v="22869"/>
    <n v="16226"/>
    <n v="0"/>
    <n v="0"/>
    <n v="0"/>
    <n v="0"/>
    <n v="0"/>
    <n v="3953"/>
    <m/>
    <n v="353"/>
    <m/>
    <m/>
    <n v="0"/>
    <n v="0"/>
    <m/>
    <m/>
    <m/>
    <m/>
    <m/>
    <m/>
    <m/>
    <m/>
    <m/>
    <m/>
    <m/>
    <m/>
  </r>
  <r>
    <x v="0"/>
    <s v="J.F. Ingram State Technical College "/>
    <m/>
    <n v="101471"/>
    <x v="10"/>
    <n v="17584"/>
    <n v="18324"/>
    <n v="17584"/>
    <n v="18324"/>
    <n v="0"/>
    <n v="0"/>
    <n v="0"/>
    <n v="0"/>
    <n v="0"/>
    <m/>
    <m/>
    <m/>
    <m/>
    <m/>
    <n v="0"/>
    <n v="0"/>
    <m/>
    <m/>
    <m/>
    <m/>
    <m/>
    <m/>
    <m/>
    <m/>
    <m/>
    <m/>
    <m/>
    <m/>
  </r>
  <r>
    <x v="0"/>
    <s v="Reid State Technical College "/>
    <m/>
    <n v="101994"/>
    <x v="10"/>
    <n v="12782"/>
    <n v="11505"/>
    <n v="10106"/>
    <n v="9088"/>
    <n v="2676"/>
    <n v="2417"/>
    <n v="0"/>
    <n v="0"/>
    <n v="0"/>
    <m/>
    <m/>
    <m/>
    <m/>
    <m/>
    <n v="0"/>
    <n v="0"/>
    <m/>
    <m/>
    <m/>
    <m/>
    <m/>
    <m/>
    <m/>
    <m/>
    <m/>
    <m/>
    <m/>
    <m/>
  </r>
  <r>
    <x v="0"/>
    <s v="Marion Military Institute"/>
    <m/>
    <n v="101648"/>
    <x v="11"/>
    <n v="14189"/>
    <n v="13766"/>
    <n v="14189"/>
    <n v="13766"/>
    <n v="0"/>
    <m/>
    <n v="0"/>
    <n v="0"/>
    <n v="0"/>
    <m/>
    <m/>
    <m/>
    <m/>
    <m/>
    <n v="0"/>
    <n v="0"/>
    <m/>
    <m/>
    <m/>
    <m/>
    <m/>
    <m/>
    <m/>
    <m/>
    <m/>
    <m/>
    <m/>
    <m/>
  </r>
  <r>
    <x v="1"/>
    <s v="University of Arkansas, Fayetteville"/>
    <m/>
    <n v="106397"/>
    <x v="0"/>
    <n v="629101"/>
    <n v="638732"/>
    <n v="565055"/>
    <n v="573464"/>
    <n v="8821"/>
    <n v="9162"/>
    <n v="51182"/>
    <n v="515"/>
    <n v="0"/>
    <n v="52367"/>
    <n v="457"/>
    <n v="0"/>
    <n v="3528"/>
    <n v="3282"/>
    <n v="80235"/>
    <n v="81194"/>
    <n v="57364"/>
    <n v="56247"/>
    <n v="1980"/>
    <n v="1278"/>
    <n v="20891"/>
    <n v="0"/>
    <n v="0"/>
    <n v="23650"/>
    <n v="0"/>
    <n v="19"/>
    <n v="0"/>
    <n v="0"/>
  </r>
  <r>
    <x v="1"/>
    <s v="University of Arkansas at Little Rock"/>
    <m/>
    <n v="106245"/>
    <x v="1"/>
    <n v="212666"/>
    <n v="206489"/>
    <n v="126692"/>
    <n v="116807"/>
    <n v="19895"/>
    <n v="21304"/>
    <n v="66079"/>
    <n v="0"/>
    <n v="0"/>
    <n v="68378"/>
    <n v="0"/>
    <n v="0"/>
    <n v="0"/>
    <n v="0"/>
    <n v="43190"/>
    <n v="42496"/>
    <n v="20860"/>
    <n v="27335"/>
    <n v="11464"/>
    <n v="5004"/>
    <n v="10866"/>
    <n v="0"/>
    <n v="0"/>
    <n v="10157"/>
    <n v="0"/>
    <n v="0"/>
    <n v="0"/>
    <n v="0"/>
  </r>
  <r>
    <x v="1"/>
    <s v="Arkansas State University"/>
    <m/>
    <n v="106458"/>
    <x v="2"/>
    <n v="265272"/>
    <n v="268602"/>
    <n v="180505"/>
    <n v="172412"/>
    <n v="18510"/>
    <n v="15899"/>
    <n v="64697"/>
    <n v="1557"/>
    <n v="3"/>
    <n v="77931"/>
    <n v="2360"/>
    <n v="0"/>
    <n v="0"/>
    <n v="0"/>
    <n v="80183"/>
    <n v="92137"/>
    <n v="22927"/>
    <n v="22718"/>
    <n v="42"/>
    <n v="3"/>
    <n v="57142"/>
    <n v="0"/>
    <n v="72"/>
    <n v="69347"/>
    <n v="0"/>
    <n v="69"/>
    <n v="0"/>
    <n v="0"/>
  </r>
  <r>
    <x v="1"/>
    <s v="Arkansas Tech University"/>
    <m/>
    <n v="106467"/>
    <x v="2"/>
    <n v="230757"/>
    <n v="223609"/>
    <n v="158617"/>
    <n v="153467"/>
    <n v="15144"/>
    <n v="10453"/>
    <n v="55821"/>
    <n v="0"/>
    <n v="1175"/>
    <n v="58624"/>
    <n v="0"/>
    <n v="1065"/>
    <n v="0"/>
    <n v="0"/>
    <n v="16073"/>
    <n v="15406"/>
    <n v="7113"/>
    <n v="5506"/>
    <n v="1203"/>
    <n v="1647"/>
    <n v="7343"/>
    <n v="0"/>
    <n v="414"/>
    <n v="7988"/>
    <n v="0"/>
    <n v="265"/>
    <n v="0"/>
    <n v="0"/>
  </r>
  <r>
    <x v="1"/>
    <s v="University of Central Arkansas "/>
    <m/>
    <n v="106704"/>
    <x v="2"/>
    <n v="272879"/>
    <n v="270455"/>
    <n v="254572"/>
    <n v="245649"/>
    <n v="2514"/>
    <n v="3257"/>
    <n v="15691"/>
    <n v="102"/>
    <n v="0"/>
    <n v="21395"/>
    <n v="153"/>
    <n v="0"/>
    <n v="0"/>
    <n v="1"/>
    <n v="37618"/>
    <n v="37487"/>
    <n v="20522"/>
    <n v="19585"/>
    <n v="0"/>
    <n v="0"/>
    <n v="12392"/>
    <n v="4704"/>
    <n v="0"/>
    <n v="12927"/>
    <n v="4975"/>
    <n v="0"/>
    <n v="0"/>
    <n v="0"/>
  </r>
  <r>
    <x v="1"/>
    <s v="Henderson State University"/>
    <m/>
    <n v="107071"/>
    <x v="3"/>
    <n v="89086"/>
    <n v="88838"/>
    <n v="75344"/>
    <n v="72553"/>
    <n v="1630"/>
    <n v="1847"/>
    <n v="12112"/>
    <n v="0"/>
    <n v="0"/>
    <n v="14438"/>
    <n v="0"/>
    <n v="0"/>
    <n v="0"/>
    <n v="0"/>
    <n v="6313"/>
    <n v="7490"/>
    <n v="2734"/>
    <n v="2366"/>
    <n v="237"/>
    <n v="210"/>
    <n v="3342"/>
    <n v="0"/>
    <n v="0"/>
    <n v="4914"/>
    <n v="0"/>
    <n v="0"/>
    <n v="0"/>
    <n v="0"/>
  </r>
  <r>
    <x v="1"/>
    <s v="Southern Arkansas University"/>
    <m/>
    <n v="107983"/>
    <x v="3"/>
    <n v="86298"/>
    <n v="53603"/>
    <n v="69344"/>
    <n v="34899"/>
    <n v="2177"/>
    <n v="2005"/>
    <n v="14777"/>
    <n v="0"/>
    <n v="0"/>
    <n v="16699"/>
    <n v="0"/>
    <n v="0"/>
    <n v="0"/>
    <n v="0"/>
    <n v="13989"/>
    <n v="28267"/>
    <n v="3570"/>
    <n v="4488"/>
    <n v="0"/>
    <n v="2550"/>
    <n v="10374"/>
    <n v="45"/>
    <n v="0"/>
    <n v="21229"/>
    <n v="0"/>
    <n v="0"/>
    <n v="0"/>
    <n v="0"/>
  </r>
  <r>
    <x v="1"/>
    <s v="University of Arkansas at Monticello"/>
    <m/>
    <n v="106485"/>
    <x v="4"/>
    <n v="68255"/>
    <n v="67489"/>
    <n v="48460"/>
    <n v="46678"/>
    <n v="5555"/>
    <n v="3109"/>
    <n v="14240"/>
    <n v="0"/>
    <n v="0"/>
    <n v="17702"/>
    <n v="0"/>
    <n v="0"/>
    <n v="0"/>
    <n v="0"/>
    <n v="3510"/>
    <n v="4537"/>
    <n v="476"/>
    <n v="757"/>
    <n v="0"/>
    <n v="6"/>
    <n v="3034"/>
    <n v="0"/>
    <n v="0"/>
    <n v="3774"/>
    <n v="0"/>
    <n v="0"/>
    <n v="0"/>
    <n v="0"/>
  </r>
  <r>
    <x v="1"/>
    <s v="University of Arkansas at Fort Smith"/>
    <m/>
    <n v="108092"/>
    <x v="5"/>
    <n v="166174"/>
    <n v="158534"/>
    <n v="133819"/>
    <n v="121326"/>
    <n v="2183"/>
    <n v="3884"/>
    <n v="30172"/>
    <n v="0"/>
    <n v="0"/>
    <n v="33324"/>
    <n v="0"/>
    <n v="0"/>
    <n v="0"/>
    <n v="0"/>
    <n v="36"/>
    <n v="210"/>
    <n v="0"/>
    <n v="0"/>
    <n v="0"/>
    <n v="0"/>
    <n v="36"/>
    <n v="0"/>
    <n v="0"/>
    <n v="210"/>
    <n v="0"/>
    <n v="0"/>
    <n v="0"/>
    <n v="0"/>
  </r>
  <r>
    <x v="1"/>
    <s v="University of Arkansas at Pine Bluff"/>
    <s v="Met the criteria for Four-Year 5 in 2016-17."/>
    <n v="106412"/>
    <x v="5"/>
    <n v="70836"/>
    <n v="73420"/>
    <n v="59634"/>
    <n v="61915"/>
    <n v="30"/>
    <n v="0"/>
    <n v="11172"/>
    <n v="0"/>
    <n v="0"/>
    <n v="11505"/>
    <n v="0"/>
    <n v="0"/>
    <n v="0"/>
    <n v="0"/>
    <n v="1890"/>
    <n v="1436"/>
    <n v="1434"/>
    <n v="1088"/>
    <n v="0"/>
    <n v="0"/>
    <n v="456"/>
    <n v="0"/>
    <n v="0"/>
    <n v="348"/>
    <n v="0"/>
    <n v="0"/>
    <n v="0"/>
    <n v="0"/>
  </r>
  <r>
    <x v="1"/>
    <s v="Northwest Arkansas Community College "/>
    <s v="Met the criteria for Two-Year 2 in 2015-16 and 2016-17. "/>
    <n v="367459"/>
    <x v="6"/>
    <n v="149171"/>
    <n v="147232"/>
    <n v="91915"/>
    <n v="88828"/>
    <n v="18800"/>
    <n v="18623"/>
    <n v="38334"/>
    <n v="122"/>
    <n v="0"/>
    <n v="39731"/>
    <n v="50"/>
    <n v="0"/>
    <n v="0"/>
    <n v="0"/>
    <n v="0"/>
    <n v="0"/>
    <n v="0"/>
    <n v="0"/>
    <n v="0"/>
    <n v="0"/>
    <n v="0"/>
    <n v="0"/>
    <n v="0"/>
    <n v="0"/>
    <n v="0"/>
    <n v="0"/>
    <n v="0"/>
    <n v="0"/>
  </r>
  <r>
    <x v="1"/>
    <s v="Pulaski Technical College"/>
    <s v="Met the criteria for Two-Year 2 in 2016-17. "/>
    <n v="107664"/>
    <x v="6"/>
    <n v="170528"/>
    <n v="144062"/>
    <n v="110057"/>
    <n v="90966"/>
    <n v="0"/>
    <n v="1293"/>
    <n v="60471"/>
    <n v="0"/>
    <n v="0"/>
    <n v="51803"/>
    <n v="0"/>
    <n v="0"/>
    <n v="0"/>
    <n v="0"/>
    <n v="0"/>
    <n v="0"/>
    <n v="0"/>
    <n v="0"/>
    <n v="0"/>
    <n v="0"/>
    <n v="0"/>
    <n v="0"/>
    <n v="0"/>
    <n v="0"/>
    <n v="0"/>
    <n v="0"/>
    <n v="0"/>
    <n v="0"/>
  </r>
  <r>
    <x v="1"/>
    <s v="Arkansas State University-Beebe"/>
    <m/>
    <n v="106449"/>
    <x v="7"/>
    <n v="89476"/>
    <n v="86601"/>
    <n v="60136"/>
    <n v="56904"/>
    <n v="9667"/>
    <n v="9652"/>
    <n v="19673"/>
    <n v="0"/>
    <n v="0"/>
    <n v="20045"/>
    <n v="0"/>
    <n v="0"/>
    <n v="0"/>
    <n v="0"/>
    <n v="0"/>
    <n v="0"/>
    <m/>
    <n v="0"/>
    <n v="0"/>
    <n v="0"/>
    <m/>
    <m/>
    <m/>
    <n v="0"/>
    <n v="0"/>
    <n v="0"/>
    <m/>
    <n v="0"/>
  </r>
  <r>
    <x v="1"/>
    <s v="National Park College"/>
    <s v="Met the criteria for Two-Year 3 in 2015-16 and 2016-17. "/>
    <n v="106980"/>
    <x v="7"/>
    <n v="58084"/>
    <n v="55678"/>
    <n v="41201"/>
    <n v="37725"/>
    <n v="5308"/>
    <n v="6621"/>
    <n v="11575"/>
    <n v="0"/>
    <n v="0"/>
    <n v="11332"/>
    <n v="0"/>
    <n v="0"/>
    <n v="0"/>
    <n v="0"/>
    <n v="0"/>
    <n v="0"/>
    <m/>
    <n v="0"/>
    <n v="0"/>
    <n v="0"/>
    <m/>
    <m/>
    <m/>
    <n v="0"/>
    <n v="0"/>
    <n v="0"/>
    <m/>
    <n v="0"/>
  </r>
  <r>
    <x v="1"/>
    <s v="Arkansas Northeastern College"/>
    <m/>
    <n v="107327"/>
    <x v="8"/>
    <n v="27670"/>
    <n v="28038"/>
    <n v="20675"/>
    <n v="20321"/>
    <n v="381"/>
    <n v="275"/>
    <n v="6614"/>
    <n v="0"/>
    <n v="0"/>
    <n v="7442"/>
    <n v="0"/>
    <n v="0"/>
    <n v="0"/>
    <n v="0"/>
    <n v="0"/>
    <n v="0"/>
    <m/>
    <n v="0"/>
    <n v="0"/>
    <n v="0"/>
    <m/>
    <m/>
    <m/>
    <n v="0"/>
    <n v="0"/>
    <n v="0"/>
    <m/>
    <n v="0"/>
  </r>
  <r>
    <x v="1"/>
    <s v="Arkansas State University Mid-South"/>
    <m/>
    <n v="107318"/>
    <x v="8"/>
    <n v="31843"/>
    <n v="31364"/>
    <n v="28042"/>
    <n v="27244"/>
    <n v="55"/>
    <n v="12"/>
    <n v="3746"/>
    <n v="0"/>
    <n v="0"/>
    <n v="4108"/>
    <n v="0"/>
    <n v="0"/>
    <n v="0"/>
    <n v="0"/>
    <n v="0"/>
    <n v="0"/>
    <m/>
    <n v="0"/>
    <n v="0"/>
    <n v="0"/>
    <m/>
    <m/>
    <m/>
    <n v="0"/>
    <n v="0"/>
    <n v="0"/>
    <m/>
    <n v="0"/>
  </r>
  <r>
    <x v="1"/>
    <s v="Arkansas State University Mountain Home"/>
    <m/>
    <n v="420538"/>
    <x v="8"/>
    <n v="32573"/>
    <n v="32005"/>
    <n v="15435"/>
    <n v="15109"/>
    <n v="3905"/>
    <n v="4319"/>
    <n v="12891"/>
    <n v="342"/>
    <n v="0"/>
    <n v="11881"/>
    <n v="696"/>
    <n v="0"/>
    <n v="0"/>
    <n v="0"/>
    <n v="0"/>
    <n v="0"/>
    <m/>
    <n v="0"/>
    <n v="0"/>
    <n v="0"/>
    <m/>
    <m/>
    <m/>
    <n v="0"/>
    <n v="0"/>
    <n v="0"/>
    <m/>
    <n v="0"/>
  </r>
  <r>
    <x v="1"/>
    <s v="Arkansas State University-Newport"/>
    <m/>
    <n v="440402"/>
    <x v="8"/>
    <n v="53403"/>
    <n v="55273"/>
    <n v="25100"/>
    <n v="25855"/>
    <n v="7201"/>
    <n v="7961"/>
    <n v="20897"/>
    <n v="205"/>
    <n v="0"/>
    <n v="21406"/>
    <n v="51"/>
    <n v="0"/>
    <n v="0"/>
    <n v="0"/>
    <n v="0"/>
    <n v="0"/>
    <m/>
    <n v="0"/>
    <n v="0"/>
    <n v="0"/>
    <m/>
    <m/>
    <m/>
    <n v="0"/>
    <n v="0"/>
    <n v="0"/>
    <m/>
    <n v="0"/>
  </r>
  <r>
    <x v="1"/>
    <s v="Black River Technical College"/>
    <m/>
    <n v="106625"/>
    <x v="8"/>
    <n v="40331"/>
    <n v="31496"/>
    <n v="25096"/>
    <n v="17462"/>
    <n v="3474"/>
    <n v="2798"/>
    <n v="10300"/>
    <n v="1461"/>
    <n v="0"/>
    <n v="9589"/>
    <n v="1647"/>
    <n v="0"/>
    <n v="0"/>
    <n v="0"/>
    <n v="0"/>
    <n v="0"/>
    <m/>
    <n v="0"/>
    <n v="0"/>
    <n v="0"/>
    <m/>
    <m/>
    <m/>
    <n v="0"/>
    <n v="0"/>
    <n v="0"/>
    <m/>
    <n v="0"/>
  </r>
  <r>
    <x v="1"/>
    <s v="College of the Ouachitas"/>
    <m/>
    <n v="107521"/>
    <x v="8"/>
    <n v="25865"/>
    <n v="23711"/>
    <n v="20056"/>
    <n v="17400"/>
    <n v="1621"/>
    <n v="1752"/>
    <n v="4188"/>
    <n v="0"/>
    <n v="0"/>
    <n v="4559"/>
    <n v="0"/>
    <n v="0"/>
    <n v="0"/>
    <n v="0"/>
    <n v="0"/>
    <n v="0"/>
    <m/>
    <n v="0"/>
    <n v="0"/>
    <n v="0"/>
    <m/>
    <m/>
    <m/>
    <n v="0"/>
    <n v="0"/>
    <n v="0"/>
    <m/>
    <n v="0"/>
  </r>
  <r>
    <x v="1"/>
    <s v="Cossatot Community College of the University of Arkansas"/>
    <m/>
    <n v="106795"/>
    <x v="8"/>
    <n v="28890"/>
    <n v="28453"/>
    <n v="7195"/>
    <n v="6429"/>
    <n v="10264"/>
    <n v="10843"/>
    <n v="7811"/>
    <n v="3620"/>
    <n v="0"/>
    <n v="7820"/>
    <n v="3361"/>
    <n v="0"/>
    <n v="0"/>
    <n v="0"/>
    <n v="0"/>
    <n v="0"/>
    <m/>
    <n v="0"/>
    <n v="0"/>
    <n v="0"/>
    <m/>
    <m/>
    <m/>
    <n v="0"/>
    <n v="0"/>
    <n v="0"/>
    <m/>
    <n v="0"/>
  </r>
  <r>
    <x v="1"/>
    <s v="East Arkansas Community College "/>
    <m/>
    <n v="106883"/>
    <x v="8"/>
    <n v="23490"/>
    <n v="21629"/>
    <n v="10701"/>
    <n v="9464"/>
    <n v="6171"/>
    <n v="6322"/>
    <n v="6618"/>
    <n v="0"/>
    <n v="0"/>
    <n v="5843"/>
    <n v="0"/>
    <n v="0"/>
    <n v="0"/>
    <n v="0"/>
    <n v="0"/>
    <n v="0"/>
    <m/>
    <n v="0"/>
    <n v="0"/>
    <n v="0"/>
    <m/>
    <m/>
    <m/>
    <n v="0"/>
    <n v="0"/>
    <n v="0"/>
    <m/>
    <n v="0"/>
  </r>
  <r>
    <x v="1"/>
    <s v="North Arkansas College"/>
    <m/>
    <n v="107460"/>
    <x v="8"/>
    <n v="41054"/>
    <n v="39805"/>
    <n v="29793"/>
    <n v="28191"/>
    <n v="3090"/>
    <n v="3099"/>
    <n v="8171"/>
    <n v="0"/>
    <n v="0"/>
    <n v="8442"/>
    <n v="73"/>
    <n v="0"/>
    <n v="0"/>
    <n v="0"/>
    <n v="0"/>
    <n v="0"/>
    <m/>
    <n v="0"/>
    <n v="0"/>
    <n v="0"/>
    <m/>
    <m/>
    <m/>
    <n v="0"/>
    <n v="0"/>
    <n v="0"/>
    <m/>
    <n v="0"/>
  </r>
  <r>
    <x v="1"/>
    <s v="Ozarka College "/>
    <m/>
    <n v="107549"/>
    <x v="8"/>
    <n v="25808"/>
    <n v="24774"/>
    <n v="12730"/>
    <n v="11882"/>
    <n v="1433"/>
    <n v="1612"/>
    <n v="11438"/>
    <n v="207"/>
    <n v="0"/>
    <n v="11133"/>
    <n v="147"/>
    <n v="0"/>
    <n v="0"/>
    <n v="0"/>
    <n v="0"/>
    <n v="0"/>
    <m/>
    <n v="0"/>
    <n v="0"/>
    <n v="0"/>
    <m/>
    <m/>
    <m/>
    <n v="0"/>
    <n v="0"/>
    <n v="0"/>
    <m/>
    <n v="0"/>
  </r>
  <r>
    <x v="1"/>
    <s v="Phillips Community College of the Univ of Arkansas"/>
    <m/>
    <n v="107619"/>
    <x v="8"/>
    <n v="28513"/>
    <n v="29261"/>
    <n v="21602"/>
    <n v="22069"/>
    <n v="1639"/>
    <n v="1430"/>
    <n v="2542"/>
    <n v="2730"/>
    <n v="0"/>
    <n v="3153"/>
    <n v="2609"/>
    <n v="0"/>
    <n v="0"/>
    <n v="0"/>
    <n v="0"/>
    <n v="0"/>
    <m/>
    <n v="0"/>
    <n v="0"/>
    <n v="0"/>
    <m/>
    <m/>
    <m/>
    <n v="0"/>
    <n v="0"/>
    <n v="0"/>
    <m/>
    <n v="0"/>
  </r>
  <r>
    <x v="1"/>
    <s v="Rich Mountain Community College "/>
    <m/>
    <n v="107743"/>
    <x v="8"/>
    <n v="16417"/>
    <n v="16038"/>
    <n v="10013"/>
    <n v="10330"/>
    <n v="2851"/>
    <n v="2387"/>
    <n v="3037"/>
    <n v="516"/>
    <n v="0"/>
    <n v="2982"/>
    <n v="339"/>
    <n v="0"/>
    <n v="0"/>
    <n v="0"/>
    <n v="0"/>
    <n v="0"/>
    <m/>
    <n v="0"/>
    <n v="0"/>
    <n v="0"/>
    <m/>
    <m/>
    <m/>
    <n v="0"/>
    <n v="0"/>
    <n v="0"/>
    <m/>
    <n v="0"/>
  </r>
  <r>
    <x v="1"/>
    <s v="South Arkansas Community College"/>
    <m/>
    <n v="107974"/>
    <x v="8"/>
    <n v="33824"/>
    <n v="31280"/>
    <n v="22960"/>
    <n v="21353"/>
    <n v="2592"/>
    <n v="2161"/>
    <n v="8272"/>
    <n v="0"/>
    <n v="0"/>
    <n v="7766"/>
    <n v="0"/>
    <n v="0"/>
    <n v="0"/>
    <n v="0"/>
    <n v="0"/>
    <n v="0"/>
    <m/>
    <n v="0"/>
    <n v="0"/>
    <n v="0"/>
    <m/>
    <m/>
    <m/>
    <n v="0"/>
    <n v="0"/>
    <n v="0"/>
    <m/>
    <n v="0"/>
  </r>
  <r>
    <x v="1"/>
    <s v="Southeast Arkansas College"/>
    <m/>
    <n v="107637"/>
    <x v="8"/>
    <n v="31328"/>
    <n v="30094"/>
    <n v="26178"/>
    <n v="24311"/>
    <n v="915"/>
    <n v="949"/>
    <n v="4235"/>
    <n v="0"/>
    <n v="0"/>
    <n v="4834"/>
    <n v="0"/>
    <n v="0"/>
    <n v="0"/>
    <n v="0"/>
    <n v="0"/>
    <n v="0"/>
    <m/>
    <n v="0"/>
    <n v="0"/>
    <n v="0"/>
    <m/>
    <m/>
    <m/>
    <n v="0"/>
    <n v="0"/>
    <n v="0"/>
    <m/>
    <n v="0"/>
  </r>
  <r>
    <x v="1"/>
    <s v="Southern Arkansas University Tech"/>
    <m/>
    <n v="107992"/>
    <x v="8"/>
    <n v="33968"/>
    <n v="33595"/>
    <n v="13282"/>
    <n v="13383"/>
    <n v="15438"/>
    <n v="14815"/>
    <n v="5248"/>
    <n v="0"/>
    <n v="0"/>
    <n v="5397"/>
    <n v="0"/>
    <n v="0"/>
    <n v="0"/>
    <n v="0"/>
    <n v="0"/>
    <n v="0"/>
    <m/>
    <n v="0"/>
    <n v="0"/>
    <n v="0"/>
    <m/>
    <m/>
    <m/>
    <n v="0"/>
    <n v="0"/>
    <n v="0"/>
    <m/>
    <n v="0"/>
  </r>
  <r>
    <x v="1"/>
    <s v="University of Arkansas Community College at Batesville"/>
    <m/>
    <n v="106999"/>
    <x v="8"/>
    <n v="28778"/>
    <n v="27814"/>
    <n v="19172"/>
    <n v="18154"/>
    <n v="1725"/>
    <n v="1832"/>
    <n v="7881"/>
    <n v="0"/>
    <n v="0"/>
    <n v="7828"/>
    <n v="0"/>
    <n v="0"/>
    <n v="0"/>
    <n v="0"/>
    <n v="0"/>
    <n v="0"/>
    <m/>
    <n v="0"/>
    <n v="0"/>
    <n v="0"/>
    <m/>
    <m/>
    <m/>
    <n v="0"/>
    <n v="0"/>
    <n v="0"/>
    <m/>
    <n v="0"/>
  </r>
  <r>
    <x v="1"/>
    <s v="University of Arkansas Community College at Hope"/>
    <m/>
    <n v="107725"/>
    <x v="8"/>
    <n v="27406"/>
    <n v="29412"/>
    <n v="15642"/>
    <n v="15869"/>
    <n v="5999"/>
    <n v="7626"/>
    <n v="4574"/>
    <n v="1191"/>
    <n v="0"/>
    <n v="4684"/>
    <n v="1233"/>
    <n v="0"/>
    <n v="0"/>
    <n v="0"/>
    <n v="0"/>
    <n v="0"/>
    <m/>
    <n v="0"/>
    <n v="0"/>
    <n v="0"/>
    <m/>
    <m/>
    <m/>
    <n v="0"/>
    <n v="0"/>
    <n v="0"/>
    <m/>
    <n v="0"/>
  </r>
  <r>
    <x v="1"/>
    <s v="University of Arkansas Community College at Morrilton"/>
    <m/>
    <n v="107585"/>
    <x v="8"/>
    <n v="46279"/>
    <n v="46040"/>
    <n v="40893"/>
    <n v="40215"/>
    <n v="0"/>
    <n v="30"/>
    <n v="5386"/>
    <n v="0"/>
    <n v="0"/>
    <n v="5795"/>
    <n v="0"/>
    <n v="0"/>
    <n v="0"/>
    <n v="0"/>
    <n v="0"/>
    <n v="0"/>
    <m/>
    <n v="0"/>
    <n v="0"/>
    <n v="0"/>
    <m/>
    <m/>
    <m/>
    <n v="0"/>
    <n v="0"/>
    <n v="0"/>
    <m/>
    <n v="0"/>
  </r>
  <r>
    <x v="1"/>
    <s v="University of Arkansas for Medical Sciences"/>
    <m/>
    <n v="106263"/>
    <x v="11"/>
    <n v="20061"/>
    <n v="18675"/>
    <n v="20061"/>
    <n v="15734"/>
    <n v="0"/>
    <n v="413"/>
    <n v="0"/>
    <n v="0"/>
    <n v="0"/>
    <n v="2183"/>
    <n v="345"/>
    <n v="0"/>
    <n v="0"/>
    <n v="0"/>
    <n v="62857"/>
    <n v="66817"/>
    <n v="62857"/>
    <n v="60880"/>
    <n v="0"/>
    <n v="847"/>
    <m/>
    <m/>
    <m/>
    <n v="3080"/>
    <n v="2010"/>
    <n v="0"/>
    <m/>
    <n v="0"/>
  </r>
  <r>
    <x v="2"/>
    <s v="University of Delaware"/>
    <m/>
    <n v="130943"/>
    <x v="0"/>
    <n v="567333"/>
    <n v="577848"/>
    <n v="549869"/>
    <n v="558155"/>
    <m/>
    <m/>
    <n v="17464"/>
    <n v="0"/>
    <n v="0"/>
    <n v="19693"/>
    <n v="0"/>
    <n v="0"/>
    <m/>
    <m/>
    <n v="54107"/>
    <n v="57909"/>
    <n v="49551"/>
    <n v="52257"/>
    <n v="0"/>
    <n v="0"/>
    <n v="4556"/>
    <n v="0"/>
    <n v="0"/>
    <n v="5652"/>
    <n v="0"/>
    <n v="0"/>
    <m/>
    <m/>
  </r>
  <r>
    <x v="2"/>
    <s v="Delaware State University"/>
    <m/>
    <n v="130934"/>
    <x v="2"/>
    <n v="121952"/>
    <n v="127789"/>
    <n v="118126"/>
    <n v="122627"/>
    <m/>
    <m/>
    <n v="3826"/>
    <n v="0"/>
    <n v="0"/>
    <n v="5162"/>
    <n v="0"/>
    <n v="0"/>
    <m/>
    <m/>
    <n v="5497"/>
    <n v="6146"/>
    <n v="5239"/>
    <n v="5816"/>
    <m/>
    <m/>
    <n v="258"/>
    <n v="0"/>
    <n v="0"/>
    <n v="330"/>
    <n v="0"/>
    <n v="0"/>
    <m/>
    <m/>
  </r>
  <r>
    <x v="2"/>
    <s v="Delaware Technical and Community College--Terry"/>
    <s v="Met the criteria for Two-Year 1 in 2015-16. Now meeting criteria for Technical Instituition or College 1 in 2016-17"/>
    <n v="130907"/>
    <x v="7"/>
    <n v="273057"/>
    <n v="276057"/>
    <n v="238848"/>
    <n v="237563"/>
    <m/>
    <m/>
    <n v="33132"/>
    <n v="849"/>
    <n v="228"/>
    <n v="37297"/>
    <n v="969"/>
    <n v="228"/>
    <m/>
    <m/>
    <n v="0"/>
    <n v="0"/>
    <m/>
    <m/>
    <m/>
    <m/>
    <m/>
    <m/>
    <m/>
    <m/>
    <m/>
    <m/>
    <m/>
    <m/>
  </r>
  <r>
    <x v="3"/>
    <s v="Florida Atlantic University "/>
    <m/>
    <n v="133669"/>
    <x v="0"/>
    <n v="621408"/>
    <n v="635302"/>
    <n v="421128"/>
    <n v="415208"/>
    <n v="71868"/>
    <n v="67109"/>
    <n v="127925"/>
    <n v="487"/>
    <m/>
    <n v="152317"/>
    <n v="668"/>
    <m/>
    <m/>
    <m/>
    <n v="65160.9"/>
    <n v="70654"/>
    <n v="44986.9"/>
    <n v="44910"/>
    <n v="6113"/>
    <n v="6021"/>
    <n v="13745"/>
    <n v="316"/>
    <m/>
    <n v="19065"/>
    <n v="658"/>
    <m/>
    <m/>
    <m/>
  </r>
  <r>
    <x v="3"/>
    <s v="Florida International University"/>
    <m/>
    <n v="133951"/>
    <x v="0"/>
    <n v="1087059"/>
    <n v="1096391"/>
    <n v="618153"/>
    <n v="595176"/>
    <n v="133056"/>
    <n v="120150"/>
    <n v="332558"/>
    <m/>
    <m/>
    <n v="378693"/>
    <m/>
    <m/>
    <n v="3292"/>
    <n v="2372"/>
    <n v="193842"/>
    <n v="196310"/>
    <n v="113984"/>
    <n v="115371"/>
    <n v="38697"/>
    <n v="34008"/>
    <n v="40801"/>
    <m/>
    <m/>
    <n v="46451"/>
    <m/>
    <m/>
    <n v="360"/>
    <n v="480"/>
  </r>
  <r>
    <x v="3"/>
    <s v="Florida State University "/>
    <m/>
    <n v="134097"/>
    <x v="0"/>
    <n v="937405"/>
    <n v="940260"/>
    <n v="766064"/>
    <n v="749582"/>
    <n v="67200"/>
    <n v="64686"/>
    <n v="94736"/>
    <m/>
    <n v="6726"/>
    <n v="115144"/>
    <n v="564"/>
    <n v="7407"/>
    <n v="2679"/>
    <n v="2877"/>
    <n v="174168"/>
    <n v="176981"/>
    <n v="142007"/>
    <n v="140676"/>
    <n v="8627"/>
    <n v="8692"/>
    <n v="22857"/>
    <n v="542"/>
    <n v="102"/>
    <n v="26740"/>
    <n v="740"/>
    <n v="81"/>
    <n v="33"/>
    <n v="52"/>
  </r>
  <r>
    <x v="3"/>
    <s v="University of Central Florida "/>
    <m/>
    <n v="132903"/>
    <x v="0"/>
    <n v="1066012"/>
    <n v="1073726"/>
    <n v="794384"/>
    <n v="786125"/>
    <n v="70035"/>
    <n v="60927"/>
    <n v="201593"/>
    <m/>
    <m/>
    <n v="226674"/>
    <m/>
    <m/>
    <m/>
    <m/>
    <n v="100483.5"/>
    <n v="99526.5"/>
    <n v="70481.5"/>
    <n v="69333.5"/>
    <n v="8897"/>
    <n v="9007"/>
    <n v="21105"/>
    <m/>
    <m/>
    <n v="21153"/>
    <n v="33"/>
    <m/>
    <m/>
    <m/>
  </r>
  <r>
    <x v="3"/>
    <s v="University of Florida"/>
    <m/>
    <n v="134130"/>
    <x v="0"/>
    <n v="998168"/>
    <n v="1032370"/>
    <n v="694639"/>
    <n v="693299"/>
    <m/>
    <m/>
    <n v="301352"/>
    <m/>
    <n v="320"/>
    <n v="338864"/>
    <m/>
    <n v="90"/>
    <n v="1857"/>
    <n v="117"/>
    <n v="341614"/>
    <n v="353542"/>
    <n v="240798"/>
    <n v="245949"/>
    <m/>
    <m/>
    <n v="100784"/>
    <n v="28"/>
    <n v="4"/>
    <n v="107439"/>
    <m/>
    <n v="150"/>
    <m/>
    <n v="4"/>
  </r>
  <r>
    <x v="3"/>
    <s v="University of South Florida "/>
    <m/>
    <n v="137351"/>
    <x v="0"/>
    <n v="738925"/>
    <n v="783129"/>
    <n v="708846"/>
    <n v="626044"/>
    <n v="11963"/>
    <n v="6876"/>
    <n v="14090"/>
    <n v="4026"/>
    <m/>
    <n v="150209"/>
    <m/>
    <m/>
    <m/>
    <m/>
    <n v="164305"/>
    <n v="200041"/>
    <n v="146690"/>
    <n v="149186"/>
    <n v="12594"/>
    <n v="11541"/>
    <n v="5021"/>
    <m/>
    <m/>
    <n v="39314"/>
    <m/>
    <m/>
    <m/>
    <m/>
  </r>
  <r>
    <x v="3"/>
    <s v="Florida Agricultural &amp; Mechanical University "/>
    <s v="Met the criteria for Four-Year 2 in 2015-16 and 2016-17."/>
    <n v="133650"/>
    <x v="2"/>
    <n v="237428"/>
    <n v="227940"/>
    <n v="226732"/>
    <n v="216321"/>
    <n v="3982"/>
    <n v="2298"/>
    <n v="6714"/>
    <m/>
    <m/>
    <n v="9321"/>
    <m/>
    <m/>
    <m/>
    <m/>
    <n v="43508"/>
    <n v="45556"/>
    <n v="28899"/>
    <n v="31406"/>
    <n v="12795"/>
    <n v="12680"/>
    <n v="1814"/>
    <m/>
    <m/>
    <n v="1470"/>
    <m/>
    <m/>
    <m/>
    <m/>
  </r>
  <r>
    <x v="3"/>
    <s v="University of North Florida"/>
    <m/>
    <n v="136172"/>
    <x v="2"/>
    <n v="309421"/>
    <n v="298840"/>
    <n v="298067"/>
    <n v="286500"/>
    <n v="3661"/>
    <n v="4431"/>
    <n v="7693"/>
    <m/>
    <m/>
    <n v="7909"/>
    <m/>
    <m/>
    <m/>
    <m/>
    <n v="26499"/>
    <n v="26909"/>
    <n v="21916"/>
    <n v="22596"/>
    <n v="2360"/>
    <n v="1892"/>
    <n v="2223"/>
    <m/>
    <m/>
    <n v="2421"/>
    <m/>
    <m/>
    <m/>
    <m/>
  </r>
  <r>
    <x v="3"/>
    <s v="University of West Florida"/>
    <m/>
    <n v="138354"/>
    <x v="2"/>
    <n v="254972"/>
    <n v="256970.5"/>
    <n v="172641"/>
    <n v="167766.5"/>
    <n v="1290"/>
    <m/>
    <n v="81041"/>
    <m/>
    <m/>
    <n v="89204"/>
    <m/>
    <m/>
    <m/>
    <m/>
    <n v="38419"/>
    <n v="42935.5"/>
    <n v="9720.5"/>
    <n v="8009"/>
    <n v="102"/>
    <m/>
    <n v="28596.5"/>
    <m/>
    <m/>
    <n v="34926.5"/>
    <m/>
    <m/>
    <m/>
    <m/>
  </r>
  <r>
    <x v="3"/>
    <s v="Florida Gulf Coast University"/>
    <m/>
    <n v="433660"/>
    <x v="3"/>
    <n v="347892"/>
    <n v="353377"/>
    <n v="264084"/>
    <n v="273871"/>
    <n v="8660"/>
    <n v="8272"/>
    <n v="75148"/>
    <m/>
    <m/>
    <n v="71234"/>
    <m/>
    <m/>
    <m/>
    <m/>
    <n v="19809"/>
    <n v="19899"/>
    <n v="10115"/>
    <n v="11251"/>
    <n v="2324"/>
    <n v="2428"/>
    <n v="7370"/>
    <m/>
    <m/>
    <n v="6220"/>
    <m/>
    <m/>
    <m/>
    <m/>
  </r>
  <r>
    <x v="3"/>
    <s v="New College of Florida"/>
    <m/>
    <n v="262129"/>
    <x v="5"/>
    <n v="29248"/>
    <n v="28608"/>
    <n v="29248"/>
    <n v="28608"/>
    <m/>
    <m/>
    <m/>
    <m/>
    <m/>
    <m/>
    <m/>
    <m/>
    <m/>
    <m/>
    <n v="0"/>
    <n v="231"/>
    <m/>
    <n v="231"/>
    <m/>
    <m/>
    <m/>
    <m/>
    <m/>
    <m/>
    <m/>
    <m/>
    <m/>
    <m/>
  </r>
  <r>
    <x v="3"/>
    <s v="Eastern Florida State College"/>
    <s v="Met the criteria for Two-Year with Bachelor's in 2015-16 and 2016-17. "/>
    <n v="132693"/>
    <x v="6"/>
    <n v="304376"/>
    <n v="309025"/>
    <n v="247462"/>
    <n v="217792"/>
    <n v="6701"/>
    <n v="7766"/>
    <n v="50213"/>
    <n v="0"/>
    <n v="0"/>
    <n v="83467"/>
    <n v="0"/>
    <n v="0"/>
    <n v="0"/>
    <n v="0"/>
    <n v="0"/>
    <n v="0"/>
    <m/>
    <m/>
    <m/>
    <m/>
    <m/>
    <m/>
    <m/>
    <m/>
    <m/>
    <m/>
    <m/>
    <m/>
  </r>
  <r>
    <x v="3"/>
    <s v="Broward College "/>
    <m/>
    <n v="132709"/>
    <x v="12"/>
    <n v="861142"/>
    <n v="879832"/>
    <n v="649872"/>
    <n v="666132"/>
    <n v="67523"/>
    <n v="58307"/>
    <n v="136376"/>
    <n v="0"/>
    <n v="7362"/>
    <n v="152360"/>
    <n v="0"/>
    <n v="3030"/>
    <n v="9"/>
    <n v="3"/>
    <n v="0"/>
    <n v="0"/>
    <m/>
    <m/>
    <m/>
    <m/>
    <m/>
    <m/>
    <m/>
    <m/>
    <m/>
    <m/>
    <m/>
    <m/>
  </r>
  <r>
    <x v="3"/>
    <s v="College of Central Florida"/>
    <m/>
    <n v="132851"/>
    <x v="12"/>
    <n v="162721"/>
    <n v="150640"/>
    <n v="115036"/>
    <n v="102020"/>
    <n v="0"/>
    <n v="0"/>
    <n v="47685"/>
    <n v="0"/>
    <n v="0"/>
    <n v="48467"/>
    <n v="153"/>
    <n v="0"/>
    <n v="0"/>
    <n v="0"/>
    <n v="0"/>
    <n v="0"/>
    <m/>
    <m/>
    <m/>
    <m/>
    <m/>
    <m/>
    <m/>
    <m/>
    <m/>
    <m/>
    <m/>
    <m/>
  </r>
  <r>
    <x v="3"/>
    <s v="Chipola College "/>
    <m/>
    <n v="133021"/>
    <x v="12"/>
    <n v="40189"/>
    <n v="40703"/>
    <n v="31493"/>
    <n v="31082"/>
    <n v="2391"/>
    <n v="1973"/>
    <n v="6305"/>
    <n v="0"/>
    <n v="0"/>
    <n v="7648"/>
    <n v="0"/>
    <n v="0"/>
    <n v="0"/>
    <n v="0"/>
    <n v="0"/>
    <n v="0"/>
    <m/>
    <m/>
    <m/>
    <m/>
    <m/>
    <m/>
    <m/>
    <m/>
    <m/>
    <m/>
    <m/>
    <m/>
  </r>
  <r>
    <x v="3"/>
    <s v="Daytona State College "/>
    <m/>
    <n v="133386"/>
    <x v="12"/>
    <n v="294845"/>
    <n v="287352"/>
    <n v="185362"/>
    <n v="176278"/>
    <n v="0"/>
    <n v="674"/>
    <n v="109483"/>
    <n v="0"/>
    <n v="0"/>
    <n v="110400"/>
    <n v="0"/>
    <n v="0"/>
    <n v="0"/>
    <n v="0"/>
    <n v="0"/>
    <n v="0"/>
    <m/>
    <m/>
    <m/>
    <m/>
    <m/>
    <m/>
    <m/>
    <m/>
    <m/>
    <m/>
    <m/>
    <m/>
  </r>
  <r>
    <x v="3"/>
    <s v="Florida SouthWestern State College"/>
    <m/>
    <n v="133508"/>
    <x v="12"/>
    <n v="306409"/>
    <n v="317290"/>
    <n v="214077"/>
    <n v="226142"/>
    <n v="12981"/>
    <n v="14430"/>
    <n v="77292"/>
    <n v="0"/>
    <n v="0"/>
    <n v="74879"/>
    <n v="0"/>
    <n v="0"/>
    <n v="2059"/>
    <n v="1839"/>
    <n v="0"/>
    <n v="0"/>
    <m/>
    <m/>
    <m/>
    <m/>
    <m/>
    <m/>
    <m/>
    <m/>
    <m/>
    <m/>
    <m/>
    <m/>
  </r>
  <r>
    <x v="3"/>
    <s v="Florida State College at Jacksonville"/>
    <m/>
    <n v="133702"/>
    <x v="12"/>
    <n v="546912"/>
    <n v="531512"/>
    <n v="339147"/>
    <n v="314858"/>
    <n v="20597"/>
    <n v="19874"/>
    <n v="187168"/>
    <n v="0"/>
    <n v="0"/>
    <n v="196780"/>
    <n v="0"/>
    <n v="0"/>
    <n v="0"/>
    <n v="0"/>
    <n v="0"/>
    <n v="0"/>
    <m/>
    <m/>
    <m/>
    <m/>
    <m/>
    <m/>
    <m/>
    <m/>
    <m/>
    <m/>
    <m/>
    <m/>
  </r>
  <r>
    <x v="3"/>
    <s v="Florida Keys Community College "/>
    <m/>
    <n v="133960"/>
    <x v="8"/>
    <n v="20246"/>
    <n v="20035"/>
    <n v="15373"/>
    <n v="14945"/>
    <n v="691"/>
    <n v="864"/>
    <n v="4182"/>
    <n v="0"/>
    <n v="0"/>
    <n v="4226"/>
    <n v="0"/>
    <n v="0"/>
    <n v="0"/>
    <n v="0"/>
    <n v="0"/>
    <n v="0"/>
    <m/>
    <m/>
    <m/>
    <m/>
    <m/>
    <m/>
    <m/>
    <m/>
    <m/>
    <m/>
    <m/>
    <m/>
  </r>
  <r>
    <x v="3"/>
    <s v="Gulf Coast State College "/>
    <m/>
    <n v="134343"/>
    <x v="12"/>
    <n v="112910"/>
    <n v="108350"/>
    <n v="69235"/>
    <n v="66159"/>
    <n v="14046"/>
    <n v="13531"/>
    <n v="29629"/>
    <n v="0"/>
    <n v="0"/>
    <n v="28660"/>
    <n v="0"/>
    <n v="0"/>
    <n v="0"/>
    <n v="0"/>
    <n v="0"/>
    <n v="0"/>
    <m/>
    <m/>
    <m/>
    <m/>
    <m/>
    <m/>
    <m/>
    <m/>
    <m/>
    <m/>
    <m/>
    <m/>
  </r>
  <r>
    <x v="3"/>
    <s v="Hillsborough Community College "/>
    <m/>
    <n v="134495"/>
    <x v="6"/>
    <n v="551430"/>
    <n v="556098"/>
    <n v="433117"/>
    <n v="401069"/>
    <n v="18702"/>
    <n v="19986"/>
    <n v="98963"/>
    <n v="0"/>
    <n v="648"/>
    <n v="133483"/>
    <n v="0"/>
    <n v="1560"/>
    <n v="0"/>
    <n v="0"/>
    <n v="0"/>
    <n v="0"/>
    <m/>
    <m/>
    <m/>
    <m/>
    <m/>
    <m/>
    <m/>
    <m/>
    <m/>
    <m/>
    <m/>
    <m/>
  </r>
  <r>
    <x v="3"/>
    <s v="Indian River State College "/>
    <m/>
    <n v="134608"/>
    <x v="12"/>
    <n v="340729"/>
    <n v="351893"/>
    <n v="239250"/>
    <n v="239719"/>
    <n v="14085"/>
    <n v="19801"/>
    <n v="86961"/>
    <n v="0"/>
    <n v="0"/>
    <n v="92037"/>
    <n v="0"/>
    <n v="0"/>
    <n v="433"/>
    <n v="336"/>
    <n v="0"/>
    <n v="0"/>
    <m/>
    <m/>
    <m/>
    <m/>
    <m/>
    <m/>
    <m/>
    <m/>
    <m/>
    <m/>
    <m/>
    <m/>
  </r>
  <r>
    <x v="3"/>
    <s v="Florida Gateway College"/>
    <s v="Reclassified: Met the criteria for Two-Year with Bachelor's in 2014-15, 2015-16, and 2016-17."/>
    <n v="135160"/>
    <x v="12"/>
    <n v="50063"/>
    <n v="55912"/>
    <n v="23943"/>
    <n v="24190"/>
    <n v="4048"/>
    <n v="4821"/>
    <n v="22072"/>
    <n v="0"/>
    <n v="0"/>
    <n v="26901"/>
    <n v="0"/>
    <n v="0"/>
    <n v="0"/>
    <n v="0"/>
    <n v="0"/>
    <n v="0"/>
    <m/>
    <m/>
    <m/>
    <m/>
    <m/>
    <m/>
    <m/>
    <m/>
    <m/>
    <m/>
    <m/>
    <m/>
  </r>
  <r>
    <x v="3"/>
    <s v="Lake-Sumter State College "/>
    <s v="Met the criteria for Two-Year with Bachelor's in 2015-16 and 2016-17."/>
    <n v="135188"/>
    <x v="7"/>
    <n v="85988"/>
    <n v="88263"/>
    <n v="64121"/>
    <n v="63566"/>
    <n v="0"/>
    <n v="0"/>
    <n v="21867"/>
    <n v="0"/>
    <n v="0"/>
    <n v="24697"/>
    <n v="0"/>
    <n v="0"/>
    <n v="0"/>
    <n v="0"/>
    <n v="0"/>
    <n v="0"/>
    <m/>
    <m/>
    <m/>
    <m/>
    <m/>
    <m/>
    <m/>
    <m/>
    <m/>
    <m/>
    <m/>
    <m/>
  </r>
  <r>
    <x v="3"/>
    <s v="State College of Florida, Manatee-Sarasota"/>
    <m/>
    <n v="135391"/>
    <x v="12"/>
    <n v="224121"/>
    <n v="218323"/>
    <n v="148642"/>
    <n v="133335"/>
    <n v="10451"/>
    <n v="11064"/>
    <n v="65028"/>
    <n v="0"/>
    <n v="0"/>
    <n v="73924"/>
    <n v="0"/>
    <n v="0"/>
    <n v="0"/>
    <n v="0"/>
    <n v="0"/>
    <n v="0"/>
    <m/>
    <m/>
    <m/>
    <m/>
    <m/>
    <m/>
    <m/>
    <m/>
    <m/>
    <m/>
    <m/>
    <m/>
  </r>
  <r>
    <x v="3"/>
    <s v="Miami Dade College "/>
    <m/>
    <n v="135717"/>
    <x v="12"/>
    <n v="1456840"/>
    <n v="1364503"/>
    <n v="1330018"/>
    <n v="1231286"/>
    <n v="8057"/>
    <n v="13973"/>
    <n v="118765"/>
    <n v="0"/>
    <n v="0"/>
    <n v="118853"/>
    <n v="0"/>
    <n v="0"/>
    <n v="0"/>
    <n v="391"/>
    <n v="0"/>
    <n v="0"/>
    <m/>
    <m/>
    <m/>
    <m/>
    <m/>
    <m/>
    <m/>
    <m/>
    <m/>
    <m/>
    <m/>
    <m/>
  </r>
  <r>
    <x v="3"/>
    <s v="North Florida Community College "/>
    <m/>
    <n v="136145"/>
    <x v="8"/>
    <n v="21004"/>
    <n v="21631"/>
    <n v="13731"/>
    <n v="14339"/>
    <n v="783"/>
    <n v="721"/>
    <n v="5986"/>
    <n v="504"/>
    <n v="0"/>
    <n v="6571"/>
    <n v="0"/>
    <n v="0"/>
    <n v="0"/>
    <n v="0"/>
    <n v="0"/>
    <n v="0"/>
    <m/>
    <m/>
    <m/>
    <m/>
    <m/>
    <m/>
    <m/>
    <m/>
    <m/>
    <m/>
    <m/>
    <m/>
  </r>
  <r>
    <x v="3"/>
    <s v="Northwest Florida State College"/>
    <m/>
    <n v="136233"/>
    <x v="12"/>
    <n v="128191"/>
    <n v="113555"/>
    <n v="98904"/>
    <n v="75348"/>
    <n v="7623"/>
    <n v="6069"/>
    <n v="21664"/>
    <n v="0"/>
    <n v="0"/>
    <n v="32138"/>
    <n v="0"/>
    <n v="0"/>
    <n v="0"/>
    <n v="0"/>
    <n v="0"/>
    <n v="0"/>
    <m/>
    <m/>
    <m/>
    <m/>
    <m/>
    <m/>
    <m/>
    <m/>
    <m/>
    <m/>
    <m/>
    <m/>
  </r>
  <r>
    <x v="3"/>
    <s v="Palm Beach State College "/>
    <m/>
    <n v="136358"/>
    <x v="12"/>
    <n v="559646"/>
    <n v="569162"/>
    <n v="450613"/>
    <n v="459428"/>
    <n v="9449"/>
    <n v="8978"/>
    <n v="96982"/>
    <n v="0"/>
    <n v="2602"/>
    <n v="98281"/>
    <n v="0"/>
    <n v="2475"/>
    <n v="0"/>
    <n v="0"/>
    <n v="0"/>
    <n v="0"/>
    <m/>
    <m/>
    <m/>
    <m/>
    <m/>
    <m/>
    <m/>
    <m/>
    <m/>
    <m/>
    <m/>
    <m/>
  </r>
  <r>
    <x v="3"/>
    <s v="Pasco-Hernando State College "/>
    <s v="Met the criteria for Two-Year with Bachelor's in 2016-17. "/>
    <n v="136400"/>
    <x v="6"/>
    <n v="222340"/>
    <n v="222640"/>
    <n v="151084"/>
    <n v="144083"/>
    <n v="8080"/>
    <n v="8879"/>
    <n v="63176"/>
    <n v="0"/>
    <n v="0"/>
    <n v="69678"/>
    <n v="0"/>
    <n v="0"/>
    <n v="0"/>
    <n v="0"/>
    <n v="0"/>
    <n v="0"/>
    <m/>
    <m/>
    <m/>
    <m/>
    <m/>
    <m/>
    <m/>
    <m/>
    <m/>
    <m/>
    <m/>
    <m/>
  </r>
  <r>
    <x v="3"/>
    <s v="Pensacola State College "/>
    <m/>
    <n v="136473"/>
    <x v="12"/>
    <n v="194368"/>
    <n v="186906"/>
    <n v="134721"/>
    <n v="126428"/>
    <n v="19776"/>
    <n v="17698"/>
    <n v="39871"/>
    <n v="0"/>
    <n v="0"/>
    <n v="42768"/>
    <n v="12"/>
    <n v="0"/>
    <n v="0"/>
    <n v="0"/>
    <n v="0"/>
    <n v="0"/>
    <m/>
    <m/>
    <m/>
    <m/>
    <m/>
    <m/>
    <m/>
    <m/>
    <m/>
    <m/>
    <m/>
    <m/>
  </r>
  <r>
    <x v="3"/>
    <s v="Polk State College "/>
    <m/>
    <n v="136516"/>
    <x v="12"/>
    <n v="216555"/>
    <n v="203929"/>
    <n v="138215"/>
    <n v="120338"/>
    <n v="18674"/>
    <n v="21365"/>
    <n v="59666"/>
    <n v="0"/>
    <n v="0"/>
    <n v="62226"/>
    <n v="0"/>
    <n v="0"/>
    <n v="0"/>
    <n v="0"/>
    <n v="0"/>
    <n v="0"/>
    <m/>
    <m/>
    <m/>
    <m/>
    <m/>
    <m/>
    <m/>
    <m/>
    <m/>
    <m/>
    <m/>
    <m/>
  </r>
  <r>
    <x v="3"/>
    <s v="St. Johns River State College "/>
    <m/>
    <n v="137281"/>
    <x v="12"/>
    <n v="134115"/>
    <n v="129077"/>
    <n v="84481"/>
    <n v="78729"/>
    <n v="14474"/>
    <n v="14969"/>
    <n v="35160"/>
    <n v="0"/>
    <n v="0"/>
    <n v="35379"/>
    <n v="0"/>
    <n v="0"/>
    <n v="0"/>
    <n v="0"/>
    <n v="0"/>
    <n v="0"/>
    <m/>
    <m/>
    <m/>
    <m/>
    <m/>
    <m/>
    <m/>
    <m/>
    <m/>
    <m/>
    <m/>
    <m/>
  </r>
  <r>
    <x v="3"/>
    <s v="St. Petersburg College "/>
    <m/>
    <n v="137078"/>
    <x v="12"/>
    <n v="610245"/>
    <n v="582703"/>
    <n v="359733"/>
    <n v="337510"/>
    <n v="0"/>
    <n v="0"/>
    <n v="250408"/>
    <n v="96"/>
    <n v="0"/>
    <n v="245193"/>
    <n v="0"/>
    <n v="0"/>
    <n v="8"/>
    <n v="0"/>
    <n v="0"/>
    <n v="0"/>
    <m/>
    <m/>
    <m/>
    <m/>
    <m/>
    <m/>
    <m/>
    <m/>
    <m/>
    <m/>
    <m/>
    <m/>
  </r>
  <r>
    <x v="3"/>
    <s v="Santa Fe College "/>
    <m/>
    <n v="137096"/>
    <x v="12"/>
    <n v="312710"/>
    <n v="315827"/>
    <n v="237913"/>
    <n v="237581"/>
    <n v="3878"/>
    <n v="3809"/>
    <n v="70919"/>
    <n v="0"/>
    <n v="0"/>
    <n v="74437"/>
    <n v="0"/>
    <n v="0"/>
    <n v="0"/>
    <n v="0"/>
    <n v="0"/>
    <n v="0"/>
    <m/>
    <m/>
    <m/>
    <m/>
    <m/>
    <m/>
    <m/>
    <m/>
    <m/>
    <m/>
    <m/>
    <m/>
  </r>
  <r>
    <x v="3"/>
    <s v="Seminole State College of Florida"/>
    <m/>
    <n v="137209"/>
    <x v="12"/>
    <n v="346111"/>
    <n v="335487"/>
    <n v="247064"/>
    <n v="228327"/>
    <n v="0"/>
    <n v="0"/>
    <n v="99047"/>
    <n v="0"/>
    <n v="0"/>
    <n v="107160"/>
    <n v="0"/>
    <n v="0"/>
    <n v="0"/>
    <n v="0"/>
    <n v="0"/>
    <n v="0"/>
    <m/>
    <m/>
    <m/>
    <m/>
    <m/>
    <m/>
    <m/>
    <m/>
    <m/>
    <m/>
    <m/>
    <m/>
  </r>
  <r>
    <x v="3"/>
    <s v="South Florida State College "/>
    <s v="Met the criteria for Two-Year with Bachelor's in 2015-16 and 2016-17. "/>
    <n v="137315"/>
    <x v="7"/>
    <n v="45873"/>
    <n v="45615"/>
    <n v="25927"/>
    <n v="26365"/>
    <n v="10326"/>
    <n v="9683"/>
    <n v="8562"/>
    <n v="1003"/>
    <n v="55"/>
    <n v="9157"/>
    <n v="358"/>
    <n v="52"/>
    <n v="0"/>
    <n v="0"/>
    <n v="0"/>
    <n v="0"/>
    <m/>
    <m/>
    <m/>
    <m/>
    <m/>
    <m/>
    <m/>
    <m/>
    <m/>
    <m/>
    <m/>
    <m/>
  </r>
  <r>
    <x v="3"/>
    <s v="Tallahassee Community College "/>
    <m/>
    <n v="137759"/>
    <x v="6"/>
    <n v="270629"/>
    <n v="266020"/>
    <n v="212349"/>
    <n v="202267"/>
    <n v="10232"/>
    <n v="9953"/>
    <n v="48048"/>
    <n v="0"/>
    <n v="0"/>
    <n v="53800"/>
    <n v="0"/>
    <n v="0"/>
    <n v="0"/>
    <n v="0"/>
    <n v="0"/>
    <n v="0"/>
    <m/>
    <m/>
    <m/>
    <m/>
    <m/>
    <m/>
    <m/>
    <m/>
    <m/>
    <m/>
    <m/>
    <m/>
  </r>
  <r>
    <x v="3"/>
    <s v="Valencia College "/>
    <m/>
    <n v="138187"/>
    <x v="12"/>
    <n v="894544"/>
    <n v="900907"/>
    <n v="648466"/>
    <n v="636598"/>
    <n v="17467"/>
    <n v="21358"/>
    <n v="228611"/>
    <n v="0"/>
    <n v="0"/>
    <n v="242951"/>
    <n v="0"/>
    <n v="0"/>
    <n v="0"/>
    <n v="0"/>
    <n v="0"/>
    <n v="0"/>
    <m/>
    <m/>
    <m/>
    <m/>
    <m/>
    <m/>
    <m/>
    <m/>
    <m/>
    <m/>
    <m/>
    <m/>
  </r>
  <r>
    <x v="4"/>
    <s v="Georgia State University (includes Georgia Perimeter College)"/>
    <m/>
    <s v="139940"/>
    <x v="0"/>
    <n v="666994"/>
    <n v="1093614.5"/>
    <n v="611168"/>
    <n v="901399.5"/>
    <n v="7243"/>
    <n v="11156"/>
    <n v="48565"/>
    <m/>
    <n v="18"/>
    <n v="181059"/>
    <n v="0"/>
    <n v="0"/>
    <m/>
    <n v="0"/>
    <n v="227395"/>
    <n v="225897"/>
    <n v="193663"/>
    <n v="143032.5"/>
    <n v="23433"/>
    <n v="72570.5"/>
    <n v="10289"/>
    <m/>
    <n v="10"/>
    <n v="10294"/>
    <n v="0"/>
    <n v="0"/>
    <m/>
    <n v="0"/>
  </r>
  <r>
    <x v="4"/>
    <s v="University of Georgia"/>
    <m/>
    <s v="139959"/>
    <x v="0"/>
    <n v="785409"/>
    <n v="802634.4"/>
    <n v="746961"/>
    <n v="749903.4"/>
    <n v="19690"/>
    <n v="20526"/>
    <n v="18758"/>
    <m/>
    <m/>
    <n v="32205"/>
    <n v="0"/>
    <n v="0"/>
    <m/>
    <n v="0"/>
    <n v="251981"/>
    <n v="261769.8"/>
    <n v="209439"/>
    <n v="214839.6"/>
    <n v="33527"/>
    <n v="35639.699999999997"/>
    <n v="9015"/>
    <m/>
    <m/>
    <n v="11290.5"/>
    <n v="0"/>
    <n v="0"/>
    <m/>
    <n v="0"/>
  </r>
  <r>
    <x v="4"/>
    <s v="Georgia Institute of Technology"/>
    <m/>
    <s v="139755"/>
    <x v="1"/>
    <n v="433619"/>
    <n v="437645"/>
    <n v="415462"/>
    <n v="417829"/>
    <n v="14031"/>
    <n v="14243"/>
    <n v="4126"/>
    <m/>
    <m/>
    <n v="5573"/>
    <n v="0"/>
    <n v="0"/>
    <m/>
    <n v="0"/>
    <n v="262428"/>
    <n v="278585.5"/>
    <n v="232458"/>
    <n v="245059.5"/>
    <n v="3332"/>
    <n v="2686"/>
    <n v="26611"/>
    <m/>
    <n v="27"/>
    <n v="30840"/>
    <n v="0"/>
    <n v="0"/>
    <m/>
    <n v="0"/>
  </r>
  <r>
    <x v="4"/>
    <s v="Georgia Southern University"/>
    <m/>
    <s v="139931"/>
    <x v="2"/>
    <n v="514037"/>
    <n v="520422"/>
    <n v="433117"/>
    <n v="431732"/>
    <n v="4107"/>
    <n v="4571"/>
    <n v="76696"/>
    <m/>
    <n v="117"/>
    <n v="84094"/>
    <n v="0"/>
    <n v="25"/>
    <m/>
    <n v="0"/>
    <n v="43801"/>
    <n v="46180"/>
    <n v="17595"/>
    <n v="18251"/>
    <n v="621"/>
    <n v="802"/>
    <n v="25576"/>
    <m/>
    <n v="9"/>
    <n v="27124"/>
    <n v="0"/>
    <n v="3"/>
    <m/>
    <n v="0"/>
  </r>
  <r>
    <x v="4"/>
    <s v="Kennesaw State University"/>
    <m/>
    <s v="140164"/>
    <x v="2"/>
    <n v="787879"/>
    <n v="825733"/>
    <n v="626881"/>
    <n v="646648"/>
    <n v="6105"/>
    <n v="1399"/>
    <n v="151349"/>
    <m/>
    <n v="1067"/>
    <n v="177686"/>
    <n v="0"/>
    <n v="0"/>
    <n v="2477"/>
    <n v="0"/>
    <n v="51961"/>
    <n v="49519"/>
    <n v="25379"/>
    <n v="22712"/>
    <n v="1066"/>
    <n v="380"/>
    <n v="25222"/>
    <m/>
    <n v="54"/>
    <n v="26427"/>
    <n v="0"/>
    <n v="0"/>
    <n v="240"/>
    <n v="0"/>
  </r>
  <r>
    <x v="4"/>
    <s v="University of West Georgia"/>
    <m/>
    <s v="141334"/>
    <x v="2"/>
    <n v="286449"/>
    <n v="300804"/>
    <n v="207791"/>
    <n v="206474"/>
    <n v="8081"/>
    <n v="10439"/>
    <n v="70577"/>
    <m/>
    <m/>
    <n v="83891"/>
    <n v="0"/>
    <n v="0"/>
    <m/>
    <n v="0"/>
    <n v="35308"/>
    <n v="36455"/>
    <n v="8038"/>
    <n v="7459"/>
    <n v="730"/>
    <n v="674"/>
    <n v="26540"/>
    <m/>
    <m/>
    <n v="28322"/>
    <n v="0"/>
    <n v="0"/>
    <m/>
    <n v="0"/>
  </r>
  <r>
    <x v="4"/>
    <s v="Valdosta State University "/>
    <m/>
    <s v="141264"/>
    <x v="2"/>
    <n v="245830"/>
    <n v="239907"/>
    <n v="208800"/>
    <n v="197812"/>
    <n v="3175"/>
    <n v="2503"/>
    <n v="33513"/>
    <n v="342"/>
    <m/>
    <n v="39364"/>
    <n v="228"/>
    <n v="0"/>
    <m/>
    <n v="0"/>
    <n v="43671"/>
    <n v="47071"/>
    <n v="14760"/>
    <n v="14054"/>
    <n v="902"/>
    <n v="928"/>
    <n v="27991"/>
    <n v="18"/>
    <m/>
    <n v="32071"/>
    <n v="18"/>
    <n v="0"/>
    <m/>
    <n v="0"/>
  </r>
  <r>
    <x v="4"/>
    <s v="Albany State University "/>
    <m/>
    <s v="138716"/>
    <x v="3"/>
    <n v="86033"/>
    <n v="74123"/>
    <n v="68435"/>
    <n v="58209"/>
    <n v="1859"/>
    <n v="1336"/>
    <n v="14856"/>
    <n v="124"/>
    <n v="759"/>
    <n v="13950"/>
    <n v="380"/>
    <n v="248"/>
    <m/>
    <n v="0"/>
    <n v="8768"/>
    <n v="8469"/>
    <n v="4934"/>
    <n v="4591"/>
    <n v="309"/>
    <n v="459"/>
    <n v="3525"/>
    <m/>
    <m/>
    <n v="3395"/>
    <n v="0"/>
    <n v="24"/>
    <m/>
    <n v="0"/>
  </r>
  <r>
    <x v="4"/>
    <s v="Armstrong State University"/>
    <m/>
    <s v="138789"/>
    <x v="3"/>
    <n v="165478"/>
    <n v="166754"/>
    <n v="140585"/>
    <n v="136833"/>
    <n v="6266"/>
    <n v="6905"/>
    <n v="18627"/>
    <m/>
    <m/>
    <n v="23016"/>
    <n v="0"/>
    <n v="0"/>
    <m/>
    <n v="0"/>
    <n v="15222"/>
    <n v="15698"/>
    <n v="11491"/>
    <n v="11839"/>
    <n v="0"/>
    <n v="0"/>
    <n v="3731"/>
    <m/>
    <m/>
    <n v="3859"/>
    <n v="0"/>
    <n v="0"/>
    <m/>
    <n v="0"/>
  </r>
  <r>
    <x v="4"/>
    <s v="Clayton State University"/>
    <m/>
    <s v="139311"/>
    <x v="3"/>
    <n v="153972"/>
    <n v="154812"/>
    <n v="115246"/>
    <n v="106615"/>
    <n v="3657"/>
    <n v="4616"/>
    <n v="35069"/>
    <m/>
    <m/>
    <n v="43581"/>
    <n v="0"/>
    <n v="0"/>
    <m/>
    <n v="0"/>
    <n v="7279"/>
    <n v="7988"/>
    <n v="5298"/>
    <n v="5910"/>
    <n v="277"/>
    <n v="167"/>
    <n v="1704"/>
    <m/>
    <m/>
    <n v="1911"/>
    <n v="0"/>
    <n v="0"/>
    <m/>
    <n v="0"/>
  </r>
  <r>
    <x v="4"/>
    <s v="Columbus State University"/>
    <m/>
    <s v="139366"/>
    <x v="3"/>
    <n v="179355"/>
    <n v="175996"/>
    <n v="137932"/>
    <n v="134992"/>
    <n v="7219"/>
    <n v="6783"/>
    <n v="33635"/>
    <n v="15"/>
    <n v="523"/>
    <n v="34209"/>
    <n v="12"/>
    <n v="0"/>
    <n v="31"/>
    <n v="0"/>
    <n v="24662"/>
    <n v="27587"/>
    <n v="10829"/>
    <n v="10401"/>
    <n v="592"/>
    <n v="761"/>
    <n v="12807"/>
    <m/>
    <n v="434"/>
    <n v="16425"/>
    <n v="0"/>
    <n v="0"/>
    <m/>
    <n v="0"/>
  </r>
  <r>
    <x v="4"/>
    <s v="Fort Valley State University"/>
    <m/>
    <s v="139719"/>
    <x v="3"/>
    <n v="64797"/>
    <n v="64203"/>
    <n v="52482"/>
    <n v="51987"/>
    <n v="183"/>
    <n v="294"/>
    <n v="10322"/>
    <m/>
    <n v="1741"/>
    <n v="10718"/>
    <n v="0"/>
    <n v="1204"/>
    <n v="69"/>
    <n v="0"/>
    <n v="6977"/>
    <n v="7074"/>
    <n v="5043"/>
    <n v="5732"/>
    <n v="30"/>
    <n v="0"/>
    <n v="1869"/>
    <m/>
    <n v="35"/>
    <n v="1339"/>
    <n v="0"/>
    <n v="3"/>
    <m/>
    <n v="0"/>
  </r>
  <r>
    <x v="4"/>
    <s v="Georgia College and State University"/>
    <m/>
    <s v="139861"/>
    <x v="3"/>
    <n v="179542"/>
    <n v="181608"/>
    <n v="163964"/>
    <n v="165381.5"/>
    <n v="2888"/>
    <n v="2373.5"/>
    <n v="12655"/>
    <m/>
    <n v="35"/>
    <n v="13853"/>
    <n v="0"/>
    <n v="0"/>
    <n v="0"/>
    <n v="0"/>
    <n v="17635"/>
    <n v="17484"/>
    <n v="5174"/>
    <n v="4520"/>
    <n v="3952"/>
    <n v="2631"/>
    <n v="8053"/>
    <m/>
    <n v="456"/>
    <n v="10333"/>
    <n v="0"/>
    <n v="0"/>
    <m/>
    <n v="0"/>
  </r>
  <r>
    <x v="4"/>
    <s v="Georgia Regents University"/>
    <m/>
    <s v="482149"/>
    <x v="3"/>
    <n v="136552"/>
    <n v="138904"/>
    <n v="120634"/>
    <n v="120934"/>
    <n v="1967"/>
    <n v="2167"/>
    <n v="13951"/>
    <m/>
    <m/>
    <n v="15803"/>
    <n v="0"/>
    <n v="0"/>
    <m/>
    <n v="0"/>
    <n v="184617"/>
    <n v="187831"/>
    <n v="157759"/>
    <n v="159735"/>
    <n v="16305"/>
    <n v="17986"/>
    <n v="10553"/>
    <m/>
    <m/>
    <n v="10110"/>
    <n v="0"/>
    <n v="0"/>
    <m/>
    <n v="0"/>
  </r>
  <r>
    <x v="4"/>
    <s v="University of North Georgia"/>
    <m/>
    <n v="482680"/>
    <x v="3"/>
    <n v="401913"/>
    <n v="429578"/>
    <n v="365343"/>
    <n v="387679"/>
    <n v="4246"/>
    <n v="3368"/>
    <n v="32324"/>
    <m/>
    <m/>
    <n v="38531"/>
    <n v="0"/>
    <n v="0"/>
    <m/>
    <n v="0"/>
    <n v="11026"/>
    <n v="10583"/>
    <n v="6537"/>
    <n v="7159"/>
    <n v="1313"/>
    <n v="1050"/>
    <n v="3176"/>
    <m/>
    <m/>
    <n v="2374"/>
    <n v="0"/>
    <n v="0"/>
    <m/>
    <n v="0"/>
  </r>
  <r>
    <x v="4"/>
    <s v="Georgia Southwestern State University"/>
    <s v="Met the criteria for Four-Year 4 in 2015-16 and 2016-17."/>
    <s v="139764"/>
    <x v="4"/>
    <n v="62875"/>
    <n v="63932"/>
    <n v="40548"/>
    <n v="43573"/>
    <n v="2009"/>
    <n v="1271"/>
    <n v="20318"/>
    <m/>
    <m/>
    <n v="19088"/>
    <n v="0"/>
    <n v="0"/>
    <m/>
    <n v="0"/>
    <n v="5754"/>
    <n v="8722"/>
    <n v="2652"/>
    <n v="4086"/>
    <n v="324"/>
    <n v="0"/>
    <n v="2778"/>
    <m/>
    <m/>
    <n v="4636"/>
    <n v="0"/>
    <n v="0"/>
    <m/>
    <n v="0"/>
  </r>
  <r>
    <x v="4"/>
    <s v="Savannah State University"/>
    <m/>
    <s v="140960"/>
    <x v="4"/>
    <n v="128302"/>
    <n v="130266"/>
    <n v="118889"/>
    <n v="119282"/>
    <n v="404"/>
    <n v="385"/>
    <n v="9009"/>
    <m/>
    <m/>
    <n v="10599"/>
    <n v="0"/>
    <n v="0"/>
    <m/>
    <n v="0"/>
    <n v="3689"/>
    <n v="3819"/>
    <n v="2606"/>
    <n v="2154"/>
    <n v="927"/>
    <n v="1212"/>
    <n v="156"/>
    <m/>
    <m/>
    <n v="453"/>
    <n v="0"/>
    <n v="0"/>
    <m/>
    <n v="0"/>
  </r>
  <r>
    <x v="4"/>
    <s v="Dalton State College "/>
    <m/>
    <s v="139463"/>
    <x v="5"/>
    <n v="116563"/>
    <n v="120396"/>
    <n v="105991"/>
    <n v="107404"/>
    <n v="4036"/>
    <n v="4723"/>
    <n v="6536"/>
    <m/>
    <m/>
    <n v="8269"/>
    <n v="0"/>
    <n v="0"/>
    <m/>
    <n v="0"/>
    <n v="0"/>
    <m/>
    <m/>
    <m/>
    <m/>
    <m/>
    <m/>
    <m/>
    <m/>
    <m/>
    <m/>
    <m/>
    <m/>
    <m/>
  </r>
  <r>
    <x v="4"/>
    <s v="Georgia Gwinnett College"/>
    <m/>
    <s v="447689"/>
    <x v="5"/>
    <n v="281429"/>
    <n v="293483"/>
    <n v="281405"/>
    <n v="290767"/>
    <n v="15"/>
    <n v="32"/>
    <n v="9"/>
    <m/>
    <m/>
    <n v="2684"/>
    <n v="0"/>
    <n v="0"/>
    <m/>
    <n v="0"/>
    <n v="0"/>
    <m/>
    <m/>
    <m/>
    <m/>
    <m/>
    <m/>
    <m/>
    <m/>
    <m/>
    <m/>
    <m/>
    <m/>
    <m/>
  </r>
  <r>
    <x v="4"/>
    <s v="Middle Georgia State College"/>
    <m/>
    <n v="482158"/>
    <x v="5"/>
    <n v="183055"/>
    <n v="183213"/>
    <n v="110645"/>
    <n v="115961"/>
    <n v="26299"/>
    <n v="11452"/>
    <n v="45820"/>
    <n v="291"/>
    <m/>
    <n v="54206"/>
    <n v="1594"/>
    <n v="0"/>
    <m/>
    <n v="0"/>
    <n v="0"/>
    <n v="1203"/>
    <m/>
    <m/>
    <m/>
    <n v="0"/>
    <m/>
    <m/>
    <m/>
    <n v="1203"/>
    <n v="0"/>
    <n v="0"/>
    <m/>
    <n v="0"/>
  </r>
  <r>
    <x v="4"/>
    <s v="Abraham Baldwin Agricultural College "/>
    <m/>
    <s v="138558"/>
    <x v="12"/>
    <n v="84213"/>
    <n v="85401"/>
    <n v="77688"/>
    <n v="77313"/>
    <n v="3837"/>
    <n v="3847"/>
    <n v="2591"/>
    <m/>
    <n v="97"/>
    <n v="3908"/>
    <n v="54"/>
    <n v="279"/>
    <m/>
    <n v="0"/>
    <n v="0"/>
    <m/>
    <m/>
    <m/>
    <m/>
    <m/>
    <m/>
    <m/>
    <m/>
    <m/>
    <m/>
    <m/>
    <m/>
    <m/>
  </r>
  <r>
    <x v="4"/>
    <s v="College of Coastal Georgia "/>
    <s v="Reclassified: Met the criteria for Four-Year 6 in 2014-15, 2015-16, and 2016-17. "/>
    <s v="139250"/>
    <x v="5"/>
    <n v="73135"/>
    <n v="79408"/>
    <n v="62021"/>
    <n v="64693"/>
    <n v="734"/>
    <n v="726"/>
    <n v="10380"/>
    <m/>
    <m/>
    <n v="13989"/>
    <n v="0"/>
    <n v="0"/>
    <m/>
    <n v="0"/>
    <n v="0"/>
    <m/>
    <m/>
    <m/>
    <m/>
    <m/>
    <m/>
    <m/>
    <m/>
    <m/>
    <m/>
    <m/>
    <m/>
    <m/>
  </r>
  <r>
    <x v="4"/>
    <s v="Gordon State College "/>
    <m/>
    <s v="139968"/>
    <x v="12"/>
    <n v="94569"/>
    <n v="91418"/>
    <n v="79273"/>
    <n v="72579"/>
    <n v="3542"/>
    <n v="4108"/>
    <n v="11754"/>
    <m/>
    <m/>
    <n v="14674"/>
    <n v="57"/>
    <n v="0"/>
    <m/>
    <n v="0"/>
    <n v="0"/>
    <m/>
    <m/>
    <m/>
    <m/>
    <m/>
    <m/>
    <m/>
    <m/>
    <m/>
    <m/>
    <m/>
    <m/>
    <m/>
  </r>
  <r>
    <x v="4"/>
    <s v="Georgia Perimeter College  (now reported with Georgia State University)"/>
    <m/>
    <s v="244437"/>
    <x v="6"/>
    <n v="455219"/>
    <m/>
    <n v="344887"/>
    <m/>
    <n v="2831"/>
    <m/>
    <n v="107501"/>
    <m/>
    <m/>
    <m/>
    <m/>
    <m/>
    <m/>
    <m/>
    <n v="0"/>
    <m/>
    <m/>
    <m/>
    <m/>
    <m/>
    <m/>
    <m/>
    <m/>
    <m/>
    <m/>
    <m/>
    <m/>
    <m/>
  </r>
  <r>
    <x v="4"/>
    <s v="Atlanta Metropolitan State College"/>
    <s v="Reclassified: Met the criteria for Two-Year with Bachelor's in 2014-15 and 2015-16 and 2016-17. "/>
    <s v="138901"/>
    <x v="12"/>
    <n v="70151"/>
    <n v="62521"/>
    <n v="52143"/>
    <n v="46453"/>
    <n v="684"/>
    <n v="372"/>
    <n v="17243"/>
    <m/>
    <n v="81"/>
    <n v="15696"/>
    <n v="0"/>
    <n v="0"/>
    <m/>
    <n v="0"/>
    <n v="0"/>
    <m/>
    <m/>
    <m/>
    <m/>
    <m/>
    <m/>
    <m/>
    <m/>
    <m/>
    <m/>
    <m/>
    <m/>
    <m/>
  </r>
  <r>
    <x v="4"/>
    <s v="Bainbridge State College "/>
    <s v="Reclassified: Met the criteria for Two-Year 3 in 2014-15 and 2015-16 and 2016-17."/>
    <s v="139010"/>
    <x v="8"/>
    <n v="50059"/>
    <n v="51395"/>
    <n v="29868"/>
    <n v="27065"/>
    <n v="4290"/>
    <n v="8565"/>
    <n v="15901"/>
    <m/>
    <m/>
    <n v="15765"/>
    <n v="0"/>
    <n v="0"/>
    <m/>
    <n v="0"/>
    <n v="0"/>
    <m/>
    <m/>
    <m/>
    <m/>
    <m/>
    <m/>
    <m/>
    <m/>
    <m/>
    <m/>
    <m/>
    <m/>
    <m/>
  </r>
  <r>
    <x v="4"/>
    <s v="Darton State College "/>
    <s v="Reclassified: Met the criteria for Two-Year with Bachelor's in 2014-15 and 2015-16 and 2016-17. "/>
    <s v="138691"/>
    <x v="12"/>
    <n v="129073"/>
    <n v="107997"/>
    <n v="64845"/>
    <n v="55340"/>
    <n v="7997"/>
    <n v="2534"/>
    <n v="55958"/>
    <m/>
    <n v="273"/>
    <n v="50123"/>
    <n v="0"/>
    <n v="0"/>
    <m/>
    <n v="0"/>
    <n v="0"/>
    <m/>
    <m/>
    <m/>
    <m/>
    <m/>
    <m/>
    <m/>
    <m/>
    <m/>
    <m/>
    <m/>
    <m/>
    <m/>
  </r>
  <r>
    <x v="4"/>
    <s v="East Georgia State College"/>
    <s v="Reclassified: Met the criteria for Two-Year with Bachelor's in 2014-15 and 2015-16 and 2016-17. "/>
    <s v="139621"/>
    <x v="12"/>
    <n v="70073"/>
    <n v="72358"/>
    <n v="43806"/>
    <n v="39560"/>
    <n v="13253"/>
    <n v="18315"/>
    <n v="12756"/>
    <m/>
    <n v="258"/>
    <n v="14319"/>
    <n v="0"/>
    <n v="164"/>
    <m/>
    <n v="0"/>
    <n v="0"/>
    <m/>
    <m/>
    <m/>
    <m/>
    <m/>
    <m/>
    <m/>
    <m/>
    <m/>
    <m/>
    <m/>
    <m/>
    <m/>
  </r>
  <r>
    <x v="4"/>
    <s v="Georgia Highlands College"/>
    <s v="Met the criteria for Two-Year with Bachelor's in 2015-16 and 2016-17. "/>
    <s v="139700"/>
    <x v="7"/>
    <n v="120950"/>
    <n v="128440"/>
    <n v="77747"/>
    <n v="76615"/>
    <n v="19308"/>
    <n v="23851"/>
    <n v="22833"/>
    <m/>
    <n v="708"/>
    <n v="27941"/>
    <n v="33"/>
    <n v="0"/>
    <n v="354"/>
    <n v="0"/>
    <n v="0"/>
    <m/>
    <m/>
    <m/>
    <m/>
    <m/>
    <m/>
    <m/>
    <m/>
    <m/>
    <m/>
    <m/>
    <m/>
    <m/>
  </r>
  <r>
    <x v="4"/>
    <s v="South Georgia State College"/>
    <s v="Reclassified: Met the criteria for Two-Year with Bachelor's in 2014-15 and 2015-16 and 2016-17. "/>
    <n v="482699"/>
    <x v="12"/>
    <n v="63947"/>
    <n v="62670"/>
    <n v="28933"/>
    <n v="27275"/>
    <n v="30791"/>
    <n v="28532"/>
    <n v="3819"/>
    <m/>
    <n v="404"/>
    <n v="6863"/>
    <n v="0"/>
    <n v="0"/>
    <m/>
    <n v="0"/>
    <n v="0"/>
    <m/>
    <m/>
    <m/>
    <m/>
    <m/>
    <m/>
    <m/>
    <m/>
    <m/>
    <m/>
    <m/>
    <m/>
    <m/>
  </r>
  <r>
    <x v="4"/>
    <s v="Albany Technical College"/>
    <m/>
    <n v="138682"/>
    <x v="9"/>
    <n v="97288"/>
    <n v="85229"/>
    <n v="55357"/>
    <n v="46914"/>
    <m/>
    <m/>
    <n v="41931"/>
    <n v="0"/>
    <m/>
    <n v="38315"/>
    <n v="0"/>
    <n v="0"/>
    <m/>
    <m/>
    <n v="0"/>
    <n v="0"/>
    <m/>
    <m/>
    <m/>
    <m/>
    <m/>
    <m/>
    <m/>
    <m/>
    <m/>
    <m/>
    <m/>
    <m/>
  </r>
  <r>
    <x v="4"/>
    <s v="Athens Technical College"/>
    <m/>
    <n v="246813"/>
    <x v="9"/>
    <n v="80027"/>
    <n v="78469"/>
    <n v="64359"/>
    <n v="63470"/>
    <m/>
    <m/>
    <n v="14760"/>
    <n v="908"/>
    <m/>
    <n v="14651"/>
    <n v="348"/>
    <n v="0"/>
    <m/>
    <m/>
    <n v="0"/>
    <n v="0"/>
    <m/>
    <m/>
    <m/>
    <m/>
    <m/>
    <m/>
    <m/>
    <m/>
    <m/>
    <m/>
    <m/>
    <m/>
  </r>
  <r>
    <x v="4"/>
    <s v="Atlanta Technical College"/>
    <m/>
    <n v="138840"/>
    <x v="9"/>
    <n v="104951"/>
    <n v="96519"/>
    <n v="74886"/>
    <n v="63442"/>
    <m/>
    <m/>
    <n v="30065"/>
    <n v="0"/>
    <m/>
    <n v="33077"/>
    <n v="0"/>
    <n v="0"/>
    <m/>
    <m/>
    <n v="0"/>
    <n v="0"/>
    <m/>
    <m/>
    <m/>
    <m/>
    <m/>
    <m/>
    <m/>
    <m/>
    <m/>
    <m/>
    <m/>
    <m/>
  </r>
  <r>
    <x v="4"/>
    <s v="Augusta Technical College"/>
    <m/>
    <n v="138956"/>
    <x v="9"/>
    <n v="100410"/>
    <n v="97912"/>
    <n v="88042"/>
    <n v="88138"/>
    <m/>
    <m/>
    <n v="12368"/>
    <n v="0"/>
    <m/>
    <n v="9774"/>
    <n v="0"/>
    <n v="0"/>
    <m/>
    <m/>
    <n v="0"/>
    <n v="0"/>
    <m/>
    <m/>
    <m/>
    <m/>
    <m/>
    <m/>
    <m/>
    <m/>
    <m/>
    <m/>
    <m/>
    <m/>
  </r>
  <r>
    <x v="4"/>
    <s v="Central Georgia Technical College"/>
    <m/>
    <n v="483045"/>
    <x v="9"/>
    <n v="184002"/>
    <n v="171355"/>
    <n v="105244"/>
    <n v="98491"/>
    <m/>
    <m/>
    <n v="69106"/>
    <n v="9652"/>
    <m/>
    <n v="61616"/>
    <n v="11248"/>
    <n v="0"/>
    <m/>
    <m/>
    <n v="0"/>
    <n v="0"/>
    <m/>
    <m/>
    <m/>
    <m/>
    <m/>
    <m/>
    <m/>
    <m/>
    <m/>
    <m/>
    <m/>
    <m/>
  </r>
  <r>
    <x v="4"/>
    <s v="Chattahoochee Technical College"/>
    <m/>
    <n v="140331"/>
    <x v="9"/>
    <n v="199940"/>
    <n v="192914"/>
    <n v="100597"/>
    <n v="102589"/>
    <m/>
    <m/>
    <n v="99343"/>
    <n v="0"/>
    <m/>
    <n v="90325"/>
    <n v="0"/>
    <n v="0"/>
    <m/>
    <m/>
    <n v="0"/>
    <n v="0"/>
    <m/>
    <m/>
    <m/>
    <m/>
    <m/>
    <m/>
    <m/>
    <m/>
    <m/>
    <m/>
    <m/>
    <m/>
  </r>
  <r>
    <x v="4"/>
    <s v="Coastal Pines Technical College"/>
    <m/>
    <n v="485458"/>
    <x v="9"/>
    <n v="49910"/>
    <n v="49591"/>
    <n v="41213"/>
    <n v="40116"/>
    <m/>
    <m/>
    <n v="8697"/>
    <n v="0"/>
    <m/>
    <n v="9475"/>
    <n v="0"/>
    <n v="0"/>
    <m/>
    <m/>
    <n v="0"/>
    <n v="0"/>
    <m/>
    <m/>
    <m/>
    <m/>
    <m/>
    <m/>
    <m/>
    <m/>
    <m/>
    <m/>
    <m/>
    <m/>
  </r>
  <r>
    <x v="4"/>
    <s v="Columbus Technical College"/>
    <m/>
    <n v="139357"/>
    <x v="9"/>
    <n v="75520"/>
    <n v="68745.3"/>
    <n v="47168"/>
    <n v="48350.3"/>
    <m/>
    <m/>
    <n v="28352"/>
    <n v="0"/>
    <m/>
    <n v="20395"/>
    <n v="0"/>
    <n v="0"/>
    <m/>
    <m/>
    <n v="0"/>
    <n v="0"/>
    <m/>
    <m/>
    <m/>
    <m/>
    <m/>
    <m/>
    <m/>
    <m/>
    <m/>
    <m/>
    <m/>
    <m/>
  </r>
  <r>
    <x v="4"/>
    <s v="Georgia Northwestern Technical College"/>
    <m/>
    <n v="139384"/>
    <x v="9"/>
    <n v="121287"/>
    <n v="119170"/>
    <n v="83117"/>
    <n v="80566"/>
    <m/>
    <m/>
    <n v="38170"/>
    <n v="0"/>
    <m/>
    <n v="38604"/>
    <n v="0"/>
    <n v="0"/>
    <m/>
    <m/>
    <n v="0"/>
    <n v="0"/>
    <m/>
    <m/>
    <m/>
    <m/>
    <m/>
    <m/>
    <m/>
    <m/>
    <m/>
    <m/>
    <m/>
    <m/>
  </r>
  <r>
    <x v="4"/>
    <s v="Georgia Piedmont Technical College"/>
    <m/>
    <n v="244446"/>
    <x v="9"/>
    <n v="88447"/>
    <n v="86333"/>
    <n v="42202"/>
    <n v="41716"/>
    <m/>
    <m/>
    <n v="46131"/>
    <n v="114"/>
    <m/>
    <n v="44617"/>
    <n v="0"/>
    <n v="0"/>
    <m/>
    <m/>
    <n v="0"/>
    <n v="0"/>
    <m/>
    <m/>
    <m/>
    <m/>
    <m/>
    <m/>
    <m/>
    <m/>
    <m/>
    <m/>
    <m/>
    <m/>
  </r>
  <r>
    <x v="4"/>
    <s v="Gwinnett Technical College"/>
    <m/>
    <n v="140012"/>
    <x v="9"/>
    <n v="141665"/>
    <n v="141261"/>
    <n v="85269"/>
    <n v="86586"/>
    <m/>
    <m/>
    <n v="56396"/>
    <n v="0"/>
    <m/>
    <n v="54675"/>
    <n v="0"/>
    <n v="0"/>
    <m/>
    <m/>
    <n v="0"/>
    <n v="0"/>
    <m/>
    <m/>
    <m/>
    <m/>
    <m/>
    <m/>
    <m/>
    <m/>
    <m/>
    <m/>
    <m/>
    <m/>
  </r>
  <r>
    <x v="4"/>
    <s v="Lanier Technical College"/>
    <m/>
    <n v="140243"/>
    <x v="9"/>
    <n v="74461"/>
    <n v="72584"/>
    <n v="49925"/>
    <n v="48463"/>
    <m/>
    <m/>
    <n v="24536"/>
    <n v="0"/>
    <m/>
    <n v="24121"/>
    <n v="0"/>
    <n v="0"/>
    <m/>
    <m/>
    <n v="0"/>
    <n v="0"/>
    <m/>
    <m/>
    <m/>
    <m/>
    <m/>
    <m/>
    <m/>
    <m/>
    <m/>
    <m/>
    <m/>
    <m/>
  </r>
  <r>
    <x v="4"/>
    <s v="North Georgia Technical College"/>
    <m/>
    <n v="140678"/>
    <x v="9"/>
    <n v="57769"/>
    <n v="58671"/>
    <n v="39503"/>
    <n v="40416"/>
    <m/>
    <m/>
    <n v="18266"/>
    <n v="0"/>
    <m/>
    <n v="18255"/>
    <n v="0"/>
    <n v="0"/>
    <m/>
    <m/>
    <n v="0"/>
    <n v="0"/>
    <m/>
    <m/>
    <m/>
    <m/>
    <m/>
    <m/>
    <m/>
    <m/>
    <m/>
    <m/>
    <m/>
    <m/>
  </r>
  <r>
    <x v="4"/>
    <s v="Oconee Fall Line Technical College"/>
    <m/>
    <n v="420431"/>
    <x v="9"/>
    <n v="35721"/>
    <n v="31309"/>
    <n v="23843"/>
    <n v="21123"/>
    <m/>
    <m/>
    <n v="11878"/>
    <n v="0"/>
    <m/>
    <n v="10186"/>
    <n v="0"/>
    <n v="0"/>
    <m/>
    <m/>
    <n v="0"/>
    <n v="0"/>
    <m/>
    <m/>
    <m/>
    <m/>
    <m/>
    <m/>
    <m/>
    <m/>
    <m/>
    <m/>
    <m/>
    <m/>
  </r>
  <r>
    <x v="4"/>
    <s v="Ogeechee Technical College"/>
    <m/>
    <n v="366465"/>
    <x v="9"/>
    <n v="55250"/>
    <n v="48844"/>
    <n v="38907"/>
    <n v="34951"/>
    <m/>
    <m/>
    <n v="16343"/>
    <n v="0"/>
    <m/>
    <n v="13893"/>
    <n v="0"/>
    <n v="0"/>
    <m/>
    <m/>
    <n v="0"/>
    <n v="0"/>
    <m/>
    <m/>
    <m/>
    <m/>
    <m/>
    <m/>
    <m/>
    <m/>
    <m/>
    <m/>
    <m/>
    <m/>
  </r>
  <r>
    <x v="4"/>
    <s v="Savannah Technical College"/>
    <m/>
    <n v="140942"/>
    <x v="9"/>
    <n v="95273"/>
    <n v="91358"/>
    <n v="69904"/>
    <n v="67460"/>
    <m/>
    <m/>
    <n v="25097"/>
    <n v="272"/>
    <m/>
    <n v="23834"/>
    <n v="64"/>
    <n v="0"/>
    <m/>
    <m/>
    <n v="0"/>
    <n v="0"/>
    <m/>
    <m/>
    <m/>
    <m/>
    <m/>
    <m/>
    <m/>
    <m/>
    <m/>
    <m/>
    <m/>
    <m/>
  </r>
  <r>
    <x v="4"/>
    <s v="South Georgia Technical College"/>
    <m/>
    <n v="141006"/>
    <x v="9"/>
    <n v="43330"/>
    <n v="44867"/>
    <n v="41209"/>
    <n v="42008"/>
    <m/>
    <m/>
    <n v="2121"/>
    <n v="0"/>
    <m/>
    <n v="2859"/>
    <n v="0"/>
    <n v="0"/>
    <m/>
    <m/>
    <n v="0"/>
    <n v="0"/>
    <m/>
    <m/>
    <m/>
    <m/>
    <m/>
    <m/>
    <m/>
    <m/>
    <m/>
    <m/>
    <m/>
    <m/>
  </r>
  <r>
    <x v="4"/>
    <s v="Southeastern Technical College"/>
    <m/>
    <n v="368911"/>
    <x v="9"/>
    <n v="34443"/>
    <n v="34559"/>
    <n v="28764"/>
    <n v="27633"/>
    <m/>
    <m/>
    <n v="5679"/>
    <n v="0"/>
    <m/>
    <n v="6926"/>
    <n v="0"/>
    <n v="0"/>
    <m/>
    <m/>
    <n v="0"/>
    <n v="0"/>
    <m/>
    <m/>
    <m/>
    <m/>
    <m/>
    <m/>
    <m/>
    <m/>
    <m/>
    <m/>
    <m/>
    <m/>
  </r>
  <r>
    <x v="4"/>
    <s v="Southern Crescent Technical College"/>
    <m/>
    <n v="139986"/>
    <x v="9"/>
    <n v="101196"/>
    <n v="95562"/>
    <n v="72628"/>
    <n v="68316"/>
    <m/>
    <m/>
    <n v="28568"/>
    <n v="0"/>
    <m/>
    <n v="27246"/>
    <n v="0"/>
    <n v="0"/>
    <m/>
    <m/>
    <n v="0"/>
    <n v="0"/>
    <m/>
    <m/>
    <m/>
    <m/>
    <m/>
    <m/>
    <m/>
    <m/>
    <m/>
    <m/>
    <m/>
    <m/>
  </r>
  <r>
    <x v="4"/>
    <s v="Southern Regional Technical College"/>
    <m/>
    <n v="487162"/>
    <x v="9"/>
    <n v="75623"/>
    <n v="76052"/>
    <n v="58690"/>
    <n v="57023"/>
    <m/>
    <m/>
    <n v="16933"/>
    <n v="0"/>
    <m/>
    <n v="19029"/>
    <n v="0"/>
    <n v="0"/>
    <m/>
    <m/>
    <n v="0"/>
    <n v="0"/>
    <m/>
    <m/>
    <m/>
    <m/>
    <m/>
    <m/>
    <m/>
    <m/>
    <m/>
    <m/>
    <m/>
    <m/>
  </r>
  <r>
    <x v="4"/>
    <s v="West Georgia Technical College"/>
    <m/>
    <n v="139278"/>
    <x v="9"/>
    <n v="132957"/>
    <n v="134840"/>
    <n v="95951"/>
    <n v="93873"/>
    <m/>
    <m/>
    <n v="37006"/>
    <n v="0"/>
    <m/>
    <n v="40967"/>
    <n v="0"/>
    <n v="0"/>
    <m/>
    <m/>
    <n v="0"/>
    <n v="0"/>
    <m/>
    <m/>
    <m/>
    <m/>
    <m/>
    <m/>
    <m/>
    <m/>
    <m/>
    <m/>
    <m/>
    <m/>
  </r>
  <r>
    <x v="4"/>
    <s v="Wiregrass Georgia Technical College"/>
    <m/>
    <n v="141255"/>
    <x v="9"/>
    <n v="75717"/>
    <n v="75341"/>
    <n v="58172"/>
    <n v="60043"/>
    <m/>
    <m/>
    <n v="17545"/>
    <n v="0"/>
    <m/>
    <n v="15298"/>
    <n v="0"/>
    <n v="0"/>
    <m/>
    <m/>
    <n v="0"/>
    <n v="0"/>
    <m/>
    <m/>
    <m/>
    <m/>
    <m/>
    <m/>
    <m/>
    <m/>
    <m/>
    <m/>
    <m/>
    <m/>
  </r>
  <r>
    <x v="5"/>
    <s v="University of Kentucky"/>
    <m/>
    <n v="157085"/>
    <x v="0"/>
    <n v="697979"/>
    <n v="687956"/>
    <n v="642626"/>
    <n v="634640"/>
    <n v="6430"/>
    <n v="7513"/>
    <n v="46133"/>
    <n v="2730"/>
    <n v="60"/>
    <n v="44291"/>
    <n v="946"/>
    <n v="566"/>
    <m/>
    <m/>
    <n v="82764"/>
    <n v="80001"/>
    <n v="65909"/>
    <n v="63229"/>
    <n v="2299"/>
    <n v="1587"/>
    <n v="13960"/>
    <n v="596"/>
    <m/>
    <n v="14591"/>
    <n v="456"/>
    <n v="138"/>
    <m/>
    <m/>
  </r>
  <r>
    <x v="5"/>
    <s v="University of Louisville"/>
    <m/>
    <n v="157289"/>
    <x v="0"/>
    <n v="407968"/>
    <n v="408801"/>
    <n v="353446"/>
    <n v="349707"/>
    <n v="13610"/>
    <n v="15186"/>
    <n v="40912"/>
    <m/>
    <m/>
    <n v="43908"/>
    <m/>
    <m/>
    <m/>
    <m/>
    <n v="77737"/>
    <n v="78494"/>
    <n v="57991"/>
    <n v="54520"/>
    <n v="7132"/>
    <n v="10598"/>
    <n v="12614"/>
    <m/>
    <m/>
    <n v="13376"/>
    <m/>
    <m/>
    <m/>
    <m/>
  </r>
  <r>
    <x v="5"/>
    <s v="Eastern Kentucky University "/>
    <m/>
    <n v="156620"/>
    <x v="2"/>
    <n v="402899"/>
    <n v="399992"/>
    <n v="310571"/>
    <n v="304647"/>
    <n v="15251"/>
    <n v="14590"/>
    <n v="68253"/>
    <n v="7146"/>
    <n v="1678"/>
    <n v="71040"/>
    <n v="7528"/>
    <n v="2187"/>
    <m/>
    <m/>
    <n v="42908"/>
    <n v="44682"/>
    <n v="16716"/>
    <n v="16003"/>
    <n v="563"/>
    <n v="953"/>
    <n v="25055"/>
    <m/>
    <n v="574"/>
    <n v="27223"/>
    <n v="3"/>
    <n v="500"/>
    <m/>
    <m/>
  </r>
  <r>
    <x v="5"/>
    <s v="Morehead State University "/>
    <m/>
    <n v="157386"/>
    <x v="2"/>
    <n v="210661"/>
    <n v="205440"/>
    <n v="137947"/>
    <n v="131975"/>
    <n v="21069"/>
    <n v="21141"/>
    <n v="44070"/>
    <n v="7575"/>
    <m/>
    <n v="47136"/>
    <n v="5188"/>
    <m/>
    <m/>
    <m/>
    <n v="15991"/>
    <n v="15485"/>
    <n v="2475"/>
    <n v="2500"/>
    <n v="501"/>
    <n v="576"/>
    <n v="12982"/>
    <n v="33"/>
    <m/>
    <n v="12406"/>
    <n v="3"/>
    <m/>
    <m/>
    <m/>
  </r>
  <r>
    <x v="5"/>
    <s v="Murray State University "/>
    <m/>
    <n v="157401"/>
    <x v="2"/>
    <n v="243973"/>
    <n v="235157"/>
    <n v="201972"/>
    <n v="194523"/>
    <n v="10804"/>
    <n v="10331"/>
    <n v="21669"/>
    <n v="9528"/>
    <m/>
    <n v="21917"/>
    <n v="8386"/>
    <m/>
    <m/>
    <m/>
    <n v="28476"/>
    <n v="26169"/>
    <n v="14874"/>
    <n v="12993"/>
    <n v="1777"/>
    <n v="1729"/>
    <n v="10824"/>
    <n v="1001"/>
    <m/>
    <n v="10709"/>
    <n v="738"/>
    <m/>
    <m/>
    <m/>
  </r>
  <r>
    <x v="5"/>
    <s v="Northern Kentucky University "/>
    <m/>
    <n v="157447"/>
    <x v="2"/>
    <n v="363252"/>
    <n v="358579"/>
    <n v="292961"/>
    <n v="280366"/>
    <n v="11089"/>
    <n v="13787"/>
    <n v="58884"/>
    <n v="318"/>
    <m/>
    <n v="64219"/>
    <n v="207"/>
    <m/>
    <m/>
    <m/>
    <n v="36507"/>
    <n v="35501"/>
    <n v="25893"/>
    <n v="25286"/>
    <n v="943"/>
    <n v="951"/>
    <n v="9671"/>
    <m/>
    <m/>
    <n v="9264"/>
    <m/>
    <m/>
    <m/>
    <m/>
  </r>
  <r>
    <x v="5"/>
    <s v="Western Kentucky University "/>
    <m/>
    <n v="157951"/>
    <x v="2"/>
    <n v="432977"/>
    <n v="433717"/>
    <n v="329962"/>
    <n v="323109"/>
    <n v="29723"/>
    <n v="27776"/>
    <n v="66728"/>
    <n v="5932"/>
    <n v="632"/>
    <n v="78060"/>
    <n v="4678"/>
    <n v="94"/>
    <m/>
    <m/>
    <n v="42704"/>
    <n v="43294"/>
    <n v="21074"/>
    <n v="20706"/>
    <n v="676"/>
    <n v="601"/>
    <n v="20744"/>
    <n v="192"/>
    <n v="18"/>
    <n v="21834"/>
    <n v="153"/>
    <m/>
    <m/>
    <m/>
  </r>
  <r>
    <x v="5"/>
    <s v="Kentucky State University "/>
    <m/>
    <n v="157058"/>
    <x v="3"/>
    <n v="44123"/>
    <n v="40746"/>
    <n v="33190"/>
    <n v="30841"/>
    <m/>
    <m/>
    <n v="10933"/>
    <m/>
    <m/>
    <n v="9904"/>
    <n v="1"/>
    <m/>
    <m/>
    <m/>
    <n v="2227"/>
    <n v="2304"/>
    <n v="1654"/>
    <n v="1873"/>
    <m/>
    <m/>
    <n v="573"/>
    <m/>
    <m/>
    <n v="431"/>
    <m/>
    <m/>
    <m/>
    <m/>
  </r>
  <r>
    <x v="5"/>
    <s v="Bluegrass Community and Technical College"/>
    <m/>
    <n v="157173"/>
    <x v="6"/>
    <n v="204085"/>
    <n v="196250"/>
    <n v="106839"/>
    <n v="89516"/>
    <n v="36208"/>
    <n v="36561"/>
    <n v="61038"/>
    <m/>
    <m/>
    <n v="70173"/>
    <m/>
    <m/>
    <m/>
    <m/>
    <n v="0"/>
    <n v="0"/>
    <m/>
    <m/>
    <m/>
    <m/>
    <m/>
    <m/>
    <m/>
    <m/>
    <m/>
    <m/>
    <m/>
    <m/>
  </r>
  <r>
    <x v="5"/>
    <s v="Jefferson Community and Technical College "/>
    <m/>
    <n v="156921"/>
    <x v="6"/>
    <n v="213720"/>
    <n v="193620"/>
    <n v="158221"/>
    <n v="132063"/>
    <n v="9613"/>
    <n v="8413"/>
    <n v="45886"/>
    <m/>
    <m/>
    <n v="53144"/>
    <m/>
    <m/>
    <m/>
    <m/>
    <n v="0"/>
    <n v="0"/>
    <m/>
    <m/>
    <m/>
    <m/>
    <m/>
    <m/>
    <m/>
    <m/>
    <m/>
    <m/>
    <m/>
    <m/>
  </r>
  <r>
    <x v="5"/>
    <s v="Ashland Community and Technical College"/>
    <m/>
    <n v="156231"/>
    <x v="7"/>
    <n v="62315"/>
    <n v="60306"/>
    <n v="36995"/>
    <n v="32557"/>
    <n v="3367"/>
    <n v="2998"/>
    <n v="21953"/>
    <m/>
    <m/>
    <n v="24751"/>
    <m/>
    <m/>
    <m/>
    <m/>
    <n v="0"/>
    <n v="0"/>
    <m/>
    <m/>
    <m/>
    <m/>
    <m/>
    <m/>
    <m/>
    <m/>
    <m/>
    <m/>
    <m/>
    <m/>
  </r>
  <r>
    <x v="5"/>
    <s v="Big Sandy Community and Technical College "/>
    <m/>
    <n v="157553"/>
    <x v="7"/>
    <n v="73968"/>
    <n v="73628"/>
    <n v="42631"/>
    <n v="38346"/>
    <n v="376"/>
    <n v="1210"/>
    <n v="30961"/>
    <m/>
    <m/>
    <n v="34072"/>
    <m/>
    <m/>
    <m/>
    <m/>
    <n v="0"/>
    <n v="0"/>
    <m/>
    <m/>
    <m/>
    <m/>
    <m/>
    <m/>
    <m/>
    <m/>
    <m/>
    <m/>
    <m/>
    <m/>
  </r>
  <r>
    <x v="5"/>
    <s v="Elizabethtown Community and Technical College "/>
    <m/>
    <n v="156648"/>
    <x v="7"/>
    <n v="105472"/>
    <n v="104845"/>
    <n v="63151"/>
    <n v="53123"/>
    <n v="6017"/>
    <n v="6776"/>
    <n v="36304"/>
    <m/>
    <m/>
    <n v="44946"/>
    <m/>
    <m/>
    <m/>
    <m/>
    <n v="0"/>
    <n v="0"/>
    <m/>
    <m/>
    <m/>
    <m/>
    <m/>
    <m/>
    <m/>
    <m/>
    <m/>
    <m/>
    <m/>
    <m/>
  </r>
  <r>
    <x v="5"/>
    <s v="Hazard Community and Technical College"/>
    <s v="Reclassified: Met the criteria for Two-Year 3 in 2014-15, 2015-16, and 2016-17."/>
    <n v="156790"/>
    <x v="8"/>
    <n v="56382"/>
    <n v="56419"/>
    <n v="25669"/>
    <n v="21280"/>
    <n v="1902"/>
    <n v="1740"/>
    <n v="28811"/>
    <m/>
    <m/>
    <n v="33399"/>
    <m/>
    <m/>
    <m/>
    <m/>
    <n v="0"/>
    <n v="0"/>
    <m/>
    <m/>
    <m/>
    <m/>
    <m/>
    <m/>
    <m/>
    <m/>
    <m/>
    <m/>
    <m/>
    <m/>
  </r>
  <r>
    <x v="5"/>
    <s v="Hopkinsville Community College "/>
    <s v="Met the criteria for Two-Year 3 in 2015-16 and 2016-17."/>
    <n v="156860"/>
    <x v="7"/>
    <n v="59150"/>
    <n v="54173"/>
    <n v="42046"/>
    <n v="30494"/>
    <n v="838"/>
    <n v="1009"/>
    <n v="16266"/>
    <m/>
    <m/>
    <n v="22670"/>
    <m/>
    <m/>
    <m/>
    <m/>
    <n v="0"/>
    <n v="0"/>
    <m/>
    <m/>
    <m/>
    <m/>
    <m/>
    <m/>
    <m/>
    <m/>
    <m/>
    <m/>
    <m/>
    <m/>
  </r>
  <r>
    <x v="5"/>
    <s v="Madisonville Community College"/>
    <s v="Met the criteria for Two-Year 3 in 2015-16 and 2016-17."/>
    <n v="157304"/>
    <x v="7"/>
    <n v="56168"/>
    <n v="49567"/>
    <n v="29223"/>
    <n v="23231"/>
    <n v="5196"/>
    <n v="4299"/>
    <n v="21749"/>
    <m/>
    <m/>
    <n v="22037"/>
    <m/>
    <m/>
    <m/>
    <m/>
    <n v="0"/>
    <n v="0"/>
    <m/>
    <m/>
    <m/>
    <m/>
    <m/>
    <m/>
    <m/>
    <m/>
    <m/>
    <m/>
    <m/>
    <m/>
  </r>
  <r>
    <x v="5"/>
    <s v="Maysville Community and Technical College "/>
    <m/>
    <n v="157331"/>
    <x v="7"/>
    <n v="68130"/>
    <n v="68365"/>
    <n v="33228"/>
    <n v="31761"/>
    <n v="6959"/>
    <n v="5340"/>
    <n v="27943"/>
    <m/>
    <m/>
    <n v="31264"/>
    <m/>
    <m/>
    <m/>
    <m/>
    <n v="0"/>
    <n v="0"/>
    <m/>
    <m/>
    <m/>
    <m/>
    <m/>
    <m/>
    <m/>
    <m/>
    <m/>
    <m/>
    <m/>
    <m/>
  </r>
  <r>
    <x v="5"/>
    <s v="Owensboro Community and Technical College "/>
    <m/>
    <n v="247940"/>
    <x v="7"/>
    <n v="65908"/>
    <n v="64294"/>
    <n v="43866"/>
    <n v="41629"/>
    <n v="5058"/>
    <n v="2953"/>
    <n v="16984"/>
    <m/>
    <m/>
    <n v="19712"/>
    <m/>
    <m/>
    <m/>
    <m/>
    <n v="0"/>
    <n v="0"/>
    <m/>
    <m/>
    <m/>
    <m/>
    <m/>
    <m/>
    <m/>
    <m/>
    <m/>
    <m/>
    <m/>
    <m/>
  </r>
  <r>
    <x v="5"/>
    <s v="Somerset Community and Technical College "/>
    <m/>
    <n v="157711"/>
    <x v="7"/>
    <n v="126936"/>
    <n v="120780"/>
    <n v="59013"/>
    <n v="42099"/>
    <n v="10539"/>
    <n v="14934"/>
    <n v="57384"/>
    <m/>
    <m/>
    <n v="63747"/>
    <m/>
    <m/>
    <m/>
    <m/>
    <n v="0"/>
    <n v="0"/>
    <m/>
    <m/>
    <m/>
    <m/>
    <m/>
    <m/>
    <m/>
    <m/>
    <m/>
    <m/>
    <m/>
    <m/>
  </r>
  <r>
    <x v="5"/>
    <s v="Southeast Kentucky Community and Technical College"/>
    <s v="Met the criteria for Two-Year 3 in 2015-16 and 2016-17."/>
    <n v="157739"/>
    <x v="7"/>
    <n v="55536"/>
    <n v="58969"/>
    <n v="41560"/>
    <n v="39407"/>
    <m/>
    <m/>
    <n v="13976"/>
    <m/>
    <m/>
    <n v="19562"/>
    <m/>
    <m/>
    <m/>
    <m/>
    <n v="0"/>
    <n v="0"/>
    <m/>
    <m/>
    <m/>
    <m/>
    <m/>
    <m/>
    <m/>
    <m/>
    <m/>
    <m/>
    <m/>
    <m/>
  </r>
  <r>
    <x v="5"/>
    <s v="West Kentucky Community and Technical College"/>
    <m/>
    <n v="157483"/>
    <x v="7"/>
    <n v="106830"/>
    <n v="103111"/>
    <n v="62552"/>
    <n v="53446"/>
    <n v="5705"/>
    <n v="5434"/>
    <n v="38573"/>
    <m/>
    <m/>
    <n v="44231"/>
    <m/>
    <m/>
    <m/>
    <m/>
    <n v="0"/>
    <n v="0"/>
    <m/>
    <m/>
    <m/>
    <m/>
    <m/>
    <m/>
    <m/>
    <m/>
    <m/>
    <m/>
    <m/>
    <m/>
  </r>
  <r>
    <x v="5"/>
    <s v="Henderson Community College "/>
    <m/>
    <n v="156851"/>
    <x v="8"/>
    <n v="29352"/>
    <n v="26616"/>
    <n v="15854"/>
    <n v="13348"/>
    <n v="2547"/>
    <n v="1174"/>
    <n v="10951"/>
    <m/>
    <m/>
    <n v="12094"/>
    <m/>
    <m/>
    <m/>
    <m/>
    <n v="0"/>
    <n v="0"/>
    <m/>
    <m/>
    <m/>
    <m/>
    <m/>
    <m/>
    <m/>
    <m/>
    <m/>
    <m/>
    <m/>
    <m/>
  </r>
  <r>
    <x v="5"/>
    <s v="Gateway Community and Technical College"/>
    <m/>
    <n v="157438"/>
    <x v="9"/>
    <n v="71221"/>
    <n v="69392"/>
    <n v="36606"/>
    <n v="32873"/>
    <n v="17823"/>
    <n v="15393"/>
    <n v="16792"/>
    <m/>
    <m/>
    <n v="21126"/>
    <m/>
    <m/>
    <m/>
    <m/>
    <n v="0"/>
    <n v="0"/>
    <m/>
    <m/>
    <m/>
    <m/>
    <m/>
    <m/>
    <m/>
    <m/>
    <m/>
    <m/>
    <m/>
    <m/>
  </r>
  <r>
    <x v="5"/>
    <s v="Southcentral Kentucky Community and Technical College"/>
    <m/>
    <n v="156338"/>
    <x v="9"/>
    <n v="75716"/>
    <n v="76774"/>
    <n v="49962"/>
    <n v="45447"/>
    <n v="4618"/>
    <n v="5504"/>
    <n v="21136"/>
    <m/>
    <m/>
    <n v="25823"/>
    <m/>
    <m/>
    <m/>
    <m/>
    <n v="0"/>
    <n v="0"/>
    <m/>
    <m/>
    <m/>
    <m/>
    <m/>
    <m/>
    <m/>
    <m/>
    <m/>
    <m/>
    <m/>
    <m/>
  </r>
  <r>
    <x v="6"/>
    <s v="Louisiana State University and A&amp;M College"/>
    <m/>
    <n v="159391"/>
    <x v="0"/>
    <n v="738491.99999999953"/>
    <n v="729887.99999999953"/>
    <n v="728550.34591747099"/>
    <n v="713010.13612565398"/>
    <m/>
    <m/>
    <n v="9941.6540825285301"/>
    <m/>
    <m/>
    <n v="16877.863874345599"/>
    <m/>
    <m/>
    <m/>
    <m/>
    <n v="130715.2999999997"/>
    <n v="129253.00000000031"/>
    <n v="127300.61809082"/>
    <n v="123683.86032197"/>
    <m/>
    <m/>
    <n v="3414.6819091796901"/>
    <m/>
    <m/>
    <n v="5569.1396780303003"/>
    <m/>
    <m/>
    <m/>
    <m/>
  </r>
  <r>
    <x v="6"/>
    <s v="Louisiana Tech University "/>
    <m/>
    <n v="159647"/>
    <x v="1"/>
    <n v="244493.9999999998"/>
    <n v="271398.00000000041"/>
    <n v="220004.78013029299"/>
    <n v="237323.023183121"/>
    <m/>
    <m/>
    <n v="24489.219869706802"/>
    <m/>
    <m/>
    <n v="34074.976816879403"/>
    <m/>
    <m/>
    <m/>
    <m/>
    <n v="27086.999999999949"/>
    <n v="23923.999999999993"/>
    <n v="22974.997590361399"/>
    <n v="19014.223880597001"/>
    <m/>
    <m/>
    <n v="4112.0024096385496"/>
    <m/>
    <m/>
    <n v="4909.7761194029899"/>
    <m/>
    <m/>
    <m/>
    <m/>
  </r>
  <r>
    <x v="6"/>
    <s v="University of Louisiana at Lafayette"/>
    <m/>
    <n v="160658"/>
    <x v="1"/>
    <n v="419507.99999999971"/>
    <n v="417134.99999999983"/>
    <n v="385392.09422321903"/>
    <n v="383342.97852298402"/>
    <m/>
    <m/>
    <n v="34115.905776780703"/>
    <m/>
    <m/>
    <n v="33792.021477015798"/>
    <m/>
    <m/>
    <m/>
    <m/>
    <n v="29612.000000000007"/>
    <n v="27179.00000000004"/>
    <n v="26048.077876106199"/>
    <n v="23943.4047619048"/>
    <m/>
    <m/>
    <n v="3563.9221238938098"/>
    <m/>
    <m/>
    <n v="3235.5952380952399"/>
    <m/>
    <m/>
    <m/>
    <m/>
  </r>
  <r>
    <x v="6"/>
    <s v="University of New Orleans"/>
    <m/>
    <n v="159939"/>
    <x v="1"/>
    <n v="174093.9999999998"/>
    <n v="163313.99999999971"/>
    <n v="156893.09580838299"/>
    <n v="145521.03501945501"/>
    <m/>
    <m/>
    <n v="17200.904191616799"/>
    <m/>
    <m/>
    <n v="17792.964980544701"/>
    <m/>
    <m/>
    <m/>
    <m/>
    <n v="29940.000000000011"/>
    <n v="24158.999999999989"/>
    <n v="26308.309455587401"/>
    <n v="21068.895348837199"/>
    <m/>
    <m/>
    <n v="3631.6905444126101"/>
    <m/>
    <m/>
    <n v="3090.1046511627901"/>
    <m/>
    <m/>
    <m/>
    <m/>
  </r>
  <r>
    <x v="6"/>
    <s v="Southeastern Louisiana University "/>
    <m/>
    <n v="160612"/>
    <x v="2"/>
    <n v="324115.99999999959"/>
    <n v="315803.99999999988"/>
    <n v="278178.29921259801"/>
    <n v="267954.909090909"/>
    <m/>
    <m/>
    <n v="45937.700787401598"/>
    <m/>
    <m/>
    <n v="47849.090909090897"/>
    <m/>
    <m/>
    <m/>
    <m/>
    <n v="17647.000000000011"/>
    <n v="16044.999999999989"/>
    <n v="12957.2493150685"/>
    <n v="11178.7052932761"/>
    <m/>
    <m/>
    <n v="4689.7506849315096"/>
    <m/>
    <m/>
    <n v="4866.2947067238902"/>
    <m/>
    <m/>
    <m/>
    <m/>
  </r>
  <r>
    <x v="6"/>
    <s v="Southern University and A&amp;M College at Baton Rouge "/>
    <m/>
    <n v="160621"/>
    <x v="2"/>
    <n v="144832.99999999971"/>
    <n v="145458.00000000003"/>
    <n v="134581.988824503"/>
    <n v="138545.99243061399"/>
    <m/>
    <m/>
    <n v="10251.0111754967"/>
    <m/>
    <m/>
    <n v="6912.0075693860399"/>
    <m/>
    <m/>
    <m/>
    <m/>
    <n v="36365.999999999956"/>
    <n v="33815.000000000022"/>
    <n v="32779.733564013797"/>
    <n v="31825.8823529412"/>
    <m/>
    <m/>
    <n v="3586.2664359861601"/>
    <m/>
    <m/>
    <n v="1989.11764705882"/>
    <m/>
    <m/>
    <m/>
    <m/>
  </r>
  <r>
    <x v="6"/>
    <s v="University of Louisiana at Monroe"/>
    <m/>
    <n v="159993"/>
    <x v="2"/>
    <n v="180126.00000000049"/>
    <n v="193312.99999999988"/>
    <n v="157684.07213114799"/>
    <n v="166875.728063241"/>
    <m/>
    <m/>
    <n v="22441.927868852501"/>
    <m/>
    <m/>
    <n v="26437.271936758902"/>
    <m/>
    <m/>
    <m/>
    <m/>
    <n v="33422"/>
    <n v="33259"/>
    <n v="19319.5463414634"/>
    <n v="17800.591549295801"/>
    <m/>
    <m/>
    <n v="14102.4536585366"/>
    <m/>
    <m/>
    <n v="15458.408450704201"/>
    <m/>
    <m/>
    <m/>
    <m/>
  </r>
  <r>
    <x v="6"/>
    <s v="Grambling State University"/>
    <m/>
    <n v="159009"/>
    <x v="3"/>
    <n v="101626.99999999997"/>
    <n v="113092.0000000002"/>
    <n v="96514.977867203197"/>
    <n v="100670.169811321"/>
    <m/>
    <m/>
    <n v="5112.0221327967802"/>
    <m/>
    <m/>
    <n v="12421.8301886792"/>
    <m/>
    <m/>
    <m/>
    <m/>
    <n v="17596.000000000022"/>
    <n v="17626"/>
    <n v="12460.980544747101"/>
    <n v="9638.1872659176006"/>
    <m/>
    <m/>
    <n v="5135.0194552529201"/>
    <m/>
    <m/>
    <n v="7987.8127340824003"/>
    <m/>
    <m/>
    <m/>
    <m/>
  </r>
  <r>
    <x v="6"/>
    <s v="Louisiana State University in Shreveport"/>
    <m/>
    <n v="159416"/>
    <x v="3"/>
    <n v="66549"/>
    <n v="58792"/>
    <n v="55593.472854640997"/>
    <n v="47502.627087198503"/>
    <m/>
    <m/>
    <n v="10955.527145358999"/>
    <m/>
    <m/>
    <n v="11289.3729128015"/>
    <m/>
    <m/>
    <m/>
    <m/>
    <n v="23436.000000000051"/>
    <n v="34492"/>
    <n v="13896.3461538462"/>
    <n v="16560.0795454545"/>
    <m/>
    <m/>
    <n v="9539.6538461538494"/>
    <m/>
    <m/>
    <n v="17931.9204545455"/>
    <m/>
    <m/>
    <m/>
    <m/>
  </r>
  <r>
    <x v="6"/>
    <s v="McNeese State University"/>
    <s v="Met the criteria for Four-Year 3 in 2015-16 and 2016-17."/>
    <n v="159717"/>
    <x v="3"/>
    <n v="194767.99999999991"/>
    <n v="182177.99999999959"/>
    <n v="160687.070563079"/>
    <n v="146988.288104765"/>
    <m/>
    <m/>
    <n v="34080.929436920902"/>
    <m/>
    <m/>
    <n v="35189.711895234599"/>
    <m/>
    <m/>
    <m/>
    <m/>
    <n v="11742"/>
    <n v="11486"/>
    <n v="7015.8450000000003"/>
    <n v="6498.2828784119101"/>
    <m/>
    <m/>
    <n v="4726.1549999999997"/>
    <m/>
    <m/>
    <n v="4987.7171215880899"/>
    <m/>
    <m/>
    <m/>
    <m/>
  </r>
  <r>
    <x v="6"/>
    <s v="Nicholls State University "/>
    <m/>
    <n v="159966"/>
    <x v="3"/>
    <n v="150602"/>
    <n v="149644"/>
    <n v="107361.75"/>
    <n v="106916.7"/>
    <m/>
    <m/>
    <n v="43240.25"/>
    <m/>
    <m/>
    <n v="42727.3"/>
    <m/>
    <m/>
    <m/>
    <m/>
    <n v="11761"/>
    <n v="10735"/>
    <n v="6661.50390625"/>
    <n v="5428.2641509433997"/>
    <m/>
    <m/>
    <n v="5099.49609375"/>
    <m/>
    <m/>
    <n v="5306.7358490566003"/>
    <m/>
    <m/>
    <m/>
    <m/>
  </r>
  <r>
    <x v="6"/>
    <s v="Northwestern State University"/>
    <m/>
    <n v="160038"/>
    <x v="3"/>
    <n v="198618.99999999951"/>
    <n v="216645.99999999988"/>
    <n v="144284.28245406001"/>
    <n v="156173.154567372"/>
    <m/>
    <m/>
    <n v="54334.7175459395"/>
    <m/>
    <m/>
    <n v="60472.845432627902"/>
    <m/>
    <m/>
    <m/>
    <m/>
    <n v="17297.000000000018"/>
    <n v="17411.000000000007"/>
    <n v="5822.0821917808198"/>
    <n v="5327.9562841530096"/>
    <m/>
    <m/>
    <n v="11474.917808219199"/>
    <m/>
    <m/>
    <n v="12083.043715846999"/>
    <m/>
    <m/>
    <m/>
    <m/>
  </r>
  <r>
    <x v="6"/>
    <s v="Southern University at New Orleans"/>
    <m/>
    <n v="160630"/>
    <x v="4"/>
    <n v="57370"/>
    <n v="47287.999999999971"/>
    <n v="50142.724609375"/>
    <n v="41457.972602739697"/>
    <m/>
    <m/>
    <n v="7227.275390625"/>
    <m/>
    <m/>
    <n v="5830.0273972602699"/>
    <m/>
    <m/>
    <m/>
    <m/>
    <n v="2114.9999999999991"/>
    <n v="9974"/>
    <n v="1660.3738317757"/>
    <n v="8216.9222797927505"/>
    <m/>
    <m/>
    <n v="454.62616822429902"/>
    <m/>
    <m/>
    <n v="1757.07772020725"/>
    <m/>
    <m/>
    <m/>
    <m/>
  </r>
  <r>
    <x v="6"/>
    <s v="Louisiana State University at Alexandria"/>
    <m/>
    <n v="159382"/>
    <x v="5"/>
    <n v="60798"/>
    <n v="69103"/>
    <n v="47031.300291545202"/>
    <n v="51491.021316033402"/>
    <m/>
    <m/>
    <n v="13766.6997084548"/>
    <m/>
    <m/>
    <n v="17611.978683966601"/>
    <m/>
    <m/>
    <m/>
    <m/>
    <n v="0"/>
    <n v="0"/>
    <m/>
    <m/>
    <m/>
    <m/>
    <m/>
    <m/>
    <m/>
    <m/>
    <m/>
    <m/>
    <m/>
    <m/>
  </r>
  <r>
    <x v="6"/>
    <s v="Baton Rouge Community College"/>
    <m/>
    <n v="437103"/>
    <x v="6"/>
    <n v="203054.9999999998"/>
    <n v="165845.00000000049"/>
    <n v="192217.79494381999"/>
    <n v="152579.480865747"/>
    <m/>
    <m/>
    <n v="10837.205056179801"/>
    <m/>
    <m/>
    <n v="13265.5191342535"/>
    <m/>
    <m/>
    <m/>
    <m/>
    <n v="0"/>
    <n v="0"/>
    <m/>
    <m/>
    <m/>
    <m/>
    <m/>
    <m/>
    <m/>
    <m/>
    <m/>
    <m/>
    <m/>
    <m/>
  </r>
  <r>
    <x v="6"/>
    <s v="Bossier Parish Community College"/>
    <m/>
    <n v="158431"/>
    <x v="6"/>
    <n v="151679.99999999971"/>
    <n v="134689"/>
    <n v="111469.530201342"/>
    <n v="97227.361146769399"/>
    <m/>
    <m/>
    <n v="40210.469798657701"/>
    <m/>
    <m/>
    <n v="37461.638853230601"/>
    <m/>
    <m/>
    <m/>
    <m/>
    <n v="0"/>
    <n v="0"/>
    <m/>
    <m/>
    <m/>
    <m/>
    <m/>
    <m/>
    <m/>
    <m/>
    <m/>
    <m/>
    <m/>
    <m/>
  </r>
  <r>
    <x v="6"/>
    <s v="Delgado Community College "/>
    <m/>
    <n v="158662"/>
    <x v="6"/>
    <n v="333983.00000000023"/>
    <n v="288321.00000000012"/>
    <n v="291595.17900115403"/>
    <n v="247314.43994339299"/>
    <m/>
    <m/>
    <n v="42387.820998846197"/>
    <m/>
    <m/>
    <n v="41006.560056607101"/>
    <m/>
    <m/>
    <m/>
    <m/>
    <n v="0"/>
    <n v="0"/>
    <m/>
    <m/>
    <m/>
    <m/>
    <m/>
    <m/>
    <m/>
    <m/>
    <m/>
    <m/>
    <m/>
    <m/>
  </r>
  <r>
    <x v="6"/>
    <s v="Louisiana Delta Community College"/>
    <m/>
    <n v="440624"/>
    <x v="7"/>
    <n v="71570.999999999985"/>
    <n v="69170"/>
    <n v="63001.675287356302"/>
    <n v="57697.902439024401"/>
    <m/>
    <m/>
    <n v="8569.32471264368"/>
    <m/>
    <m/>
    <n v="11472.097560975601"/>
    <m/>
    <m/>
    <m/>
    <m/>
    <n v="0"/>
    <n v="0"/>
    <m/>
    <m/>
    <m/>
    <m/>
    <m/>
    <m/>
    <m/>
    <m/>
    <m/>
    <m/>
    <m/>
    <m/>
  </r>
  <r>
    <x v="6"/>
    <s v="South Louisiana Community College"/>
    <m/>
    <n v="434061"/>
    <x v="7"/>
    <n v="139615.99999999988"/>
    <n v="134865.0000000002"/>
    <n v="132304.009858287"/>
    <n v="121743.55847803901"/>
    <m/>
    <m/>
    <n v="7311.9901417128804"/>
    <m/>
    <m/>
    <n v="13121.4415219612"/>
    <m/>
    <m/>
    <m/>
    <m/>
    <n v="0"/>
    <n v="0"/>
    <m/>
    <m/>
    <m/>
    <m/>
    <m/>
    <m/>
    <m/>
    <m/>
    <m/>
    <m/>
    <m/>
    <m/>
  </r>
  <r>
    <x v="6"/>
    <s v="Southern University in Shreveport"/>
    <m/>
    <n v="160649"/>
    <x v="7"/>
    <n v="65705.000000000029"/>
    <n v="66229.999999999971"/>
    <n v="60875.503629764098"/>
    <n v="59843.307618129198"/>
    <m/>
    <m/>
    <n v="4829.49637023593"/>
    <m/>
    <m/>
    <n v="6386.6923818707801"/>
    <m/>
    <m/>
    <m/>
    <m/>
    <n v="0"/>
    <n v="0"/>
    <m/>
    <m/>
    <m/>
    <m/>
    <m/>
    <m/>
    <m/>
    <m/>
    <m/>
    <m/>
    <m/>
    <m/>
  </r>
  <r>
    <x v="6"/>
    <s v="Louisiana State University at Eunice"/>
    <m/>
    <n v="159407"/>
    <x v="8"/>
    <n v="51881"/>
    <n v="58029"/>
    <n v="39444.634382566597"/>
    <n v="42147.378947368401"/>
    <m/>
    <m/>
    <n v="12436.365617433399"/>
    <m/>
    <m/>
    <n v="15881.621052631601"/>
    <m/>
    <m/>
    <m/>
    <m/>
    <n v="0"/>
    <n v="0"/>
    <m/>
    <m/>
    <m/>
    <m/>
    <m/>
    <m/>
    <m/>
    <m/>
    <m/>
    <m/>
    <m/>
    <m/>
  </r>
  <r>
    <x v="6"/>
    <s v="Nunez Community College"/>
    <m/>
    <n v="158884"/>
    <x v="8"/>
    <n v="45426"/>
    <n v="41122"/>
    <n v="34688.045751634003"/>
    <n v="29616.828415300501"/>
    <m/>
    <m/>
    <n v="10737.954248366001"/>
    <m/>
    <m/>
    <n v="11505.171584699499"/>
    <m/>
    <m/>
    <m/>
    <m/>
    <n v="0"/>
    <n v="0"/>
    <m/>
    <m/>
    <m/>
    <m/>
    <m/>
    <m/>
    <m/>
    <m/>
    <m/>
    <m/>
    <m/>
    <m/>
  </r>
  <r>
    <x v="6"/>
    <s v="River Parishes Community College"/>
    <m/>
    <n v="436304"/>
    <x v="8"/>
    <n v="36848.999999999985"/>
    <n v="36616.500000000022"/>
    <n v="31882.395652173898"/>
    <n v="31171.2541729894"/>
    <m/>
    <m/>
    <n v="4966.6043478260899"/>
    <m/>
    <m/>
    <n v="5445.2458270106199"/>
    <m/>
    <m/>
    <m/>
    <m/>
    <n v="0"/>
    <n v="0"/>
    <m/>
    <m/>
    <m/>
    <m/>
    <m/>
    <m/>
    <m/>
    <m/>
    <m/>
    <m/>
    <m/>
    <m/>
  </r>
  <r>
    <x v="6"/>
    <s v="Central LA Technical College"/>
    <m/>
    <n v="158088"/>
    <x v="9"/>
    <n v="40840.000000000015"/>
    <n v="36649.000000000029"/>
    <n v="36525.355404089598"/>
    <n v="33082.187347931897"/>
    <m/>
    <m/>
    <n v="4314.6445959104203"/>
    <m/>
    <m/>
    <n v="3566.8126520681299"/>
    <m/>
    <m/>
    <m/>
    <m/>
    <n v="0"/>
    <n v="0"/>
    <m/>
    <m/>
    <m/>
    <m/>
    <m/>
    <m/>
    <m/>
    <m/>
    <m/>
    <m/>
    <m/>
    <m/>
  </r>
  <r>
    <x v="6"/>
    <s v="L.E. Fletcher Technical Community College"/>
    <m/>
    <n v="160481"/>
    <x v="9"/>
    <n v="76790.500000000044"/>
    <n v="50565.999999999971"/>
    <n v="70766.051933701703"/>
    <n v="45023.667487684703"/>
    <m/>
    <m/>
    <n v="6024.4480662983397"/>
    <m/>
    <m/>
    <n v="5542.3325123152699"/>
    <m/>
    <m/>
    <m/>
    <m/>
    <n v="0"/>
    <n v="0"/>
    <m/>
    <m/>
    <m/>
    <m/>
    <m/>
    <m/>
    <m/>
    <m/>
    <m/>
    <m/>
    <m/>
    <m/>
  </r>
  <r>
    <x v="6"/>
    <s v="Northshore Technical College"/>
    <m/>
    <n v="160667"/>
    <x v="9"/>
    <n v="47039"/>
    <n v="58160.000000000044"/>
    <n v="43314.328224776502"/>
    <n v="52118.347934918696"/>
    <m/>
    <m/>
    <n v="3724.6717752234999"/>
    <m/>
    <m/>
    <n v="6041.65206508135"/>
    <m/>
    <m/>
    <m/>
    <m/>
    <n v="0"/>
    <n v="0"/>
    <m/>
    <m/>
    <m/>
    <m/>
    <m/>
    <m/>
    <m/>
    <m/>
    <m/>
    <m/>
    <m/>
    <m/>
  </r>
  <r>
    <x v="6"/>
    <s v="Northwest LA Technical College"/>
    <m/>
    <n v="160010"/>
    <x v="9"/>
    <n v="53021"/>
    <n v="36094"/>
    <n v="53021"/>
    <n v="36094"/>
    <m/>
    <m/>
    <n v="0"/>
    <m/>
    <m/>
    <n v="0"/>
    <m/>
    <m/>
    <m/>
    <m/>
    <n v="0"/>
    <n v="0"/>
    <m/>
    <m/>
    <m/>
    <m/>
    <m/>
    <m/>
    <m/>
    <m/>
    <m/>
    <m/>
    <m/>
    <m/>
  </r>
  <r>
    <x v="6"/>
    <s v="South Central LA Technical College"/>
    <m/>
    <n v="160913"/>
    <x v="9"/>
    <n v="61401.999999999993"/>
    <n v="49776.000000000022"/>
    <n v="57010.958628841603"/>
    <n v="44841.453093812401"/>
    <m/>
    <m/>
    <n v="4391.0413711583897"/>
    <m/>
    <m/>
    <n v="4934.5469061876202"/>
    <m/>
    <m/>
    <m/>
    <m/>
    <n v="0"/>
    <n v="0"/>
    <m/>
    <m/>
    <m/>
    <m/>
    <m/>
    <m/>
    <m/>
    <m/>
    <m/>
    <m/>
    <m/>
    <m/>
  </r>
  <r>
    <x v="6"/>
    <s v="Sowela Technical Community College"/>
    <m/>
    <n v="160579"/>
    <x v="9"/>
    <n v="71206.500000000015"/>
    <n v="67383.000000000044"/>
    <n v="62856.179518072298"/>
    <n v="57502.948021722303"/>
    <m/>
    <m/>
    <n v="8350.3204819277107"/>
    <m/>
    <m/>
    <n v="9880.0519782777392"/>
    <m/>
    <m/>
    <m/>
    <m/>
    <n v="0"/>
    <n v="0"/>
    <m/>
    <m/>
    <m/>
    <m/>
    <m/>
    <m/>
    <m/>
    <m/>
    <m/>
    <m/>
    <m/>
    <m/>
  </r>
  <r>
    <x v="6"/>
    <s v="Louisiana State University Health Sciences Center - New Orleans"/>
    <m/>
    <n v="159373"/>
    <x v="11"/>
    <n v="0"/>
    <n v="0"/>
    <m/>
    <m/>
    <m/>
    <m/>
    <m/>
    <m/>
    <m/>
    <m/>
    <m/>
    <m/>
    <m/>
    <m/>
    <n v="0"/>
    <n v="0"/>
    <m/>
    <m/>
    <m/>
    <m/>
    <m/>
    <m/>
    <m/>
    <m/>
    <m/>
    <m/>
    <m/>
    <m/>
  </r>
  <r>
    <x v="6"/>
    <s v="Louisiana State University Health Sciences Center - Shreveport"/>
    <m/>
    <n v="435000"/>
    <x v="11"/>
    <n v="0"/>
    <n v="0"/>
    <m/>
    <m/>
    <m/>
    <m/>
    <m/>
    <m/>
    <m/>
    <m/>
    <m/>
    <m/>
    <m/>
    <m/>
    <n v="0"/>
    <n v="0"/>
    <m/>
    <m/>
    <m/>
    <m/>
    <m/>
    <m/>
    <m/>
    <m/>
    <m/>
    <m/>
    <m/>
    <m/>
  </r>
  <r>
    <x v="7"/>
    <s v="University of Maryland College Park"/>
    <m/>
    <n v="163286"/>
    <x v="0"/>
    <n v="814544"/>
    <n v="830277"/>
    <n v="769226"/>
    <n v="777707"/>
    <n v="19943"/>
    <n v="19984"/>
    <n v="24491"/>
    <n v="884"/>
    <n v="0"/>
    <n v="31895"/>
    <n v="691"/>
    <n v="0"/>
    <n v="0"/>
    <n v="0"/>
    <n v="157472.16999999998"/>
    <n v="157557"/>
    <n v="118548.17"/>
    <n v="120972"/>
    <n v="29067"/>
    <n v="24700"/>
    <n v="9103"/>
    <n v="754"/>
    <n v="0"/>
    <n v="11294"/>
    <n v="591"/>
    <n v="0"/>
    <n v="0"/>
    <n v="0"/>
  </r>
  <r>
    <x v="7"/>
    <s v="Morgan State University"/>
    <m/>
    <n v="163453"/>
    <x v="1"/>
    <n v="183399"/>
    <n v="184300"/>
    <n v="175260"/>
    <n v="171998"/>
    <n v="87"/>
    <n v="54"/>
    <n v="8052"/>
    <n v="0"/>
    <n v="0"/>
    <n v="12248"/>
    <n v="0"/>
    <n v="0"/>
    <n v="0"/>
    <n v="0"/>
    <n v="25573"/>
    <n v="24369"/>
    <n v="22119"/>
    <n v="19577"/>
    <n v="39"/>
    <n v="48"/>
    <n v="3415"/>
    <n v="0"/>
    <n v="0"/>
    <n v="4744"/>
    <n v="0"/>
    <n v="0"/>
    <n v="0"/>
    <n v="0"/>
  </r>
  <r>
    <x v="7"/>
    <s v="University of Maryland, Baltimore County"/>
    <m/>
    <n v="163268"/>
    <x v="1"/>
    <n v="319948.5"/>
    <n v="317866"/>
    <n v="271106.5"/>
    <n v="268240"/>
    <n v="7598"/>
    <n v="7312"/>
    <n v="41244"/>
    <n v="0"/>
    <n v="0"/>
    <n v="42314"/>
    <n v="0"/>
    <n v="0"/>
    <n v="0"/>
    <n v="0"/>
    <n v="35116"/>
    <n v="34462"/>
    <n v="24457"/>
    <n v="23451"/>
    <n v="3006"/>
    <n v="3401"/>
    <n v="7653"/>
    <n v="0"/>
    <n v="0"/>
    <n v="7610"/>
    <n v="0"/>
    <n v="0"/>
    <n v="0"/>
    <n v="0"/>
  </r>
  <r>
    <x v="7"/>
    <s v="Towson University "/>
    <m/>
    <n v="164076"/>
    <x v="2"/>
    <n v="541795.5"/>
    <n v="541918"/>
    <n v="475513.5"/>
    <n v="471126"/>
    <n v="13430"/>
    <n v="12791"/>
    <n v="52852"/>
    <n v="0"/>
    <n v="0"/>
    <n v="58001"/>
    <n v="0"/>
    <n v="0"/>
    <n v="0"/>
    <n v="0"/>
    <n v="46102.5"/>
    <n v="45421"/>
    <n v="28286.5"/>
    <n v="28474"/>
    <n v="6072.5"/>
    <n v="6050"/>
    <n v="11710.5"/>
    <n v="33"/>
    <n v="0"/>
    <n v="10876"/>
    <n v="21"/>
    <n v="0"/>
    <n v="0"/>
    <n v="0"/>
  </r>
  <r>
    <x v="7"/>
    <s v="Bowie State University "/>
    <m/>
    <n v="162007"/>
    <x v="3"/>
    <n v="119475"/>
    <n v="125437"/>
    <n v="102264"/>
    <n v="103591"/>
    <n v="114"/>
    <n v="231"/>
    <n v="17097"/>
    <n v="0"/>
    <n v="0"/>
    <n v="21615"/>
    <n v="0"/>
    <n v="0"/>
    <n v="0"/>
    <n v="0"/>
    <n v="17562"/>
    <n v="14769"/>
    <n v="16028"/>
    <n v="12730"/>
    <n v="465"/>
    <n v="511"/>
    <n v="1069"/>
    <n v="0"/>
    <n v="0"/>
    <n v="1528"/>
    <n v="0"/>
    <n v="0"/>
    <n v="0"/>
    <n v="0"/>
  </r>
  <r>
    <x v="7"/>
    <s v="Frostburg State University "/>
    <m/>
    <n v="162584"/>
    <x v="3"/>
    <n v="136045"/>
    <n v="135376"/>
    <n v="107959"/>
    <n v="107454"/>
    <n v="3374"/>
    <n v="3506"/>
    <n v="24712"/>
    <n v="0"/>
    <n v="0"/>
    <n v="24416"/>
    <n v="0"/>
    <n v="0"/>
    <n v="0"/>
    <n v="0"/>
    <n v="12153"/>
    <n v="12584"/>
    <n v="2813"/>
    <n v="3477"/>
    <n v="588"/>
    <n v="487"/>
    <n v="8752"/>
    <n v="0"/>
    <n v="0"/>
    <n v="8620"/>
    <n v="0"/>
    <n v="0"/>
    <n v="0"/>
    <n v="0"/>
  </r>
  <r>
    <x v="7"/>
    <s v="Salisbury University "/>
    <m/>
    <n v="163851"/>
    <x v="3"/>
    <n v="232633"/>
    <n v="232536"/>
    <n v="203061"/>
    <n v="203203"/>
    <n v="3909"/>
    <n v="3025"/>
    <n v="25080"/>
    <n v="583"/>
    <n v="0"/>
    <n v="18815"/>
    <n v="7493"/>
    <n v="0"/>
    <n v="0"/>
    <n v="0"/>
    <n v="13534"/>
    <n v="14499"/>
    <n v="3851"/>
    <n v="3395"/>
    <n v="201"/>
    <n v="97"/>
    <n v="8279"/>
    <n v="1203"/>
    <n v="0"/>
    <n v="7697"/>
    <n v="3310"/>
    <n v="0"/>
    <n v="0"/>
    <n v="0"/>
  </r>
  <r>
    <x v="7"/>
    <s v="University of Baltimore"/>
    <s v="Reclassified: Met the criteria for Four-Year 3 in 2014-15 and 2015-16 and 2016-17."/>
    <n v="161873"/>
    <x v="2"/>
    <n v="75021"/>
    <n v="73582"/>
    <n v="57733"/>
    <n v="53986"/>
    <n v="1353"/>
    <n v="1355"/>
    <n v="15935"/>
    <n v="0"/>
    <n v="0"/>
    <n v="18241"/>
    <n v="0"/>
    <n v="0"/>
    <n v="0"/>
    <n v="0"/>
    <n v="49544.5"/>
    <n v="46975"/>
    <n v="39061.5"/>
    <n v="35847"/>
    <n v="2213.5"/>
    <n v="2186"/>
    <n v="8269.5"/>
    <n v="0"/>
    <n v="0"/>
    <n v="8942"/>
    <n v="0"/>
    <n v="0"/>
    <n v="0"/>
    <n v="0"/>
  </r>
  <r>
    <x v="7"/>
    <s v="University of Maryland Eastern Shore "/>
    <m/>
    <n v="163338"/>
    <x v="3"/>
    <n v="104551.5"/>
    <n v="97253"/>
    <n v="88992.5"/>
    <n v="80274"/>
    <n v="2683"/>
    <n v="3173"/>
    <n v="12876"/>
    <n v="0"/>
    <n v="0"/>
    <n v="13806"/>
    <n v="0"/>
    <n v="0"/>
    <n v="0"/>
    <n v="0"/>
    <n v="21823"/>
    <n v="18016"/>
    <n v="21271"/>
    <n v="17476"/>
    <n v="273"/>
    <n v="222"/>
    <n v="279"/>
    <n v="0"/>
    <n v="0"/>
    <n v="318"/>
    <n v="0"/>
    <n v="0"/>
    <n v="0"/>
    <n v="0"/>
  </r>
  <r>
    <x v="7"/>
    <s v="Coppin State University"/>
    <m/>
    <n v="162283"/>
    <x v="4"/>
    <n v="70100"/>
    <n v="66610"/>
    <n v="57033"/>
    <n v="50909"/>
    <n v="123"/>
    <n v="1785"/>
    <n v="12944"/>
    <n v="0"/>
    <n v="0"/>
    <n v="13916"/>
    <n v="0"/>
    <n v="0"/>
    <n v="0"/>
    <n v="0"/>
    <n v="5952"/>
    <n v="5570"/>
    <n v="4986"/>
    <n v="4055"/>
    <n v="366"/>
    <n v="717"/>
    <n v="600"/>
    <n v="0"/>
    <n v="0"/>
    <n v="798"/>
    <n v="0"/>
    <n v="0"/>
    <n v="0"/>
    <n v="0"/>
  </r>
  <r>
    <x v="7"/>
    <s v="Saint Mary's College of Maryland"/>
    <m/>
    <n v="163912"/>
    <x v="5"/>
    <n v="53584.5"/>
    <n v="51243"/>
    <n v="53584.5"/>
    <n v="51243"/>
    <n v="0"/>
    <n v="0"/>
    <n v="0"/>
    <n v="0"/>
    <n v="0"/>
    <n v="0"/>
    <n v="0"/>
    <n v="0"/>
    <n v="0"/>
    <n v="0"/>
    <n v="1340"/>
    <n v="1356"/>
    <n v="1340"/>
    <n v="1356"/>
    <n v="0"/>
    <n v="0"/>
    <n v="0"/>
    <n v="0"/>
    <n v="0"/>
    <n v="0"/>
    <n v="0"/>
    <n v="0"/>
    <n v="0"/>
    <n v="0"/>
  </r>
  <r>
    <x v="7"/>
    <s v="Anne Arundel Community College "/>
    <m/>
    <n v="161767"/>
    <x v="6"/>
    <n v="266608"/>
    <n v="250158"/>
    <n v="184102"/>
    <n v="172500"/>
    <n v="3814"/>
    <n v="4483"/>
    <n v="78406"/>
    <n v="286"/>
    <n v="0"/>
    <n v="72877"/>
    <n v="298"/>
    <n v="0"/>
    <n v="0"/>
    <n v="0"/>
    <n v="0"/>
    <n v="0"/>
    <n v="0"/>
    <m/>
    <n v="0"/>
    <m/>
    <n v="0"/>
    <n v="0"/>
    <n v="0"/>
    <m/>
    <n v="0"/>
    <n v="0"/>
    <n v="0"/>
    <n v="0"/>
  </r>
  <r>
    <x v="7"/>
    <s v="College of Southern Maryland"/>
    <m/>
    <n v="162122"/>
    <x v="6"/>
    <n v="155426"/>
    <n v="150284"/>
    <n v="95884"/>
    <n v="91477"/>
    <n v="4927"/>
    <n v="5192"/>
    <n v="54192"/>
    <n v="423"/>
    <n v="0"/>
    <n v="53321"/>
    <n v="294"/>
    <n v="0"/>
    <n v="0"/>
    <n v="0"/>
    <n v="0"/>
    <n v="0"/>
    <n v="0"/>
    <m/>
    <n v="0"/>
    <m/>
    <n v="0"/>
    <n v="0"/>
    <n v="0"/>
    <m/>
    <n v="0"/>
    <n v="0"/>
    <n v="0"/>
    <n v="0"/>
  </r>
  <r>
    <x v="7"/>
    <s v="Community College of Baltimore County (all campuses)"/>
    <m/>
    <n v="434672"/>
    <x v="6"/>
    <n v="403396"/>
    <n v="379712"/>
    <n v="299622"/>
    <n v="272603"/>
    <n v="45630"/>
    <n v="43599"/>
    <n v="58144"/>
    <n v="0"/>
    <n v="0"/>
    <n v="63510"/>
    <n v="0"/>
    <n v="0"/>
    <n v="0"/>
    <n v="0"/>
    <n v="0"/>
    <n v="0"/>
    <n v="0"/>
    <m/>
    <n v="0"/>
    <m/>
    <n v="0"/>
    <n v="0"/>
    <n v="0"/>
    <m/>
    <n v="0"/>
    <n v="0"/>
    <n v="0"/>
    <n v="0"/>
  </r>
  <r>
    <x v="7"/>
    <s v="Howard Community College "/>
    <m/>
    <n v="162779"/>
    <x v="6"/>
    <n v="193798"/>
    <n v="189160"/>
    <n v="157874"/>
    <n v="151586"/>
    <n v="7334"/>
    <n v="6889"/>
    <n v="28590"/>
    <n v="0"/>
    <n v="0"/>
    <n v="30685"/>
    <n v="0"/>
    <n v="0"/>
    <n v="0"/>
    <n v="0"/>
    <n v="0"/>
    <n v="0"/>
    <n v="0"/>
    <m/>
    <n v="0"/>
    <m/>
    <n v="0"/>
    <n v="0"/>
    <n v="0"/>
    <m/>
    <n v="0"/>
    <n v="0"/>
    <n v="0"/>
    <n v="0"/>
  </r>
  <r>
    <x v="7"/>
    <s v="Montgomery College (all campuses)"/>
    <m/>
    <n v="163426"/>
    <x v="6"/>
    <n v="697499"/>
    <n v="691916"/>
    <n v="551636"/>
    <n v="533371"/>
    <n v="79367"/>
    <n v="88948"/>
    <n v="66496"/>
    <n v="0"/>
    <n v="0"/>
    <n v="69597"/>
    <n v="0"/>
    <n v="0"/>
    <n v="0"/>
    <n v="0"/>
    <n v="0"/>
    <n v="0"/>
    <n v="0"/>
    <m/>
    <n v="0"/>
    <m/>
    <n v="0"/>
    <n v="0"/>
    <n v="0"/>
    <m/>
    <n v="0"/>
    <n v="0"/>
    <n v="0"/>
    <n v="0"/>
  </r>
  <r>
    <x v="7"/>
    <s v="Prince George's Community College "/>
    <m/>
    <n v="163657"/>
    <x v="6"/>
    <n v="295647"/>
    <n v="284405"/>
    <n v="179139"/>
    <n v="110473"/>
    <n v="70305"/>
    <n v="141724"/>
    <n v="46203"/>
    <n v="0"/>
    <n v="0"/>
    <n v="32208"/>
    <n v="0"/>
    <n v="0"/>
    <n v="0"/>
    <n v="0"/>
    <n v="0"/>
    <n v="0"/>
    <n v="0"/>
    <m/>
    <n v="0"/>
    <m/>
    <n v="0"/>
    <n v="0"/>
    <n v="0"/>
    <m/>
    <n v="0"/>
    <n v="0"/>
    <n v="0"/>
    <n v="0"/>
  </r>
  <r>
    <x v="7"/>
    <s v="Allegany College of Maryland"/>
    <s v="Met the criteria for Two-Year 3 in 2016-17."/>
    <n v="161688"/>
    <x v="7"/>
    <n v="64346"/>
    <n v="58826"/>
    <n v="39560"/>
    <n v="36359"/>
    <n v="11253"/>
    <n v="9454"/>
    <n v="11037"/>
    <n v="2496"/>
    <n v="0"/>
    <n v="10376"/>
    <n v="2637"/>
    <n v="0"/>
    <n v="0"/>
    <n v="0"/>
    <n v="0"/>
    <n v="0"/>
    <n v="0"/>
    <m/>
    <n v="0"/>
    <m/>
    <n v="0"/>
    <n v="0"/>
    <n v="0"/>
    <m/>
    <n v="0"/>
    <n v="0"/>
    <n v="0"/>
    <n v="0"/>
  </r>
  <r>
    <x v="7"/>
    <s v="Baltimore City Community College"/>
    <m/>
    <n v="161864"/>
    <x v="7"/>
    <n v="85551"/>
    <n v="80456"/>
    <n v="63595"/>
    <n v="55683"/>
    <n v="564"/>
    <n v="7543"/>
    <n v="21392"/>
    <n v="0"/>
    <n v="0"/>
    <n v="17230"/>
    <n v="0"/>
    <n v="0"/>
    <n v="0"/>
    <n v="0"/>
    <n v="0"/>
    <n v="0"/>
    <n v="0"/>
    <m/>
    <n v="0"/>
    <m/>
    <n v="0"/>
    <n v="0"/>
    <n v="0"/>
    <m/>
    <n v="0"/>
    <n v="0"/>
    <n v="0"/>
    <n v="0"/>
  </r>
  <r>
    <x v="7"/>
    <s v="Carroll Community College"/>
    <m/>
    <n v="405872"/>
    <x v="7"/>
    <n v="68987"/>
    <n v="65758"/>
    <n v="54406"/>
    <n v="50625"/>
    <n v="782"/>
    <n v="317"/>
    <n v="13742"/>
    <n v="57"/>
    <n v="0"/>
    <n v="14738"/>
    <n v="78"/>
    <n v="0"/>
    <n v="0"/>
    <n v="0"/>
    <n v="0"/>
    <n v="0"/>
    <n v="0"/>
    <m/>
    <n v="0"/>
    <m/>
    <n v="0"/>
    <n v="0"/>
    <n v="0"/>
    <m/>
    <n v="0"/>
    <n v="0"/>
    <n v="0"/>
    <n v="0"/>
  </r>
  <r>
    <x v="7"/>
    <s v="Frederick Community College "/>
    <m/>
    <n v="162557"/>
    <x v="7"/>
    <n v="112672"/>
    <n v="112300"/>
    <n v="86769"/>
    <n v="80899"/>
    <n v="6614"/>
    <n v="8219"/>
    <n v="19289"/>
    <n v="0"/>
    <n v="0"/>
    <n v="23182"/>
    <n v="0"/>
    <n v="0"/>
    <n v="0"/>
    <n v="0"/>
    <n v="0"/>
    <n v="0"/>
    <n v="0"/>
    <m/>
    <n v="0"/>
    <m/>
    <n v="0"/>
    <n v="0"/>
    <n v="0"/>
    <m/>
    <n v="0"/>
    <n v="0"/>
    <n v="0"/>
    <n v="0"/>
  </r>
  <r>
    <x v="7"/>
    <s v="Hagerstown Community College "/>
    <m/>
    <n v="162690"/>
    <x v="7"/>
    <n v="85575"/>
    <n v="80049"/>
    <n v="57822"/>
    <n v="52238"/>
    <n v="5004"/>
    <n v="4931"/>
    <n v="22749"/>
    <n v="0"/>
    <n v="0"/>
    <n v="22831"/>
    <n v="0"/>
    <n v="0"/>
    <n v="0"/>
    <n v="49"/>
    <n v="0"/>
    <n v="0"/>
    <n v="0"/>
    <m/>
    <n v="0"/>
    <m/>
    <n v="0"/>
    <n v="0"/>
    <n v="0"/>
    <m/>
    <n v="0"/>
    <n v="0"/>
    <n v="0"/>
    <n v="0"/>
  </r>
  <r>
    <x v="7"/>
    <s v="Harford Community College "/>
    <m/>
    <n v="162706"/>
    <x v="7"/>
    <n v="122329"/>
    <n v="114204"/>
    <n v="86971"/>
    <n v="77924"/>
    <n v="1827"/>
    <n v="1698"/>
    <n v="33531"/>
    <n v="0"/>
    <n v="0"/>
    <n v="34582"/>
    <n v="0"/>
    <n v="0"/>
    <n v="0"/>
    <n v="0"/>
    <n v="0"/>
    <n v="0"/>
    <n v="0"/>
    <m/>
    <n v="0"/>
    <m/>
    <n v="0"/>
    <n v="0"/>
    <n v="0"/>
    <m/>
    <n v="0"/>
    <n v="0"/>
    <n v="0"/>
    <n v="0"/>
  </r>
  <r>
    <x v="7"/>
    <s v="Wor-Wic Community College "/>
    <s v="Reclassified: Met the criteria for Two-Year 3 in 2014-15 and 2015-16 and 2016-17."/>
    <n v="164313"/>
    <x v="8"/>
    <n v="57494"/>
    <n v="54688"/>
    <n v="47892"/>
    <n v="44647"/>
    <n v="1495"/>
    <n v="1797"/>
    <n v="8080"/>
    <n v="27"/>
    <n v="0"/>
    <n v="8211"/>
    <n v="33"/>
    <n v="0"/>
    <n v="0"/>
    <n v="0"/>
    <n v="0"/>
    <n v="0"/>
    <n v="0"/>
    <m/>
    <n v="0"/>
    <m/>
    <n v="0"/>
    <n v="0"/>
    <n v="0"/>
    <m/>
    <n v="0"/>
    <n v="0"/>
    <n v="0"/>
    <n v="0"/>
  </r>
  <r>
    <x v="7"/>
    <s v="Cecil Community College "/>
    <m/>
    <n v="162104"/>
    <x v="8"/>
    <n v="47648"/>
    <n v="47713"/>
    <n v="35085"/>
    <n v="34813"/>
    <n v="1667"/>
    <n v="1791"/>
    <n v="10896"/>
    <n v="0"/>
    <n v="0"/>
    <n v="11109"/>
    <n v="0"/>
    <n v="0"/>
    <n v="0"/>
    <n v="0"/>
    <n v="0"/>
    <n v="0"/>
    <n v="0"/>
    <m/>
    <n v="0"/>
    <m/>
    <n v="0"/>
    <n v="0"/>
    <n v="0"/>
    <m/>
    <n v="0"/>
    <n v="0"/>
    <n v="0"/>
    <n v="0"/>
  </r>
  <r>
    <x v="7"/>
    <s v="Chesapeake College "/>
    <m/>
    <n v="162168"/>
    <x v="8"/>
    <n v="39769"/>
    <n v="37712"/>
    <n v="24386"/>
    <n v="24108"/>
    <n v="5528"/>
    <n v="4101"/>
    <n v="8434"/>
    <n v="1421"/>
    <n v="0"/>
    <n v="8495"/>
    <n v="1008"/>
    <n v="0"/>
    <n v="0"/>
    <n v="0"/>
    <n v="0"/>
    <n v="0"/>
    <n v="0"/>
    <m/>
    <n v="0"/>
    <m/>
    <n v="0"/>
    <n v="0"/>
    <n v="0"/>
    <m/>
    <n v="0"/>
    <n v="0"/>
    <n v="0"/>
    <n v="0"/>
  </r>
  <r>
    <x v="7"/>
    <s v="Garrett College "/>
    <m/>
    <n v="162609"/>
    <x v="8"/>
    <n v="17553.75"/>
    <n v="17465"/>
    <n v="12903.75"/>
    <n v="13827"/>
    <n v="637"/>
    <n v="146"/>
    <n v="3563"/>
    <n v="450"/>
    <n v="0"/>
    <n v="2910"/>
    <n v="582"/>
    <n v="0"/>
    <n v="0"/>
    <n v="0"/>
    <n v="0"/>
    <n v="0"/>
    <n v="0"/>
    <m/>
    <n v="0"/>
    <m/>
    <n v="0"/>
    <n v="0"/>
    <n v="0"/>
    <m/>
    <n v="0"/>
    <n v="0"/>
    <n v="0"/>
    <n v="0"/>
  </r>
  <r>
    <x v="7"/>
    <s v="University of Maryland University College"/>
    <m/>
    <n v="163204"/>
    <x v="11"/>
    <n v="648980"/>
    <n v="775760"/>
    <n v="0"/>
    <n v="0"/>
    <n v="39"/>
    <n v="50588"/>
    <n v="648941"/>
    <n v="0"/>
    <n v="0"/>
    <n v="725172"/>
    <n v="0"/>
    <n v="0"/>
    <n v="0"/>
    <n v="0"/>
    <n v="176989"/>
    <n v="186055"/>
    <n v="0"/>
    <n v="0"/>
    <n v="810"/>
    <n v="105"/>
    <n v="176179"/>
    <n v="0"/>
    <n v="0"/>
    <n v="185950"/>
    <n v="0"/>
    <n v="0"/>
    <n v="0"/>
    <n v="0"/>
  </r>
  <r>
    <x v="7"/>
    <s v="University of Maryland, Baltimore"/>
    <m/>
    <n v="163259"/>
    <x v="11"/>
    <n v="19984"/>
    <n v="21443"/>
    <n v="10095"/>
    <n v="10931"/>
    <n v="6312"/>
    <n v="7116"/>
    <n v="3577"/>
    <n v="0"/>
    <n v="0"/>
    <n v="3306"/>
    <n v="90"/>
    <n v="0"/>
    <n v="0"/>
    <n v="0"/>
    <n v="43475"/>
    <n v="47155"/>
    <n v="24462.5"/>
    <n v="23792"/>
    <n v="6705.5"/>
    <n v="7020"/>
    <n v="12082"/>
    <n v="225"/>
    <n v="0"/>
    <n v="16158"/>
    <n v="185"/>
    <n v="0"/>
    <n v="0"/>
    <n v="0"/>
  </r>
  <r>
    <x v="8"/>
    <s v="Mississippi State University"/>
    <m/>
    <n v="176080"/>
    <x v="0"/>
    <n v="468622"/>
    <n v="496999"/>
    <n v="428990"/>
    <n v="455685"/>
    <n v="10104"/>
    <n v="10776"/>
    <n v="29279"/>
    <n v="249"/>
    <m/>
    <n v="30358"/>
    <n v="180"/>
    <m/>
    <m/>
    <m/>
    <n v="53740"/>
    <n v="55118"/>
    <n v="38629"/>
    <n v="39765"/>
    <n v="1391"/>
    <n v="1507"/>
    <n v="13169"/>
    <n v="551"/>
    <m/>
    <n v="13311"/>
    <n v="535"/>
    <m/>
    <m/>
    <n v="0"/>
  </r>
  <r>
    <x v="8"/>
    <s v="University of Southern Mississippi"/>
    <m/>
    <n v="176372"/>
    <x v="0"/>
    <n v="325762"/>
    <n v="323011"/>
    <n v="228502"/>
    <n v="217621"/>
    <n v="35544"/>
    <n v="33058"/>
    <n v="56068"/>
    <n v="5648"/>
    <m/>
    <n v="66688"/>
    <n v="5644"/>
    <m/>
    <m/>
    <m/>
    <n v="51603"/>
    <n v="52989"/>
    <n v="31431"/>
    <n v="31781"/>
    <n v="4273"/>
    <n v="4618"/>
    <n v="14582"/>
    <n v="860"/>
    <m/>
    <n v="15795"/>
    <n v="641"/>
    <m/>
    <n v="457"/>
    <n v="154"/>
  </r>
  <r>
    <x v="8"/>
    <s v="Jackson State University "/>
    <m/>
    <n v="175856"/>
    <x v="1"/>
    <n v="165701"/>
    <n v="170044"/>
    <n v="124551"/>
    <n v="122687"/>
    <n v="7504"/>
    <n v="5119"/>
    <n v="33646"/>
    <m/>
    <m/>
    <n v="42238"/>
    <m/>
    <m/>
    <m/>
    <m/>
    <n v="34068"/>
    <n v="34076"/>
    <n v="13388"/>
    <n v="11837"/>
    <n v="9848"/>
    <n v="8720"/>
    <n v="10832"/>
    <m/>
    <m/>
    <n v="13519"/>
    <m/>
    <m/>
    <m/>
    <m/>
  </r>
  <r>
    <x v="8"/>
    <s v="University of Mississippi"/>
    <s v="Met the criteria for Four-Year 1 in 2015-16 and 2016-17."/>
    <n v="176017"/>
    <x v="1"/>
    <n v="534899"/>
    <n v="559059"/>
    <n v="456585"/>
    <n v="471885"/>
    <n v="40767"/>
    <n v="40657"/>
    <n v="26066"/>
    <n v="10590"/>
    <m/>
    <n v="33593"/>
    <n v="11736"/>
    <m/>
    <n v="891"/>
    <n v="1188"/>
    <n v="65555"/>
    <n v="65669"/>
    <n v="57719"/>
    <n v="58244"/>
    <n v="606"/>
    <n v="492"/>
    <n v="5907"/>
    <n v="1311"/>
    <m/>
    <n v="6141"/>
    <n v="771"/>
    <m/>
    <n v="12"/>
    <n v="21"/>
  </r>
  <r>
    <x v="8"/>
    <s v="Alcorn State University"/>
    <m/>
    <n v="175342"/>
    <x v="3"/>
    <n v="80937"/>
    <n v="80850"/>
    <n v="62098"/>
    <n v="59867"/>
    <n v="4265"/>
    <n v="2845"/>
    <n v="14574"/>
    <m/>
    <m/>
    <n v="18138"/>
    <m/>
    <m/>
    <m/>
    <m/>
    <n v="9679"/>
    <n v="10251"/>
    <n v="3384"/>
    <n v="2341"/>
    <n v="253"/>
    <n v="240"/>
    <n v="6042"/>
    <m/>
    <m/>
    <n v="7670"/>
    <m/>
    <n v="0"/>
    <m/>
    <m/>
  </r>
  <r>
    <x v="8"/>
    <s v="Delta State University"/>
    <m/>
    <n v="175616"/>
    <x v="3"/>
    <n v="71515"/>
    <n v="73173"/>
    <n v="55705"/>
    <n v="56141"/>
    <n v="1462"/>
    <n v="1872"/>
    <n v="14228"/>
    <m/>
    <n v="120"/>
    <n v="15055"/>
    <m/>
    <n v="105"/>
    <m/>
    <m/>
    <n v="25028"/>
    <n v="24754"/>
    <n v="2854"/>
    <n v="3102"/>
    <n v="480"/>
    <n v="231"/>
    <n v="21607"/>
    <s v=" "/>
    <n v="87"/>
    <n v="21367"/>
    <m/>
    <n v="54"/>
    <m/>
    <m/>
  </r>
  <r>
    <x v="8"/>
    <s v="Mississippi Valley State University"/>
    <m/>
    <n v="176044"/>
    <x v="3"/>
    <n v="51850"/>
    <n v="53785"/>
    <n v="45957"/>
    <n v="45169"/>
    <n v="820"/>
    <n v="1674"/>
    <n v="3909"/>
    <m/>
    <m/>
    <n v="6081"/>
    <m/>
    <m/>
    <n v="1164"/>
    <n v="861"/>
    <n v="5801"/>
    <n v="5814"/>
    <n v="4184"/>
    <n v="4014"/>
    <n v="102"/>
    <n v="87"/>
    <n v="1431"/>
    <m/>
    <m/>
    <n v="1608"/>
    <m/>
    <m/>
    <n v="84"/>
    <n v="105"/>
  </r>
  <r>
    <x v="8"/>
    <s v="Mississippi University for Women"/>
    <m/>
    <n v="176035"/>
    <x v="4"/>
    <n v="69665"/>
    <n v="71262"/>
    <n v="34357"/>
    <n v="35589"/>
    <n v="229"/>
    <n v="152"/>
    <n v="35079"/>
    <m/>
    <m/>
    <n v="35521"/>
    <m/>
    <m/>
    <m/>
    <m/>
    <n v="4154"/>
    <n v="4839"/>
    <n v="2363"/>
    <n v="2561"/>
    <n v="428"/>
    <n v="464"/>
    <n v="1363"/>
    <m/>
    <m/>
    <n v="1814"/>
    <m/>
    <m/>
    <m/>
    <m/>
  </r>
  <r>
    <x v="8"/>
    <s v="Hinds Community College "/>
    <m/>
    <n v="175786"/>
    <x v="6"/>
    <n v="301302"/>
    <n v="295516"/>
    <n v="243211"/>
    <n v="237147"/>
    <m/>
    <m/>
    <n v="58091"/>
    <m/>
    <m/>
    <n v="58369"/>
    <m/>
    <m/>
    <m/>
    <m/>
    <n v="0"/>
    <n v="0"/>
    <m/>
    <m/>
    <m/>
    <m/>
    <m/>
    <m/>
    <m/>
    <m/>
    <m/>
    <m/>
    <m/>
    <m/>
  </r>
  <r>
    <x v="8"/>
    <s v="Itawamba Community College "/>
    <m/>
    <n v="175829"/>
    <x v="6"/>
    <n v="152489"/>
    <n v="151176"/>
    <n v="97442"/>
    <n v="96613"/>
    <m/>
    <m/>
    <n v="55047"/>
    <m/>
    <m/>
    <n v="54563"/>
    <m/>
    <m/>
    <m/>
    <m/>
    <n v="0"/>
    <n v="0"/>
    <m/>
    <m/>
    <m/>
    <m/>
    <m/>
    <m/>
    <m/>
    <m/>
    <m/>
    <m/>
    <m/>
    <m/>
  </r>
  <r>
    <x v="8"/>
    <s v="Mississippi Gulf Coast Community College "/>
    <m/>
    <n v="176071"/>
    <x v="6"/>
    <n v="244485"/>
    <n v="233664"/>
    <n v="181298"/>
    <n v="167093"/>
    <m/>
    <m/>
    <n v="63187"/>
    <m/>
    <m/>
    <n v="66571"/>
    <m/>
    <m/>
    <m/>
    <m/>
    <n v="0"/>
    <n v="0"/>
    <m/>
    <m/>
    <m/>
    <m/>
    <m/>
    <m/>
    <m/>
    <m/>
    <m/>
    <m/>
    <m/>
    <m/>
  </r>
  <r>
    <x v="8"/>
    <s v="Northwest Mississippi Community College "/>
    <m/>
    <n v="176178"/>
    <x v="6"/>
    <n v="201452"/>
    <n v="198297"/>
    <n v="161697"/>
    <n v="155314"/>
    <m/>
    <m/>
    <n v="39755"/>
    <m/>
    <m/>
    <n v="42983"/>
    <m/>
    <m/>
    <m/>
    <m/>
    <n v="0"/>
    <n v="0"/>
    <m/>
    <m/>
    <m/>
    <m/>
    <m/>
    <m/>
    <m/>
    <m/>
    <m/>
    <m/>
    <m/>
    <m/>
  </r>
  <r>
    <x v="8"/>
    <s v="Copiah-Lincoln Community College "/>
    <m/>
    <n v="175573"/>
    <x v="7"/>
    <n v="81654"/>
    <n v="81798"/>
    <n v="61300"/>
    <n v="58281"/>
    <m/>
    <m/>
    <n v="20354"/>
    <m/>
    <m/>
    <n v="23517"/>
    <m/>
    <m/>
    <m/>
    <m/>
    <n v="0"/>
    <n v="0"/>
    <m/>
    <m/>
    <m/>
    <m/>
    <m/>
    <m/>
    <m/>
    <m/>
    <m/>
    <m/>
    <m/>
    <m/>
  </r>
  <r>
    <x v="8"/>
    <s v="East Central Community College "/>
    <m/>
    <n v="175643"/>
    <x v="7"/>
    <n v="73113"/>
    <n v="69193"/>
    <n v="53784"/>
    <n v="50754"/>
    <m/>
    <m/>
    <n v="19329"/>
    <m/>
    <m/>
    <n v="18439"/>
    <m/>
    <m/>
    <m/>
    <m/>
    <n v="0"/>
    <n v="0"/>
    <m/>
    <m/>
    <m/>
    <m/>
    <m/>
    <m/>
    <m/>
    <m/>
    <m/>
    <m/>
    <m/>
    <m/>
  </r>
  <r>
    <x v="8"/>
    <s v="East Mississippi Community College "/>
    <m/>
    <n v="175652"/>
    <x v="7"/>
    <n v="118031"/>
    <n v="114128"/>
    <n v="79232"/>
    <n v="75213"/>
    <m/>
    <m/>
    <n v="38799"/>
    <m/>
    <m/>
    <n v="38915"/>
    <m/>
    <m/>
    <m/>
    <m/>
    <n v="0"/>
    <n v="0"/>
    <m/>
    <m/>
    <m/>
    <m/>
    <m/>
    <m/>
    <m/>
    <m/>
    <m/>
    <m/>
    <m/>
    <m/>
  </r>
  <r>
    <x v="8"/>
    <s v="Holmes Community College "/>
    <s v="Met the criteria for Two-Year 1 in 2015-16 and 2016-17."/>
    <n v="175810"/>
    <x v="7"/>
    <n v="160109"/>
    <n v="159839"/>
    <n v="103948"/>
    <n v="99900"/>
    <m/>
    <m/>
    <n v="56161"/>
    <m/>
    <m/>
    <n v="59939"/>
    <m/>
    <m/>
    <m/>
    <m/>
    <n v="0"/>
    <n v="0"/>
    <m/>
    <m/>
    <m/>
    <m/>
    <m/>
    <m/>
    <m/>
    <m/>
    <m/>
    <m/>
    <m/>
    <m/>
  </r>
  <r>
    <x v="8"/>
    <s v="Jones County Junior College "/>
    <m/>
    <n v="175883"/>
    <x v="7"/>
    <n v="135923"/>
    <n v="138228"/>
    <n v="110270"/>
    <n v="109055"/>
    <m/>
    <m/>
    <n v="25653"/>
    <m/>
    <m/>
    <n v="29173"/>
    <m/>
    <m/>
    <m/>
    <m/>
    <n v="0"/>
    <n v="0"/>
    <m/>
    <m/>
    <m/>
    <m/>
    <m/>
    <m/>
    <m/>
    <m/>
    <m/>
    <m/>
    <m/>
    <m/>
  </r>
  <r>
    <x v="8"/>
    <s v="Meridian Community College "/>
    <m/>
    <n v="175935"/>
    <x v="7"/>
    <n v="90248"/>
    <n v="91889.5"/>
    <n v="73448"/>
    <n v="73008.5"/>
    <m/>
    <m/>
    <n v="16800"/>
    <m/>
    <m/>
    <n v="18881"/>
    <m/>
    <m/>
    <m/>
    <m/>
    <n v="0"/>
    <n v="0"/>
    <m/>
    <m/>
    <m/>
    <m/>
    <m/>
    <m/>
    <m/>
    <m/>
    <m/>
    <m/>
    <m/>
    <m/>
  </r>
  <r>
    <x v="8"/>
    <s v="Mississippi Delta Community College "/>
    <m/>
    <n v="176008"/>
    <x v="7"/>
    <n v="67392"/>
    <n v="64414"/>
    <n v="58599"/>
    <n v="55144"/>
    <m/>
    <m/>
    <n v="8793"/>
    <m/>
    <m/>
    <n v="9270"/>
    <m/>
    <m/>
    <m/>
    <m/>
    <n v="0"/>
    <n v="0"/>
    <m/>
    <m/>
    <m/>
    <m/>
    <m/>
    <m/>
    <m/>
    <m/>
    <m/>
    <m/>
    <m/>
    <m/>
  </r>
  <r>
    <x v="8"/>
    <s v="Northeast Mississippi Community College "/>
    <m/>
    <n v="176169"/>
    <x v="7"/>
    <n v="94950"/>
    <n v="92221"/>
    <n v="74241"/>
    <n v="72145"/>
    <m/>
    <m/>
    <n v="20709"/>
    <m/>
    <m/>
    <n v="20076"/>
    <m/>
    <m/>
    <m/>
    <m/>
    <n v="0"/>
    <n v="0"/>
    <m/>
    <m/>
    <m/>
    <m/>
    <m/>
    <m/>
    <m/>
    <m/>
    <m/>
    <m/>
    <m/>
    <m/>
  </r>
  <r>
    <x v="8"/>
    <s v="Pearl River Community College "/>
    <m/>
    <n v="176239"/>
    <x v="7"/>
    <n v="115539"/>
    <n v="114853"/>
    <n v="93245"/>
    <n v="92162"/>
    <m/>
    <m/>
    <n v="22294"/>
    <m/>
    <m/>
    <n v="22691"/>
    <m/>
    <m/>
    <m/>
    <m/>
    <n v="0"/>
    <n v="0"/>
    <m/>
    <m/>
    <m/>
    <m/>
    <m/>
    <m/>
    <m/>
    <m/>
    <m/>
    <m/>
    <m/>
    <m/>
  </r>
  <r>
    <x v="8"/>
    <s v="Coahoma Community College "/>
    <m/>
    <n v="175519"/>
    <x v="8"/>
    <n v="53437"/>
    <n v="50162"/>
    <n v="46261"/>
    <n v="44541"/>
    <m/>
    <m/>
    <n v="7176"/>
    <m/>
    <m/>
    <n v="5621"/>
    <m/>
    <m/>
    <m/>
    <m/>
    <n v="0"/>
    <n v="0"/>
    <m/>
    <m/>
    <m/>
    <m/>
    <m/>
    <m/>
    <m/>
    <m/>
    <m/>
    <m/>
    <m/>
    <m/>
  </r>
  <r>
    <x v="8"/>
    <s v="Southwest Mississippi Community College"/>
    <m/>
    <n v="176354"/>
    <x v="8"/>
    <n v="54313"/>
    <n v="53844"/>
    <n v="43254"/>
    <n v="43078"/>
    <m/>
    <m/>
    <n v="11059"/>
    <m/>
    <m/>
    <n v="10766"/>
    <m/>
    <m/>
    <m/>
    <m/>
    <n v="0"/>
    <n v="0"/>
    <m/>
    <m/>
    <m/>
    <m/>
    <m/>
    <m/>
    <m/>
    <m/>
    <m/>
    <m/>
    <m/>
    <m/>
  </r>
  <r>
    <x v="9"/>
    <s v="Asheville-Buncombe Technical Community College"/>
    <m/>
    <n v="197887"/>
    <x v="6"/>
    <n v="195148"/>
    <n v="179349"/>
    <n v="99652"/>
    <n v="98601"/>
    <n v="41921"/>
    <n v="29318"/>
    <n v="52452"/>
    <n v="1123"/>
    <n v="0"/>
    <n v="49827"/>
    <n v="1603"/>
    <n v="0"/>
    <m/>
    <m/>
    <n v="0"/>
    <n v="0"/>
    <m/>
    <m/>
    <m/>
    <m/>
    <m/>
    <m/>
    <m/>
    <m/>
    <m/>
    <m/>
    <m/>
    <m/>
  </r>
  <r>
    <x v="9"/>
    <s v="Cape Fear Community College"/>
    <m/>
    <n v="198154"/>
    <x v="6"/>
    <n v="319233"/>
    <n v="313689"/>
    <n v="119189"/>
    <n v="115069"/>
    <n v="57340"/>
    <n v="55399"/>
    <n v="142704"/>
    <n v="0"/>
    <n v="0"/>
    <n v="143221"/>
    <n v="0"/>
    <n v="0"/>
    <m/>
    <m/>
    <n v="0"/>
    <n v="0"/>
    <m/>
    <m/>
    <m/>
    <m/>
    <m/>
    <m/>
    <m/>
    <m/>
    <m/>
    <m/>
    <m/>
    <m/>
  </r>
  <r>
    <x v="9"/>
    <s v="Central Piedmont Community College "/>
    <m/>
    <n v="198260"/>
    <x v="6"/>
    <n v="674927"/>
    <n v="695122.5"/>
    <n v="256713"/>
    <n v="255983.5"/>
    <n v="182071"/>
    <n v="185974"/>
    <n v="234233"/>
    <n v="0"/>
    <n v="1910"/>
    <n v="252103"/>
    <n v="0"/>
    <n v="1062"/>
    <m/>
    <m/>
    <n v="0"/>
    <n v="0"/>
    <m/>
    <m/>
    <m/>
    <m/>
    <m/>
    <m/>
    <m/>
    <m/>
    <m/>
    <m/>
    <m/>
    <m/>
  </r>
  <r>
    <x v="9"/>
    <s v="Fayetteville Technical Community College"/>
    <m/>
    <n v="198534"/>
    <x v="6"/>
    <n v="328107"/>
    <n v="329193"/>
    <n v="117792"/>
    <n v="110342"/>
    <n v="32725"/>
    <n v="34955"/>
    <n v="177163"/>
    <n v="427"/>
    <n v="0"/>
    <n v="183678"/>
    <n v="218"/>
    <n v="0"/>
    <m/>
    <m/>
    <n v="0"/>
    <n v="0"/>
    <m/>
    <m/>
    <m/>
    <m/>
    <m/>
    <m/>
    <m/>
    <m/>
    <m/>
    <m/>
    <m/>
    <m/>
  </r>
  <r>
    <x v="9"/>
    <s v="Forsyth Technical Community College"/>
    <m/>
    <n v="198552"/>
    <x v="6"/>
    <n v="257546"/>
    <n v="227701"/>
    <n v="110364"/>
    <n v="109009"/>
    <n v="57644"/>
    <n v="44431"/>
    <n v="88602"/>
    <n v="936"/>
    <n v="0"/>
    <n v="73200"/>
    <n v="1061"/>
    <n v="0"/>
    <m/>
    <m/>
    <n v="0"/>
    <n v="0"/>
    <m/>
    <m/>
    <m/>
    <m/>
    <m/>
    <m/>
    <m/>
    <m/>
    <m/>
    <m/>
    <m/>
    <m/>
  </r>
  <r>
    <x v="9"/>
    <s v="Guilford Technical Community College"/>
    <m/>
    <n v="198622"/>
    <x v="6"/>
    <n v="407841"/>
    <n v="400423"/>
    <n v="118975"/>
    <n v="155518"/>
    <n v="59275"/>
    <n v="91295"/>
    <n v="229591"/>
    <n v="0"/>
    <n v="0"/>
    <n v="153610"/>
    <n v="0"/>
    <n v="0"/>
    <m/>
    <m/>
    <n v="0"/>
    <n v="0"/>
    <m/>
    <m/>
    <m/>
    <m/>
    <m/>
    <m/>
    <m/>
    <m/>
    <m/>
    <m/>
    <m/>
    <m/>
  </r>
  <r>
    <x v="9"/>
    <s v="Pitt Community College"/>
    <m/>
    <n v="199333"/>
    <x v="6"/>
    <n v="216984.1"/>
    <n v="220594"/>
    <n v="89824.6"/>
    <n v="85877"/>
    <n v="15272"/>
    <n v="20508"/>
    <n v="111887.5"/>
    <n v="0"/>
    <n v="0"/>
    <n v="114209"/>
    <n v="0"/>
    <n v="0"/>
    <m/>
    <m/>
    <n v="0"/>
    <n v="0"/>
    <m/>
    <m/>
    <m/>
    <m/>
    <m/>
    <m/>
    <m/>
    <m/>
    <m/>
    <m/>
    <m/>
    <m/>
  </r>
  <r>
    <x v="9"/>
    <s v="Rowan-Cabarrus Community College"/>
    <s v="Met the criteria for Two-Year 2 in 2016-17."/>
    <n v="199494"/>
    <x v="6"/>
    <n v="221896"/>
    <n v="200229.5"/>
    <n v="71557"/>
    <n v="60178.5"/>
    <n v="53585"/>
    <n v="46567"/>
    <n v="96754"/>
    <n v="0"/>
    <n v="0"/>
    <n v="93484"/>
    <n v="0"/>
    <n v="0"/>
    <m/>
    <m/>
    <n v="0"/>
    <n v="0"/>
    <m/>
    <m/>
    <m/>
    <m/>
    <m/>
    <m/>
    <m/>
    <m/>
    <m/>
    <m/>
    <m/>
    <m/>
  </r>
  <r>
    <x v="9"/>
    <s v="Wake Technical Community College"/>
    <m/>
    <n v="199856"/>
    <x v="6"/>
    <n v="760196"/>
    <n v="785311"/>
    <n v="281348"/>
    <n v="277879"/>
    <n v="185846"/>
    <n v="189529"/>
    <n v="293002"/>
    <n v="0"/>
    <n v="0"/>
    <n v="317903"/>
    <n v="0"/>
    <n v="0"/>
    <m/>
    <m/>
    <n v="0"/>
    <n v="0"/>
    <m/>
    <m/>
    <m/>
    <m/>
    <m/>
    <m/>
    <m/>
    <m/>
    <m/>
    <m/>
    <m/>
    <m/>
  </r>
  <r>
    <x v="9"/>
    <s v="Alamance Community College"/>
    <m/>
    <n v="199786"/>
    <x v="7"/>
    <n v="116870.5"/>
    <n v="113902.5"/>
    <n v="64833.5"/>
    <n v="60314.5"/>
    <n v="17485"/>
    <n v="17295"/>
    <n v="34552"/>
    <n v="0"/>
    <n v="0"/>
    <n v="36293"/>
    <n v="0"/>
    <n v="0"/>
    <m/>
    <m/>
    <n v="0"/>
    <n v="0"/>
    <m/>
    <m/>
    <m/>
    <m/>
    <m/>
    <m/>
    <m/>
    <m/>
    <m/>
    <m/>
    <m/>
    <m/>
  </r>
  <r>
    <x v="9"/>
    <s v="Caldwell Community College &amp; Technical Institute"/>
    <m/>
    <n v="198118"/>
    <x v="7"/>
    <n v="118892"/>
    <n v="118517.5"/>
    <n v="39311"/>
    <n v="37161.5"/>
    <n v="22217"/>
    <n v="21837"/>
    <n v="50778"/>
    <n v="6586"/>
    <n v="0"/>
    <n v="53316"/>
    <n v="6203"/>
    <n v="0"/>
    <m/>
    <m/>
    <n v="0"/>
    <n v="0"/>
    <m/>
    <m/>
    <m/>
    <m/>
    <m/>
    <m/>
    <m/>
    <m/>
    <m/>
    <m/>
    <m/>
    <m/>
  </r>
  <r>
    <x v="9"/>
    <s v="Catawba Valley Community College"/>
    <m/>
    <n v="198233"/>
    <x v="7"/>
    <n v="150186"/>
    <n v="122846"/>
    <n v="45363"/>
    <n v="42930"/>
    <n v="25375"/>
    <n v="17248"/>
    <n v="79448"/>
    <n v="0"/>
    <n v="0"/>
    <n v="62668"/>
    <n v="0"/>
    <n v="0"/>
    <m/>
    <m/>
    <n v="0"/>
    <n v="0"/>
    <m/>
    <m/>
    <m/>
    <m/>
    <m/>
    <m/>
    <m/>
    <m/>
    <m/>
    <m/>
    <m/>
    <m/>
  </r>
  <r>
    <x v="9"/>
    <s v="Central Carolina Commuity College"/>
    <m/>
    <n v="198251"/>
    <x v="7"/>
    <n v="119505"/>
    <n v="121004"/>
    <n v="57953"/>
    <n v="54470"/>
    <n v="16395"/>
    <n v="17151"/>
    <n v="45157"/>
    <n v="0"/>
    <n v="0"/>
    <n v="49383"/>
    <n v="0"/>
    <n v="0"/>
    <m/>
    <m/>
    <n v="0"/>
    <n v="0"/>
    <m/>
    <m/>
    <m/>
    <m/>
    <m/>
    <m/>
    <m/>
    <m/>
    <m/>
    <m/>
    <m/>
    <m/>
  </r>
  <r>
    <x v="9"/>
    <s v="Cleveland Community College"/>
    <m/>
    <n v="198321"/>
    <x v="7"/>
    <n v="94419"/>
    <n v="98607"/>
    <n v="29693.5"/>
    <n v="28404.5"/>
    <n v="19155.5"/>
    <n v="19975.5"/>
    <n v="45525"/>
    <n v="45"/>
    <n v="0"/>
    <n v="50185"/>
    <n v="42"/>
    <n v="0"/>
    <m/>
    <m/>
    <n v="0"/>
    <n v="0"/>
    <m/>
    <m/>
    <m/>
    <m/>
    <m/>
    <m/>
    <m/>
    <m/>
    <m/>
    <m/>
    <m/>
    <m/>
  </r>
  <r>
    <x v="9"/>
    <s v="Coastal Carolina Community College "/>
    <m/>
    <n v="198330"/>
    <x v="7"/>
    <n v="167588"/>
    <n v="158802"/>
    <n v="74483"/>
    <n v="69291"/>
    <n v="41803"/>
    <n v="40168"/>
    <n v="51302"/>
    <n v="0"/>
    <n v="0"/>
    <n v="49343"/>
    <n v="0"/>
    <n v="0"/>
    <m/>
    <m/>
    <n v="0"/>
    <n v="0"/>
    <m/>
    <m/>
    <m/>
    <m/>
    <m/>
    <m/>
    <m/>
    <m/>
    <m/>
    <m/>
    <m/>
    <m/>
  </r>
  <r>
    <x v="9"/>
    <s v="Craven Community College "/>
    <m/>
    <n v="198367"/>
    <x v="7"/>
    <n v="105383"/>
    <n v="101317"/>
    <n v="29838"/>
    <n v="30182"/>
    <n v="15263"/>
    <n v="16069"/>
    <n v="60282"/>
    <n v="0"/>
    <n v="0"/>
    <n v="55066"/>
    <n v="0"/>
    <n v="0"/>
    <m/>
    <m/>
    <n v="0"/>
    <n v="0"/>
    <m/>
    <m/>
    <m/>
    <m/>
    <m/>
    <m/>
    <m/>
    <m/>
    <m/>
    <m/>
    <m/>
    <m/>
  </r>
  <r>
    <x v="9"/>
    <s v="Davidson County Community College "/>
    <m/>
    <n v="198376"/>
    <x v="7"/>
    <n v="78983.5"/>
    <n v="82506"/>
    <n v="35118.5"/>
    <n v="32278"/>
    <n v="318"/>
    <n v="1794"/>
    <n v="43184"/>
    <n v="363"/>
    <n v="0"/>
    <n v="48022"/>
    <n v="412"/>
    <n v="0"/>
    <m/>
    <m/>
    <n v="0"/>
    <n v="0"/>
    <m/>
    <m/>
    <m/>
    <m/>
    <m/>
    <m/>
    <m/>
    <m/>
    <m/>
    <m/>
    <m/>
    <m/>
  </r>
  <r>
    <x v="9"/>
    <s v="Durham Technical Community College"/>
    <m/>
    <n v="198455"/>
    <x v="7"/>
    <n v="146385"/>
    <n v="148002"/>
    <n v="68084"/>
    <n v="65281"/>
    <n v="31325"/>
    <n v="34483"/>
    <n v="46976"/>
    <n v="0"/>
    <n v="0"/>
    <n v="48238"/>
    <n v="0"/>
    <n v="0"/>
    <m/>
    <m/>
    <n v="0"/>
    <n v="0"/>
    <m/>
    <m/>
    <m/>
    <m/>
    <m/>
    <m/>
    <m/>
    <m/>
    <m/>
    <m/>
    <m/>
    <m/>
  </r>
  <r>
    <x v="9"/>
    <s v="Edgecombe Community College"/>
    <s v="Met the criteria for Two-Year 3 in 2016-17."/>
    <n v="198491"/>
    <x v="7"/>
    <n v="86107"/>
    <n v="79830"/>
    <n v="27538"/>
    <n v="22150"/>
    <n v="15759"/>
    <n v="13086"/>
    <n v="42810"/>
    <n v="0"/>
    <n v="0"/>
    <n v="44594"/>
    <n v="0"/>
    <n v="0"/>
    <m/>
    <m/>
    <n v="0"/>
    <n v="0"/>
    <m/>
    <m/>
    <m/>
    <m/>
    <m/>
    <m/>
    <m/>
    <m/>
    <m/>
    <m/>
    <m/>
    <m/>
  </r>
  <r>
    <x v="9"/>
    <s v="Gaston College "/>
    <m/>
    <n v="198570"/>
    <x v="7"/>
    <n v="129233"/>
    <n v="132849"/>
    <n v="66809"/>
    <n v="61564"/>
    <n v="7975"/>
    <n v="8910"/>
    <n v="53765"/>
    <n v="684"/>
    <n v="0"/>
    <n v="61862"/>
    <n v="513"/>
    <n v="0"/>
    <m/>
    <m/>
    <n v="0"/>
    <n v="0"/>
    <m/>
    <m/>
    <m/>
    <m/>
    <m/>
    <m/>
    <m/>
    <m/>
    <m/>
    <m/>
    <m/>
    <m/>
  </r>
  <r>
    <x v="9"/>
    <s v="Johnston Community College"/>
    <m/>
    <n v="198774"/>
    <x v="7"/>
    <n v="135426"/>
    <n v="139176"/>
    <n v="46952"/>
    <n v="46893"/>
    <n v="29751"/>
    <n v="30893"/>
    <n v="57499"/>
    <n v="1224"/>
    <n v="0"/>
    <n v="60472"/>
    <n v="918"/>
    <n v="0"/>
    <m/>
    <m/>
    <n v="0"/>
    <n v="0"/>
    <m/>
    <m/>
    <m/>
    <m/>
    <m/>
    <m/>
    <m/>
    <m/>
    <m/>
    <m/>
    <m/>
    <m/>
  </r>
  <r>
    <x v="9"/>
    <s v="Lenoir Community College "/>
    <m/>
    <n v="198817"/>
    <x v="7"/>
    <n v="70648"/>
    <n v="66844"/>
    <n v="28044"/>
    <n v="23596"/>
    <n v="6318"/>
    <n v="5568"/>
    <n v="36109"/>
    <n v="177"/>
    <n v="0"/>
    <n v="37680"/>
    <n v="0"/>
    <n v="0"/>
    <m/>
    <m/>
    <n v="0"/>
    <n v="0"/>
    <m/>
    <m/>
    <m/>
    <m/>
    <m/>
    <m/>
    <m/>
    <m/>
    <m/>
    <m/>
    <m/>
    <m/>
  </r>
  <r>
    <x v="9"/>
    <s v="Mitchell Community College "/>
    <m/>
    <n v="198987"/>
    <x v="7"/>
    <n v="99640"/>
    <n v="101344"/>
    <n v="27422"/>
    <n v="25333.5"/>
    <n v="16348"/>
    <n v="16134.5"/>
    <n v="55870"/>
    <n v="0"/>
    <n v="0"/>
    <n v="59876"/>
    <n v="0"/>
    <n v="0"/>
    <m/>
    <m/>
    <n v="0"/>
    <n v="0"/>
    <m/>
    <m/>
    <m/>
    <m/>
    <m/>
    <m/>
    <m/>
    <m/>
    <m/>
    <m/>
    <m/>
    <m/>
  </r>
  <r>
    <x v="9"/>
    <s v="Nash Community College"/>
    <m/>
    <n v="199087"/>
    <x v="7"/>
    <n v="103850"/>
    <n v="98931"/>
    <n v="37987"/>
    <n v="30743"/>
    <n v="18118"/>
    <n v="15803"/>
    <n v="47688"/>
    <n v="9"/>
    <n v="48"/>
    <n v="52085"/>
    <n v="300"/>
    <n v="0"/>
    <m/>
    <m/>
    <n v="0"/>
    <n v="0"/>
    <m/>
    <m/>
    <m/>
    <m/>
    <m/>
    <m/>
    <m/>
    <m/>
    <m/>
    <m/>
    <m/>
    <m/>
  </r>
  <r>
    <x v="9"/>
    <s v="Randolph Community College"/>
    <m/>
    <n v="199421"/>
    <x v="7"/>
    <n v="93117"/>
    <n v="88592"/>
    <n v="31750"/>
    <n v="27696"/>
    <n v="18509"/>
    <n v="16763"/>
    <n v="27705"/>
    <n v="432"/>
    <n v="14721"/>
    <n v="43292"/>
    <n v="147"/>
    <n v="694"/>
    <m/>
    <m/>
    <n v="0"/>
    <n v="0"/>
    <m/>
    <m/>
    <m/>
    <m/>
    <m/>
    <m/>
    <m/>
    <m/>
    <m/>
    <m/>
    <m/>
    <m/>
  </r>
  <r>
    <x v="9"/>
    <s v="Richmond Community College"/>
    <m/>
    <n v="199449"/>
    <x v="7"/>
    <n v="75938"/>
    <n v="78273"/>
    <n v="29041"/>
    <n v="23878"/>
    <n v="12791"/>
    <n v="8735"/>
    <n v="33680"/>
    <n v="426"/>
    <n v="0"/>
    <n v="45660"/>
    <n v="0"/>
    <n v="0"/>
    <m/>
    <m/>
    <n v="0"/>
    <n v="0"/>
    <m/>
    <m/>
    <m/>
    <m/>
    <m/>
    <m/>
    <m/>
    <m/>
    <m/>
    <m/>
    <m/>
    <m/>
  </r>
  <r>
    <x v="9"/>
    <s v="Robeson Community College"/>
    <m/>
    <n v="199476"/>
    <x v="7"/>
    <n v="45271"/>
    <n v="41829"/>
    <n v="28744"/>
    <n v="25855"/>
    <n v="2156"/>
    <n v="1728"/>
    <n v="13875"/>
    <n v="496"/>
    <n v="0"/>
    <n v="14246"/>
    <n v="0"/>
    <n v="0"/>
    <m/>
    <m/>
    <n v="0"/>
    <n v="0"/>
    <m/>
    <m/>
    <m/>
    <m/>
    <m/>
    <m/>
    <m/>
    <m/>
    <m/>
    <m/>
    <m/>
    <m/>
  </r>
  <r>
    <x v="9"/>
    <s v="Sandhills Community College "/>
    <m/>
    <n v="199634"/>
    <x v="7"/>
    <n v="130709.5"/>
    <n v="119575.5"/>
    <n v="41951.5"/>
    <n v="37303.5"/>
    <n v="22346"/>
    <n v="17235"/>
    <n v="66412"/>
    <n v="0"/>
    <n v="0"/>
    <n v="65037"/>
    <n v="0"/>
    <n v="0"/>
    <m/>
    <m/>
    <n v="0"/>
    <n v="0"/>
    <m/>
    <m/>
    <m/>
    <m/>
    <m/>
    <m/>
    <m/>
    <m/>
    <m/>
    <m/>
    <m/>
    <m/>
  </r>
  <r>
    <x v="9"/>
    <s v="Stanly Community College"/>
    <m/>
    <n v="199740"/>
    <x v="7"/>
    <n v="64904"/>
    <n v="63440"/>
    <n v="17411"/>
    <n v="17091"/>
    <n v="6070"/>
    <n v="6062"/>
    <n v="41423"/>
    <n v="0"/>
    <n v="0"/>
    <n v="40287"/>
    <n v="0"/>
    <n v="0"/>
    <m/>
    <m/>
    <n v="0"/>
    <n v="0"/>
    <m/>
    <m/>
    <m/>
    <m/>
    <m/>
    <m/>
    <m/>
    <m/>
    <m/>
    <m/>
    <m/>
    <m/>
  </r>
  <r>
    <x v="9"/>
    <s v="Surry Community College "/>
    <m/>
    <n v="199768"/>
    <x v="7"/>
    <n v="67833"/>
    <n v="57169"/>
    <n v="37018"/>
    <n v="29087"/>
    <n v="5846"/>
    <n v="5389"/>
    <n v="24245"/>
    <n v="724"/>
    <n v="0"/>
    <n v="21872"/>
    <n v="821"/>
    <n v="0"/>
    <m/>
    <m/>
    <n v="0"/>
    <n v="0"/>
    <m/>
    <m/>
    <m/>
    <m/>
    <m/>
    <m/>
    <m/>
    <m/>
    <m/>
    <m/>
    <m/>
    <m/>
  </r>
  <r>
    <x v="9"/>
    <s v="Vance-Granville Community College "/>
    <m/>
    <n v="199838"/>
    <x v="7"/>
    <n v="63411.5"/>
    <n v="63239.5"/>
    <n v="33062.5"/>
    <n v="30190"/>
    <n v="1367"/>
    <n v="2742"/>
    <n v="27453"/>
    <n v="1529"/>
    <n v="0"/>
    <n v="29112.5"/>
    <n v="1195"/>
    <n v="0"/>
    <m/>
    <m/>
    <n v="0"/>
    <n v="0"/>
    <m/>
    <m/>
    <m/>
    <m/>
    <m/>
    <m/>
    <m/>
    <m/>
    <m/>
    <m/>
    <m/>
    <m/>
  </r>
  <r>
    <x v="9"/>
    <s v="Wayne Community College"/>
    <m/>
    <n v="199892"/>
    <x v="7"/>
    <n v="105475"/>
    <n v="115423"/>
    <n v="38801"/>
    <n v="34852"/>
    <n v="13794"/>
    <n v="15975"/>
    <n v="52880"/>
    <n v="0"/>
    <n v="0"/>
    <n v="64596"/>
    <n v="0"/>
    <n v="0"/>
    <m/>
    <m/>
    <n v="0"/>
    <n v="0"/>
    <m/>
    <m/>
    <m/>
    <m/>
    <m/>
    <m/>
    <m/>
    <m/>
    <m/>
    <m/>
    <m/>
    <m/>
  </r>
  <r>
    <x v="9"/>
    <s v="Western Piedmont Community College "/>
    <s v="Met the criteria for Two-Year 3 in 2015-16 and 2016-17."/>
    <n v="199908"/>
    <x v="7"/>
    <n v="67498"/>
    <n v="58543"/>
    <n v="20160"/>
    <n v="21587"/>
    <n v="8951"/>
    <n v="7869"/>
    <n v="38387"/>
    <n v="0"/>
    <n v="0"/>
    <n v="29087"/>
    <n v="0"/>
    <n v="0"/>
    <m/>
    <m/>
    <n v="0"/>
    <n v="0"/>
    <m/>
    <m/>
    <m/>
    <m/>
    <m/>
    <m/>
    <m/>
    <m/>
    <m/>
    <m/>
    <m/>
    <m/>
  </r>
  <r>
    <x v="9"/>
    <s v="Wilkes Community College "/>
    <m/>
    <n v="199926"/>
    <x v="7"/>
    <n v="88835"/>
    <n v="91452"/>
    <n v="39548"/>
    <n v="36413"/>
    <n v="19789"/>
    <n v="22708"/>
    <n v="25323"/>
    <n v="4037"/>
    <n v="138"/>
    <n v="29244"/>
    <n v="3087"/>
    <n v="0"/>
    <m/>
    <m/>
    <n v="0"/>
    <n v="0"/>
    <m/>
    <m/>
    <m/>
    <m/>
    <m/>
    <m/>
    <m/>
    <m/>
    <m/>
    <m/>
    <m/>
    <m/>
  </r>
  <r>
    <x v="9"/>
    <s v="Beaufort County Community College "/>
    <m/>
    <n v="197966"/>
    <x v="8"/>
    <n v="54703"/>
    <n v="46777"/>
    <n v="11691"/>
    <n v="8477"/>
    <n v="5766"/>
    <n v="4028"/>
    <n v="35966"/>
    <n v="0"/>
    <n v="1280"/>
    <n v="30457"/>
    <n v="0"/>
    <n v="3815"/>
    <m/>
    <m/>
    <n v="0"/>
    <n v="0"/>
    <m/>
    <m/>
    <m/>
    <m/>
    <m/>
    <m/>
    <m/>
    <m/>
    <m/>
    <m/>
    <m/>
    <m/>
  </r>
  <r>
    <x v="9"/>
    <s v="Bladen Community College"/>
    <m/>
    <n v="198011"/>
    <x v="8"/>
    <n v="29042"/>
    <n v="30381"/>
    <n v="12629"/>
    <n v="11812"/>
    <n v="815"/>
    <n v="1131"/>
    <n v="14287"/>
    <n v="1311"/>
    <n v="0"/>
    <n v="15859"/>
    <n v="1579"/>
    <n v="0"/>
    <m/>
    <m/>
    <n v="0"/>
    <n v="0"/>
    <m/>
    <m/>
    <m/>
    <m/>
    <m/>
    <m/>
    <m/>
    <m/>
    <m/>
    <m/>
    <m/>
    <m/>
  </r>
  <r>
    <x v="9"/>
    <s v="Blue Ridge Community College"/>
    <m/>
    <n v="198039"/>
    <x v="8"/>
    <n v="63311"/>
    <n v="60380"/>
    <n v="21419"/>
    <n v="19251"/>
    <n v="9026"/>
    <n v="8527"/>
    <n v="32866"/>
    <n v="0"/>
    <n v="0"/>
    <n v="32602"/>
    <n v="0"/>
    <n v="0"/>
    <m/>
    <m/>
    <n v="0"/>
    <n v="0"/>
    <m/>
    <m/>
    <m/>
    <m/>
    <m/>
    <m/>
    <m/>
    <m/>
    <m/>
    <m/>
    <m/>
    <m/>
  </r>
  <r>
    <x v="9"/>
    <s v="Brunswick Community College"/>
    <m/>
    <n v="198084"/>
    <x v="8"/>
    <n v="54241"/>
    <n v="52778"/>
    <n v="18793"/>
    <n v="16914"/>
    <n v="12887"/>
    <n v="11153"/>
    <n v="22474"/>
    <n v="87"/>
    <n v="0"/>
    <n v="24645"/>
    <n v="66"/>
    <n v="0"/>
    <m/>
    <m/>
    <n v="0"/>
    <n v="0"/>
    <m/>
    <m/>
    <m/>
    <m/>
    <m/>
    <m/>
    <m/>
    <m/>
    <m/>
    <m/>
    <m/>
    <m/>
  </r>
  <r>
    <x v="9"/>
    <s v="Carteret Community College"/>
    <m/>
    <n v="198206"/>
    <x v="8"/>
    <n v="46435"/>
    <n v="45980"/>
    <n v="17752"/>
    <n v="17588"/>
    <n v="7805"/>
    <n v="6804"/>
    <n v="20878"/>
    <n v="0"/>
    <n v="0"/>
    <n v="21588"/>
    <n v="0"/>
    <n v="0"/>
    <m/>
    <m/>
    <n v="0"/>
    <n v="0"/>
    <m/>
    <m/>
    <m/>
    <m/>
    <m/>
    <m/>
    <m/>
    <m/>
    <m/>
    <m/>
    <m/>
    <m/>
  </r>
  <r>
    <x v="9"/>
    <s v="College of the Albemarle"/>
    <m/>
    <n v="197814"/>
    <x v="8"/>
    <n v="76330"/>
    <n v="78472"/>
    <n v="21132"/>
    <n v="19235"/>
    <n v="11751"/>
    <n v="11649"/>
    <n v="43447"/>
    <n v="0"/>
    <n v="0"/>
    <n v="47588"/>
    <n v="0"/>
    <n v="0"/>
    <m/>
    <m/>
    <n v="0"/>
    <n v="0"/>
    <m/>
    <m/>
    <m/>
    <m/>
    <m/>
    <m/>
    <m/>
    <m/>
    <m/>
    <m/>
    <m/>
    <m/>
  </r>
  <r>
    <x v="9"/>
    <s v="Halifax Community College "/>
    <m/>
    <n v="198640"/>
    <x v="8"/>
    <n v="33630"/>
    <n v="32622"/>
    <n v="12127"/>
    <n v="10407"/>
    <n v="6158"/>
    <n v="5414"/>
    <n v="14985"/>
    <n v="360"/>
    <n v="0"/>
    <n v="16399"/>
    <n v="402"/>
    <n v="0"/>
    <m/>
    <m/>
    <n v="0"/>
    <n v="0"/>
    <m/>
    <m/>
    <m/>
    <m/>
    <m/>
    <m/>
    <m/>
    <m/>
    <m/>
    <m/>
    <m/>
    <m/>
  </r>
  <r>
    <x v="9"/>
    <s v="Haywood Community College"/>
    <m/>
    <n v="198668"/>
    <x v="8"/>
    <n v="54868"/>
    <n v="53163"/>
    <n v="18882"/>
    <n v="18313"/>
    <n v="9437"/>
    <n v="9678"/>
    <n v="26549"/>
    <n v="0"/>
    <n v="0"/>
    <n v="25172"/>
    <n v="0"/>
    <n v="0"/>
    <m/>
    <m/>
    <n v="0"/>
    <n v="0"/>
    <m/>
    <m/>
    <m/>
    <m/>
    <m/>
    <m/>
    <m/>
    <m/>
    <m/>
    <m/>
    <m/>
    <m/>
  </r>
  <r>
    <x v="9"/>
    <s v="Isothermal Community College "/>
    <m/>
    <n v="198710"/>
    <x v="8"/>
    <n v="68134"/>
    <n v="66812"/>
    <n v="24517.5"/>
    <n v="21817"/>
    <n v="15839.5"/>
    <n v="14412"/>
    <n v="27777"/>
    <n v="0"/>
    <n v="0"/>
    <n v="30583"/>
    <n v="0"/>
    <n v="0"/>
    <m/>
    <m/>
    <n v="0"/>
    <n v="0"/>
    <m/>
    <m/>
    <m/>
    <m/>
    <m/>
    <m/>
    <m/>
    <m/>
    <m/>
    <m/>
    <m/>
    <m/>
  </r>
  <r>
    <x v="9"/>
    <s v="James Sprunt Community College"/>
    <m/>
    <n v="198729"/>
    <x v="8"/>
    <n v="24546"/>
    <n v="25055"/>
    <n v="13627"/>
    <n v="13272"/>
    <n v="888"/>
    <n v="520"/>
    <n v="9483"/>
    <n v="548"/>
    <n v="0"/>
    <n v="10570"/>
    <n v="693"/>
    <n v="0"/>
    <m/>
    <m/>
    <n v="0"/>
    <n v="0"/>
    <m/>
    <m/>
    <m/>
    <m/>
    <m/>
    <m/>
    <m/>
    <m/>
    <m/>
    <m/>
    <m/>
    <m/>
  </r>
  <r>
    <x v="9"/>
    <s v="Martin Community College "/>
    <m/>
    <n v="198905"/>
    <x v="8"/>
    <n v="18019"/>
    <n v="18119"/>
    <n v="6496"/>
    <n v="6715"/>
    <n v="1901"/>
    <n v="1202"/>
    <n v="9247"/>
    <n v="375"/>
    <n v="0"/>
    <n v="9915"/>
    <n v="287"/>
    <n v="0"/>
    <m/>
    <m/>
    <n v="0"/>
    <n v="0"/>
    <m/>
    <m/>
    <m/>
    <m/>
    <m/>
    <m/>
    <m/>
    <m/>
    <m/>
    <m/>
    <m/>
    <m/>
  </r>
  <r>
    <x v="9"/>
    <s v="Mayland Community College"/>
    <m/>
    <n v="198914"/>
    <x v="8"/>
    <n v="26932"/>
    <n v="28244.5"/>
    <n v="13404"/>
    <n v="12498.5"/>
    <n v="6799"/>
    <n v="6518"/>
    <n v="6729"/>
    <n v="0"/>
    <n v="0"/>
    <n v="9228"/>
    <n v="0"/>
    <n v="0"/>
    <m/>
    <m/>
    <n v="0"/>
    <n v="0"/>
    <m/>
    <m/>
    <m/>
    <m/>
    <m/>
    <m/>
    <m/>
    <m/>
    <m/>
    <m/>
    <m/>
    <m/>
  </r>
  <r>
    <x v="9"/>
    <s v="McDowell Technical Community College"/>
    <m/>
    <n v="198923"/>
    <x v="8"/>
    <n v="22309"/>
    <n v="22626"/>
    <n v="13633"/>
    <n v="12821"/>
    <n v="0"/>
    <n v="526"/>
    <n v="8610"/>
    <n v="66"/>
    <n v="0"/>
    <n v="9231"/>
    <n v="48"/>
    <n v="0"/>
    <m/>
    <m/>
    <n v="0"/>
    <n v="0"/>
    <m/>
    <m/>
    <m/>
    <m/>
    <m/>
    <m/>
    <m/>
    <m/>
    <m/>
    <m/>
    <m/>
    <m/>
  </r>
  <r>
    <x v="9"/>
    <s v="Montgomery Community College"/>
    <m/>
    <n v="199023"/>
    <x v="8"/>
    <n v="17590"/>
    <n v="17766"/>
    <n v="7192"/>
    <n v="7398"/>
    <n v="1144"/>
    <n v="1529"/>
    <n v="9206"/>
    <n v="48"/>
    <n v="0"/>
    <n v="8827"/>
    <n v="12"/>
    <n v="0"/>
    <m/>
    <m/>
    <n v="0"/>
    <n v="0"/>
    <m/>
    <m/>
    <m/>
    <m/>
    <m/>
    <m/>
    <m/>
    <m/>
    <m/>
    <m/>
    <m/>
    <m/>
  </r>
  <r>
    <x v="9"/>
    <s v="Pamlico Community College"/>
    <m/>
    <n v="199263"/>
    <x v="8"/>
    <n v="11905"/>
    <n v="12700"/>
    <n v="1765"/>
    <n v="1353"/>
    <n v="3870"/>
    <n v="4329"/>
    <n v="6261"/>
    <n v="9"/>
    <n v="0"/>
    <n v="7018"/>
    <n v="0"/>
    <n v="0"/>
    <m/>
    <m/>
    <n v="0"/>
    <n v="0"/>
    <m/>
    <m/>
    <m/>
    <m/>
    <m/>
    <m/>
    <m/>
    <m/>
    <m/>
    <m/>
    <m/>
    <m/>
  </r>
  <r>
    <x v="9"/>
    <s v="Piedmont Community College"/>
    <m/>
    <n v="199324"/>
    <x v="8"/>
    <n v="27632.5"/>
    <n v="24960.5"/>
    <n v="16150.5"/>
    <n v="12948.5"/>
    <n v="1112"/>
    <n v="1183"/>
    <n v="8483"/>
    <n v="1887"/>
    <n v="0"/>
    <n v="9186"/>
    <n v="1625"/>
    <n v="18"/>
    <m/>
    <m/>
    <n v="0"/>
    <n v="0"/>
    <m/>
    <m/>
    <m/>
    <m/>
    <m/>
    <m/>
    <m/>
    <m/>
    <m/>
    <m/>
    <m/>
    <m/>
  </r>
  <r>
    <x v="9"/>
    <s v="Roanoke-Chowan Community College"/>
    <m/>
    <n v="199467"/>
    <x v="8"/>
    <n v="22563"/>
    <n v="21531"/>
    <n v="8843"/>
    <n v="7694"/>
    <n v="3062"/>
    <n v="2693"/>
    <n v="10419"/>
    <n v="239"/>
    <n v="0"/>
    <n v="10998"/>
    <n v="146"/>
    <n v="0"/>
    <m/>
    <m/>
    <n v="0"/>
    <n v="0"/>
    <m/>
    <m/>
    <m/>
    <m/>
    <m/>
    <m/>
    <m/>
    <m/>
    <m/>
    <m/>
    <m/>
    <m/>
  </r>
  <r>
    <x v="9"/>
    <s v="Rockingham Community College "/>
    <m/>
    <n v="199485"/>
    <x v="8"/>
    <n v="36444"/>
    <n v="35179"/>
    <n v="27877"/>
    <n v="22655"/>
    <n v="12"/>
    <n v="596"/>
    <n v="8525"/>
    <n v="30"/>
    <n v="0"/>
    <n v="11874"/>
    <n v="54"/>
    <n v="0"/>
    <m/>
    <m/>
    <n v="0"/>
    <n v="0"/>
    <m/>
    <m/>
    <m/>
    <m/>
    <m/>
    <m/>
    <m/>
    <m/>
    <m/>
    <m/>
    <m/>
    <m/>
  </r>
  <r>
    <x v="9"/>
    <s v="Sampson Community College"/>
    <m/>
    <n v="199625"/>
    <x v="8"/>
    <n v="37344"/>
    <n v="44285"/>
    <n v="18473"/>
    <n v="15970"/>
    <n v="4894"/>
    <n v="6082"/>
    <n v="13423"/>
    <n v="476"/>
    <n v="78"/>
    <n v="22119"/>
    <n v="114"/>
    <n v="0"/>
    <m/>
    <m/>
    <n v="0"/>
    <n v="0"/>
    <m/>
    <m/>
    <m/>
    <m/>
    <m/>
    <m/>
    <m/>
    <m/>
    <m/>
    <m/>
    <m/>
    <m/>
  </r>
  <r>
    <x v="9"/>
    <s v="South Piedmont Community College"/>
    <s v="Met the criteria for Two-Year 2 in 2016-17."/>
    <n v="197850"/>
    <x v="8"/>
    <n v="75732"/>
    <n v="55539"/>
    <n v="15456"/>
    <n v="15891"/>
    <n v="9228"/>
    <n v="3494"/>
    <n v="50093"/>
    <n v="955"/>
    <n v="0"/>
    <n v="35448"/>
    <n v="706"/>
    <n v="0"/>
    <m/>
    <m/>
    <n v="0"/>
    <n v="0"/>
    <m/>
    <m/>
    <m/>
    <m/>
    <m/>
    <m/>
    <m/>
    <m/>
    <m/>
    <m/>
    <m/>
    <m/>
  </r>
  <r>
    <x v="9"/>
    <s v="Southeastern Community College "/>
    <m/>
    <n v="199722"/>
    <x v="8"/>
    <n v="44902"/>
    <n v="44241"/>
    <n v="17487"/>
    <n v="14340"/>
    <n v="7290"/>
    <n v="5972"/>
    <n v="19591"/>
    <n v="534"/>
    <n v="0"/>
    <n v="22915"/>
    <n v="1014"/>
    <n v="0"/>
    <m/>
    <m/>
    <n v="0"/>
    <n v="0"/>
    <m/>
    <m/>
    <m/>
    <m/>
    <m/>
    <m/>
    <m/>
    <m/>
    <m/>
    <m/>
    <m/>
    <m/>
  </r>
  <r>
    <x v="9"/>
    <s v="Southwestern Community College "/>
    <s v="Met the criteria for Two-Year 2 in 2016-17."/>
    <n v="199731"/>
    <x v="8"/>
    <n v="76586"/>
    <n v="76933"/>
    <n v="28700"/>
    <n v="28754"/>
    <n v="15402"/>
    <n v="15990"/>
    <n v="32002"/>
    <n v="482"/>
    <n v="0"/>
    <n v="31959"/>
    <n v="230"/>
    <n v="0"/>
    <m/>
    <m/>
    <n v="0"/>
    <n v="0"/>
    <m/>
    <m/>
    <m/>
    <m/>
    <m/>
    <m/>
    <m/>
    <m/>
    <m/>
    <m/>
    <m/>
    <m/>
  </r>
  <r>
    <x v="9"/>
    <s v="Tri-County Community College "/>
    <m/>
    <n v="199795"/>
    <x v="8"/>
    <n v="39463"/>
    <n v="36035"/>
    <n v="7850"/>
    <n v="7155"/>
    <n v="3558"/>
    <n v="3510"/>
    <n v="27851"/>
    <n v="204"/>
    <n v="0"/>
    <n v="25132"/>
    <n v="238"/>
    <n v="0"/>
    <m/>
    <m/>
    <n v="0"/>
    <n v="0"/>
    <m/>
    <m/>
    <m/>
    <m/>
    <m/>
    <m/>
    <m/>
    <m/>
    <m/>
    <m/>
    <m/>
    <m/>
  </r>
  <r>
    <x v="9"/>
    <s v="Wilson Community College"/>
    <m/>
    <n v="199953"/>
    <x v="8"/>
    <n v="60522"/>
    <n v="62913.5"/>
    <n v="15223"/>
    <n v="14379.5"/>
    <n v="8367"/>
    <n v="8528"/>
    <n v="36932"/>
    <n v="0"/>
    <n v="0"/>
    <n v="40006"/>
    <n v="0"/>
    <n v="0"/>
    <m/>
    <m/>
    <n v="0"/>
    <n v="0"/>
    <m/>
    <m/>
    <m/>
    <m/>
    <m/>
    <m/>
    <m/>
    <m/>
    <m/>
    <m/>
    <m/>
    <m/>
  </r>
  <r>
    <x v="9"/>
    <s v="North Carolina State University "/>
    <m/>
    <n v="199193"/>
    <x v="0"/>
    <n v="691738"/>
    <n v="677964"/>
    <n v="591971"/>
    <n v="575959"/>
    <n v="6181"/>
    <n v="3644"/>
    <n v="92867"/>
    <n v="0"/>
    <n v="719"/>
    <n v="95614"/>
    <n v="0"/>
    <n v="2747"/>
    <m/>
    <m/>
    <n v="149019"/>
    <n v="151973"/>
    <n v="117008"/>
    <n v="117347"/>
    <n v="4556"/>
    <n v="4567"/>
    <n v="26165"/>
    <n v="0"/>
    <n v="1290"/>
    <n v="28562"/>
    <n v="0"/>
    <n v="1497"/>
    <m/>
    <m/>
  </r>
  <r>
    <x v="9"/>
    <s v="University of North Carolina at Chapel Hill "/>
    <m/>
    <n v="199120"/>
    <x v="0"/>
    <n v="503039"/>
    <n v="516898"/>
    <n v="485287"/>
    <n v="498909"/>
    <n v="490"/>
    <n v="20"/>
    <n v="17262"/>
    <n v="0"/>
    <n v="0"/>
    <n v="17951"/>
    <n v="18"/>
    <n v="0"/>
    <m/>
    <m/>
    <n v="182911"/>
    <n v="179274"/>
    <n v="149953"/>
    <n v="147558"/>
    <n v="13353"/>
    <n v="2308"/>
    <n v="19504"/>
    <n v="101"/>
    <n v="0"/>
    <n v="29302"/>
    <n v="106"/>
    <n v="0"/>
    <m/>
    <m/>
  </r>
  <r>
    <x v="9"/>
    <s v="University of North Carolina at Charlotte"/>
    <m/>
    <n v="199139"/>
    <x v="0"/>
    <n v="633827"/>
    <n v="656459"/>
    <n v="571698"/>
    <n v="569451"/>
    <n v="0"/>
    <n v="0"/>
    <n v="61924"/>
    <n v="205"/>
    <n v="0"/>
    <n v="86855"/>
    <n v="153"/>
    <n v="0"/>
    <m/>
    <m/>
    <n v="81828"/>
    <n v="85738"/>
    <n v="66567"/>
    <n v="69129"/>
    <n v="1757"/>
    <n v="0"/>
    <n v="13504"/>
    <n v="0"/>
    <n v="0"/>
    <n v="16609"/>
    <n v="0"/>
    <n v="0"/>
    <m/>
    <m/>
  </r>
  <r>
    <x v="9"/>
    <s v="University of North Carolina at Greensboro"/>
    <m/>
    <n v="199148"/>
    <x v="0"/>
    <n v="419735"/>
    <n v="443938"/>
    <n v="329032"/>
    <n v="346189"/>
    <n v="2677"/>
    <n v="0"/>
    <n v="88026"/>
    <n v="0"/>
    <n v="0"/>
    <n v="97749"/>
    <n v="0"/>
    <n v="0"/>
    <m/>
    <m/>
    <n v="65262"/>
    <n v="56810"/>
    <n v="49969"/>
    <n v="41863"/>
    <n v="1493"/>
    <n v="0"/>
    <n v="13764"/>
    <n v="36"/>
    <n v="0"/>
    <n v="14947"/>
    <n v="0"/>
    <n v="0"/>
    <m/>
    <m/>
  </r>
  <r>
    <x v="9"/>
    <s v="East Carolina University "/>
    <m/>
    <n v="198464"/>
    <x v="1"/>
    <n v="615334"/>
    <n v="636002"/>
    <n v="491385"/>
    <n v="502213"/>
    <n v="457"/>
    <n v="2812"/>
    <n v="123471"/>
    <n v="21"/>
    <n v="0"/>
    <n v="130962"/>
    <n v="15"/>
    <n v="0"/>
    <m/>
    <m/>
    <n v="80537"/>
    <n v="80701"/>
    <n v="36882"/>
    <n v="34350"/>
    <n v="4759"/>
    <n v="4318"/>
    <n v="38896"/>
    <n v="0"/>
    <n v="0"/>
    <n v="42031"/>
    <n v="2"/>
    <n v="0"/>
    <m/>
    <m/>
  </r>
  <r>
    <x v="9"/>
    <s v="Appalachian State University "/>
    <m/>
    <n v="197869"/>
    <x v="2"/>
    <n v="489055"/>
    <n v="500723"/>
    <n v="458494"/>
    <n v="460590"/>
    <n v="2441"/>
    <n v="3152"/>
    <n v="28039"/>
    <n v="81"/>
    <n v="0"/>
    <n v="36981"/>
    <n v="0"/>
    <n v="0"/>
    <m/>
    <m/>
    <n v="30550"/>
    <n v="33924"/>
    <n v="23070"/>
    <n v="24135"/>
    <n v="1815"/>
    <n v="1391"/>
    <n v="5656"/>
    <n v="9"/>
    <n v="0"/>
    <n v="8398"/>
    <n v="0"/>
    <n v="0"/>
    <m/>
    <m/>
  </r>
  <r>
    <x v="9"/>
    <s v="North Carolina A&amp;T State University"/>
    <s v="Met the criteria for Four-Year 2 in  2016-17."/>
    <n v="199102"/>
    <x v="2"/>
    <n v="258275"/>
    <n v="276698"/>
    <n v="237592"/>
    <n v="242895"/>
    <n v="223"/>
    <n v="0"/>
    <n v="20460"/>
    <n v="0"/>
    <n v="0"/>
    <n v="33782"/>
    <n v="21"/>
    <n v="0"/>
    <m/>
    <m/>
    <n v="28465"/>
    <n v="25975"/>
    <n v="21100"/>
    <n v="20419"/>
    <n v="1224"/>
    <n v="0"/>
    <n v="5863"/>
    <n v="278"/>
    <n v="0"/>
    <n v="5359"/>
    <n v="197"/>
    <n v="0"/>
    <m/>
    <m/>
  </r>
  <r>
    <x v="9"/>
    <s v="North Carolina Central University "/>
    <m/>
    <n v="199157"/>
    <x v="2"/>
    <n v="177687"/>
    <n v="181656"/>
    <n v="148705"/>
    <n v="148706"/>
    <n v="789"/>
    <n v="287"/>
    <n v="28193"/>
    <n v="0"/>
    <n v="0"/>
    <n v="32663"/>
    <n v="0"/>
    <n v="0"/>
    <m/>
    <m/>
    <n v="38936"/>
    <n v="39327"/>
    <n v="30847"/>
    <n v="31378"/>
    <n v="548"/>
    <n v="29"/>
    <n v="7541"/>
    <n v="0"/>
    <n v="0"/>
    <n v="7920"/>
    <n v="0"/>
    <n v="0"/>
    <m/>
    <m/>
  </r>
  <r>
    <x v="9"/>
    <s v="University of North Carolina at Wilmington"/>
    <m/>
    <n v="199218"/>
    <x v="2"/>
    <n v="386233"/>
    <n v="398787"/>
    <n v="321055"/>
    <n v="314660"/>
    <n v="2968"/>
    <n v="6885"/>
    <n v="61837"/>
    <n v="373"/>
    <n v="0"/>
    <n v="77094"/>
    <n v="148"/>
    <n v="0"/>
    <m/>
    <m/>
    <n v="28582"/>
    <n v="30063"/>
    <n v="14770"/>
    <n v="14666"/>
    <n v="662"/>
    <n v="1112"/>
    <n v="12931"/>
    <n v="219"/>
    <n v="0"/>
    <n v="14177"/>
    <n v="108"/>
    <n v="0"/>
    <m/>
    <m/>
  </r>
  <r>
    <x v="9"/>
    <s v="Western Carolina University "/>
    <m/>
    <n v="200004"/>
    <x v="2"/>
    <n v="244595"/>
    <n v="252589"/>
    <n v="210672"/>
    <n v="212325"/>
    <n v="3186"/>
    <n v="3847"/>
    <n v="30731"/>
    <n v="6"/>
    <n v="0"/>
    <n v="36411"/>
    <n v="6"/>
    <n v="0"/>
    <m/>
    <m/>
    <n v="29457"/>
    <n v="29249"/>
    <n v="14205"/>
    <n v="10318"/>
    <n v="3892"/>
    <n v="7172"/>
    <n v="11360"/>
    <n v="0"/>
    <n v="0"/>
    <n v="11759"/>
    <n v="0"/>
    <n v="0"/>
    <m/>
    <m/>
  </r>
  <r>
    <x v="9"/>
    <s v="Fayetteville State University "/>
    <m/>
    <n v="198543"/>
    <x v="3"/>
    <n v="151383"/>
    <n v="147968"/>
    <n v="107586"/>
    <n v="101903"/>
    <n v="2243"/>
    <n v="1547"/>
    <n v="41554"/>
    <n v="0"/>
    <n v="0"/>
    <n v="44518"/>
    <n v="0"/>
    <n v="0"/>
    <m/>
    <m/>
    <n v="10098"/>
    <n v="12527"/>
    <n v="5351"/>
    <n v="5671"/>
    <n v="1909"/>
    <n v="1518"/>
    <n v="2838"/>
    <n v="0"/>
    <n v="0"/>
    <n v="5338"/>
    <n v="0"/>
    <n v="0"/>
    <m/>
    <m/>
  </r>
  <r>
    <x v="9"/>
    <s v="University of North Carolina at Pembroke"/>
    <m/>
    <n v="199281"/>
    <x v="4"/>
    <n v="152009"/>
    <n v="152757"/>
    <n v="115197"/>
    <n v="112998"/>
    <n v="1725"/>
    <n v="1451"/>
    <n v="34400"/>
    <n v="687"/>
    <n v="0"/>
    <n v="37788"/>
    <n v="520"/>
    <n v="0"/>
    <m/>
    <m/>
    <n v="12557"/>
    <n v="12414"/>
    <n v="7270"/>
    <n v="6177"/>
    <n v="629"/>
    <n v="526"/>
    <n v="4397"/>
    <n v="261"/>
    <n v="0"/>
    <n v="5693"/>
    <n v="18"/>
    <n v="0"/>
    <m/>
    <m/>
  </r>
  <r>
    <x v="9"/>
    <s v="Winston-Salem State University "/>
    <m/>
    <n v="199999"/>
    <x v="4"/>
    <n v="129202"/>
    <n v="132984"/>
    <n v="103990"/>
    <n v="101839"/>
    <n v="8606"/>
    <n v="74"/>
    <n v="16606"/>
    <n v="0"/>
    <n v="0"/>
    <n v="16895"/>
    <n v="0"/>
    <n v="14176"/>
    <m/>
    <m/>
    <n v="10162"/>
    <n v="10362"/>
    <n v="8193"/>
    <n v="6573"/>
    <n v="59"/>
    <n v="56"/>
    <n v="1898"/>
    <n v="12"/>
    <n v="0"/>
    <n v="2157"/>
    <n v="0"/>
    <n v="1576"/>
    <m/>
    <m/>
  </r>
  <r>
    <x v="9"/>
    <s v="Elizabeth City State University "/>
    <m/>
    <n v="198507"/>
    <x v="5"/>
    <n v="49158"/>
    <n v="43335"/>
    <n v="36323"/>
    <n v="30816"/>
    <n v="150"/>
    <n v="36"/>
    <n v="12567"/>
    <n v="118"/>
    <n v="0"/>
    <n v="12363"/>
    <n v="120"/>
    <n v="0"/>
    <m/>
    <m/>
    <n v="816"/>
    <n v="666"/>
    <n v="564"/>
    <n v="572"/>
    <n v="3"/>
    <n v="0"/>
    <n v="249"/>
    <n v="0"/>
    <n v="0"/>
    <n v="94"/>
    <n v="0"/>
    <n v="0"/>
    <m/>
    <m/>
  </r>
  <r>
    <x v="9"/>
    <s v="University of North Carolina at Asheville"/>
    <m/>
    <n v="199111"/>
    <x v="5"/>
    <n v="102872"/>
    <n v="103343"/>
    <n v="100635"/>
    <n v="99378"/>
    <n v="570"/>
    <n v="720"/>
    <n v="756"/>
    <n v="791"/>
    <n v="120"/>
    <n v="887"/>
    <n v="2358"/>
    <n v="0"/>
    <m/>
    <m/>
    <n v="341"/>
    <n v="257"/>
    <n v="341"/>
    <n v="257"/>
    <n v="0"/>
    <n v="0"/>
    <n v="0"/>
    <n v="0"/>
    <n v="0"/>
    <n v="0"/>
    <n v="0"/>
    <n v="0"/>
    <m/>
    <m/>
  </r>
  <r>
    <x v="10"/>
    <s v="Oklahoma State University Main Campus"/>
    <m/>
    <n v="207388"/>
    <x v="0"/>
    <n v="580436"/>
    <n v="601245"/>
    <n v="512026"/>
    <n v="514350"/>
    <n v="4996"/>
    <n v="6288"/>
    <n v="62425"/>
    <n v="0"/>
    <n v="0"/>
    <n v="79398"/>
    <n v="0"/>
    <n v="345"/>
    <n v="989"/>
    <n v="864"/>
    <n v="104112"/>
    <n v="102754"/>
    <n v="87991"/>
    <n v="85372"/>
    <n v="1762"/>
    <n v="1999"/>
    <n v="13978"/>
    <m/>
    <m/>
    <n v="14188"/>
    <n v="0"/>
    <n v="393"/>
    <n v="381"/>
    <n v="802"/>
  </r>
  <r>
    <x v="10"/>
    <s v="University of Oklahoma Norman Campus"/>
    <m/>
    <n v="207500"/>
    <x v="0"/>
    <n v="612819"/>
    <n v="598013"/>
    <n v="520071"/>
    <n v="520604"/>
    <n v="6195"/>
    <n v="4573"/>
    <n v="80857"/>
    <n v="1542"/>
    <n v="4154"/>
    <n v="70223"/>
    <n v="165"/>
    <n v="2448"/>
    <m/>
    <n v="0"/>
    <n v="191968"/>
    <n v="132854"/>
    <n v="134920"/>
    <n v="94034"/>
    <n v="14964"/>
    <n v="15725"/>
    <n v="24596"/>
    <n v="7308"/>
    <n v="10180"/>
    <n v="18991"/>
    <n v="705"/>
    <n v="3399"/>
    <m/>
    <n v="0"/>
  </r>
  <r>
    <x v="10"/>
    <s v="Northeastern State University"/>
    <m/>
    <n v="207263"/>
    <x v="2"/>
    <n v="173467"/>
    <n v="168077"/>
    <n v="126116"/>
    <n v="116345"/>
    <n v="147"/>
    <n v="210"/>
    <n v="46403"/>
    <n v="801"/>
    <n v="0"/>
    <n v="50981"/>
    <n v="541"/>
    <n v="0"/>
    <m/>
    <n v="0"/>
    <n v="21798"/>
    <n v="21406"/>
    <n v="17510"/>
    <n v="15938"/>
    <n v="0"/>
    <n v="0"/>
    <n v="3696"/>
    <n v="592"/>
    <m/>
    <n v="4944"/>
    <n v="524"/>
    <n v="0"/>
    <m/>
    <m/>
  </r>
  <r>
    <x v="10"/>
    <s v="University of Central Oklahoma"/>
    <m/>
    <n v="206941"/>
    <x v="2"/>
    <n v="366331"/>
    <n v="361562"/>
    <n v="163672"/>
    <n v="289794"/>
    <n v="139280"/>
    <n v="8471"/>
    <n v="58430"/>
    <n v="877"/>
    <n v="4072"/>
    <n v="58785"/>
    <n v="400"/>
    <n v="4112"/>
    <m/>
    <m/>
    <n v="27370"/>
    <n v="25848"/>
    <n v="13138"/>
    <n v="22244"/>
    <n v="10729"/>
    <n v="229"/>
    <n v="1923"/>
    <n v="27"/>
    <n v="1553"/>
    <n v="1758"/>
    <n v="3"/>
    <n v="1614"/>
    <m/>
    <m/>
  </r>
  <r>
    <x v="10"/>
    <s v="Southeastern Oklahoma State University "/>
    <m/>
    <n v="207847"/>
    <x v="3"/>
    <n v="83925"/>
    <n v="81161"/>
    <n v="55216"/>
    <n v="50118"/>
    <n v="417"/>
    <n v="772"/>
    <n v="25345"/>
    <n v="1896"/>
    <n v="1051"/>
    <n v="27812"/>
    <n v="2459"/>
    <n v="0"/>
    <m/>
    <m/>
    <n v="7840"/>
    <n v="8588"/>
    <n v="2536"/>
    <n v="1697"/>
    <n v="579"/>
    <n v="1245"/>
    <n v="4644"/>
    <n v="57"/>
    <n v="24"/>
    <n v="5427"/>
    <n v="219"/>
    <n v="0"/>
    <m/>
    <m/>
  </r>
  <r>
    <x v="10"/>
    <s v="Cameron University "/>
    <m/>
    <n v="206914"/>
    <x v="4"/>
    <n v="113769"/>
    <n v="108770"/>
    <n v="84581"/>
    <n v="78864"/>
    <n v="1181"/>
    <n v="942"/>
    <n v="19595"/>
    <n v="8412"/>
    <n v="0"/>
    <n v="19905"/>
    <n v="9059"/>
    <n v="0"/>
    <m/>
    <m/>
    <n v="6665"/>
    <n v="6245"/>
    <n v="3143"/>
    <n v="2603"/>
    <m/>
    <m/>
    <n v="2958"/>
    <n v="564"/>
    <m/>
    <n v="3246"/>
    <n v="396"/>
    <n v="0"/>
    <m/>
    <m/>
  </r>
  <r>
    <x v="10"/>
    <s v="East Central University "/>
    <m/>
    <n v="207041"/>
    <x v="4"/>
    <n v="99205"/>
    <n v="109038"/>
    <n v="82566"/>
    <n v="89427"/>
    <n v="865"/>
    <n v="1952"/>
    <n v="10105"/>
    <n v="2367"/>
    <n v="3302"/>
    <n v="12578"/>
    <n v="734"/>
    <n v="4347"/>
    <m/>
    <m/>
    <n v="12281"/>
    <n v="13511"/>
    <n v="3759"/>
    <n v="3679"/>
    <n v="182"/>
    <n v="121"/>
    <n v="6482"/>
    <n v="999"/>
    <n v="859"/>
    <n v="8219"/>
    <n v="636"/>
    <n v="856"/>
    <m/>
    <m/>
  </r>
  <r>
    <x v="10"/>
    <s v="Langston University"/>
    <m/>
    <n v="207209"/>
    <x v="4"/>
    <n v="56805"/>
    <n v="57164"/>
    <n v="54822"/>
    <n v="54113"/>
    <n v="0"/>
    <n v="0"/>
    <n v="1721"/>
    <n v="262"/>
    <n v="0"/>
    <n v="2999"/>
    <n v="52"/>
    <n v="0"/>
    <m/>
    <m/>
    <n v="7133"/>
    <n v="6980"/>
    <n v="5405"/>
    <n v="5438"/>
    <n v="0"/>
    <m/>
    <n v="1539"/>
    <n v="189"/>
    <m/>
    <n v="1437"/>
    <n v="105"/>
    <n v="0"/>
    <m/>
    <m/>
  </r>
  <r>
    <x v="10"/>
    <s v="Northwestern Oklahoma State University "/>
    <m/>
    <n v="207306"/>
    <x v="4"/>
    <n v="48214"/>
    <n v="50722"/>
    <n v="34333"/>
    <n v="34761"/>
    <n v="48"/>
    <n v="21"/>
    <n v="6493"/>
    <n v="6926"/>
    <n v="414"/>
    <n v="7852"/>
    <n v="7353"/>
    <n v="735"/>
    <m/>
    <m/>
    <n v="2535"/>
    <n v="2909"/>
    <n v="911"/>
    <n v="1035"/>
    <n v="3"/>
    <n v="0"/>
    <n v="388"/>
    <n v="1233"/>
    <m/>
    <n v="576"/>
    <n v="1103"/>
    <n v="195"/>
    <m/>
    <m/>
  </r>
  <r>
    <x v="10"/>
    <s v="Southwestern Oklahoma State University"/>
    <s v="Met the criteria for Four-Year 4 in 2015-16 and 2016-17."/>
    <n v="207865"/>
    <x v="4"/>
    <n v="118358"/>
    <n v="123835"/>
    <n v="94407"/>
    <n v="97998"/>
    <n v="1562"/>
    <n v="812"/>
    <n v="21025"/>
    <n v="1316"/>
    <n v="48"/>
    <n v="23072"/>
    <n v="1953"/>
    <n v="0"/>
    <m/>
    <m/>
    <n v="12701"/>
    <n v="13697"/>
    <n v="7558"/>
    <n v="7429"/>
    <n v="18"/>
    <n v="15"/>
    <n v="4423"/>
    <n v="702"/>
    <m/>
    <n v="5549"/>
    <n v="703"/>
    <n v="1"/>
    <m/>
    <m/>
  </r>
  <r>
    <x v="10"/>
    <s v="Oklahoma Panhandle State University "/>
    <m/>
    <n v="207351"/>
    <x v="5"/>
    <n v="33931"/>
    <n v="31044"/>
    <n v="27219"/>
    <n v="23743"/>
    <n v="0"/>
    <n v="0"/>
    <n v="6379"/>
    <n v="333"/>
    <n v="0"/>
    <n v="7080"/>
    <n v="162"/>
    <n v="59"/>
    <m/>
    <m/>
    <n v="0"/>
    <n v="0"/>
    <n v="0"/>
    <n v="0"/>
    <n v="0"/>
    <m/>
    <m/>
    <m/>
    <m/>
    <m/>
    <m/>
    <m/>
    <m/>
    <m/>
  </r>
  <r>
    <x v="10"/>
    <s v="Rogers State University"/>
    <m/>
    <n v="207661"/>
    <x v="5"/>
    <n v="88319"/>
    <n v="86878"/>
    <n v="61860"/>
    <n v="61158"/>
    <n v="142"/>
    <n v="0"/>
    <n v="24061"/>
    <n v="2256"/>
    <n v="0"/>
    <n v="23782"/>
    <n v="1938"/>
    <n v="0"/>
    <m/>
    <m/>
    <n v="261"/>
    <n v="474"/>
    <n v="261"/>
    <n v="474"/>
    <n v="0"/>
    <m/>
    <m/>
    <n v="0"/>
    <m/>
    <m/>
    <m/>
    <m/>
    <m/>
    <m/>
  </r>
  <r>
    <x v="10"/>
    <s v="University of Science and Arts of Oklahoma"/>
    <m/>
    <n v="207722"/>
    <x v="5"/>
    <n v="25979"/>
    <n v="25599"/>
    <n v="25928"/>
    <n v="25599"/>
    <n v="51"/>
    <n v="0"/>
    <n v="0"/>
    <n v="0"/>
    <n v="0"/>
    <n v="0"/>
    <n v="0"/>
    <n v="0"/>
    <m/>
    <m/>
    <n v="0"/>
    <n v="0"/>
    <m/>
    <m/>
    <m/>
    <m/>
    <m/>
    <m/>
    <m/>
    <m/>
    <m/>
    <m/>
    <m/>
    <m/>
  </r>
  <r>
    <x v="10"/>
    <s v="Oklahoma State University Technical Branch-Okmulgee "/>
    <m/>
    <n v="207564"/>
    <x v="12"/>
    <n v="82440"/>
    <n v="72696"/>
    <n v="63913"/>
    <n v="58379"/>
    <n v="7044"/>
    <n v="766"/>
    <n v="11483"/>
    <n v="0"/>
    <n v="0"/>
    <n v="12841"/>
    <n v="0"/>
    <n v="710"/>
    <m/>
    <m/>
    <n v="0"/>
    <n v="0"/>
    <m/>
    <m/>
    <m/>
    <m/>
    <m/>
    <m/>
    <m/>
    <m/>
    <m/>
    <m/>
    <m/>
    <m/>
  </r>
  <r>
    <x v="10"/>
    <s v="Oklahoma State University-Oklahoma City"/>
    <m/>
    <n v="207397"/>
    <x v="12"/>
    <n v="116991"/>
    <n v="128225"/>
    <n v="67285"/>
    <n v="75121"/>
    <n v="1550"/>
    <n v="294"/>
    <n v="45896"/>
    <n v="2141"/>
    <n v="0"/>
    <n v="52129"/>
    <n v="672"/>
    <n v="0"/>
    <n v="119"/>
    <n v="9"/>
    <n v="0"/>
    <n v="0"/>
    <m/>
    <m/>
    <m/>
    <m/>
    <m/>
    <m/>
    <m/>
    <m/>
    <m/>
    <m/>
    <m/>
    <m/>
  </r>
  <r>
    <x v="10"/>
    <s v="Oklahoma City Community College "/>
    <m/>
    <n v="207449"/>
    <x v="6"/>
    <n v="256009"/>
    <n v="248468"/>
    <n v="176534"/>
    <n v="175107"/>
    <n v="10991"/>
    <n v="4840"/>
    <n v="68119"/>
    <n v="0"/>
    <n v="365"/>
    <n v="67913"/>
    <n v="0"/>
    <n v="608"/>
    <m/>
    <m/>
    <n v="0"/>
    <n v="0"/>
    <m/>
    <m/>
    <m/>
    <m/>
    <m/>
    <m/>
    <m/>
    <m/>
    <m/>
    <m/>
    <m/>
    <m/>
  </r>
  <r>
    <x v="10"/>
    <s v="Tulsa Community College "/>
    <m/>
    <n v="207935"/>
    <x v="6"/>
    <n v="324297"/>
    <n v="315213"/>
    <n v="199133"/>
    <n v="195192"/>
    <n v="21224"/>
    <n v="18413"/>
    <n v="103859"/>
    <n v="51"/>
    <n v="21"/>
    <n v="101608"/>
    <n v="0"/>
    <n v="0"/>
    <n v="9"/>
    <n v="0"/>
    <n v="0"/>
    <n v="0"/>
    <m/>
    <m/>
    <m/>
    <m/>
    <m/>
    <m/>
    <m/>
    <m/>
    <m/>
    <m/>
    <m/>
    <m/>
  </r>
  <r>
    <x v="10"/>
    <s v="Northern Oklahoma College "/>
    <m/>
    <n v="207281"/>
    <x v="7"/>
    <n v="91921"/>
    <n v="90636"/>
    <n v="64415"/>
    <n v="64911"/>
    <n v="4315"/>
    <n v="1360"/>
    <n v="10302"/>
    <n v="12889"/>
    <n v="0"/>
    <n v="11605"/>
    <n v="12760"/>
    <n v="0"/>
    <m/>
    <m/>
    <n v="0"/>
    <n v="0"/>
    <m/>
    <m/>
    <m/>
    <m/>
    <m/>
    <m/>
    <m/>
    <m/>
    <m/>
    <m/>
    <m/>
    <m/>
  </r>
  <r>
    <x v="10"/>
    <s v="Rose State College "/>
    <m/>
    <n v="207670"/>
    <x v="7"/>
    <n v="127159"/>
    <n v="131293"/>
    <n v="89276"/>
    <n v="91926"/>
    <n v="1482"/>
    <n v="413"/>
    <n v="34163"/>
    <n v="834"/>
    <n v="1404"/>
    <n v="36520"/>
    <n v="996"/>
    <n v="1438"/>
    <m/>
    <m/>
    <n v="0"/>
    <n v="0"/>
    <m/>
    <m/>
    <m/>
    <m/>
    <m/>
    <m/>
    <m/>
    <m/>
    <m/>
    <m/>
    <m/>
    <m/>
  </r>
  <r>
    <x v="10"/>
    <s v="Carl Albert State College"/>
    <m/>
    <n v="206923"/>
    <x v="8"/>
    <n v="51506"/>
    <n v="49325"/>
    <n v="49915"/>
    <n v="47820"/>
    <n v="0"/>
    <n v="0"/>
    <n v="0"/>
    <n v="1591"/>
    <n v="0"/>
    <n v="0"/>
    <n v="1505"/>
    <n v="0"/>
    <m/>
    <m/>
    <n v="0"/>
    <n v="0"/>
    <m/>
    <m/>
    <m/>
    <m/>
    <m/>
    <m/>
    <m/>
    <m/>
    <m/>
    <m/>
    <m/>
    <m/>
  </r>
  <r>
    <x v="10"/>
    <s v="Connors State College "/>
    <m/>
    <n v="206996"/>
    <x v="8"/>
    <n v="51066"/>
    <n v="51190"/>
    <n v="29754"/>
    <n v="28187"/>
    <n v="6287"/>
    <n v="2641"/>
    <n v="15025"/>
    <n v="0"/>
    <n v="0"/>
    <n v="19328"/>
    <n v="1034"/>
    <n v="0"/>
    <m/>
    <m/>
    <n v="0"/>
    <n v="0"/>
    <m/>
    <m/>
    <m/>
    <m/>
    <m/>
    <m/>
    <m/>
    <m/>
    <m/>
    <m/>
    <m/>
    <m/>
  </r>
  <r>
    <x v="10"/>
    <s v="Eastern Oklahoma State College "/>
    <m/>
    <n v="207050"/>
    <x v="8"/>
    <n v="34566"/>
    <n v="34302"/>
    <n v="23377"/>
    <n v="22978"/>
    <n v="656"/>
    <n v="729"/>
    <n v="8324"/>
    <n v="2209"/>
    <n v="0"/>
    <n v="8710"/>
    <n v="1870"/>
    <n v="15"/>
    <m/>
    <m/>
    <n v="0"/>
    <n v="0"/>
    <m/>
    <m/>
    <m/>
    <m/>
    <m/>
    <m/>
    <m/>
    <m/>
    <m/>
    <m/>
    <m/>
    <m/>
  </r>
  <r>
    <x v="10"/>
    <s v="Murray State College "/>
    <m/>
    <n v="207236"/>
    <x v="8"/>
    <n v="47580"/>
    <n v="47514"/>
    <n v="28037"/>
    <n v="28755"/>
    <n v="1249"/>
    <n v="423"/>
    <n v="13635"/>
    <n v="4568"/>
    <n v="91"/>
    <n v="14864"/>
    <n v="3386"/>
    <n v="86"/>
    <m/>
    <m/>
    <n v="0"/>
    <n v="0"/>
    <m/>
    <m/>
    <m/>
    <m/>
    <m/>
    <m/>
    <m/>
    <m/>
    <m/>
    <m/>
    <m/>
    <m/>
  </r>
  <r>
    <x v="10"/>
    <s v="Northeastern Oklahoma A &amp; M College "/>
    <m/>
    <n v="207290"/>
    <x v="8"/>
    <n v="53807"/>
    <n v="52536"/>
    <n v="42640"/>
    <n v="43710"/>
    <n v="1232"/>
    <n v="477"/>
    <n v="8927"/>
    <n v="1008"/>
    <n v="0"/>
    <n v="8034"/>
    <n v="315"/>
    <n v="0"/>
    <m/>
    <m/>
    <n v="0"/>
    <n v="0"/>
    <m/>
    <m/>
    <m/>
    <m/>
    <m/>
    <m/>
    <m/>
    <m/>
    <m/>
    <m/>
    <m/>
    <m/>
  </r>
  <r>
    <x v="10"/>
    <s v="Redlands Community College"/>
    <m/>
    <n v="207069"/>
    <x v="8"/>
    <n v="39513"/>
    <n v="39105"/>
    <n v="20693"/>
    <n v="19575"/>
    <n v="5585"/>
    <n v="4612"/>
    <n v="11510"/>
    <n v="1725"/>
    <n v="0"/>
    <n v="13262"/>
    <n v="1656"/>
    <n v="0"/>
    <m/>
    <m/>
    <n v="0"/>
    <n v="0"/>
    <m/>
    <m/>
    <m/>
    <m/>
    <m/>
    <m/>
    <m/>
    <m/>
    <m/>
    <m/>
    <m/>
    <m/>
  </r>
  <r>
    <x v="10"/>
    <s v="Seminole State College "/>
    <m/>
    <n v="207740"/>
    <x v="8"/>
    <n v="38400"/>
    <n v="38608"/>
    <n v="26601"/>
    <n v="29569"/>
    <n v="4702"/>
    <n v="1651"/>
    <n v="6899"/>
    <n v="198"/>
    <n v="0"/>
    <n v="7094"/>
    <n v="294"/>
    <n v="0"/>
    <m/>
    <m/>
    <n v="0"/>
    <n v="0"/>
    <m/>
    <m/>
    <m/>
    <m/>
    <m/>
    <m/>
    <m/>
    <m/>
    <m/>
    <m/>
    <m/>
    <m/>
  </r>
  <r>
    <x v="10"/>
    <s v="Western Oklahoma State College "/>
    <m/>
    <n v="208035"/>
    <x v="8"/>
    <n v="28144"/>
    <n v="28588"/>
    <n v="15490"/>
    <n v="16882"/>
    <n v="1790"/>
    <n v="1077"/>
    <n v="8773"/>
    <n v="2091"/>
    <n v="0"/>
    <n v="9075"/>
    <n v="1554"/>
    <n v="0"/>
    <m/>
    <m/>
    <n v="0"/>
    <n v="0"/>
    <m/>
    <m/>
    <m/>
    <m/>
    <m/>
    <m/>
    <m/>
    <m/>
    <m/>
    <m/>
    <m/>
    <m/>
  </r>
  <r>
    <x v="11"/>
    <s v="Clemson University"/>
    <m/>
    <n v="217882"/>
    <x v="0"/>
    <n v="539706"/>
    <n v="577497"/>
    <n v="489579"/>
    <n v="522723"/>
    <n v="10345"/>
    <n v="12054"/>
    <n v="39782"/>
    <m/>
    <m/>
    <n v="42720"/>
    <m/>
    <m/>
    <m/>
    <m/>
    <n v="90626"/>
    <n v="93125"/>
    <n v="52042"/>
    <n v="51134"/>
    <n v="25778"/>
    <n v="27911"/>
    <n v="12806"/>
    <m/>
    <m/>
    <n v="14080"/>
    <m/>
    <m/>
    <m/>
    <m/>
  </r>
  <r>
    <x v="11"/>
    <s v="University of South Carolina-Columbia"/>
    <m/>
    <n v="218663"/>
    <x v="0"/>
    <n v="699226"/>
    <n v="687316"/>
    <n v="641566"/>
    <n v="627537"/>
    <n v="18865"/>
    <n v="17860"/>
    <n v="38795"/>
    <m/>
    <m/>
    <n v="41919"/>
    <m/>
    <m/>
    <m/>
    <m/>
    <n v="234148"/>
    <n v="230148"/>
    <n v="176197"/>
    <n v="175390"/>
    <n v="6201"/>
    <n v="6040"/>
    <n v="37856"/>
    <n v="12483"/>
    <n v="1411"/>
    <n v="40334"/>
    <n v="8198"/>
    <n v="186"/>
    <m/>
    <m/>
  </r>
  <r>
    <x v="11"/>
    <s v="College of Charleston"/>
    <m/>
    <n v="217819"/>
    <x v="2"/>
    <n v="304995"/>
    <n v="302309"/>
    <n v="292782"/>
    <n v="285154"/>
    <n v="3850"/>
    <n v="4407"/>
    <n v="8363"/>
    <m/>
    <m/>
    <n v="12748"/>
    <m/>
    <m/>
    <m/>
    <m/>
    <n v="14943"/>
    <n v="14412"/>
    <n v="8329"/>
    <n v="8278"/>
    <n v="3845"/>
    <n v="3468"/>
    <n v="2769"/>
    <m/>
    <m/>
    <n v="2666"/>
    <m/>
    <m/>
    <m/>
    <m/>
  </r>
  <r>
    <x v="11"/>
    <s v="The Citadel, the Military College of South Carolina "/>
    <m/>
    <n v="217864"/>
    <x v="2"/>
    <n v="95559"/>
    <n v="95795"/>
    <n v="93571"/>
    <n v="92451"/>
    <n v="207"/>
    <n v="180"/>
    <n v="1781"/>
    <m/>
    <m/>
    <n v="3164"/>
    <m/>
    <m/>
    <m/>
    <m/>
    <n v="13865"/>
    <n v="13735"/>
    <n v="9799"/>
    <n v="8790"/>
    <n v="1713"/>
    <n v="1767"/>
    <n v="2353"/>
    <m/>
    <m/>
    <n v="3178"/>
    <m/>
    <m/>
    <m/>
    <m/>
  </r>
  <r>
    <x v="11"/>
    <s v="Winthrop University "/>
    <m/>
    <n v="218964"/>
    <x v="2"/>
    <n v="135777.5"/>
    <n v="137771"/>
    <n v="127554.5"/>
    <n v="125437"/>
    <n v="1414"/>
    <n v="1699"/>
    <n v="6809"/>
    <m/>
    <m/>
    <n v="10635"/>
    <m/>
    <m/>
    <m/>
    <m/>
    <n v="24004.5"/>
    <n v="23142"/>
    <n v="21341"/>
    <n v="20269"/>
    <n v="1621"/>
    <n v="1714"/>
    <n v="1042.5"/>
    <m/>
    <m/>
    <n v="1159"/>
    <m/>
    <m/>
    <m/>
    <m/>
  </r>
  <r>
    <x v="11"/>
    <s v="Coastal Carolina University"/>
    <s v="Met the criteria for Four-Year 4 in 2016-17."/>
    <n v="218724"/>
    <x v="4"/>
    <n v="276301"/>
    <n v="286821"/>
    <n v="244796"/>
    <n v="245628"/>
    <n v="1911"/>
    <n v="2035"/>
    <n v="29594"/>
    <m/>
    <m/>
    <n v="39158"/>
    <m/>
    <m/>
    <m/>
    <m/>
    <n v="12116"/>
    <n v="13699"/>
    <n v="5271"/>
    <n v="5322"/>
    <n v="1122"/>
    <n v="1153"/>
    <n v="5723"/>
    <m/>
    <m/>
    <n v="7224"/>
    <m/>
    <m/>
    <m/>
    <m/>
  </r>
  <r>
    <x v="11"/>
    <s v="Francis Marion University "/>
    <m/>
    <n v="218061"/>
    <x v="4"/>
    <n v="96009"/>
    <n v="95137"/>
    <n v="94806"/>
    <n v="93924"/>
    <n v="343"/>
    <n v="166"/>
    <n v="860"/>
    <m/>
    <m/>
    <n v="1047"/>
    <m/>
    <m/>
    <m/>
    <m/>
    <n v="6913"/>
    <n v="6518"/>
    <n v="4592"/>
    <n v="5288"/>
    <n v="828"/>
    <n v="147"/>
    <n v="1493"/>
    <m/>
    <m/>
    <n v="1083"/>
    <m/>
    <m/>
    <m/>
    <m/>
  </r>
  <r>
    <x v="11"/>
    <s v="South Carolina State University "/>
    <m/>
    <n v="218733"/>
    <x v="4"/>
    <n v="76233"/>
    <n v="70053"/>
    <n v="72605"/>
    <n v="64602"/>
    <m/>
    <m/>
    <n v="3628"/>
    <m/>
    <m/>
    <n v="5451"/>
    <m/>
    <m/>
    <m/>
    <m/>
    <n v="7674"/>
    <n v="6734"/>
    <n v="6852"/>
    <n v="5663"/>
    <m/>
    <m/>
    <n v="822"/>
    <m/>
    <m/>
    <n v="1071"/>
    <m/>
    <m/>
    <m/>
    <m/>
  </r>
  <r>
    <x v="11"/>
    <s v="Lander University"/>
    <m/>
    <n v="218229"/>
    <x v="5"/>
    <n v="76209.5"/>
    <n v="76739.5"/>
    <n v="70030.5"/>
    <n v="70507.5"/>
    <n v="12"/>
    <n v="312"/>
    <n v="6167"/>
    <m/>
    <m/>
    <n v="5920"/>
    <m/>
    <m/>
    <m/>
    <m/>
    <n v="1113"/>
    <n v="883"/>
    <n v="441"/>
    <n v="333"/>
    <m/>
    <m/>
    <n v="672"/>
    <m/>
    <m/>
    <n v="550"/>
    <m/>
    <m/>
    <m/>
    <m/>
  </r>
  <r>
    <x v="11"/>
    <s v="University of South Carolina-Aiken"/>
    <m/>
    <n v="218645"/>
    <x v="5"/>
    <n v="43111"/>
    <n v="90041"/>
    <n v="34175"/>
    <n v="75809"/>
    <n v="2095"/>
    <m/>
    <n v="6841"/>
    <m/>
    <m/>
    <n v="14232"/>
    <m/>
    <m/>
    <m/>
    <m/>
    <n v="47512"/>
    <n v="1114"/>
    <n v="41039"/>
    <n v="1114"/>
    <n v="1714"/>
    <m/>
    <n v="4759"/>
    <m/>
    <m/>
    <m/>
    <m/>
    <m/>
    <m/>
    <m/>
  </r>
  <r>
    <x v="11"/>
    <s v="University of South Carolina-Beaufort"/>
    <m/>
    <n v="218654"/>
    <x v="5"/>
    <n v="24838"/>
    <n v="54309"/>
    <n v="21494"/>
    <n v="48930"/>
    <n v="397"/>
    <m/>
    <n v="2783"/>
    <m/>
    <n v="164"/>
    <n v="5379"/>
    <m/>
    <m/>
    <m/>
    <m/>
    <n v="27210"/>
    <n v="0"/>
    <n v="24632"/>
    <m/>
    <n v="238"/>
    <m/>
    <n v="2244"/>
    <m/>
    <n v="96"/>
    <m/>
    <m/>
    <m/>
    <m/>
    <m/>
  </r>
  <r>
    <x v="11"/>
    <s v="University of South Carolina-Upstate"/>
    <m/>
    <n v="218742"/>
    <x v="5"/>
    <n v="74464"/>
    <n v="148958"/>
    <n v="58615"/>
    <n v="128269"/>
    <n v="5659"/>
    <m/>
    <n v="10190"/>
    <m/>
    <m/>
    <n v="20689"/>
    <m/>
    <m/>
    <m/>
    <m/>
    <n v="78615"/>
    <n v="3231"/>
    <n v="65591"/>
    <n v="731"/>
    <n v="5141"/>
    <m/>
    <n v="7883"/>
    <m/>
    <m/>
    <n v="2500"/>
    <m/>
    <m/>
    <m/>
    <m/>
  </r>
  <r>
    <x v="11"/>
    <s v="Florence-Darlington Technical College "/>
    <s v="Met the criteria for Two-Year 2 in 2015-16 and 2016-17."/>
    <n v="218025"/>
    <x v="6"/>
    <n v="126696"/>
    <n v="123082"/>
    <n v="58506"/>
    <n v="28355"/>
    <n v="12133"/>
    <n v="12845"/>
    <n v="50985"/>
    <n v="5072"/>
    <m/>
    <n v="76688"/>
    <n v="5194"/>
    <m/>
    <m/>
    <m/>
    <n v="0"/>
    <n v="0"/>
    <m/>
    <m/>
    <m/>
    <m/>
    <m/>
    <m/>
    <m/>
    <m/>
    <m/>
    <m/>
    <m/>
    <m/>
  </r>
  <r>
    <x v="11"/>
    <s v="Greenville Technical College "/>
    <m/>
    <n v="218113"/>
    <x v="6"/>
    <n v="254910"/>
    <n v="241690"/>
    <n v="172019"/>
    <n v="157934"/>
    <n v="16029"/>
    <n v="16459"/>
    <n v="66862"/>
    <m/>
    <m/>
    <n v="67297"/>
    <m/>
    <m/>
    <m/>
    <m/>
    <n v="0"/>
    <n v="0"/>
    <m/>
    <m/>
    <m/>
    <m/>
    <m/>
    <m/>
    <m/>
    <m/>
    <m/>
    <m/>
    <m/>
    <m/>
  </r>
  <r>
    <x v="11"/>
    <s v="Horry-Georgetown Technical College "/>
    <m/>
    <n v="218140"/>
    <x v="6"/>
    <n v="161966"/>
    <n v="157545"/>
    <n v="104361"/>
    <n v="100135"/>
    <n v="8992"/>
    <n v="8588"/>
    <n v="48613"/>
    <m/>
    <m/>
    <n v="48822"/>
    <m/>
    <m/>
    <m/>
    <m/>
    <n v="0"/>
    <n v="0"/>
    <m/>
    <m/>
    <m/>
    <m/>
    <m/>
    <m/>
    <m/>
    <m/>
    <m/>
    <m/>
    <m/>
    <m/>
  </r>
  <r>
    <x v="11"/>
    <s v="Midlands Technical College "/>
    <m/>
    <n v="218353"/>
    <x v="6"/>
    <n v="247980"/>
    <n v="240176"/>
    <n v="182441"/>
    <n v="172115"/>
    <n v="13507"/>
    <n v="16252"/>
    <n v="52032"/>
    <m/>
    <m/>
    <n v="51809"/>
    <m/>
    <m/>
    <m/>
    <m/>
    <n v="0"/>
    <n v="0"/>
    <m/>
    <m/>
    <m/>
    <m/>
    <m/>
    <m/>
    <m/>
    <m/>
    <m/>
    <m/>
    <m/>
    <m/>
  </r>
  <r>
    <x v="11"/>
    <s v="Piedmont Technical College "/>
    <s v="Reclassified: Met the criteria for Two-Year 2 in 2014-15, 2015-16, and 2016-17."/>
    <n v="218520"/>
    <x v="7"/>
    <n v="119311"/>
    <n v="107721"/>
    <n v="56242"/>
    <n v="47105"/>
    <n v="10953"/>
    <n v="10797"/>
    <n v="45530"/>
    <n v="6586"/>
    <m/>
    <n v="43704"/>
    <n v="6115"/>
    <m/>
    <m/>
    <m/>
    <n v="0"/>
    <n v="0"/>
    <m/>
    <m/>
    <m/>
    <m/>
    <m/>
    <m/>
    <m/>
    <m/>
    <m/>
    <m/>
    <m/>
    <m/>
  </r>
  <r>
    <x v="11"/>
    <s v="Tri-County Technical College "/>
    <s v="Met the criteria for Two-Year 2 in 2016-17."/>
    <n v="218885"/>
    <x v="6"/>
    <n v="148361"/>
    <n v="145685"/>
    <n v="110664"/>
    <n v="107182"/>
    <n v="6173"/>
    <n v="6003"/>
    <n v="31524"/>
    <m/>
    <m/>
    <n v="32500"/>
    <m/>
    <m/>
    <m/>
    <m/>
    <n v="0"/>
    <n v="0"/>
    <m/>
    <m/>
    <m/>
    <m/>
    <m/>
    <m/>
    <m/>
    <m/>
    <m/>
    <m/>
    <m/>
    <m/>
  </r>
  <r>
    <x v="11"/>
    <s v="Trident Technical College "/>
    <m/>
    <n v="218894"/>
    <x v="6"/>
    <n v="344972"/>
    <n v="300605"/>
    <n v="218603"/>
    <n v="182739"/>
    <n v="18229"/>
    <n v="16531"/>
    <n v="108140"/>
    <m/>
    <m/>
    <n v="101335"/>
    <m/>
    <m/>
    <m/>
    <m/>
    <n v="0"/>
    <n v="0"/>
    <m/>
    <m/>
    <m/>
    <m/>
    <m/>
    <m/>
    <m/>
    <m/>
    <m/>
    <m/>
    <m/>
    <m/>
  </r>
  <r>
    <x v="11"/>
    <s v="Aiken Technical College "/>
    <s v="Reclassified: Met the criteria for Two-Year 3 in 2014-15, 2015-16, and 2016-17."/>
    <n v="217615"/>
    <x v="8"/>
    <n v="49696"/>
    <n v="52099"/>
    <n v="34113"/>
    <n v="36810"/>
    <n v="3492"/>
    <n v="3271"/>
    <n v="12091"/>
    <m/>
    <m/>
    <n v="12018"/>
    <m/>
    <m/>
    <m/>
    <m/>
    <n v="0"/>
    <n v="0"/>
    <m/>
    <m/>
    <m/>
    <m/>
    <m/>
    <m/>
    <m/>
    <m/>
    <m/>
    <m/>
    <m/>
    <m/>
  </r>
  <r>
    <x v="11"/>
    <s v="Central Carolina Technical College "/>
    <m/>
    <n v="218858"/>
    <x v="7"/>
    <n v="77294"/>
    <n v="74228"/>
    <n v="54633"/>
    <n v="47674"/>
    <n v="1686"/>
    <n v="2208"/>
    <n v="20975"/>
    <m/>
    <m/>
    <n v="24346"/>
    <m/>
    <m/>
    <m/>
    <m/>
    <n v="0"/>
    <n v="0"/>
    <m/>
    <m/>
    <m/>
    <m/>
    <m/>
    <m/>
    <m/>
    <m/>
    <m/>
    <m/>
    <m/>
    <m/>
  </r>
  <r>
    <x v="11"/>
    <s v="Orangeburg-Calhoun Technical College "/>
    <s v="Met the criteria for Two-Year 3 in 2016-17."/>
    <n v="218487"/>
    <x v="7"/>
    <n v="59669"/>
    <n v="56490"/>
    <n v="41575"/>
    <n v="35923"/>
    <n v="7471"/>
    <n v="8733"/>
    <n v="10623"/>
    <m/>
    <m/>
    <n v="11834"/>
    <m/>
    <m/>
    <m/>
    <m/>
    <n v="0"/>
    <n v="0"/>
    <m/>
    <m/>
    <m/>
    <m/>
    <m/>
    <m/>
    <m/>
    <m/>
    <m/>
    <m/>
    <m/>
    <m/>
  </r>
  <r>
    <x v="11"/>
    <s v="Spartanburg Community College "/>
    <m/>
    <n v="218830"/>
    <x v="7"/>
    <n v="109586"/>
    <n v="102245"/>
    <n v="76417"/>
    <n v="69288"/>
    <n v="11853"/>
    <n v="12263"/>
    <n v="21316"/>
    <m/>
    <m/>
    <n v="20694"/>
    <m/>
    <m/>
    <m/>
    <m/>
    <n v="0"/>
    <n v="0"/>
    <m/>
    <m/>
    <m/>
    <m/>
    <m/>
    <m/>
    <m/>
    <m/>
    <m/>
    <m/>
    <m/>
    <m/>
  </r>
  <r>
    <x v="11"/>
    <s v="York Technical College "/>
    <m/>
    <n v="218991"/>
    <x v="7"/>
    <n v="107583"/>
    <n v="103554"/>
    <n v="79266"/>
    <n v="74369"/>
    <n v="4846"/>
    <n v="5189"/>
    <n v="22443"/>
    <n v="1028"/>
    <m/>
    <n v="23057"/>
    <n v="939"/>
    <m/>
    <m/>
    <m/>
    <n v="0"/>
    <n v="0"/>
    <m/>
    <m/>
    <m/>
    <m/>
    <m/>
    <m/>
    <m/>
    <m/>
    <m/>
    <m/>
    <m/>
    <m/>
  </r>
  <r>
    <x v="11"/>
    <s v="Denmark Technical College "/>
    <m/>
    <n v="217989"/>
    <x v="8"/>
    <n v="37327"/>
    <n v="20780"/>
    <n v="31164"/>
    <n v="13338"/>
    <n v="2347"/>
    <n v="2824"/>
    <n v="3816"/>
    <m/>
    <m/>
    <n v="4618"/>
    <m/>
    <m/>
    <m/>
    <m/>
    <n v="0"/>
    <n v="0"/>
    <m/>
    <m/>
    <m/>
    <m/>
    <m/>
    <m/>
    <m/>
    <m/>
    <m/>
    <m/>
    <m/>
    <m/>
  </r>
  <r>
    <x v="11"/>
    <s v="Northeastern Technical College "/>
    <m/>
    <n v="217837"/>
    <x v="8"/>
    <n v="23269"/>
    <n v="22379"/>
    <n v="11387"/>
    <n v="10075"/>
    <n v="640"/>
    <n v="821"/>
    <n v="7537"/>
    <n v="3705"/>
    <m/>
    <n v="8498"/>
    <n v="2985"/>
    <m/>
    <m/>
    <m/>
    <n v="0"/>
    <n v="0"/>
    <m/>
    <m/>
    <m/>
    <m/>
    <m/>
    <m/>
    <m/>
    <m/>
    <m/>
    <m/>
    <m/>
    <m/>
  </r>
  <r>
    <x v="11"/>
    <s v="Technical College of the Lowcountry"/>
    <m/>
    <n v="217712"/>
    <x v="8"/>
    <n v="48875"/>
    <n v="47257"/>
    <n v="32912"/>
    <n v="32047"/>
    <n v="2223"/>
    <n v="2306"/>
    <n v="13740"/>
    <m/>
    <m/>
    <n v="12904"/>
    <m/>
    <m/>
    <m/>
    <m/>
    <n v="0"/>
    <n v="0"/>
    <m/>
    <m/>
    <m/>
    <m/>
    <m/>
    <m/>
    <m/>
    <m/>
    <m/>
    <m/>
    <m/>
    <m/>
  </r>
  <r>
    <x v="11"/>
    <s v="University of South Carolina-Lancaster"/>
    <m/>
    <n v="218672"/>
    <x v="8"/>
    <n v="32979"/>
    <n v="34550"/>
    <n v="26521"/>
    <n v="30650"/>
    <n v="250"/>
    <m/>
    <n v="1078"/>
    <m/>
    <n v="5130"/>
    <n v="1113"/>
    <m/>
    <n v="2787"/>
    <m/>
    <m/>
    <n v="0"/>
    <n v="0"/>
    <m/>
    <m/>
    <m/>
    <m/>
    <m/>
    <m/>
    <m/>
    <m/>
    <m/>
    <m/>
    <m/>
    <m/>
  </r>
  <r>
    <x v="11"/>
    <s v="University of South Carolina-Salkehatchie"/>
    <m/>
    <n v="218681"/>
    <x v="8"/>
    <n v="21004"/>
    <n v="21022"/>
    <n v="15915"/>
    <n v="18291"/>
    <n v="2740"/>
    <m/>
    <n v="2349"/>
    <m/>
    <m/>
    <n v="2731"/>
    <m/>
    <m/>
    <m/>
    <m/>
    <n v="0"/>
    <n v="0"/>
    <m/>
    <m/>
    <m/>
    <m/>
    <m/>
    <m/>
    <m/>
    <m/>
    <m/>
    <m/>
    <m/>
    <m/>
  </r>
  <r>
    <x v="11"/>
    <s v="University of South Carolina-Sumter"/>
    <m/>
    <n v="218690"/>
    <x v="8"/>
    <n v="20079"/>
    <n v="18662"/>
    <n v="16794"/>
    <n v="17171"/>
    <n v="1921"/>
    <m/>
    <n v="1364"/>
    <m/>
    <m/>
    <n v="1491"/>
    <m/>
    <m/>
    <m/>
    <m/>
    <n v="0"/>
    <n v="0"/>
    <m/>
    <m/>
    <m/>
    <m/>
    <m/>
    <m/>
    <m/>
    <m/>
    <m/>
    <m/>
    <m/>
    <m/>
  </r>
  <r>
    <x v="11"/>
    <s v="University of South Carolina-Union"/>
    <m/>
    <n v="218706"/>
    <x v="8"/>
    <n v="10522"/>
    <n v="14115"/>
    <n v="6910"/>
    <n v="14073"/>
    <n v="3486"/>
    <m/>
    <n v="126"/>
    <m/>
    <m/>
    <n v="42"/>
    <m/>
    <m/>
    <m/>
    <m/>
    <n v="0"/>
    <n v="0"/>
    <m/>
    <m/>
    <m/>
    <m/>
    <m/>
    <m/>
    <m/>
    <m/>
    <m/>
    <m/>
    <m/>
    <m/>
  </r>
  <r>
    <x v="11"/>
    <s v="Willamsburg Technical College "/>
    <m/>
    <n v="218955"/>
    <x v="8"/>
    <n v="14312"/>
    <n v="13373"/>
    <n v="11044"/>
    <n v="9954"/>
    <n v="2557"/>
    <n v="2819"/>
    <n v="711"/>
    <m/>
    <m/>
    <n v="600"/>
    <m/>
    <m/>
    <m/>
    <m/>
    <n v="0"/>
    <n v="0"/>
    <m/>
    <m/>
    <m/>
    <m/>
    <m/>
    <m/>
    <m/>
    <m/>
    <m/>
    <m/>
    <m/>
    <m/>
  </r>
  <r>
    <x v="12"/>
    <s v="University of Memphis"/>
    <m/>
    <n v="220862"/>
    <x v="0"/>
    <n v="407602"/>
    <n v="412153"/>
    <n v="294048"/>
    <n v="290450"/>
    <n v="18874"/>
    <n v="15493"/>
    <n v="66783"/>
    <n v="341"/>
    <n v="25427"/>
    <n v="73425"/>
    <n v="323"/>
    <n v="30235"/>
    <n v="2129"/>
    <n v="2227"/>
    <n v="59189"/>
    <n v="60371"/>
    <n v="36835"/>
    <n v="36293"/>
    <n v="89"/>
    <n v="145"/>
    <n v="15899"/>
    <n v="144"/>
    <n v="2487"/>
    <n v="17324"/>
    <n v="219"/>
    <n v="3041"/>
    <n v="3735"/>
    <n v="3349"/>
  </r>
  <r>
    <x v="12"/>
    <s v="University of Tennessee, Knoxville"/>
    <m/>
    <n v="221759"/>
    <x v="0"/>
    <n v="599602"/>
    <n v="609521"/>
    <n v="578144"/>
    <n v="580831"/>
    <n v="21"/>
    <n v="18"/>
    <n v="16213"/>
    <n v="0"/>
    <n v="1555"/>
    <n v="23289"/>
    <n v="0"/>
    <n v="1844"/>
    <n v="3669"/>
    <n v="3539"/>
    <n v="90986.5"/>
    <n v="89889"/>
    <n v="70363.5"/>
    <n v="68582"/>
    <n v="3066"/>
    <n v="2871"/>
    <n v="13622"/>
    <n v="21"/>
    <n v="1220"/>
    <n v="14835"/>
    <n v="9"/>
    <n v="1072"/>
    <n v="2694"/>
    <n v="2520"/>
  </r>
  <r>
    <x v="12"/>
    <s v="East Tennessee State University "/>
    <m/>
    <n v="220075"/>
    <x v="1"/>
    <n v="300762"/>
    <n v="298969"/>
    <n v="205436"/>
    <n v="203469"/>
    <n v="6370"/>
    <n v="6216"/>
    <n v="63165"/>
    <n v="6645"/>
    <n v="17017"/>
    <n v="65136"/>
    <n v="6451"/>
    <n v="15705"/>
    <n v="2129"/>
    <n v="1992"/>
    <n v="42586"/>
    <n v="42639"/>
    <n v="19106"/>
    <n v="18510"/>
    <n v="458"/>
    <n v="110"/>
    <n v="18661"/>
    <n v="413"/>
    <n v="1650"/>
    <n v="19925"/>
    <n v="258"/>
    <n v="1339"/>
    <n v="2298"/>
    <n v="2497"/>
  </r>
  <r>
    <x v="12"/>
    <s v="Tennessee State University "/>
    <m/>
    <n v="221838"/>
    <x v="1"/>
    <n v="191452"/>
    <n v="188863"/>
    <n v="151032"/>
    <n v="148852"/>
    <n v="22373"/>
    <n v="22053"/>
    <n v="15886"/>
    <n v="33"/>
    <n v="1865"/>
    <n v="15416"/>
    <n v="27"/>
    <n v="2273"/>
    <n v="263"/>
    <n v="242"/>
    <n v="29064"/>
    <n v="25314"/>
    <n v="14204"/>
    <n v="12422"/>
    <n v="6787"/>
    <n v="6052"/>
    <n v="6597"/>
    <n v="0"/>
    <n v="487"/>
    <n v="5752"/>
    <n v="0"/>
    <n v="321"/>
    <n v="989"/>
    <n v="767"/>
  </r>
  <r>
    <x v="12"/>
    <s v="Austin Peay State University "/>
    <m/>
    <n v="219602"/>
    <x v="2"/>
    <n v="233643"/>
    <n v="240931"/>
    <n v="152425"/>
    <n v="146881"/>
    <n v="9196"/>
    <n v="10679"/>
    <n v="62460"/>
    <n v="0"/>
    <n v="9308"/>
    <n v="65702"/>
    <n v="0"/>
    <n v="15502"/>
    <n v="254"/>
    <n v="2167"/>
    <n v="15323"/>
    <n v="15251"/>
    <n v="4283"/>
    <n v="3636"/>
    <n v="205"/>
    <n v="186"/>
    <n v="10316"/>
    <n v="0"/>
    <n v="514"/>
    <n v="10012"/>
    <n v="0"/>
    <n v="811"/>
    <n v="5"/>
    <n v="606"/>
  </r>
  <r>
    <x v="12"/>
    <s v="Middle Tennessee State University "/>
    <s v="Met the criteria for Four-Year 2 in 2015-16 and 2016-17."/>
    <n v="220978"/>
    <x v="2"/>
    <n v="523287"/>
    <n v="513248"/>
    <n v="433529"/>
    <n v="417029"/>
    <n v="1060"/>
    <n v="1132"/>
    <n v="66420"/>
    <n v="213"/>
    <n v="17742"/>
    <n v="72366"/>
    <n v="531"/>
    <n v="18335"/>
    <n v="4323"/>
    <n v="3855"/>
    <n v="36382"/>
    <n v="35290"/>
    <n v="22625"/>
    <n v="22183"/>
    <n v="1077"/>
    <n v="612"/>
    <n v="10051"/>
    <n v="0"/>
    <n v="907"/>
    <n v="9874"/>
    <n v="0"/>
    <n v="952"/>
    <n v="1722"/>
    <n v="1669"/>
  </r>
  <r>
    <x v="12"/>
    <s v="Tennessee Technological University "/>
    <m/>
    <n v="221847"/>
    <x v="2"/>
    <n v="267065"/>
    <n v="255489"/>
    <n v="173377"/>
    <n v="164013"/>
    <n v="1428"/>
    <n v="2002"/>
    <n v="19555"/>
    <n v="0"/>
    <n v="68683"/>
    <n v="18769"/>
    <n v="0"/>
    <n v="66968"/>
    <n v="4022"/>
    <n v="3737"/>
    <n v="15698"/>
    <n v="15434"/>
    <n v="4533"/>
    <n v="4074"/>
    <n v="3"/>
    <n v="3"/>
    <n v="7490"/>
    <n v="0"/>
    <n v="2520"/>
    <n v="8266"/>
    <n v="0"/>
    <n v="1889"/>
    <n v="1152"/>
    <n v="1202"/>
  </r>
  <r>
    <x v="12"/>
    <s v="University of Tennessee at Chattanooga"/>
    <m/>
    <n v="221740"/>
    <x v="2"/>
    <n v="273050"/>
    <n v="275347"/>
    <n v="238425"/>
    <n v="230437"/>
    <n v="643"/>
    <n v="471"/>
    <n v="32985"/>
    <n v="0"/>
    <n v="21"/>
    <n v="43371"/>
    <n v="0"/>
    <n v="6"/>
    <n v="976"/>
    <n v="1062"/>
    <n v="23207"/>
    <n v="24597"/>
    <n v="16200"/>
    <n v="16089"/>
    <n v="0"/>
    <n v="0"/>
    <n v="6578"/>
    <n v="20"/>
    <n v="0"/>
    <n v="8157"/>
    <n v="8"/>
    <n v="0"/>
    <n v="409"/>
    <n v="343"/>
  </r>
  <r>
    <x v="12"/>
    <s v="University of Tennessee at Martin"/>
    <m/>
    <n v="221768"/>
    <x v="4"/>
    <n v="177711"/>
    <n v="169557"/>
    <n v="143071"/>
    <n v="139906"/>
    <n v="14732"/>
    <n v="7065"/>
    <n v="16703"/>
    <n v="2877"/>
    <n v="108"/>
    <n v="18144"/>
    <n v="4113"/>
    <n v="42"/>
    <n v="220"/>
    <n v="287"/>
    <n v="5859"/>
    <n v="6169"/>
    <n v="712"/>
    <n v="711"/>
    <n v="9"/>
    <n v="6"/>
    <n v="5132"/>
    <n v="0"/>
    <n v="0"/>
    <n v="5449"/>
    <n v="0"/>
    <n v="0"/>
    <n v="6"/>
    <n v="3"/>
  </r>
  <r>
    <x v="12"/>
    <s v="Chattanooga State Technical Community College "/>
    <m/>
    <n v="219824"/>
    <x v="6"/>
    <n v="185932"/>
    <n v="173410"/>
    <n v="111274"/>
    <n v="106544"/>
    <n v="9781"/>
    <n v="7512"/>
    <n v="46548"/>
    <n v="0"/>
    <n v="18047"/>
    <n v="43230"/>
    <n v="0"/>
    <n v="15987"/>
    <n v="282"/>
    <n v="137"/>
    <n v="0"/>
    <n v="0"/>
    <n v="0"/>
    <m/>
    <n v="0"/>
    <m/>
    <n v="0"/>
    <n v="0"/>
    <n v="0"/>
    <m/>
    <m/>
    <m/>
    <n v="0"/>
    <m/>
  </r>
  <r>
    <x v="12"/>
    <s v="Nashville State Technical Community College"/>
    <m/>
    <n v="221184"/>
    <x v="6"/>
    <n v="197465"/>
    <n v="188283.5"/>
    <n v="119183"/>
    <n v="118677.5"/>
    <n v="29443"/>
    <n v="23119"/>
    <n v="44235"/>
    <n v="0"/>
    <n v="4519"/>
    <n v="38452"/>
    <n v="0"/>
    <n v="7868"/>
    <n v="85"/>
    <n v="167"/>
    <n v="0"/>
    <n v="0"/>
    <n v="0"/>
    <m/>
    <n v="0"/>
    <m/>
    <n v="0"/>
    <n v="0"/>
    <n v="0"/>
    <m/>
    <m/>
    <m/>
    <n v="0"/>
    <m/>
  </r>
  <r>
    <x v="12"/>
    <s v="Pellissippi State Technical Community College"/>
    <m/>
    <n v="221643"/>
    <x v="6"/>
    <n v="208788"/>
    <n v="205751"/>
    <n v="123530"/>
    <n v="121595"/>
    <n v="53287"/>
    <n v="48922"/>
    <n v="26136"/>
    <n v="540"/>
    <n v="5213"/>
    <n v="28747"/>
    <n v="957"/>
    <n v="5424"/>
    <n v="82"/>
    <n v="106"/>
    <n v="0"/>
    <n v="0"/>
    <n v="0"/>
    <m/>
    <n v="0"/>
    <m/>
    <n v="0"/>
    <n v="0"/>
    <n v="0"/>
    <m/>
    <m/>
    <m/>
    <n v="0"/>
    <m/>
  </r>
  <r>
    <x v="12"/>
    <s v="Southwest Tennessee Community College"/>
    <m/>
    <n v="221485"/>
    <x v="6"/>
    <n v="165153"/>
    <n v="149000"/>
    <n v="14678"/>
    <n v="13984"/>
    <n v="115985"/>
    <n v="102597"/>
    <n v="27287"/>
    <n v="0"/>
    <n v="7201"/>
    <n v="25468"/>
    <n v="0"/>
    <n v="6945"/>
    <n v="2"/>
    <n v="6"/>
    <n v="0"/>
    <n v="0"/>
    <n v="0"/>
    <m/>
    <n v="0"/>
    <m/>
    <n v="0"/>
    <n v="0"/>
    <n v="0"/>
    <m/>
    <m/>
    <m/>
    <n v="0"/>
    <m/>
  </r>
  <r>
    <x v="12"/>
    <s v="Volunteer State Community College "/>
    <m/>
    <n v="222053"/>
    <x v="6"/>
    <n v="154955"/>
    <n v="167161"/>
    <n v="95042"/>
    <n v="106803"/>
    <n v="15733"/>
    <n v="14228"/>
    <n v="41096"/>
    <n v="69"/>
    <n v="2697"/>
    <n v="42229"/>
    <n v="84"/>
    <n v="3460"/>
    <n v="318"/>
    <n v="357"/>
    <n v="0"/>
    <n v="0"/>
    <n v="0"/>
    <m/>
    <n v="0"/>
    <m/>
    <n v="0"/>
    <n v="0"/>
    <n v="0"/>
    <m/>
    <m/>
    <m/>
    <n v="0"/>
    <m/>
  </r>
  <r>
    <x v="12"/>
    <s v="Cleveland State Community College "/>
    <m/>
    <n v="219879"/>
    <x v="7"/>
    <n v="68952"/>
    <n v="68429"/>
    <n v="40159"/>
    <n v="38870"/>
    <n v="9681"/>
    <n v="10498"/>
    <n v="10515"/>
    <n v="177"/>
    <n v="7805"/>
    <n v="10594"/>
    <n v="15"/>
    <n v="7868"/>
    <n v="615"/>
    <n v="584"/>
    <n v="0"/>
    <n v="0"/>
    <n v="0"/>
    <m/>
    <n v="0"/>
    <m/>
    <n v="0"/>
    <n v="0"/>
    <n v="0"/>
    <m/>
    <m/>
    <m/>
    <n v="0"/>
    <m/>
  </r>
  <r>
    <x v="12"/>
    <s v="Columbia State Community College "/>
    <m/>
    <n v="219888"/>
    <x v="7"/>
    <n v="101080"/>
    <n v="105415"/>
    <n v="36846"/>
    <n v="37001"/>
    <n v="31775"/>
    <n v="36897"/>
    <n v="20977"/>
    <n v="5114"/>
    <n v="6282"/>
    <n v="22325"/>
    <n v="3685"/>
    <n v="5424"/>
    <n v="86"/>
    <n v="83"/>
    <n v="0"/>
    <n v="0"/>
    <n v="0"/>
    <m/>
    <n v="0"/>
    <m/>
    <n v="0"/>
    <n v="0"/>
    <n v="0"/>
    <m/>
    <m/>
    <m/>
    <n v="0"/>
    <m/>
  </r>
  <r>
    <x v="12"/>
    <s v="Dyersburg State Community College "/>
    <s v="Reclassified: Met the criteria for Two-Year 3 in 2014-15, 2015-16, and 2016-17."/>
    <n v="220057"/>
    <x v="8"/>
    <n v="49449"/>
    <n v="50054"/>
    <n v="17908"/>
    <n v="16977"/>
    <n v="18968"/>
    <n v="19799"/>
    <n v="9129"/>
    <n v="2252"/>
    <n v="1029"/>
    <n v="9328"/>
    <n v="2743"/>
    <n v="1044"/>
    <n v="163"/>
    <n v="163"/>
    <n v="0"/>
    <n v="0"/>
    <n v="0"/>
    <m/>
    <n v="0"/>
    <m/>
    <n v="0"/>
    <n v="0"/>
    <n v="0"/>
    <m/>
    <m/>
    <m/>
    <n v="0"/>
    <m/>
  </r>
  <r>
    <x v="12"/>
    <s v="Jackson State Community College "/>
    <m/>
    <n v="220400"/>
    <x v="7"/>
    <n v="86420"/>
    <n v="88242"/>
    <n v="45978"/>
    <n v="48385"/>
    <n v="9276"/>
    <n v="10294"/>
    <n v="18628"/>
    <n v="5069"/>
    <n v="7313"/>
    <n v="19232"/>
    <n v="3759"/>
    <n v="6492"/>
    <n v="156"/>
    <n v="80"/>
    <n v="0"/>
    <n v="0"/>
    <n v="0"/>
    <m/>
    <n v="0"/>
    <m/>
    <n v="0"/>
    <n v="0"/>
    <n v="0"/>
    <m/>
    <m/>
    <m/>
    <n v="0"/>
    <m/>
  </r>
  <r>
    <x v="12"/>
    <s v="Motlow State Community College "/>
    <m/>
    <n v="221096"/>
    <x v="7"/>
    <n v="101729"/>
    <n v="117894"/>
    <n v="24799"/>
    <n v="26607"/>
    <n v="50818"/>
    <n v="63278"/>
    <n v="16967"/>
    <n v="5539"/>
    <n v="3274"/>
    <n v="18540"/>
    <n v="6018"/>
    <n v="3171"/>
    <n v="332"/>
    <n v="280"/>
    <n v="0"/>
    <n v="0"/>
    <n v="0"/>
    <m/>
    <n v="0"/>
    <m/>
    <n v="0"/>
    <n v="0"/>
    <n v="0"/>
    <m/>
    <m/>
    <m/>
    <n v="0"/>
    <m/>
  </r>
  <r>
    <x v="12"/>
    <s v="Northeast State Technical Community College"/>
    <m/>
    <n v="221908"/>
    <x v="7"/>
    <n v="121773"/>
    <n v="125641"/>
    <n v="69053"/>
    <n v="70490"/>
    <n v="32457"/>
    <n v="33949"/>
    <n v="15192"/>
    <n v="4406"/>
    <n v="568"/>
    <n v="15466"/>
    <n v="4014"/>
    <n v="1671"/>
    <n v="97"/>
    <n v="51"/>
    <n v="0"/>
    <n v="0"/>
    <n v="0"/>
    <m/>
    <n v="0"/>
    <m/>
    <n v="0"/>
    <n v="0"/>
    <n v="0"/>
    <m/>
    <m/>
    <m/>
    <n v="0"/>
    <m/>
  </r>
  <r>
    <x v="12"/>
    <s v="Roane State Community College "/>
    <m/>
    <n v="221397"/>
    <x v="7"/>
    <n v="107743"/>
    <n v="107908"/>
    <n v="22221"/>
    <n v="21001"/>
    <n v="50679"/>
    <n v="51898"/>
    <n v="22490"/>
    <n v="6066"/>
    <n v="6230"/>
    <n v="22872"/>
    <n v="5333"/>
    <n v="6782"/>
    <n v="57"/>
    <n v="22"/>
    <n v="0"/>
    <n v="0"/>
    <n v="0"/>
    <m/>
    <n v="0"/>
    <m/>
    <n v="0"/>
    <n v="0"/>
    <n v="0"/>
    <m/>
    <m/>
    <m/>
    <n v="0"/>
    <m/>
  </r>
  <r>
    <x v="12"/>
    <s v="Walters State Community College "/>
    <m/>
    <n v="222062"/>
    <x v="7"/>
    <n v="113277"/>
    <n v="111192"/>
    <n v="46880"/>
    <n v="45741"/>
    <n v="39303"/>
    <n v="39379"/>
    <n v="18547"/>
    <n v="6147"/>
    <n v="2379"/>
    <n v="18038"/>
    <n v="6011"/>
    <n v="1998"/>
    <n v="21"/>
    <n v="25"/>
    <n v="0"/>
    <n v="0"/>
    <n v="0"/>
    <m/>
    <n v="0"/>
    <m/>
    <n v="0"/>
    <n v="0"/>
    <n v="0"/>
    <m/>
    <m/>
    <m/>
    <n v="0"/>
    <m/>
  </r>
  <r>
    <x v="12"/>
    <s v="Tennessee College of Applied Technology at Chattanooga"/>
    <s v="Met the criteria for Two-Year 3 in 2016-17."/>
    <s v="219824B"/>
    <x v="9"/>
    <n v="0"/>
    <n v="0"/>
    <m/>
    <m/>
    <m/>
    <m/>
    <m/>
    <m/>
    <m/>
    <m/>
    <m/>
    <m/>
    <m/>
    <m/>
    <n v="0"/>
    <n v="0"/>
    <m/>
    <m/>
    <m/>
    <m/>
    <m/>
    <m/>
    <m/>
    <m/>
    <m/>
    <m/>
    <m/>
    <m/>
  </r>
  <r>
    <x v="12"/>
    <s v="Tennessee College of Applied Technology at Athens"/>
    <m/>
    <n v="219596"/>
    <x v="10"/>
    <n v="0"/>
    <n v="0"/>
    <m/>
    <m/>
    <m/>
    <m/>
    <m/>
    <m/>
    <m/>
    <m/>
    <m/>
    <m/>
    <m/>
    <m/>
    <n v="0"/>
    <n v="0"/>
    <m/>
    <m/>
    <m/>
    <m/>
    <m/>
    <m/>
    <m/>
    <m/>
    <m/>
    <m/>
    <m/>
    <m/>
  </r>
  <r>
    <x v="12"/>
    <s v="Tennessee College of Applied Technology at Covington"/>
    <m/>
    <n v="219921"/>
    <x v="10"/>
    <n v="0"/>
    <n v="0"/>
    <m/>
    <m/>
    <m/>
    <m/>
    <m/>
    <m/>
    <m/>
    <m/>
    <m/>
    <m/>
    <m/>
    <m/>
    <n v="0"/>
    <n v="0"/>
    <m/>
    <m/>
    <m/>
    <m/>
    <m/>
    <m/>
    <m/>
    <m/>
    <m/>
    <m/>
    <m/>
    <m/>
  </r>
  <r>
    <x v="12"/>
    <s v="Tennessee College of Applied Technology at Crossville"/>
    <m/>
    <n v="221591"/>
    <x v="10"/>
    <n v="0"/>
    <n v="0"/>
    <m/>
    <m/>
    <m/>
    <m/>
    <m/>
    <m/>
    <m/>
    <m/>
    <m/>
    <m/>
    <m/>
    <m/>
    <n v="0"/>
    <n v="0"/>
    <m/>
    <m/>
    <m/>
    <m/>
    <m/>
    <m/>
    <m/>
    <m/>
    <m/>
    <m/>
    <m/>
    <m/>
  </r>
  <r>
    <x v="12"/>
    <s v="Tennessee College of Applied Technology at Crump"/>
    <m/>
    <n v="221430"/>
    <x v="10"/>
    <n v="0"/>
    <n v="0"/>
    <m/>
    <m/>
    <m/>
    <m/>
    <m/>
    <m/>
    <m/>
    <m/>
    <m/>
    <m/>
    <m/>
    <m/>
    <n v="0"/>
    <n v="0"/>
    <m/>
    <m/>
    <m/>
    <m/>
    <m/>
    <m/>
    <m/>
    <m/>
    <m/>
    <m/>
    <m/>
    <m/>
  </r>
  <r>
    <x v="12"/>
    <s v="Tennessee College of Applied Technology at Dickson"/>
    <m/>
    <n v="219994"/>
    <x v="10"/>
    <n v="0"/>
    <n v="0"/>
    <m/>
    <m/>
    <m/>
    <m/>
    <m/>
    <m/>
    <m/>
    <m/>
    <m/>
    <m/>
    <m/>
    <m/>
    <n v="0"/>
    <n v="0"/>
    <m/>
    <m/>
    <m/>
    <m/>
    <m/>
    <m/>
    <m/>
    <m/>
    <m/>
    <m/>
    <m/>
    <m/>
  </r>
  <r>
    <x v="12"/>
    <s v="Tennessee College of Applied Technology at Elizabethton"/>
    <m/>
    <n v="220127"/>
    <x v="10"/>
    <n v="0"/>
    <n v="0"/>
    <m/>
    <m/>
    <m/>
    <m/>
    <m/>
    <m/>
    <m/>
    <m/>
    <m/>
    <m/>
    <m/>
    <m/>
    <n v="0"/>
    <n v="0"/>
    <m/>
    <m/>
    <m/>
    <m/>
    <m/>
    <m/>
    <m/>
    <m/>
    <m/>
    <m/>
    <m/>
    <m/>
  </r>
  <r>
    <x v="12"/>
    <s v="Tennessee College of Applied Technology at Harriman"/>
    <m/>
    <n v="220251"/>
    <x v="10"/>
    <n v="0"/>
    <n v="0"/>
    <m/>
    <m/>
    <m/>
    <m/>
    <m/>
    <m/>
    <m/>
    <m/>
    <m/>
    <m/>
    <m/>
    <m/>
    <n v="0"/>
    <n v="0"/>
    <m/>
    <m/>
    <m/>
    <m/>
    <m/>
    <m/>
    <m/>
    <m/>
    <m/>
    <m/>
    <m/>
    <m/>
  </r>
  <r>
    <x v="12"/>
    <s v="Tennessee College of Applied Technology at Hartsville"/>
    <m/>
    <n v="220279"/>
    <x v="10"/>
    <n v="0"/>
    <n v="0"/>
    <m/>
    <m/>
    <m/>
    <m/>
    <m/>
    <m/>
    <m/>
    <m/>
    <m/>
    <m/>
    <m/>
    <m/>
    <n v="0"/>
    <n v="0"/>
    <m/>
    <m/>
    <m/>
    <m/>
    <m/>
    <m/>
    <m/>
    <m/>
    <m/>
    <m/>
    <m/>
    <m/>
  </r>
  <r>
    <x v="12"/>
    <s v="Tennessee College of Applied Technology at Hohenwald"/>
    <m/>
    <n v="220321"/>
    <x v="10"/>
    <n v="0"/>
    <n v="0"/>
    <m/>
    <m/>
    <m/>
    <m/>
    <m/>
    <m/>
    <m/>
    <m/>
    <m/>
    <m/>
    <m/>
    <m/>
    <n v="0"/>
    <n v="0"/>
    <m/>
    <m/>
    <m/>
    <m/>
    <m/>
    <m/>
    <m/>
    <m/>
    <m/>
    <m/>
    <m/>
    <m/>
  </r>
  <r>
    <x v="12"/>
    <s v="Tennessee College of Applied Technology at Jacksboro"/>
    <m/>
    <n v="220394"/>
    <x v="10"/>
    <n v="0"/>
    <n v="0"/>
    <m/>
    <m/>
    <m/>
    <m/>
    <m/>
    <m/>
    <m/>
    <m/>
    <m/>
    <m/>
    <m/>
    <m/>
    <n v="0"/>
    <n v="0"/>
    <m/>
    <m/>
    <m/>
    <m/>
    <m/>
    <m/>
    <m/>
    <m/>
    <m/>
    <m/>
    <m/>
    <m/>
  </r>
  <r>
    <x v="12"/>
    <s v="Tennessee College of Applied Technology at Jackson"/>
    <m/>
    <n v="221616"/>
    <x v="10"/>
    <n v="0"/>
    <n v="0"/>
    <m/>
    <m/>
    <m/>
    <m/>
    <m/>
    <m/>
    <m/>
    <m/>
    <m/>
    <m/>
    <m/>
    <m/>
    <n v="0"/>
    <n v="0"/>
    <m/>
    <m/>
    <m/>
    <m/>
    <m/>
    <m/>
    <m/>
    <m/>
    <m/>
    <m/>
    <m/>
    <m/>
  </r>
  <r>
    <x v="12"/>
    <s v="Tennessee College of Applied Technology at Knoxville"/>
    <m/>
    <n v="221625"/>
    <x v="10"/>
    <n v="0"/>
    <n v="0"/>
    <m/>
    <m/>
    <m/>
    <m/>
    <m/>
    <m/>
    <m/>
    <m/>
    <m/>
    <m/>
    <m/>
    <m/>
    <n v="0"/>
    <n v="0"/>
    <m/>
    <m/>
    <m/>
    <m/>
    <m/>
    <m/>
    <m/>
    <m/>
    <m/>
    <m/>
    <m/>
    <m/>
  </r>
  <r>
    <x v="12"/>
    <s v="Tennessee College of Applied Technology at Livingston"/>
    <m/>
    <n v="220640"/>
    <x v="10"/>
    <n v="0"/>
    <n v="0"/>
    <m/>
    <m/>
    <m/>
    <m/>
    <m/>
    <m/>
    <m/>
    <m/>
    <m/>
    <m/>
    <m/>
    <m/>
    <n v="0"/>
    <n v="0"/>
    <m/>
    <m/>
    <m/>
    <m/>
    <m/>
    <m/>
    <m/>
    <m/>
    <m/>
    <m/>
    <m/>
    <m/>
  </r>
  <r>
    <x v="12"/>
    <s v="Tennessee College of Applied Technology at McKenzie"/>
    <m/>
    <n v="220756"/>
    <x v="10"/>
    <n v="0"/>
    <n v="0"/>
    <m/>
    <m/>
    <m/>
    <m/>
    <m/>
    <m/>
    <m/>
    <m/>
    <m/>
    <m/>
    <m/>
    <m/>
    <n v="0"/>
    <n v="0"/>
    <m/>
    <m/>
    <m/>
    <m/>
    <m/>
    <m/>
    <m/>
    <m/>
    <m/>
    <m/>
    <m/>
    <m/>
  </r>
  <r>
    <x v="12"/>
    <s v="Tennessee College of Applied Technology at McMinnville"/>
    <m/>
    <n v="221607"/>
    <x v="10"/>
    <n v="0"/>
    <n v="0"/>
    <m/>
    <m/>
    <m/>
    <m/>
    <m/>
    <m/>
    <m/>
    <m/>
    <m/>
    <m/>
    <m/>
    <m/>
    <n v="0"/>
    <n v="0"/>
    <m/>
    <m/>
    <m/>
    <m/>
    <m/>
    <m/>
    <m/>
    <m/>
    <m/>
    <m/>
    <m/>
    <m/>
  </r>
  <r>
    <x v="12"/>
    <s v="Tennessee College of Applied Technology at Memphis"/>
    <m/>
    <n v="220853"/>
    <x v="10"/>
    <n v="0"/>
    <n v="0"/>
    <m/>
    <m/>
    <m/>
    <m/>
    <m/>
    <m/>
    <m/>
    <m/>
    <m/>
    <m/>
    <m/>
    <m/>
    <n v="0"/>
    <n v="0"/>
    <m/>
    <m/>
    <m/>
    <m/>
    <m/>
    <m/>
    <m/>
    <m/>
    <m/>
    <m/>
    <m/>
    <m/>
  </r>
  <r>
    <x v="12"/>
    <s v="Tennessee College of Applied Technology at Morristown"/>
    <m/>
    <n v="221050"/>
    <x v="10"/>
    <n v="0"/>
    <n v="0"/>
    <m/>
    <m/>
    <m/>
    <m/>
    <m/>
    <m/>
    <m/>
    <m/>
    <m/>
    <m/>
    <m/>
    <m/>
    <n v="0"/>
    <n v="0"/>
    <m/>
    <m/>
    <m/>
    <m/>
    <m/>
    <m/>
    <m/>
    <m/>
    <m/>
    <m/>
    <m/>
    <m/>
  </r>
  <r>
    <x v="12"/>
    <s v="Tennessee College of Applied Technology at Murfreesboro"/>
    <m/>
    <n v="221102"/>
    <x v="10"/>
    <n v="0"/>
    <n v="0"/>
    <m/>
    <m/>
    <m/>
    <m/>
    <m/>
    <m/>
    <m/>
    <m/>
    <m/>
    <m/>
    <m/>
    <m/>
    <n v="0"/>
    <n v="0"/>
    <m/>
    <m/>
    <m/>
    <m/>
    <m/>
    <m/>
    <m/>
    <m/>
    <m/>
    <m/>
    <m/>
    <m/>
  </r>
  <r>
    <x v="12"/>
    <s v="Tennessee College of Applied Technology at Nashville"/>
    <m/>
    <n v="248925"/>
    <x v="10"/>
    <n v="0"/>
    <n v="0"/>
    <m/>
    <m/>
    <m/>
    <m/>
    <m/>
    <m/>
    <m/>
    <m/>
    <m/>
    <m/>
    <m/>
    <m/>
    <n v="0"/>
    <n v="0"/>
    <m/>
    <m/>
    <m/>
    <m/>
    <m/>
    <m/>
    <m/>
    <m/>
    <m/>
    <m/>
    <m/>
    <m/>
  </r>
  <r>
    <x v="12"/>
    <s v="Tennessee College of Applied Technology at Newbern"/>
    <m/>
    <n v="221236"/>
    <x v="10"/>
    <n v="0"/>
    <n v="0"/>
    <m/>
    <m/>
    <m/>
    <m/>
    <m/>
    <m/>
    <m/>
    <m/>
    <m/>
    <m/>
    <m/>
    <m/>
    <n v="0"/>
    <n v="0"/>
    <m/>
    <m/>
    <m/>
    <m/>
    <m/>
    <m/>
    <m/>
    <m/>
    <m/>
    <m/>
    <m/>
    <m/>
  </r>
  <r>
    <x v="12"/>
    <s v="Tennessee College of Applied Technology at Oneida"/>
    <m/>
    <n v="221582"/>
    <x v="10"/>
    <n v="0"/>
    <n v="0"/>
    <m/>
    <m/>
    <m/>
    <m/>
    <m/>
    <m/>
    <m/>
    <m/>
    <m/>
    <m/>
    <m/>
    <m/>
    <n v="0"/>
    <n v="0"/>
    <m/>
    <m/>
    <m/>
    <m/>
    <m/>
    <m/>
    <m/>
    <m/>
    <m/>
    <m/>
    <m/>
    <m/>
  </r>
  <r>
    <x v="12"/>
    <s v="Tennessee College of Applied Technology at Paris"/>
    <m/>
    <n v="221281"/>
    <x v="10"/>
    <n v="0"/>
    <n v="0"/>
    <m/>
    <m/>
    <m/>
    <m/>
    <m/>
    <m/>
    <m/>
    <m/>
    <m/>
    <m/>
    <m/>
    <m/>
    <n v="0"/>
    <n v="0"/>
    <m/>
    <m/>
    <m/>
    <m/>
    <m/>
    <m/>
    <m/>
    <m/>
    <m/>
    <m/>
    <m/>
    <m/>
  </r>
  <r>
    <x v="12"/>
    <s v="Tennessee College of Applied Technology at Pulaski"/>
    <m/>
    <n v="221333"/>
    <x v="10"/>
    <n v="0"/>
    <n v="0"/>
    <m/>
    <m/>
    <m/>
    <m/>
    <m/>
    <m/>
    <m/>
    <m/>
    <m/>
    <m/>
    <m/>
    <m/>
    <n v="0"/>
    <n v="0"/>
    <m/>
    <m/>
    <m/>
    <m/>
    <m/>
    <m/>
    <m/>
    <m/>
    <m/>
    <m/>
    <m/>
    <m/>
  </r>
  <r>
    <x v="12"/>
    <s v="Tennessee College of Applied Technology at Ripley"/>
    <m/>
    <n v="221388"/>
    <x v="10"/>
    <n v="0"/>
    <n v="0"/>
    <m/>
    <m/>
    <m/>
    <m/>
    <m/>
    <m/>
    <m/>
    <m/>
    <m/>
    <m/>
    <m/>
    <m/>
    <n v="0"/>
    <n v="0"/>
    <m/>
    <m/>
    <m/>
    <m/>
    <m/>
    <m/>
    <m/>
    <m/>
    <m/>
    <m/>
    <m/>
    <m/>
  </r>
  <r>
    <x v="12"/>
    <s v="Tennessee College of Applied Technology at Shelbyville"/>
    <m/>
    <n v="221494"/>
    <x v="10"/>
    <n v="0"/>
    <n v="0"/>
    <m/>
    <m/>
    <m/>
    <m/>
    <m/>
    <m/>
    <m/>
    <m/>
    <m/>
    <m/>
    <m/>
    <m/>
    <n v="0"/>
    <n v="0"/>
    <m/>
    <m/>
    <m/>
    <m/>
    <m/>
    <m/>
    <m/>
    <m/>
    <m/>
    <m/>
    <m/>
    <m/>
  </r>
  <r>
    <x v="12"/>
    <s v="Tennessee College of Applied Technology at Whiteville"/>
    <m/>
    <n v="221634"/>
    <x v="10"/>
    <n v="0"/>
    <n v="0"/>
    <m/>
    <m/>
    <m/>
    <m/>
    <m/>
    <m/>
    <m/>
    <m/>
    <m/>
    <m/>
    <m/>
    <m/>
    <n v="0"/>
    <n v="0"/>
    <m/>
    <m/>
    <m/>
    <m/>
    <m/>
    <m/>
    <m/>
    <m/>
    <m/>
    <m/>
    <m/>
    <m/>
  </r>
  <r>
    <x v="13"/>
    <s v="Texas A &amp; M University "/>
    <m/>
    <n v="228723"/>
    <x v="0"/>
    <n v="1226554"/>
    <n v="1278325"/>
    <n v="1102959"/>
    <n v="1131001"/>
    <n v="7401"/>
    <n v="9532"/>
    <n v="102512"/>
    <n v="0"/>
    <n v="13682"/>
    <n v="128122"/>
    <n v="0"/>
    <n v="9670"/>
    <m/>
    <m/>
    <n v="221291"/>
    <n v="226409"/>
    <n v="188208"/>
    <n v="189796"/>
    <n v="5507"/>
    <n v="5427"/>
    <n v="23194"/>
    <n v="52"/>
    <n v="4330"/>
    <n v="27111"/>
    <n v="33"/>
    <n v="4042"/>
    <m/>
    <m/>
  </r>
  <r>
    <x v="13"/>
    <s v="Texas Tech University "/>
    <m/>
    <n v="229115"/>
    <x v="0"/>
    <n v="764400"/>
    <n v="792831"/>
    <n v="637325"/>
    <n v="639709"/>
    <n v="9417"/>
    <n v="10294"/>
    <n v="117222"/>
    <n v="436"/>
    <n v="0"/>
    <n v="142205"/>
    <n v="623"/>
    <n v="0"/>
    <m/>
    <m/>
    <n v="125793"/>
    <n v="126883"/>
    <n v="94658"/>
    <n v="91338"/>
    <n v="1294"/>
    <n v="1010"/>
    <n v="29823"/>
    <n v="18"/>
    <n v="0"/>
    <n v="34466"/>
    <n v="69"/>
    <n v="0"/>
    <m/>
    <m/>
  </r>
  <r>
    <x v="13"/>
    <s v="University of Houston"/>
    <m/>
    <n v="225511"/>
    <x v="0"/>
    <n v="843076"/>
    <n v="883751"/>
    <n v="639932"/>
    <n v="656777"/>
    <n v="11049"/>
    <n v="17108"/>
    <n v="192041"/>
    <n v="54"/>
    <n v="0"/>
    <n v="209591"/>
    <n v="275"/>
    <n v="0"/>
    <m/>
    <m/>
    <n v="171892"/>
    <n v="175604"/>
    <n v="152023"/>
    <n v="156768"/>
    <n v="7351"/>
    <n v="4425"/>
    <n v="12326"/>
    <n v="192"/>
    <n v="0"/>
    <n v="14132"/>
    <n v="279"/>
    <n v="0"/>
    <m/>
    <m/>
  </r>
  <r>
    <x v="13"/>
    <s v="University of North Texas"/>
    <m/>
    <n v="227216"/>
    <x v="0"/>
    <n v="790618"/>
    <n v="806818"/>
    <n v="676974"/>
    <n v="680229"/>
    <n v="3351"/>
    <n v="4878"/>
    <n v="110134"/>
    <n v="123"/>
    <n v="36"/>
    <n v="121486"/>
    <n v="195"/>
    <n v="30"/>
    <m/>
    <m/>
    <n v="101618"/>
    <n v="105426"/>
    <n v="68309"/>
    <n v="66894"/>
    <n v="1041"/>
    <n v="1299"/>
    <n v="32223"/>
    <n v="45"/>
    <n v="0"/>
    <n v="37197"/>
    <n v="36"/>
    <n v="0"/>
    <m/>
    <m/>
  </r>
  <r>
    <x v="13"/>
    <s v="University of Texas at Arlington"/>
    <m/>
    <n v="228769"/>
    <x v="0"/>
    <n v="630246"/>
    <n v="658963"/>
    <n v="470201"/>
    <n v="473603"/>
    <n v="1245"/>
    <n v="1852"/>
    <n v="158257"/>
    <n v="0"/>
    <n v="543"/>
    <n v="183253"/>
    <n v="0"/>
    <n v="255"/>
    <m/>
    <m/>
    <n v="178279"/>
    <n v="194583"/>
    <n v="110528"/>
    <n v="109003"/>
    <n v="7389"/>
    <n v="6658"/>
    <n v="60173"/>
    <n v="186"/>
    <n v="3"/>
    <n v="78838"/>
    <n v="84"/>
    <n v="0"/>
    <m/>
    <m/>
  </r>
  <r>
    <x v="13"/>
    <s v="University of Texas at Austin"/>
    <m/>
    <n v="228778"/>
    <x v="0"/>
    <n v="1060057"/>
    <n v="1070241"/>
    <n v="1010626"/>
    <n v="993791"/>
    <n v="5523"/>
    <n v="6169"/>
    <n v="27890"/>
    <n v="15951"/>
    <n v="67"/>
    <n v="42981"/>
    <n v="27135"/>
    <n v="165"/>
    <m/>
    <m/>
    <n v="247354"/>
    <n v="242758"/>
    <n v="242177"/>
    <n v="237491"/>
    <n v="304"/>
    <n v="435"/>
    <n v="1882"/>
    <n v="2075"/>
    <n v="916"/>
    <n v="2109"/>
    <n v="1940"/>
    <n v="783"/>
    <m/>
    <m/>
  </r>
  <r>
    <x v="13"/>
    <s v="University of Texas at Dallas"/>
    <m/>
    <n v="228787"/>
    <x v="0"/>
    <n v="395053"/>
    <n v="437506"/>
    <n v="373501"/>
    <n v="412246"/>
    <n v="1851"/>
    <n v="2482"/>
    <n v="19701"/>
    <n v="0"/>
    <n v="0"/>
    <n v="22778"/>
    <n v="0"/>
    <n v="0"/>
    <m/>
    <m/>
    <n v="157209"/>
    <n v="162236"/>
    <n v="139450"/>
    <n v="143984"/>
    <n v="417"/>
    <n v="437"/>
    <n v="17342"/>
    <n v="0"/>
    <n v="0"/>
    <n v="17815"/>
    <n v="0"/>
    <n v="0"/>
    <m/>
    <m/>
  </r>
  <r>
    <x v="13"/>
    <s v="Texas Woman's University"/>
    <s v="Met the criteria for Four-Year 1 in 2016-17."/>
    <n v="229179"/>
    <x v="1"/>
    <n v="234593"/>
    <n v="245153"/>
    <n v="160497"/>
    <n v="160385"/>
    <n v="4241"/>
    <n v="6761"/>
    <n v="69520"/>
    <n v="335"/>
    <n v="0"/>
    <n v="78007"/>
    <n v="0"/>
    <n v="0"/>
    <m/>
    <m/>
    <n v="93471"/>
    <n v="93332"/>
    <n v="45843"/>
    <n v="46437"/>
    <n v="273"/>
    <n v="291"/>
    <n v="46418"/>
    <n v="937"/>
    <n v="0"/>
    <n v="45600"/>
    <n v="1004"/>
    <n v="0"/>
    <m/>
    <m/>
  </r>
  <r>
    <x v="13"/>
    <s v="University of Texas at El Paso"/>
    <m/>
    <n v="228796"/>
    <x v="1"/>
    <n v="481654"/>
    <n v="488892"/>
    <n v="399887"/>
    <n v="400732"/>
    <n v="1629"/>
    <n v="1252"/>
    <n v="80138"/>
    <n v="0"/>
    <n v="0"/>
    <n v="86908"/>
    <n v="0"/>
    <n v="0"/>
    <m/>
    <m/>
    <n v="54567"/>
    <n v="56266"/>
    <n v="35958"/>
    <n v="35113"/>
    <n v="2206"/>
    <n v="2433"/>
    <n v="16403"/>
    <n v="0"/>
    <n v="0"/>
    <n v="18720"/>
    <n v="0"/>
    <n v="0"/>
    <m/>
    <m/>
  </r>
  <r>
    <x v="13"/>
    <s v="University of Texas at San Antonio"/>
    <s v="Reclassified: Met the criteria for Four-Year 1 in 2014-15, 2015-16, and 2016-17."/>
    <n v="229027"/>
    <x v="0"/>
    <n v="611096"/>
    <n v="629375"/>
    <n v="561288"/>
    <n v="561782"/>
    <n v="1460"/>
    <n v="2208"/>
    <n v="45720"/>
    <n v="2457"/>
    <n v="171"/>
    <n v="63906"/>
    <n v="1242"/>
    <n v="237"/>
    <m/>
    <m/>
    <n v="66635"/>
    <n v="66327"/>
    <n v="59979"/>
    <n v="57463"/>
    <n v="2447"/>
    <n v="2552"/>
    <n v="4209"/>
    <n v="0"/>
    <n v="0"/>
    <n v="6312"/>
    <n v="0"/>
    <n v="0"/>
    <m/>
    <m/>
  </r>
  <r>
    <x v="13"/>
    <s v="Angelo State University"/>
    <m/>
    <n v="222831"/>
    <x v="2"/>
    <n v="149227"/>
    <n v="172033"/>
    <n v="135761"/>
    <n v="149277"/>
    <n v="0"/>
    <n v="0"/>
    <n v="13466"/>
    <n v="0"/>
    <n v="0"/>
    <n v="22756"/>
    <n v="0"/>
    <n v="0"/>
    <m/>
    <m/>
    <n v="19232"/>
    <n v="26146"/>
    <n v="9153"/>
    <n v="8065"/>
    <n v="0"/>
    <n v="0"/>
    <n v="9953"/>
    <n v="126"/>
    <n v="0"/>
    <n v="18081"/>
    <n v="0"/>
    <n v="0"/>
    <m/>
    <m/>
  </r>
  <r>
    <x v="13"/>
    <s v="Lamar University"/>
    <m/>
    <n v="226091"/>
    <x v="2"/>
    <n v="220858"/>
    <n v="223457"/>
    <n v="156131"/>
    <n v="153234"/>
    <n v="795"/>
    <n v="455"/>
    <n v="63860"/>
    <n v="72"/>
    <n v="0"/>
    <n v="69768"/>
    <n v="0"/>
    <n v="0"/>
    <m/>
    <m/>
    <n v="118619"/>
    <n v="115496"/>
    <n v="27049"/>
    <n v="23096"/>
    <n v="108"/>
    <n v="93"/>
    <n v="91462"/>
    <n v="0"/>
    <n v="0"/>
    <n v="92262"/>
    <n v="45"/>
    <n v="0"/>
    <m/>
    <m/>
  </r>
  <r>
    <x v="13"/>
    <s v="Midwestern State University"/>
    <m/>
    <n v="226833"/>
    <x v="2"/>
    <n v="128285"/>
    <n v="129348"/>
    <n v="106270"/>
    <n v="105541"/>
    <n v="1334"/>
    <n v="1388"/>
    <n v="20645"/>
    <n v="36"/>
    <n v="0"/>
    <n v="22389"/>
    <n v="30"/>
    <n v="0"/>
    <m/>
    <m/>
    <n v="9659"/>
    <n v="10160"/>
    <n v="4320"/>
    <n v="4317"/>
    <n v="45"/>
    <n v="51"/>
    <n v="5294"/>
    <n v="0"/>
    <n v="0"/>
    <n v="5792"/>
    <n v="0"/>
    <n v="0"/>
    <m/>
    <m/>
  </r>
  <r>
    <x v="13"/>
    <s v="Prairie View A &amp; M University"/>
    <m/>
    <n v="227526"/>
    <x v="2"/>
    <n v="191143"/>
    <n v="199378"/>
    <n v="172563"/>
    <n v="180457"/>
    <n v="10711"/>
    <n v="9320"/>
    <n v="7518"/>
    <n v="351"/>
    <n v="0"/>
    <n v="9415"/>
    <n v="186"/>
    <n v="0"/>
    <m/>
    <m/>
    <n v="23316"/>
    <n v="23232"/>
    <n v="8669"/>
    <n v="8123"/>
    <n v="5215"/>
    <n v="5320"/>
    <n v="9288"/>
    <n v="144"/>
    <n v="0"/>
    <n v="9789"/>
    <n v="0"/>
    <n v="0"/>
    <m/>
    <m/>
  </r>
  <r>
    <x v="13"/>
    <s v="Sam Houston State University "/>
    <m/>
    <n v="227881"/>
    <x v="2"/>
    <n v="454984"/>
    <n v="469292"/>
    <n v="360532"/>
    <n v="361040"/>
    <n v="2947"/>
    <n v="5301"/>
    <n v="91466"/>
    <n v="39"/>
    <n v="0"/>
    <n v="102951"/>
    <n v="0"/>
    <n v="0"/>
    <m/>
    <m/>
    <n v="41771"/>
    <n v="40010"/>
    <n v="18922"/>
    <n v="17369"/>
    <n v="18"/>
    <n v="123"/>
    <n v="22648"/>
    <n v="183"/>
    <n v="0"/>
    <n v="22509"/>
    <n v="9"/>
    <n v="0"/>
    <m/>
    <m/>
  </r>
  <r>
    <x v="13"/>
    <s v="Stephen F. Austin State University"/>
    <m/>
    <n v="228431"/>
    <x v="2"/>
    <n v="285133"/>
    <n v="288003"/>
    <n v="234331"/>
    <n v="234910"/>
    <n v="1705"/>
    <n v="1826"/>
    <n v="48921"/>
    <n v="136"/>
    <n v="40"/>
    <n v="51087"/>
    <n v="180"/>
    <n v="0"/>
    <m/>
    <m/>
    <n v="28523"/>
    <n v="29213"/>
    <n v="13821"/>
    <n v="14200"/>
    <n v="61"/>
    <n v="313"/>
    <n v="14436"/>
    <n v="130"/>
    <n v="75"/>
    <n v="14372"/>
    <n v="247"/>
    <n v="81"/>
    <m/>
    <m/>
  </r>
  <r>
    <x v="13"/>
    <s v="Sul Ross State University "/>
    <m/>
    <n v="228501"/>
    <x v="2"/>
    <n v="33377"/>
    <n v="34659"/>
    <n v="28475"/>
    <n v="29354"/>
    <n v="401"/>
    <n v="288"/>
    <n v="3985"/>
    <n v="516"/>
    <n v="0"/>
    <n v="4543"/>
    <n v="474"/>
    <n v="0"/>
    <m/>
    <m/>
    <n v="10074"/>
    <n v="10567"/>
    <n v="2826"/>
    <n v="2395"/>
    <n v="0"/>
    <n v="108"/>
    <n v="7242"/>
    <n v="6"/>
    <n v="0"/>
    <n v="8064"/>
    <n v="0"/>
    <n v="0"/>
    <m/>
    <m/>
  </r>
  <r>
    <x v="13"/>
    <s v="Tarleton State University"/>
    <m/>
    <n v="228529"/>
    <x v="2"/>
    <n v="268496"/>
    <n v="284468"/>
    <n v="197489"/>
    <n v="206842"/>
    <n v="22837"/>
    <n v="22960"/>
    <n v="47365"/>
    <n v="805"/>
    <n v="0"/>
    <n v="54223"/>
    <n v="443"/>
    <n v="0"/>
    <m/>
    <m/>
    <n v="24195"/>
    <n v="23938"/>
    <n v="4987"/>
    <n v="4558"/>
    <n v="5240"/>
    <n v="4987"/>
    <n v="13968"/>
    <n v="0"/>
    <n v="0"/>
    <n v="14273"/>
    <n v="120"/>
    <n v="0"/>
    <m/>
    <m/>
  </r>
  <r>
    <x v="13"/>
    <s v="Texas A &amp; M International University"/>
    <m/>
    <n v="226152"/>
    <x v="2"/>
    <n v="152402"/>
    <n v="160783"/>
    <n v="135677"/>
    <n v="143047"/>
    <n v="2956"/>
    <n v="824"/>
    <n v="13688"/>
    <n v="81"/>
    <n v="0"/>
    <n v="16609"/>
    <n v="303"/>
    <n v="0"/>
    <m/>
    <m/>
    <n v="13713"/>
    <n v="13235"/>
    <n v="8596"/>
    <n v="7990"/>
    <n v="12"/>
    <n v="24"/>
    <n v="5102"/>
    <n v="3"/>
    <n v="0"/>
    <n v="5221"/>
    <n v="0"/>
    <n v="0"/>
    <m/>
    <m/>
  </r>
  <r>
    <x v="13"/>
    <s v="Texas A &amp; M University - Commerce"/>
    <m/>
    <n v="224554"/>
    <x v="2"/>
    <n v="181424"/>
    <n v="186744"/>
    <n v="109898"/>
    <n v="100778"/>
    <n v="13864"/>
    <n v="12182"/>
    <n v="54587"/>
    <n v="246"/>
    <n v="2829"/>
    <n v="66434"/>
    <n v="228"/>
    <n v="7122"/>
    <m/>
    <m/>
    <n v="82987"/>
    <n v="82396"/>
    <n v="17924"/>
    <n v="15332"/>
    <n v="8345"/>
    <n v="6738"/>
    <n v="56316"/>
    <n v="399"/>
    <n v="3"/>
    <n v="60065"/>
    <n v="261"/>
    <n v="0"/>
    <m/>
    <m/>
  </r>
  <r>
    <x v="13"/>
    <s v="Texas A &amp; M University-Corpus Christi "/>
    <m/>
    <n v="224147"/>
    <x v="2"/>
    <n v="237187"/>
    <n v="238653"/>
    <n v="236515"/>
    <n v="238098"/>
    <n v="0"/>
    <n v="0"/>
    <n v="600"/>
    <n v="0"/>
    <n v="72"/>
    <n v="468"/>
    <n v="0"/>
    <n v="87"/>
    <m/>
    <m/>
    <n v="30340"/>
    <n v="32609"/>
    <n v="29116"/>
    <n v="31118"/>
    <n v="0"/>
    <n v="0"/>
    <n v="1224"/>
    <n v="0"/>
    <n v="0"/>
    <n v="1491"/>
    <n v="0"/>
    <n v="0"/>
    <m/>
    <m/>
  </r>
  <r>
    <x v="13"/>
    <s v="Texas A &amp; M University-Kingsville"/>
    <m/>
    <n v="228705"/>
    <x v="2"/>
    <n v="158772"/>
    <n v="164439"/>
    <n v="136571"/>
    <n v="140479"/>
    <n v="10693"/>
    <n v="9985"/>
    <n v="10977"/>
    <n v="531"/>
    <n v="0"/>
    <n v="13126"/>
    <n v="849"/>
    <n v="0"/>
    <m/>
    <m/>
    <n v="53405"/>
    <n v="53236"/>
    <n v="44044"/>
    <n v="41955"/>
    <n v="70"/>
    <n v="84"/>
    <n v="8859"/>
    <n v="432"/>
    <n v="0"/>
    <n v="10837"/>
    <n v="360"/>
    <n v="0"/>
    <m/>
    <m/>
  </r>
  <r>
    <x v="13"/>
    <s v="Texas Southern University "/>
    <s v="Met the criteria for Four-Year 2 in 2016-17."/>
    <n v="229063"/>
    <x v="2"/>
    <n v="178611"/>
    <n v="177455"/>
    <n v="167178"/>
    <n v="166799"/>
    <n v="3"/>
    <n v="0"/>
    <n v="0"/>
    <n v="0"/>
    <n v="11430"/>
    <n v="0"/>
    <n v="0"/>
    <n v="10656"/>
    <m/>
    <m/>
    <n v="50777"/>
    <n v="51866"/>
    <n v="43046"/>
    <n v="45188"/>
    <n v="24"/>
    <n v="27"/>
    <n v="0"/>
    <n v="0"/>
    <n v="7707"/>
    <n v="0"/>
    <n v="0"/>
    <n v="6651"/>
    <m/>
    <m/>
  </r>
  <r>
    <x v="13"/>
    <s v="Texas State University"/>
    <s v="Reclassified: Met the criteria for Four-Year 2 in 2014-15, 2015-16, and 2016-17."/>
    <n v="228459"/>
    <x v="1"/>
    <n v="841767"/>
    <n v="868584"/>
    <n v="772273"/>
    <n v="792770"/>
    <n v="25570"/>
    <n v="24296"/>
    <n v="43464"/>
    <n v="288"/>
    <n v="172"/>
    <n v="50117"/>
    <n v="528"/>
    <n v="873"/>
    <m/>
    <m/>
    <n v="73336"/>
    <n v="73976"/>
    <n v="55954"/>
    <n v="54880"/>
    <n v="7320"/>
    <n v="6660"/>
    <n v="8817"/>
    <n v="804"/>
    <n v="441"/>
    <n v="10844"/>
    <n v="1230"/>
    <n v="362"/>
    <m/>
    <m/>
  </r>
  <r>
    <x v="13"/>
    <s v="University of Houston-Clear Lake "/>
    <m/>
    <n v="225414"/>
    <x v="2"/>
    <n v="116725"/>
    <n v="123529"/>
    <n v="82795"/>
    <n v="88027"/>
    <n v="7740"/>
    <n v="7755"/>
    <n v="26190"/>
    <n v="0"/>
    <n v="0"/>
    <n v="27747"/>
    <n v="0"/>
    <n v="0"/>
    <m/>
    <m/>
    <n v="57356"/>
    <n v="52421"/>
    <n v="37244"/>
    <n v="35622"/>
    <n v="4332"/>
    <n v="3011"/>
    <n v="15780"/>
    <n v="0"/>
    <n v="0"/>
    <n v="13788"/>
    <n v="0"/>
    <n v="0"/>
    <m/>
    <m/>
  </r>
  <r>
    <x v="13"/>
    <s v="University of Texas - Rio Grande Valley"/>
    <m/>
    <n v="227368"/>
    <x v="2"/>
    <n v="637740"/>
    <n v="618641"/>
    <n v="529848"/>
    <n v="484474"/>
    <n v="1557"/>
    <n v="1563"/>
    <n v="105975"/>
    <n v="360"/>
    <n v="0"/>
    <n v="119555"/>
    <n v="13049"/>
    <n v="0"/>
    <m/>
    <m/>
    <n v="66498"/>
    <n v="59540"/>
    <n v="33246"/>
    <n v="26138"/>
    <n v="0"/>
    <n v="1647"/>
    <n v="33057"/>
    <n v="195"/>
    <n v="0"/>
    <n v="29709"/>
    <n v="2046"/>
    <n v="0"/>
    <m/>
    <m/>
  </r>
  <r>
    <x v="13"/>
    <s v="University of Texas at Tyler"/>
    <m/>
    <n v="228802"/>
    <x v="2"/>
    <n v="149797"/>
    <n v="160931"/>
    <n v="97357"/>
    <n v="96723"/>
    <n v="9869"/>
    <n v="11135"/>
    <n v="42343"/>
    <n v="228"/>
    <n v="0"/>
    <n v="52776"/>
    <n v="297"/>
    <n v="0"/>
    <m/>
    <m/>
    <n v="38852"/>
    <n v="41108"/>
    <n v="8219"/>
    <n v="7389"/>
    <n v="72"/>
    <n v="54"/>
    <n v="30558"/>
    <n v="3"/>
    <n v="0"/>
    <n v="33626"/>
    <n v="39"/>
    <n v="0"/>
    <m/>
    <m/>
  </r>
  <r>
    <x v="13"/>
    <s v="University of Texas of the Permian Basin"/>
    <m/>
    <n v="229018"/>
    <x v="2"/>
    <n v="106011"/>
    <n v="114670"/>
    <n v="56838"/>
    <n v="58969"/>
    <n v="95"/>
    <n v="133"/>
    <n v="49078"/>
    <n v="0"/>
    <n v="0"/>
    <n v="55568"/>
    <n v="0"/>
    <n v="0"/>
    <m/>
    <m/>
    <n v="10673"/>
    <n v="11436"/>
    <n v="3180"/>
    <n v="3108"/>
    <n v="0"/>
    <n v="0"/>
    <n v="7493"/>
    <n v="0"/>
    <n v="0"/>
    <n v="8328"/>
    <n v="0"/>
    <n v="0"/>
    <m/>
    <m/>
  </r>
  <r>
    <x v="13"/>
    <s v="West Texas A &amp; M University"/>
    <m/>
    <n v="229814"/>
    <x v="2"/>
    <n v="186444"/>
    <n v="190819"/>
    <n v="146442"/>
    <n v="146158"/>
    <n v="135"/>
    <n v="0"/>
    <n v="39867"/>
    <n v="0"/>
    <n v="0"/>
    <n v="44661"/>
    <n v="0"/>
    <n v="0"/>
    <m/>
    <m/>
    <n v="32482"/>
    <n v="36617"/>
    <n v="10365"/>
    <n v="9158"/>
    <n v="0"/>
    <n v="0"/>
    <n v="22117"/>
    <n v="0"/>
    <n v="0"/>
    <n v="27459"/>
    <n v="0"/>
    <n v="0"/>
    <m/>
    <m/>
  </r>
  <r>
    <x v="13"/>
    <s v="Texas A &amp; M -Texarkana"/>
    <m/>
    <n v="483036"/>
    <x v="3"/>
    <n v="33517"/>
    <n v="37373"/>
    <n v="20601"/>
    <n v="20620"/>
    <n v="1938"/>
    <n v="2112"/>
    <n v="10753"/>
    <n v="225"/>
    <n v="0"/>
    <n v="14557"/>
    <n v="84"/>
    <n v="0"/>
    <m/>
    <m/>
    <n v="5872"/>
    <n v="6397"/>
    <n v="1963"/>
    <n v="2032"/>
    <n v="402"/>
    <n v="570"/>
    <n v="3909"/>
    <n v="0"/>
    <n v="0"/>
    <n v="3786"/>
    <n v="9"/>
    <n v="0"/>
    <m/>
    <m/>
  </r>
  <r>
    <x v="13"/>
    <s v="Texas A &amp; M University - Central Texas"/>
    <m/>
    <n v="224545"/>
    <x v="3"/>
    <n v="39565"/>
    <n v="41705"/>
    <n v="27577"/>
    <n v="21042"/>
    <n v="1383"/>
    <n v="2894"/>
    <n v="10473"/>
    <n v="132"/>
    <n v="0"/>
    <n v="17712"/>
    <n v="57"/>
    <n v="0"/>
    <m/>
    <m/>
    <n v="10705"/>
    <n v="10217"/>
    <n v="6895"/>
    <n v="5306"/>
    <n v="0"/>
    <n v="66"/>
    <n v="3408"/>
    <n v="0"/>
    <n v="0"/>
    <n v="4845"/>
    <n v="0"/>
    <n v="0"/>
    <m/>
    <m/>
  </r>
  <r>
    <x v="13"/>
    <s v="University of Houston-Victoria"/>
    <m/>
    <n v="225502"/>
    <x v="3"/>
    <n v="67966"/>
    <n v="66020"/>
    <n v="19961"/>
    <n v="22349"/>
    <n v="6640"/>
    <n v="4539"/>
    <n v="38445"/>
    <n v="2920"/>
    <n v="0"/>
    <n v="37026"/>
    <n v="2106"/>
    <n v="0"/>
    <m/>
    <m/>
    <n v="16476"/>
    <n v="17759"/>
    <n v="252"/>
    <n v="414"/>
    <n v="2445"/>
    <n v="1947"/>
    <n v="15201"/>
    <n v="1023"/>
    <n v="0"/>
    <n v="14891"/>
    <n v="507"/>
    <n v="0"/>
    <m/>
    <m/>
  </r>
  <r>
    <x v="13"/>
    <s v="Sul Ross State University-Rio Grande College"/>
    <m/>
    <s v="228501B"/>
    <x v="4"/>
    <n v="14933"/>
    <n v="15705"/>
    <n v="3242"/>
    <n v="3177"/>
    <n v="0"/>
    <n v="0"/>
    <n v="6618"/>
    <n v="5073"/>
    <n v="0"/>
    <n v="7281"/>
    <n v="5247"/>
    <n v="0"/>
    <m/>
    <m/>
    <n v="5112"/>
    <n v="2361"/>
    <n v="1341"/>
    <n v="939"/>
    <n v="0"/>
    <n v="0"/>
    <n v="1038"/>
    <n v="288"/>
    <n v="0"/>
    <n v="1107"/>
    <n v="315"/>
    <n v="0"/>
    <m/>
    <m/>
  </r>
  <r>
    <x v="13"/>
    <s v="Texas A &amp; M University - San Antonio"/>
    <m/>
    <n v="870501"/>
    <x v="4"/>
    <n v="72599"/>
    <n v="88219"/>
    <n v="40656"/>
    <n v="70110"/>
    <n v="2396"/>
    <n v="2641"/>
    <n v="29547"/>
    <n v="0"/>
    <n v="0"/>
    <n v="13041"/>
    <n v="0"/>
    <n v="2427"/>
    <m/>
    <m/>
    <n v="14530"/>
    <n v="13170"/>
    <n v="5848"/>
    <n v="9297"/>
    <n v="306"/>
    <n v="201"/>
    <n v="8676"/>
    <n v="0"/>
    <n v="6"/>
    <n v="2682"/>
    <n v="0"/>
    <n v="990"/>
    <m/>
    <m/>
  </r>
  <r>
    <x v="13"/>
    <s v="University of Houston-Downtown"/>
    <m/>
    <n v="225432"/>
    <x v="4"/>
    <n v="271798"/>
    <n v="259353"/>
    <n v="152792"/>
    <n v="139172"/>
    <n v="9249"/>
    <n v="9275"/>
    <n v="109718"/>
    <n v="39"/>
    <n v="0"/>
    <n v="110886"/>
    <n v="20"/>
    <n v="0"/>
    <m/>
    <m/>
    <n v="12769"/>
    <n v="22304"/>
    <n v="1299"/>
    <n v="1913"/>
    <n v="240"/>
    <n v="36"/>
    <n v="11164"/>
    <n v="0"/>
    <n v="0"/>
    <n v="20355"/>
    <n v="0"/>
    <n v="0"/>
    <m/>
    <m/>
  </r>
  <r>
    <x v="13"/>
    <s v="Texas A &amp; M University at Galveston"/>
    <s v="Reclassified: Met the criteria for Four-Year 5 in 2014-15, 2015-16, and 2016-17."/>
    <n v="228714"/>
    <x v="4"/>
    <n v="62442"/>
    <n v="62241"/>
    <n v="61176"/>
    <n v="57215"/>
    <n v="95"/>
    <n v="3050"/>
    <n v="1123"/>
    <n v="0"/>
    <n v="48"/>
    <n v="1912"/>
    <n v="0"/>
    <n v="64"/>
    <m/>
    <m/>
    <n v="2450"/>
    <n v="2630"/>
    <n v="1981"/>
    <n v="2110"/>
    <n v="0"/>
    <n v="97"/>
    <n v="229"/>
    <n v="0"/>
    <n v="0"/>
    <n v="423"/>
    <n v="0"/>
    <n v="0"/>
    <m/>
    <m/>
  </r>
  <r>
    <x v="13"/>
    <s v="Brazosport College "/>
    <m/>
    <n v="223506"/>
    <x v="12"/>
    <n v="74685"/>
    <n v="76185"/>
    <n v="51817"/>
    <n v="52596"/>
    <n v="5331"/>
    <n v="4999"/>
    <n v="17537"/>
    <n v="0"/>
    <n v="0"/>
    <n v="18590"/>
    <n v="0"/>
    <n v="0"/>
    <m/>
    <m/>
    <n v="0"/>
    <n v="0"/>
    <n v="0"/>
    <n v="0"/>
    <n v="0"/>
    <n v="0"/>
    <n v="0"/>
    <n v="0"/>
    <n v="0"/>
    <n v="0"/>
    <n v="0"/>
    <n v="0"/>
    <m/>
    <m/>
  </r>
  <r>
    <x v="13"/>
    <s v="Midland College "/>
    <m/>
    <n v="226806"/>
    <x v="12"/>
    <n v="107508"/>
    <n v="113676"/>
    <n v="60533"/>
    <n v="59021"/>
    <n v="5490"/>
    <n v="8915"/>
    <n v="40632"/>
    <n v="853"/>
    <n v="0"/>
    <n v="44958"/>
    <n v="782"/>
    <n v="0"/>
    <m/>
    <m/>
    <n v="0"/>
    <n v="0"/>
    <n v="0"/>
    <n v="0"/>
    <n v="0"/>
    <n v="0"/>
    <n v="0"/>
    <n v="0"/>
    <n v="0"/>
    <n v="0"/>
    <n v="0"/>
    <n v="0"/>
    <m/>
    <m/>
  </r>
  <r>
    <x v="13"/>
    <s v="South Texas College"/>
    <m/>
    <n v="409315"/>
    <x v="12"/>
    <n v="603524"/>
    <n v="628886"/>
    <n v="493053"/>
    <n v="501486"/>
    <n v="0"/>
    <n v="0"/>
    <n v="109348"/>
    <n v="0"/>
    <n v="1123"/>
    <n v="123559"/>
    <n v="0"/>
    <n v="3841"/>
    <m/>
    <m/>
    <n v="0"/>
    <n v="0"/>
    <n v="0"/>
    <n v="0"/>
    <n v="0"/>
    <n v="0"/>
    <n v="0"/>
    <n v="0"/>
    <n v="0"/>
    <n v="0"/>
    <n v="0"/>
    <n v="0"/>
    <m/>
    <m/>
  </r>
  <r>
    <x v="13"/>
    <s v="Amarillo College "/>
    <m/>
    <n v="222576"/>
    <x v="6"/>
    <n v="172237"/>
    <n v="161997"/>
    <n v="99856"/>
    <n v="85447"/>
    <n v="13324"/>
    <n v="13938"/>
    <n v="59057"/>
    <n v="0"/>
    <n v="0"/>
    <n v="62612"/>
    <n v="0"/>
    <n v="0"/>
    <m/>
    <m/>
    <n v="0"/>
    <n v="0"/>
    <n v="0"/>
    <n v="0"/>
    <n v="0"/>
    <n v="0"/>
    <n v="0"/>
    <n v="0"/>
    <n v="0"/>
    <n v="0"/>
    <n v="0"/>
    <n v="0"/>
    <m/>
    <m/>
  </r>
  <r>
    <x v="13"/>
    <s v="Austin Community College "/>
    <m/>
    <n v="222992"/>
    <x v="6"/>
    <n v="734922"/>
    <n v="722059"/>
    <n v="567095"/>
    <n v="550706"/>
    <n v="44052"/>
    <n v="44990"/>
    <n v="123775"/>
    <n v="0"/>
    <n v="0"/>
    <n v="126363"/>
    <n v="0"/>
    <n v="0"/>
    <m/>
    <m/>
    <n v="0"/>
    <n v="0"/>
    <n v="0"/>
    <n v="0"/>
    <n v="0"/>
    <n v="0"/>
    <n v="0"/>
    <n v="0"/>
    <n v="0"/>
    <n v="0"/>
    <n v="0"/>
    <n v="0"/>
    <m/>
    <m/>
  </r>
  <r>
    <x v="13"/>
    <s v="Blinn College "/>
    <m/>
    <n v="223427"/>
    <x v="6"/>
    <n v="426719"/>
    <n v="411099"/>
    <n v="54251"/>
    <n v="52245"/>
    <n v="273162"/>
    <n v="263569"/>
    <n v="99159"/>
    <n v="126"/>
    <n v="21"/>
    <n v="94757"/>
    <n v="528"/>
    <n v="0"/>
    <m/>
    <m/>
    <n v="0"/>
    <n v="0"/>
    <n v="0"/>
    <n v="0"/>
    <n v="0"/>
    <n v="0"/>
    <n v="0"/>
    <n v="0"/>
    <n v="0"/>
    <n v="0"/>
    <n v="0"/>
    <n v="0"/>
    <m/>
    <m/>
  </r>
  <r>
    <x v="13"/>
    <s v="Brookhaven College (DCCCD)"/>
    <m/>
    <n v="223524"/>
    <x v="6"/>
    <n v="188199"/>
    <n v="186878"/>
    <n v="118009"/>
    <n v="116937"/>
    <n v="3521"/>
    <n v="4646"/>
    <n v="66669"/>
    <n v="0"/>
    <n v="0"/>
    <n v="65295"/>
    <n v="0"/>
    <n v="0"/>
    <m/>
    <m/>
    <n v="0"/>
    <n v="0"/>
    <n v="0"/>
    <n v="0"/>
    <n v="0"/>
    <n v="0"/>
    <n v="0"/>
    <n v="0"/>
    <n v="0"/>
    <n v="0"/>
    <n v="0"/>
    <n v="0"/>
    <m/>
    <m/>
  </r>
  <r>
    <x v="13"/>
    <s v="Central Texas College "/>
    <m/>
    <n v="223816"/>
    <x v="6"/>
    <n v="261530"/>
    <n v="245705"/>
    <n v="88156"/>
    <n v="78350"/>
    <n v="38806"/>
    <n v="34068"/>
    <n v="119749"/>
    <n v="366"/>
    <n v="14453"/>
    <n v="121107"/>
    <n v="156"/>
    <n v="12024"/>
    <m/>
    <m/>
    <n v="0"/>
    <n v="0"/>
    <n v="0"/>
    <n v="0"/>
    <n v="0"/>
    <n v="0"/>
    <n v="0"/>
    <n v="0"/>
    <n v="0"/>
    <n v="0"/>
    <n v="0"/>
    <n v="0"/>
    <m/>
    <m/>
  </r>
  <r>
    <x v="13"/>
    <s v="Collin County Community College District"/>
    <m/>
    <n v="247834"/>
    <x v="6"/>
    <n v="537411"/>
    <n v="550668"/>
    <n v="420314"/>
    <n v="424146"/>
    <n v="22918"/>
    <n v="28596"/>
    <n v="94179"/>
    <n v="0"/>
    <n v="0"/>
    <n v="97926"/>
    <n v="0"/>
    <n v="0"/>
    <m/>
    <m/>
    <n v="0"/>
    <n v="0"/>
    <n v="0"/>
    <n v="0"/>
    <n v="0"/>
    <n v="0"/>
    <n v="0"/>
    <n v="0"/>
    <n v="0"/>
    <n v="0"/>
    <n v="0"/>
    <n v="0"/>
    <m/>
    <m/>
  </r>
  <r>
    <x v="13"/>
    <s v="Del Mar College "/>
    <m/>
    <n v="224350"/>
    <x v="6"/>
    <n v="195701"/>
    <n v="208691"/>
    <n v="176977"/>
    <n v="183582"/>
    <n v="4178"/>
    <n v="4958"/>
    <n v="14546"/>
    <n v="0"/>
    <n v="0"/>
    <n v="20151"/>
    <n v="0"/>
    <n v="0"/>
    <m/>
    <m/>
    <n v="0"/>
    <n v="0"/>
    <n v="0"/>
    <n v="0"/>
    <n v="0"/>
    <n v="0"/>
    <n v="0"/>
    <n v="0"/>
    <n v="0"/>
    <n v="0"/>
    <n v="0"/>
    <n v="0"/>
    <m/>
    <m/>
  </r>
  <r>
    <x v="13"/>
    <s v="Eastfield College (DCCCD)"/>
    <m/>
    <n v="224572"/>
    <x v="6"/>
    <n v="236561"/>
    <n v="234873"/>
    <n v="147348"/>
    <n v="142837"/>
    <n v="83"/>
    <n v="1302"/>
    <n v="88909"/>
    <n v="0"/>
    <n v="221"/>
    <n v="90553"/>
    <n v="0"/>
    <n v="181"/>
    <m/>
    <m/>
    <n v="0"/>
    <n v="0"/>
    <n v="0"/>
    <n v="0"/>
    <n v="0"/>
    <n v="0"/>
    <n v="0"/>
    <n v="0"/>
    <n v="0"/>
    <n v="0"/>
    <n v="0"/>
    <n v="0"/>
    <m/>
    <m/>
  </r>
  <r>
    <x v="13"/>
    <s v="El Centro College  (DCCCD)"/>
    <m/>
    <n v="224615"/>
    <x v="6"/>
    <n v="155887"/>
    <n v="152355"/>
    <n v="106985"/>
    <n v="98265"/>
    <n v="4403"/>
    <n v="8149"/>
    <n v="44499"/>
    <n v="0"/>
    <n v="0"/>
    <n v="45941"/>
    <n v="0"/>
    <n v="0"/>
    <m/>
    <m/>
    <n v="0"/>
    <n v="0"/>
    <n v="0"/>
    <n v="0"/>
    <n v="0"/>
    <n v="0"/>
    <n v="0"/>
    <n v="0"/>
    <n v="0"/>
    <n v="0"/>
    <n v="0"/>
    <n v="0"/>
    <m/>
    <m/>
  </r>
  <r>
    <x v="13"/>
    <s v="El Paso County Community College District"/>
    <m/>
    <n v="224642"/>
    <x v="6"/>
    <n v="515925"/>
    <n v="523240"/>
    <n v="402258"/>
    <n v="390784"/>
    <n v="46195"/>
    <n v="55742"/>
    <n v="67472"/>
    <n v="0"/>
    <n v="0"/>
    <n v="76714"/>
    <n v="0"/>
    <n v="0"/>
    <m/>
    <m/>
    <n v="0"/>
    <n v="0"/>
    <n v="0"/>
    <n v="0"/>
    <n v="0"/>
    <n v="0"/>
    <n v="0"/>
    <n v="0"/>
    <n v="0"/>
    <n v="0"/>
    <n v="0"/>
    <n v="0"/>
    <m/>
    <m/>
  </r>
  <r>
    <x v="13"/>
    <s v="Houston Community College"/>
    <m/>
    <n v="225423"/>
    <x v="6"/>
    <n v="1107510"/>
    <n v="1079180"/>
    <n v="544150"/>
    <n v="533537"/>
    <n v="187760"/>
    <n v="189212"/>
    <n v="375319"/>
    <n v="0"/>
    <n v="281"/>
    <n v="356405"/>
    <n v="0"/>
    <n v="26"/>
    <m/>
    <m/>
    <n v="0"/>
    <n v="0"/>
    <n v="0"/>
    <n v="0"/>
    <n v="0"/>
    <n v="0"/>
    <n v="0"/>
    <n v="0"/>
    <n v="0"/>
    <n v="0"/>
    <n v="0"/>
    <n v="0"/>
    <m/>
    <m/>
  </r>
  <r>
    <x v="13"/>
    <s v="Laredo Community College "/>
    <m/>
    <n v="226134"/>
    <x v="6"/>
    <n v="150670"/>
    <n v="153689"/>
    <n v="122720"/>
    <n v="120331"/>
    <n v="6141"/>
    <n v="11152"/>
    <n v="20807"/>
    <n v="870"/>
    <n v="132"/>
    <n v="21321"/>
    <n v="885"/>
    <n v="0"/>
    <m/>
    <m/>
    <n v="0"/>
    <n v="0"/>
    <n v="0"/>
    <n v="0"/>
    <n v="0"/>
    <n v="0"/>
    <n v="0"/>
    <n v="0"/>
    <n v="0"/>
    <n v="0"/>
    <n v="0"/>
    <n v="0"/>
    <m/>
    <m/>
  </r>
  <r>
    <x v="13"/>
    <s v="Lone Star College System District"/>
    <m/>
    <n v="227182"/>
    <x v="6"/>
    <n v="1268134"/>
    <n v="1316520"/>
    <n v="850842"/>
    <n v="853609"/>
    <n v="83874"/>
    <n v="98701"/>
    <n v="333418"/>
    <n v="0"/>
    <n v="0"/>
    <n v="364039"/>
    <n v="108"/>
    <n v="63"/>
    <m/>
    <m/>
    <n v="0"/>
    <n v="0"/>
    <n v="0"/>
    <n v="0"/>
    <n v="0"/>
    <n v="0"/>
    <n v="0"/>
    <n v="0"/>
    <n v="0"/>
    <n v="0"/>
    <n v="0"/>
    <n v="0"/>
    <m/>
    <m/>
  </r>
  <r>
    <x v="13"/>
    <s v="McLennan Community College "/>
    <m/>
    <n v="226578"/>
    <x v="6"/>
    <n v="176780"/>
    <n v="181329"/>
    <n v="120106"/>
    <n v="121540"/>
    <n v="79"/>
    <n v="532"/>
    <n v="56091"/>
    <n v="504"/>
    <n v="0"/>
    <n v="58985"/>
    <n v="272"/>
    <n v="0"/>
    <m/>
    <m/>
    <n v="0"/>
    <n v="0"/>
    <n v="0"/>
    <n v="0"/>
    <n v="0"/>
    <n v="0"/>
    <n v="0"/>
    <n v="0"/>
    <n v="0"/>
    <n v="0"/>
    <n v="0"/>
    <n v="0"/>
    <m/>
    <m/>
  </r>
  <r>
    <x v="13"/>
    <s v="Navarro College "/>
    <m/>
    <n v="227146"/>
    <x v="6"/>
    <n v="202099"/>
    <n v="186963"/>
    <n v="61045"/>
    <n v="55639"/>
    <n v="80893"/>
    <n v="79494"/>
    <n v="59148"/>
    <n v="0"/>
    <n v="1013"/>
    <n v="51724"/>
    <n v="0"/>
    <n v="106"/>
    <m/>
    <m/>
    <n v="0"/>
    <n v="0"/>
    <n v="0"/>
    <n v="0"/>
    <n v="0"/>
    <n v="0"/>
    <n v="0"/>
    <n v="0"/>
    <n v="0"/>
    <n v="0"/>
    <n v="0"/>
    <n v="0"/>
    <m/>
    <m/>
  </r>
  <r>
    <x v="13"/>
    <s v="North Central Texas Community College"/>
    <m/>
    <n v="224110"/>
    <x v="6"/>
    <n v="179485"/>
    <n v="172233"/>
    <n v="28456"/>
    <n v="24052"/>
    <n v="128606"/>
    <n v="98352"/>
    <n v="22191"/>
    <n v="24"/>
    <n v="208"/>
    <n v="49220"/>
    <n v="448"/>
    <n v="161"/>
    <m/>
    <m/>
    <n v="0"/>
    <n v="0"/>
    <n v="0"/>
    <n v="0"/>
    <n v="0"/>
    <n v="0"/>
    <n v="0"/>
    <n v="0"/>
    <n v="0"/>
    <n v="0"/>
    <n v="0"/>
    <n v="0"/>
    <m/>
    <m/>
  </r>
  <r>
    <x v="13"/>
    <s v="North Lake College (DCCCD)"/>
    <m/>
    <n v="227191"/>
    <x v="6"/>
    <n v="167692"/>
    <n v="166239"/>
    <n v="118381"/>
    <n v="112001"/>
    <n v="1712"/>
    <n v="1308"/>
    <n v="47554"/>
    <n v="0"/>
    <n v="45"/>
    <n v="52930"/>
    <n v="0"/>
    <n v="0"/>
    <m/>
    <m/>
    <n v="0"/>
    <n v="0"/>
    <n v="0"/>
    <n v="0"/>
    <n v="0"/>
    <n v="0"/>
    <n v="0"/>
    <n v="0"/>
    <n v="0"/>
    <n v="0"/>
    <n v="0"/>
    <n v="0"/>
    <m/>
    <m/>
  </r>
  <r>
    <x v="13"/>
    <s v="Northwest Vista College (ACCD)"/>
    <m/>
    <n v="420398"/>
    <x v="6"/>
    <n v="290179"/>
    <n v="295384"/>
    <n v="213807"/>
    <n v="210864"/>
    <n v="27651"/>
    <n v="30309"/>
    <n v="48721"/>
    <n v="0"/>
    <n v="0"/>
    <n v="54211"/>
    <n v="0"/>
    <n v="0"/>
    <m/>
    <m/>
    <n v="0"/>
    <n v="0"/>
    <n v="0"/>
    <n v="0"/>
    <n v="0"/>
    <n v="0"/>
    <n v="0"/>
    <n v="0"/>
    <n v="0"/>
    <n v="0"/>
    <n v="0"/>
    <n v="0"/>
    <m/>
    <m/>
  </r>
  <r>
    <x v="13"/>
    <s v="Palo Alto College (ACCD)"/>
    <m/>
    <n v="246354"/>
    <x v="6"/>
    <n v="146814"/>
    <n v="157928"/>
    <n v="86865"/>
    <n v="97489"/>
    <n v="3977"/>
    <n v="3879"/>
    <n v="54901"/>
    <n v="57"/>
    <n v="1014"/>
    <n v="56560"/>
    <n v="0"/>
    <n v="0"/>
    <m/>
    <m/>
    <n v="0"/>
    <n v="0"/>
    <n v="0"/>
    <n v="0"/>
    <n v="0"/>
    <n v="0"/>
    <n v="0"/>
    <n v="0"/>
    <n v="0"/>
    <n v="0"/>
    <n v="0"/>
    <n v="0"/>
    <m/>
    <m/>
  </r>
  <r>
    <x v="13"/>
    <s v="Richland College (DCCCD)"/>
    <m/>
    <n v="227766"/>
    <x v="6"/>
    <n v="322325"/>
    <n v="322308"/>
    <n v="221402"/>
    <n v="211060"/>
    <n v="781"/>
    <n v="3458"/>
    <n v="100142"/>
    <n v="0"/>
    <n v="0"/>
    <n v="107790"/>
    <n v="0"/>
    <n v="0"/>
    <m/>
    <m/>
    <n v="0"/>
    <n v="0"/>
    <n v="0"/>
    <n v="0"/>
    <n v="0"/>
    <n v="0"/>
    <n v="0"/>
    <n v="0"/>
    <n v="0"/>
    <n v="0"/>
    <n v="0"/>
    <n v="0"/>
    <m/>
    <m/>
  </r>
  <r>
    <x v="13"/>
    <s v="San Antonio College (ACCD)"/>
    <m/>
    <n v="227924"/>
    <x v="6"/>
    <n v="368361"/>
    <n v="348056"/>
    <n v="257334"/>
    <n v="235185"/>
    <n v="14506"/>
    <n v="14341"/>
    <n v="96521"/>
    <n v="0"/>
    <n v="0"/>
    <n v="98530"/>
    <n v="0"/>
    <n v="0"/>
    <m/>
    <m/>
    <n v="0"/>
    <n v="0"/>
    <n v="0"/>
    <n v="0"/>
    <n v="0"/>
    <n v="0"/>
    <n v="0"/>
    <n v="0"/>
    <n v="0"/>
    <n v="0"/>
    <n v="0"/>
    <n v="0"/>
    <m/>
    <m/>
  </r>
  <r>
    <x v="13"/>
    <s v="San Jacinto College"/>
    <m/>
    <n v="227979"/>
    <x v="6"/>
    <n v="559753"/>
    <n v="581128"/>
    <n v="473954"/>
    <n v="474313"/>
    <n v="7466"/>
    <n v="9176"/>
    <n v="78261"/>
    <n v="72"/>
    <n v="0"/>
    <n v="97585"/>
    <n v="54"/>
    <n v="0"/>
    <m/>
    <m/>
    <n v="0"/>
    <n v="0"/>
    <n v="0"/>
    <n v="0"/>
    <n v="0"/>
    <n v="0"/>
    <n v="0"/>
    <n v="0"/>
    <n v="0"/>
    <n v="0"/>
    <n v="0"/>
    <n v="0"/>
    <m/>
    <m/>
  </r>
  <r>
    <x v="13"/>
    <s v="South Plains College "/>
    <m/>
    <n v="228158"/>
    <x v="6"/>
    <n v="196906"/>
    <n v="192940"/>
    <n v="87254"/>
    <n v="85732"/>
    <n v="67092"/>
    <n v="61894"/>
    <n v="40455"/>
    <n v="2105"/>
    <n v="0"/>
    <n v="43559"/>
    <n v="1755"/>
    <n v="0"/>
    <m/>
    <m/>
    <n v="0"/>
    <n v="0"/>
    <n v="0"/>
    <n v="0"/>
    <n v="0"/>
    <n v="0"/>
    <n v="0"/>
    <n v="0"/>
    <n v="0"/>
    <n v="0"/>
    <n v="0"/>
    <n v="0"/>
    <m/>
    <m/>
  </r>
  <r>
    <x v="13"/>
    <s v="St. Philip's College (ACCD)"/>
    <m/>
    <n v="227854"/>
    <x v="6"/>
    <n v="184870"/>
    <n v="185893"/>
    <n v="104150"/>
    <n v="103649"/>
    <n v="16142"/>
    <n v="17397"/>
    <n v="64578"/>
    <n v="0"/>
    <n v="0"/>
    <n v="64847"/>
    <n v="0"/>
    <n v="0"/>
    <m/>
    <m/>
    <n v="0"/>
    <n v="0"/>
    <n v="0"/>
    <n v="0"/>
    <n v="0"/>
    <n v="0"/>
    <n v="0"/>
    <n v="0"/>
    <n v="0"/>
    <n v="0"/>
    <n v="0"/>
    <n v="0"/>
    <m/>
    <m/>
  </r>
  <r>
    <x v="13"/>
    <s v="Tarrant County College"/>
    <m/>
    <n v="228547"/>
    <x v="6"/>
    <n v="952369"/>
    <n v="933437"/>
    <n v="739231"/>
    <n v="729897"/>
    <n v="41774"/>
    <n v="43698"/>
    <n v="171364"/>
    <n v="0"/>
    <n v="0"/>
    <n v="159842"/>
    <n v="0"/>
    <n v="0"/>
    <m/>
    <m/>
    <n v="0"/>
    <n v="0"/>
    <n v="0"/>
    <n v="0"/>
    <n v="0"/>
    <n v="0"/>
    <n v="0"/>
    <n v="0"/>
    <n v="0"/>
    <n v="0"/>
    <n v="0"/>
    <n v="0"/>
    <m/>
    <m/>
  </r>
  <r>
    <x v="13"/>
    <s v="Trinity Valley Community College"/>
    <m/>
    <n v="225308"/>
    <x v="6"/>
    <n v="141872"/>
    <n v="142834"/>
    <n v="68558"/>
    <n v="66925"/>
    <n v="30649"/>
    <n v="31134"/>
    <n v="42665"/>
    <n v="0"/>
    <n v="0"/>
    <n v="44775"/>
    <n v="0"/>
    <n v="0"/>
    <m/>
    <m/>
    <n v="0"/>
    <n v="0"/>
    <n v="0"/>
    <n v="0"/>
    <n v="0"/>
    <n v="0"/>
    <n v="0"/>
    <n v="0"/>
    <n v="0"/>
    <n v="0"/>
    <n v="0"/>
    <n v="0"/>
    <m/>
    <m/>
  </r>
  <r>
    <x v="13"/>
    <s v="Tyler Junior College "/>
    <m/>
    <n v="229355"/>
    <x v="6"/>
    <n v="232370"/>
    <n v="232589"/>
    <n v="144352"/>
    <n v="141873"/>
    <n v="17376"/>
    <n v="17753"/>
    <n v="70330"/>
    <n v="180"/>
    <n v="132"/>
    <n v="72963"/>
    <n v="0"/>
    <n v="0"/>
    <m/>
    <m/>
    <n v="0"/>
    <n v="0"/>
    <n v="0"/>
    <n v="0"/>
    <n v="0"/>
    <n v="0"/>
    <n v="0"/>
    <n v="0"/>
    <n v="0"/>
    <n v="0"/>
    <n v="0"/>
    <n v="0"/>
    <m/>
    <m/>
  </r>
  <r>
    <x v="13"/>
    <s v="Alvin Community College "/>
    <m/>
    <n v="222567"/>
    <x v="7"/>
    <n v="97509"/>
    <n v="105783"/>
    <n v="57209"/>
    <n v="58351"/>
    <n v="21048"/>
    <n v="26162"/>
    <n v="19252"/>
    <n v="0"/>
    <n v="0"/>
    <n v="21270"/>
    <n v="0"/>
    <n v="0"/>
    <m/>
    <m/>
    <n v="0"/>
    <n v="0"/>
    <n v="0"/>
    <n v="0"/>
    <n v="0"/>
    <n v="0"/>
    <n v="0"/>
    <n v="0"/>
    <n v="0"/>
    <n v="0"/>
    <n v="0"/>
    <n v="0"/>
    <m/>
    <m/>
  </r>
  <r>
    <x v="13"/>
    <s v="Angelina College "/>
    <m/>
    <n v="222822"/>
    <x v="7"/>
    <n v="94800"/>
    <n v="96412"/>
    <n v="51733"/>
    <n v="49520"/>
    <n v="10401"/>
    <n v="10293"/>
    <n v="23929"/>
    <n v="8539"/>
    <n v="198"/>
    <n v="25867"/>
    <n v="10714"/>
    <n v="18"/>
    <m/>
    <m/>
    <n v="0"/>
    <n v="0"/>
    <n v="0"/>
    <n v="0"/>
    <n v="0"/>
    <n v="0"/>
    <n v="0"/>
    <n v="0"/>
    <n v="0"/>
    <n v="0"/>
    <n v="0"/>
    <n v="0"/>
    <m/>
    <m/>
  </r>
  <r>
    <x v="13"/>
    <s v="Cedar Valley College (DCCCD)"/>
    <m/>
    <n v="223773"/>
    <x v="7"/>
    <n v="106614"/>
    <n v="109084"/>
    <n v="55632"/>
    <n v="53033"/>
    <n v="753"/>
    <n v="782"/>
    <n v="50229"/>
    <n v="0"/>
    <n v="0"/>
    <n v="55269"/>
    <n v="0"/>
    <n v="0"/>
    <m/>
    <m/>
    <n v="0"/>
    <n v="0"/>
    <n v="0"/>
    <n v="0"/>
    <n v="0"/>
    <n v="0"/>
    <n v="0"/>
    <n v="0"/>
    <n v="0"/>
    <n v="0"/>
    <n v="0"/>
    <n v="0"/>
    <m/>
    <m/>
  </r>
  <r>
    <x v="13"/>
    <s v="Cisco Junior College "/>
    <m/>
    <n v="223898"/>
    <x v="7"/>
    <n v="71066"/>
    <n v="66812"/>
    <n v="10814"/>
    <n v="10321"/>
    <n v="36617"/>
    <n v="32861"/>
    <n v="23039"/>
    <n v="596"/>
    <n v="0"/>
    <n v="23129"/>
    <n v="501"/>
    <n v="0"/>
    <m/>
    <m/>
    <n v="0"/>
    <n v="0"/>
    <n v="0"/>
    <n v="0"/>
    <n v="0"/>
    <n v="0"/>
    <n v="0"/>
    <n v="0"/>
    <n v="0"/>
    <n v="0"/>
    <n v="0"/>
    <n v="0"/>
    <m/>
    <m/>
  </r>
  <r>
    <x v="13"/>
    <s v="Coastal Bend College"/>
    <m/>
    <n v="223320"/>
    <x v="7"/>
    <n v="75988"/>
    <n v="84095"/>
    <n v="19866"/>
    <n v="18213"/>
    <n v="26399"/>
    <n v="29731"/>
    <n v="20233"/>
    <n v="5666"/>
    <n v="3824"/>
    <n v="26571"/>
    <n v="6707"/>
    <n v="2873"/>
    <m/>
    <m/>
    <n v="0"/>
    <n v="0"/>
    <n v="0"/>
    <n v="0"/>
    <n v="0"/>
    <n v="0"/>
    <n v="0"/>
    <n v="0"/>
    <n v="0"/>
    <n v="0"/>
    <n v="0"/>
    <n v="0"/>
    <m/>
    <m/>
  </r>
  <r>
    <x v="13"/>
    <s v="College of the Mainland"/>
    <m/>
    <n v="226408"/>
    <x v="7"/>
    <n v="76265"/>
    <n v="76951"/>
    <n v="51627"/>
    <n v="52954"/>
    <n v="9430"/>
    <n v="8309"/>
    <n v="15208"/>
    <n v="0"/>
    <n v="0"/>
    <n v="15688"/>
    <n v="0"/>
    <n v="0"/>
    <m/>
    <m/>
    <n v="0"/>
    <n v="0"/>
    <n v="0"/>
    <n v="0"/>
    <n v="0"/>
    <n v="0"/>
    <n v="0"/>
    <n v="0"/>
    <n v="0"/>
    <n v="0"/>
    <n v="0"/>
    <n v="0"/>
    <m/>
    <m/>
  </r>
  <r>
    <x v="13"/>
    <s v="Grayson County College "/>
    <m/>
    <n v="225070"/>
    <x v="7"/>
    <n v="91674"/>
    <n v="89166"/>
    <n v="54793"/>
    <n v="49901"/>
    <n v="3561"/>
    <n v="4878"/>
    <n v="30443"/>
    <n v="0"/>
    <n v="2877"/>
    <n v="31591"/>
    <n v="0"/>
    <n v="2796"/>
    <m/>
    <m/>
    <n v="0"/>
    <n v="0"/>
    <n v="0"/>
    <n v="0"/>
    <n v="0"/>
    <n v="0"/>
    <n v="0"/>
    <n v="0"/>
    <n v="0"/>
    <n v="0"/>
    <n v="0"/>
    <n v="0"/>
    <m/>
    <m/>
  </r>
  <r>
    <x v="13"/>
    <s v="Hill College"/>
    <m/>
    <n v="225371"/>
    <x v="7"/>
    <n v="79611"/>
    <n v="80669"/>
    <n v="14395"/>
    <n v="13350"/>
    <n v="33157"/>
    <n v="32125"/>
    <n v="30990"/>
    <n v="1069"/>
    <n v="0"/>
    <n v="33871"/>
    <n v="1323"/>
    <n v="0"/>
    <m/>
    <m/>
    <n v="0"/>
    <n v="0"/>
    <n v="0"/>
    <n v="0"/>
    <n v="0"/>
    <n v="0"/>
    <n v="0"/>
    <n v="0"/>
    <n v="0"/>
    <n v="0"/>
    <n v="0"/>
    <n v="0"/>
    <m/>
    <m/>
  </r>
  <r>
    <x v="13"/>
    <s v="Howard College (HCJCD)"/>
    <m/>
    <n v="225520"/>
    <x v="7"/>
    <n v="60897"/>
    <n v="64360"/>
    <n v="13706"/>
    <n v="14125"/>
    <n v="23049"/>
    <n v="25488"/>
    <n v="20538"/>
    <n v="3604"/>
    <n v="0"/>
    <n v="22935"/>
    <n v="1812"/>
    <n v="0"/>
    <m/>
    <m/>
    <n v="0"/>
    <n v="0"/>
    <n v="0"/>
    <n v="0"/>
    <n v="0"/>
    <n v="0"/>
    <n v="0"/>
    <n v="0"/>
    <n v="0"/>
    <n v="0"/>
    <n v="0"/>
    <n v="0"/>
    <m/>
    <m/>
  </r>
  <r>
    <x v="13"/>
    <s v="Kilgore College "/>
    <m/>
    <n v="226019"/>
    <x v="7"/>
    <n v="111572"/>
    <n v="110550"/>
    <n v="65039"/>
    <n v="62326"/>
    <n v="30972"/>
    <n v="30123"/>
    <n v="15108"/>
    <n v="453"/>
    <n v="0"/>
    <n v="17270"/>
    <n v="831"/>
    <n v="0"/>
    <m/>
    <m/>
    <n v="0"/>
    <n v="0"/>
    <n v="0"/>
    <n v="0"/>
    <n v="0"/>
    <n v="0"/>
    <n v="0"/>
    <n v="0"/>
    <n v="0"/>
    <n v="0"/>
    <n v="0"/>
    <n v="0"/>
    <m/>
    <m/>
  </r>
  <r>
    <x v="13"/>
    <s v="Lamar Institute of Technology"/>
    <m/>
    <n v="441760"/>
    <x v="7"/>
    <n v="59045"/>
    <n v="58211"/>
    <n v="55145"/>
    <n v="49715"/>
    <n v="983"/>
    <n v="2132"/>
    <n v="2875"/>
    <n v="42"/>
    <n v="0"/>
    <n v="6322"/>
    <n v="42"/>
    <n v="0"/>
    <m/>
    <m/>
    <n v="0"/>
    <n v="0"/>
    <n v="0"/>
    <n v="0"/>
    <n v="0"/>
    <n v="0"/>
    <n v="0"/>
    <n v="0"/>
    <n v="0"/>
    <n v="0"/>
    <n v="0"/>
    <n v="0"/>
    <m/>
    <m/>
  </r>
  <r>
    <x v="13"/>
    <s v="Lamar State College-Port Arthur"/>
    <s v="Reclassified: Met the criteria for Two-Year 3 in 2014-15 and 2015-16 and 2016-17."/>
    <n v="226116"/>
    <x v="8"/>
    <n v="38977"/>
    <n v="41887"/>
    <n v="28357"/>
    <n v="28462"/>
    <n v="4470"/>
    <n v="7355"/>
    <n v="6150"/>
    <n v="0"/>
    <n v="0"/>
    <n v="6070"/>
    <n v="0"/>
    <n v="0"/>
    <m/>
    <m/>
    <n v="0"/>
    <n v="0"/>
    <n v="0"/>
    <n v="0"/>
    <n v="0"/>
    <n v="0"/>
    <n v="0"/>
    <n v="0"/>
    <n v="0"/>
    <n v="0"/>
    <n v="0"/>
    <n v="0"/>
    <m/>
    <m/>
  </r>
  <r>
    <x v="13"/>
    <s v="Lee College "/>
    <s v="Met the criteria for Two-Year 1 in 2016-17."/>
    <n v="226204"/>
    <x v="7"/>
    <n v="129988"/>
    <n v="148933"/>
    <n v="88763"/>
    <n v="84562"/>
    <n v="23824"/>
    <n v="42447"/>
    <n v="17401"/>
    <n v="0"/>
    <n v="0"/>
    <n v="21924"/>
    <n v="0"/>
    <n v="0"/>
    <m/>
    <m/>
    <n v="0"/>
    <n v="0"/>
    <n v="0"/>
    <n v="0"/>
    <n v="0"/>
    <n v="0"/>
    <n v="0"/>
    <n v="0"/>
    <n v="0"/>
    <n v="0"/>
    <n v="0"/>
    <n v="0"/>
    <m/>
    <m/>
  </r>
  <r>
    <x v="13"/>
    <s v="Mountain View College  (DCCCD)"/>
    <s v="Met the criteria for Two-Year 1 in 2016-17."/>
    <n v="226930"/>
    <x v="7"/>
    <n v="143841"/>
    <n v="148939"/>
    <n v="99721"/>
    <n v="102305"/>
    <n v="0"/>
    <n v="624"/>
    <n v="44120"/>
    <n v="0"/>
    <n v="0"/>
    <n v="46010"/>
    <n v="0"/>
    <n v="0"/>
    <m/>
    <m/>
    <n v="0"/>
    <n v="0"/>
    <n v="0"/>
    <n v="0"/>
    <n v="0"/>
    <n v="0"/>
    <n v="0"/>
    <n v="0"/>
    <n v="0"/>
    <n v="0"/>
    <n v="0"/>
    <n v="0"/>
    <m/>
    <m/>
  </r>
  <r>
    <x v="13"/>
    <s v="Northeast Texas Community College "/>
    <m/>
    <n v="227225"/>
    <x v="7"/>
    <n v="56909"/>
    <n v="60231"/>
    <n v="37207"/>
    <n v="36206"/>
    <n v="1812"/>
    <n v="2515"/>
    <n v="17890"/>
    <n v="0"/>
    <n v="0"/>
    <n v="21510"/>
    <n v="0"/>
    <n v="0"/>
    <m/>
    <m/>
    <n v="0"/>
    <n v="0"/>
    <n v="0"/>
    <n v="0"/>
    <n v="0"/>
    <n v="0"/>
    <n v="0"/>
    <n v="0"/>
    <n v="0"/>
    <n v="0"/>
    <n v="0"/>
    <n v="0"/>
    <m/>
    <m/>
  </r>
  <r>
    <x v="13"/>
    <s v="Odessa College "/>
    <m/>
    <n v="227304"/>
    <x v="7"/>
    <n v="109738"/>
    <n v="108209"/>
    <n v="54897"/>
    <n v="55378"/>
    <n v="7591"/>
    <n v="9319"/>
    <n v="47250"/>
    <n v="0"/>
    <n v="0"/>
    <n v="43512"/>
    <n v="0"/>
    <n v="0"/>
    <m/>
    <m/>
    <n v="0"/>
    <n v="0"/>
    <n v="0"/>
    <n v="0"/>
    <n v="0"/>
    <n v="0"/>
    <n v="0"/>
    <n v="0"/>
    <n v="0"/>
    <n v="0"/>
    <n v="0"/>
    <n v="0"/>
    <m/>
    <m/>
  </r>
  <r>
    <x v="13"/>
    <s v="Paris Junior College"/>
    <m/>
    <n v="227401"/>
    <x v="7"/>
    <n v="106427"/>
    <n v="98644"/>
    <n v="28915"/>
    <n v="24421"/>
    <n v="29589"/>
    <n v="27945"/>
    <n v="44358"/>
    <n v="3565"/>
    <n v="0"/>
    <n v="42463"/>
    <n v="3815"/>
    <n v="0"/>
    <m/>
    <m/>
    <n v="0"/>
    <n v="0"/>
    <n v="0"/>
    <n v="0"/>
    <n v="0"/>
    <n v="0"/>
    <n v="0"/>
    <n v="0"/>
    <n v="0"/>
    <n v="0"/>
    <n v="0"/>
    <n v="0"/>
    <m/>
    <m/>
  </r>
  <r>
    <x v="13"/>
    <s v="Southwest Texas Junior College "/>
    <m/>
    <n v="228316"/>
    <x v="7"/>
    <n v="100657"/>
    <n v="104332"/>
    <n v="22483"/>
    <n v="21380"/>
    <n v="51550"/>
    <n v="56122"/>
    <n v="10563"/>
    <n v="16061"/>
    <n v="0"/>
    <n v="10981"/>
    <n v="15849"/>
    <n v="0"/>
    <m/>
    <m/>
    <n v="0"/>
    <n v="0"/>
    <n v="0"/>
    <n v="0"/>
    <n v="0"/>
    <n v="0"/>
    <n v="0"/>
    <n v="0"/>
    <n v="0"/>
    <n v="0"/>
    <n v="0"/>
    <n v="0"/>
    <m/>
    <m/>
  </r>
  <r>
    <x v="13"/>
    <s v="Temple College "/>
    <m/>
    <n v="228608"/>
    <x v="7"/>
    <n v="103912"/>
    <n v="100313"/>
    <n v="57273"/>
    <n v="53849"/>
    <n v="13414"/>
    <n v="14640"/>
    <n v="32975"/>
    <n v="250"/>
    <n v="0"/>
    <n v="31533"/>
    <n v="291"/>
    <n v="0"/>
    <m/>
    <m/>
    <n v="0"/>
    <n v="0"/>
    <n v="0"/>
    <n v="0"/>
    <n v="0"/>
    <n v="0"/>
    <n v="0"/>
    <n v="0"/>
    <n v="0"/>
    <n v="0"/>
    <n v="0"/>
    <n v="0"/>
    <m/>
    <m/>
  </r>
  <r>
    <x v="13"/>
    <s v="Texarkana College "/>
    <m/>
    <n v="228699"/>
    <x v="7"/>
    <n v="76128"/>
    <n v="74983"/>
    <n v="56926"/>
    <n v="50480"/>
    <n v="8161"/>
    <n v="12848"/>
    <n v="10966"/>
    <n v="0"/>
    <n v="75"/>
    <n v="11538"/>
    <n v="0"/>
    <n v="117"/>
    <m/>
    <m/>
    <n v="0"/>
    <n v="0"/>
    <n v="0"/>
    <n v="0"/>
    <n v="0"/>
    <n v="0"/>
    <n v="0"/>
    <n v="0"/>
    <n v="0"/>
    <n v="0"/>
    <n v="0"/>
    <n v="0"/>
    <m/>
    <m/>
  </r>
  <r>
    <x v="13"/>
    <s v="Texas Southmost College "/>
    <m/>
    <n v="229072"/>
    <x v="7"/>
    <n v="70307"/>
    <n v="77121"/>
    <n v="59886"/>
    <n v="64300"/>
    <n v="10391"/>
    <n v="12785"/>
    <n v="30"/>
    <n v="0"/>
    <n v="0"/>
    <n v="36"/>
    <n v="0"/>
    <n v="0"/>
    <m/>
    <m/>
    <n v="0"/>
    <n v="0"/>
    <n v="0"/>
    <n v="0"/>
    <n v="0"/>
    <n v="0"/>
    <n v="0"/>
    <n v="0"/>
    <n v="0"/>
    <n v="0"/>
    <n v="0"/>
    <n v="0"/>
    <m/>
    <m/>
  </r>
  <r>
    <x v="13"/>
    <s v="Texas State Technical College-Harlingen "/>
    <m/>
    <n v="229319"/>
    <x v="7"/>
    <n v="111588"/>
    <n v="115260"/>
    <n v="95488"/>
    <n v="93554"/>
    <n v="9088"/>
    <n v="14216"/>
    <n v="7012"/>
    <n v="0"/>
    <n v="0"/>
    <n v="7490"/>
    <n v="0"/>
    <n v="0"/>
    <m/>
    <m/>
    <n v="0"/>
    <n v="0"/>
    <n v="0"/>
    <n v="0"/>
    <n v="0"/>
    <n v="0"/>
    <n v="0"/>
    <n v="0"/>
    <n v="0"/>
    <n v="0"/>
    <n v="0"/>
    <n v="0"/>
    <m/>
    <m/>
  </r>
  <r>
    <x v="13"/>
    <s v="Texas State Technical College-Waco"/>
    <m/>
    <n v="228680"/>
    <x v="7"/>
    <n v="111033"/>
    <n v="110929"/>
    <n v="99315"/>
    <n v="100846"/>
    <n v="2966"/>
    <n v="4301"/>
    <n v="8752"/>
    <n v="0"/>
    <n v="0"/>
    <n v="5782"/>
    <n v="0"/>
    <n v="0"/>
    <m/>
    <m/>
    <n v="0"/>
    <n v="0"/>
    <n v="0"/>
    <n v="0"/>
    <n v="0"/>
    <n v="0"/>
    <n v="0"/>
    <n v="0"/>
    <n v="0"/>
    <n v="0"/>
    <n v="0"/>
    <n v="0"/>
    <m/>
    <m/>
  </r>
  <r>
    <x v="13"/>
    <s v="Vernon College "/>
    <m/>
    <n v="229504"/>
    <x v="7"/>
    <n v="58321"/>
    <n v="58630"/>
    <n v="9020"/>
    <n v="8667"/>
    <n v="29950"/>
    <n v="29362"/>
    <n v="15615"/>
    <n v="3691"/>
    <n v="45"/>
    <n v="17113"/>
    <n v="3431"/>
    <n v="57"/>
    <m/>
    <m/>
    <n v="0"/>
    <n v="0"/>
    <n v="0"/>
    <n v="0"/>
    <n v="0"/>
    <n v="0"/>
    <n v="0"/>
    <n v="0"/>
    <n v="0"/>
    <n v="0"/>
    <n v="0"/>
    <n v="0"/>
    <m/>
    <m/>
  </r>
  <r>
    <x v="13"/>
    <s v="Victoria College "/>
    <m/>
    <n v="229540"/>
    <x v="7"/>
    <n v="70484"/>
    <n v="68422"/>
    <n v="44908"/>
    <n v="44702"/>
    <n v="5398"/>
    <n v="4077"/>
    <n v="17129"/>
    <n v="3049"/>
    <n v="0"/>
    <n v="16609"/>
    <n v="3034"/>
    <n v="0"/>
    <m/>
    <m/>
    <n v="0"/>
    <n v="0"/>
    <n v="0"/>
    <n v="0"/>
    <n v="0"/>
    <n v="0"/>
    <n v="0"/>
    <n v="0"/>
    <n v="0"/>
    <n v="0"/>
    <n v="0"/>
    <n v="0"/>
    <m/>
    <m/>
  </r>
  <r>
    <x v="13"/>
    <s v="Weatherford College "/>
    <m/>
    <n v="229799"/>
    <x v="7"/>
    <n v="107408"/>
    <n v="107472"/>
    <n v="58233"/>
    <n v="59630"/>
    <n v="15872"/>
    <n v="13563"/>
    <n v="32055"/>
    <n v="1149"/>
    <n v="99"/>
    <n v="33016"/>
    <n v="906"/>
    <n v="357"/>
    <m/>
    <m/>
    <n v="0"/>
    <n v="0"/>
    <n v="0"/>
    <n v="0"/>
    <n v="0"/>
    <n v="0"/>
    <n v="0"/>
    <n v="0"/>
    <n v="0"/>
    <n v="0"/>
    <n v="0"/>
    <n v="0"/>
    <m/>
    <m/>
  </r>
  <r>
    <x v="13"/>
    <s v="Wharton County Junior College "/>
    <m/>
    <n v="229841"/>
    <x v="7"/>
    <n v="144513"/>
    <n v="143334"/>
    <n v="35067"/>
    <n v="33245"/>
    <n v="81012"/>
    <n v="82107"/>
    <n v="26142"/>
    <n v="2292"/>
    <n v="0"/>
    <n v="25026"/>
    <n v="2956"/>
    <n v="0"/>
    <m/>
    <m/>
    <n v="0"/>
    <n v="0"/>
    <n v="0"/>
    <n v="0"/>
    <n v="0"/>
    <n v="0"/>
    <n v="0"/>
    <n v="0"/>
    <n v="0"/>
    <n v="0"/>
    <n v="0"/>
    <n v="0"/>
    <m/>
    <m/>
  </r>
  <r>
    <x v="13"/>
    <s v="Clarendon College "/>
    <m/>
    <n v="223922"/>
    <x v="8"/>
    <n v="27397"/>
    <n v="28964"/>
    <n v="10735"/>
    <n v="9827"/>
    <n v="9336"/>
    <n v="9441"/>
    <n v="6608"/>
    <n v="718"/>
    <n v="0"/>
    <n v="8954"/>
    <n v="742"/>
    <n v="0"/>
    <m/>
    <m/>
    <n v="0"/>
    <n v="0"/>
    <n v="0"/>
    <n v="0"/>
    <n v="0"/>
    <n v="0"/>
    <n v="0"/>
    <n v="0"/>
    <n v="0"/>
    <n v="0"/>
    <n v="0"/>
    <n v="0"/>
    <m/>
    <m/>
  </r>
  <r>
    <x v="13"/>
    <s v="Frank Phillips College "/>
    <m/>
    <n v="224891"/>
    <x v="8"/>
    <n v="26286"/>
    <n v="27725"/>
    <n v="16684"/>
    <n v="16180"/>
    <n v="2998"/>
    <n v="3818"/>
    <n v="2170"/>
    <n v="496"/>
    <n v="3938"/>
    <n v="2928"/>
    <n v="51"/>
    <n v="4748"/>
    <m/>
    <m/>
    <n v="0"/>
    <n v="0"/>
    <n v="0"/>
    <n v="0"/>
    <n v="0"/>
    <n v="0"/>
    <n v="0"/>
    <n v="0"/>
    <n v="0"/>
    <n v="0"/>
    <n v="0"/>
    <n v="0"/>
    <m/>
    <m/>
  </r>
  <r>
    <x v="13"/>
    <s v="Galveston College "/>
    <m/>
    <n v="224961"/>
    <x v="8"/>
    <n v="41499"/>
    <n v="41820"/>
    <n v="26622"/>
    <n v="26419"/>
    <n v="276"/>
    <n v="186"/>
    <n v="14598"/>
    <n v="0"/>
    <n v="3"/>
    <n v="15215"/>
    <n v="0"/>
    <n v="0"/>
    <m/>
    <m/>
    <n v="0"/>
    <n v="0"/>
    <n v="0"/>
    <n v="0"/>
    <n v="0"/>
    <n v="0"/>
    <n v="0"/>
    <n v="0"/>
    <n v="0"/>
    <n v="0"/>
    <n v="0"/>
    <n v="0"/>
    <m/>
    <m/>
  </r>
  <r>
    <x v="13"/>
    <s v="Lamar State College-Orange"/>
    <m/>
    <n v="226107"/>
    <x v="8"/>
    <n v="45884"/>
    <n v="45710"/>
    <n v="31793"/>
    <n v="30151"/>
    <n v="1991"/>
    <n v="1891"/>
    <n v="12100"/>
    <n v="0"/>
    <n v="0"/>
    <n v="13668"/>
    <n v="0"/>
    <n v="0"/>
    <m/>
    <m/>
    <n v="0"/>
    <n v="0"/>
    <n v="0"/>
    <n v="0"/>
    <n v="0"/>
    <n v="0"/>
    <n v="0"/>
    <n v="0"/>
    <n v="0"/>
    <n v="0"/>
    <n v="0"/>
    <n v="0"/>
    <m/>
    <m/>
  </r>
  <r>
    <x v="13"/>
    <s v="Northeast Lakeview College (ACCD)"/>
    <m/>
    <s v="???1"/>
    <x v="8"/>
    <n v="43121"/>
    <n v="55613"/>
    <n v="36350"/>
    <n v="44078"/>
    <n v="0"/>
    <n v="0"/>
    <n v="6771"/>
    <n v="0"/>
    <n v="0"/>
    <n v="11535"/>
    <n v="0"/>
    <n v="0"/>
    <m/>
    <m/>
    <n v="0"/>
    <n v="0"/>
    <n v="0"/>
    <n v="0"/>
    <n v="0"/>
    <n v="0"/>
    <n v="0"/>
    <n v="0"/>
    <n v="0"/>
    <n v="0"/>
    <n v="0"/>
    <n v="0"/>
    <m/>
    <m/>
  </r>
  <r>
    <x v="13"/>
    <s v="Panola College"/>
    <m/>
    <n v="227386"/>
    <x v="8"/>
    <n v="56665"/>
    <n v="57116"/>
    <n v="22581"/>
    <n v="22515"/>
    <n v="9024"/>
    <n v="7538"/>
    <n v="24118"/>
    <n v="942"/>
    <n v="0"/>
    <n v="26189"/>
    <n v="874"/>
    <n v="0"/>
    <m/>
    <m/>
    <n v="0"/>
    <n v="0"/>
    <n v="0"/>
    <n v="0"/>
    <n v="0"/>
    <n v="0"/>
    <n v="0"/>
    <n v="0"/>
    <n v="0"/>
    <n v="0"/>
    <n v="0"/>
    <n v="0"/>
    <m/>
    <m/>
  </r>
  <r>
    <x v="13"/>
    <s v="Ranger College "/>
    <m/>
    <n v="227687"/>
    <x v="8"/>
    <n v="44412"/>
    <n v="45356"/>
    <n v="12491"/>
    <n v="11274"/>
    <n v="17785"/>
    <n v="17950"/>
    <n v="11423"/>
    <n v="2203"/>
    <n v="510"/>
    <n v="13214"/>
    <n v="2902"/>
    <n v="16"/>
    <m/>
    <m/>
    <n v="0"/>
    <n v="0"/>
    <n v="0"/>
    <n v="0"/>
    <n v="0"/>
    <n v="0"/>
    <n v="0"/>
    <n v="0"/>
    <n v="0"/>
    <n v="0"/>
    <n v="0"/>
    <n v="0"/>
    <m/>
    <m/>
  </r>
  <r>
    <x v="13"/>
    <s v="Southwest Collegiate Institute for the Deaf (HCJCD)"/>
    <m/>
    <n v="382911"/>
    <x v="8"/>
    <n v="2340"/>
    <n v="2223"/>
    <n v="2199"/>
    <n v="2038"/>
    <n v="0"/>
    <n v="36"/>
    <n v="30"/>
    <n v="111"/>
    <n v="0"/>
    <n v="0"/>
    <n v="149"/>
    <n v="0"/>
    <m/>
    <m/>
    <n v="0"/>
    <n v="0"/>
    <n v="0"/>
    <n v="0"/>
    <n v="0"/>
    <n v="0"/>
    <n v="0"/>
    <n v="0"/>
    <n v="0"/>
    <n v="0"/>
    <n v="0"/>
    <n v="0"/>
    <m/>
    <m/>
  </r>
  <r>
    <x v="13"/>
    <s v="Texas State Technical College-Marshall"/>
    <m/>
    <n v="408394"/>
    <x v="8"/>
    <n v="18559"/>
    <n v="20976"/>
    <n v="10471"/>
    <n v="13949"/>
    <n v="2591"/>
    <n v="2360"/>
    <n v="5497"/>
    <n v="0"/>
    <n v="0"/>
    <n v="4667"/>
    <n v="0"/>
    <n v="0"/>
    <m/>
    <m/>
    <n v="0"/>
    <n v="0"/>
    <n v="0"/>
    <n v="0"/>
    <n v="0"/>
    <n v="0"/>
    <n v="0"/>
    <n v="0"/>
    <n v="0"/>
    <n v="0"/>
    <n v="0"/>
    <n v="0"/>
    <m/>
    <m/>
  </r>
  <r>
    <x v="13"/>
    <s v="Texas State Technical College-West Texas"/>
    <m/>
    <n v="229328"/>
    <x v="8"/>
    <n v="27430"/>
    <n v="27876"/>
    <n v="6333"/>
    <n v="5500"/>
    <n v="5741"/>
    <n v="5286"/>
    <n v="15356"/>
    <n v="0"/>
    <n v="0"/>
    <n v="17090"/>
    <n v="0"/>
    <n v="0"/>
    <m/>
    <m/>
    <n v="0"/>
    <n v="0"/>
    <n v="0"/>
    <n v="0"/>
    <n v="0"/>
    <n v="0"/>
    <n v="0"/>
    <n v="0"/>
    <n v="0"/>
    <n v="0"/>
    <n v="0"/>
    <n v="0"/>
    <m/>
    <m/>
  </r>
  <r>
    <x v="13"/>
    <s v="Western Texas College "/>
    <m/>
    <n v="229832"/>
    <x v="8"/>
    <n v="43561"/>
    <n v="45744"/>
    <n v="12761"/>
    <n v="12341"/>
    <n v="6811"/>
    <n v="6992"/>
    <n v="21058"/>
    <n v="2928"/>
    <n v="3"/>
    <n v="22963"/>
    <n v="3312"/>
    <n v="136"/>
    <m/>
    <m/>
    <n v="0"/>
    <n v="0"/>
    <n v="0"/>
    <n v="0"/>
    <n v="0"/>
    <n v="0"/>
    <n v="0"/>
    <n v="0"/>
    <n v="0"/>
    <n v="0"/>
    <n v="0"/>
    <n v="0"/>
    <m/>
    <m/>
  </r>
  <r>
    <x v="13"/>
    <s v="University of North Texas at Dallas"/>
    <s v="New fall 2009. No degrees yet granted."/>
    <n v="443711"/>
    <x v="13"/>
    <n v="44047"/>
    <n v="50174"/>
    <n v="23223"/>
    <n v="25224"/>
    <n v="144"/>
    <n v="57"/>
    <n v="20680"/>
    <n v="0"/>
    <n v="0"/>
    <n v="24893"/>
    <n v="0"/>
    <n v="0"/>
    <m/>
    <m/>
    <n v="8177"/>
    <n v="14751"/>
    <n v="5705"/>
    <n v="1572"/>
    <n v="45"/>
    <n v="9061"/>
    <n v="2472"/>
    <n v="0"/>
    <n v="0"/>
    <n v="4118"/>
    <n v="0"/>
    <n v="0"/>
    <m/>
    <m/>
  </r>
  <r>
    <x v="13"/>
    <s v="Texas State Technical College-North Texas"/>
    <s v="New Fall 2016"/>
    <s v="???2"/>
    <x v="13"/>
    <m/>
    <m/>
    <m/>
    <n v="0"/>
    <m/>
    <n v="1273"/>
    <m/>
    <m/>
    <m/>
    <n v="1293"/>
    <n v="0"/>
    <n v="0"/>
    <m/>
    <m/>
    <m/>
    <m/>
    <m/>
    <n v="0"/>
    <n v="0"/>
    <n v="0"/>
    <m/>
    <m/>
    <m/>
    <n v="0"/>
    <n v="0"/>
    <n v="0"/>
    <m/>
    <m/>
  </r>
  <r>
    <x v="13"/>
    <s v="Texas State Technical College-Fort Bend"/>
    <s v="New Fall 2016"/>
    <s v="???3"/>
    <x v="13"/>
    <m/>
    <m/>
    <m/>
    <n v="2830"/>
    <m/>
    <n v="0"/>
    <m/>
    <m/>
    <m/>
    <n v="0"/>
    <n v="0"/>
    <n v="0"/>
    <m/>
    <m/>
    <m/>
    <m/>
    <m/>
    <n v="0"/>
    <m/>
    <n v="0"/>
    <m/>
    <m/>
    <m/>
    <n v="0"/>
    <n v="0"/>
    <n v="0"/>
    <m/>
    <m/>
  </r>
  <r>
    <x v="14"/>
    <s v="George Mason University "/>
    <m/>
    <n v="232186"/>
    <x v="0"/>
    <n v="640392.5"/>
    <n v="664410.5"/>
    <n v="566794"/>
    <n v="580186"/>
    <n v="16657.5"/>
    <n v="16411.5"/>
    <n v="53093"/>
    <n v="3848"/>
    <n v="0"/>
    <n v="63494"/>
    <n v="4319"/>
    <n v="0"/>
    <m/>
    <m/>
    <n v="163297.5"/>
    <n v="163197.29999999999"/>
    <n v="123903"/>
    <n v="123276.3"/>
    <n v="18649.5"/>
    <n v="16771.5"/>
    <n v="16474"/>
    <n v="4271"/>
    <n v="0"/>
    <n v="17321.5"/>
    <n v="5828"/>
    <n v="0"/>
    <m/>
    <m/>
  </r>
  <r>
    <x v="14"/>
    <s v="Old Dominion University "/>
    <m/>
    <n v="232982"/>
    <x v="0"/>
    <n v="525590"/>
    <n v="522046"/>
    <n v="423384"/>
    <n v="402965"/>
    <n v="199"/>
    <n v="600"/>
    <n v="79297"/>
    <n v="22267"/>
    <n v="443"/>
    <n v="95460"/>
    <n v="22748"/>
    <n v="273"/>
    <m/>
    <m/>
    <n v="68227"/>
    <n v="66269"/>
    <n v="38646"/>
    <n v="35786"/>
    <n v="499"/>
    <n v="682"/>
    <n v="14937"/>
    <n v="11455"/>
    <n v="2690"/>
    <n v="16174"/>
    <n v="11237"/>
    <n v="2390"/>
    <m/>
    <m/>
  </r>
  <r>
    <x v="14"/>
    <s v="University of Virginia"/>
    <m/>
    <n v="234076"/>
    <x v="0"/>
    <n v="488511.5"/>
    <n v="490977"/>
    <n v="452901.5"/>
    <n v="461361"/>
    <n v="30700"/>
    <n v="23703"/>
    <n v="4181"/>
    <n v="729"/>
    <n v="0"/>
    <n v="5022"/>
    <n v="891"/>
    <n v="0"/>
    <m/>
    <m/>
    <n v="180840.5"/>
    <n v="182309"/>
    <n v="165167.5"/>
    <n v="164835"/>
    <n v="8244"/>
    <n v="7889.5"/>
    <n v="6933"/>
    <n v="496"/>
    <n v="0"/>
    <n v="8411.5"/>
    <n v="1173"/>
    <n v="0"/>
    <m/>
    <m/>
  </r>
  <r>
    <x v="14"/>
    <s v="Virginia Commonwealth University"/>
    <m/>
    <n v="234030"/>
    <x v="0"/>
    <n v="661120"/>
    <n v="656069"/>
    <n v="603853"/>
    <n v="597274"/>
    <n v="7038"/>
    <n v="7031"/>
    <n v="49209"/>
    <n v="1020"/>
    <n v="0"/>
    <n v="51359"/>
    <n v="405"/>
    <n v="0"/>
    <m/>
    <m/>
    <n v="133350.5"/>
    <n v="132818"/>
    <n v="117076.5"/>
    <n v="117527"/>
    <n v="5375"/>
    <n v="5009"/>
    <n v="9591"/>
    <n v="1308"/>
    <n v="0"/>
    <n v="9201"/>
    <n v="1081"/>
    <n v="0"/>
    <m/>
    <m/>
  </r>
  <r>
    <x v="14"/>
    <s v="Virginia Tech "/>
    <m/>
    <n v="233921"/>
    <x v="0"/>
    <n v="783258"/>
    <n v="802141"/>
    <n v="762143"/>
    <n v="778112"/>
    <n v="361"/>
    <n v="214"/>
    <n v="20007"/>
    <n v="747"/>
    <n v="0"/>
    <n v="23150"/>
    <n v="665"/>
    <n v="0"/>
    <m/>
    <m/>
    <n v="145110"/>
    <n v="149300"/>
    <n v="112137"/>
    <n v="115779"/>
    <n v="19941"/>
    <n v="19638"/>
    <n v="9100"/>
    <n v="3932"/>
    <n v="0"/>
    <n v="9949"/>
    <n v="3934"/>
    <n v="0"/>
    <m/>
    <m/>
  </r>
  <r>
    <x v="14"/>
    <s v="College of William &amp; Mary"/>
    <m/>
    <n v="231624"/>
    <x v="1"/>
    <n v="186329.9"/>
    <n v="186363.6"/>
    <n v="181770"/>
    <n v="181414"/>
    <n v="4495.8999999999996"/>
    <n v="4498.6000000000004"/>
    <n v="64"/>
    <n v="0"/>
    <n v="0"/>
    <n v="396"/>
    <n v="55"/>
    <n v="0"/>
    <m/>
    <m/>
    <n v="54717"/>
    <n v="57893"/>
    <n v="49339"/>
    <n v="50255.5"/>
    <n v="4732"/>
    <n v="5229.5"/>
    <n v="589"/>
    <n v="57"/>
    <n v="0"/>
    <n v="2408"/>
    <n v="0"/>
    <n v="0"/>
    <m/>
    <m/>
  </r>
  <r>
    <x v="14"/>
    <s v="James Madison University"/>
    <m/>
    <n v="232423"/>
    <x v="2"/>
    <n v="572719"/>
    <n v="581349"/>
    <n v="537641"/>
    <n v="546202"/>
    <n v="11641"/>
    <n v="10735"/>
    <n v="23431"/>
    <n v="6"/>
    <n v="0"/>
    <n v="24412"/>
    <n v="0"/>
    <n v="0"/>
    <m/>
    <m/>
    <n v="35255"/>
    <n v="35245"/>
    <n v="27896"/>
    <n v="26943"/>
    <n v="2898"/>
    <n v="2931"/>
    <n v="4455"/>
    <n v="6"/>
    <n v="0"/>
    <n v="5371"/>
    <n v="0"/>
    <n v="0"/>
    <m/>
    <m/>
  </r>
  <r>
    <x v="14"/>
    <s v="Longwood University "/>
    <m/>
    <n v="232566"/>
    <x v="2"/>
    <n v="135420"/>
    <n v="132132.5"/>
    <n v="120926"/>
    <n v="116915.5"/>
    <n v="1199"/>
    <n v="1924"/>
    <n v="13117"/>
    <n v="178"/>
    <n v="0"/>
    <n v="13203"/>
    <n v="90"/>
    <n v="0"/>
    <m/>
    <m/>
    <n v="8616"/>
    <n v="8217"/>
    <n v="3960"/>
    <n v="3481"/>
    <n v="857"/>
    <n v="1426"/>
    <n v="3745"/>
    <n v="54"/>
    <n v="0"/>
    <n v="3157"/>
    <n v="153"/>
    <n v="0"/>
    <m/>
    <m/>
  </r>
  <r>
    <x v="14"/>
    <s v="Norfolk State University "/>
    <m/>
    <n v="232937"/>
    <x v="2"/>
    <n v="135495"/>
    <n v="128336"/>
    <n v="106682"/>
    <n v="99458"/>
    <n v="2993"/>
    <n v="3264"/>
    <n v="25820"/>
    <n v="0"/>
    <n v="0"/>
    <n v="25614"/>
    <n v="0"/>
    <n v="0"/>
    <m/>
    <m/>
    <n v="11019"/>
    <n v="11338"/>
    <n v="8793"/>
    <n v="8917"/>
    <n v="0"/>
    <n v="0"/>
    <n v="2226"/>
    <n v="0"/>
    <n v="0"/>
    <n v="2421"/>
    <n v="0"/>
    <n v="0"/>
    <m/>
    <m/>
  </r>
  <r>
    <x v="14"/>
    <s v="Radford University"/>
    <s v="Met the criteria for Four-Year 2 in 2016-17."/>
    <n v="233277"/>
    <x v="2"/>
    <n v="262500"/>
    <n v="254959"/>
    <n v="232515"/>
    <n v="225818"/>
    <n v="4432"/>
    <n v="3987"/>
    <n v="23462"/>
    <n v="2091"/>
    <n v="0"/>
    <n v="23340"/>
    <n v="1814"/>
    <n v="0"/>
    <m/>
    <m/>
    <n v="19200"/>
    <n v="19458"/>
    <n v="11302"/>
    <n v="11161"/>
    <n v="3771"/>
    <n v="3955"/>
    <n v="2003"/>
    <n v="2124"/>
    <n v="0"/>
    <n v="2658"/>
    <n v="1684"/>
    <n v="0"/>
    <m/>
    <m/>
  </r>
  <r>
    <x v="14"/>
    <s v="University of Mary Washington "/>
    <m/>
    <n v="232681"/>
    <x v="2"/>
    <n v="119302"/>
    <n v="120594"/>
    <n v="113055"/>
    <n v="113630"/>
    <n v="0"/>
    <n v="0"/>
    <n v="6046"/>
    <n v="201"/>
    <n v="0"/>
    <n v="6806"/>
    <n v="158"/>
    <n v="0"/>
    <m/>
    <m/>
    <n v="5651.4"/>
    <n v="5559"/>
    <n v="3789"/>
    <n v="4140.6000000000004"/>
    <n v="0"/>
    <n v="0"/>
    <n v="1859.4"/>
    <n v="3"/>
    <n v="0"/>
    <n v="1406.4"/>
    <n v="12"/>
    <n v="0"/>
    <m/>
    <m/>
  </r>
  <r>
    <x v="14"/>
    <s v="Virginia State University "/>
    <m/>
    <n v="234155"/>
    <x v="2"/>
    <n v="132793"/>
    <n v="126013.9"/>
    <n v="126286"/>
    <n v="121306.9"/>
    <n v="6026"/>
    <n v="3668"/>
    <n v="481"/>
    <n v="0"/>
    <n v="0"/>
    <n v="1039"/>
    <n v="0"/>
    <n v="0"/>
    <m/>
    <m/>
    <n v="7595"/>
    <n v="7008"/>
    <n v="7415"/>
    <n v="6996"/>
    <n v="180"/>
    <n v="6"/>
    <m/>
    <m/>
    <m/>
    <n v="6"/>
    <n v="0"/>
    <n v="0"/>
    <m/>
    <m/>
  </r>
  <r>
    <x v="14"/>
    <s v="Christopher Newport University"/>
    <s v="Met the criteria for Four-Year 4 in 2016-17."/>
    <n v="231712"/>
    <x v="4"/>
    <n v="147791"/>
    <n v="145990"/>
    <n v="147167"/>
    <n v="145310"/>
    <n v="624"/>
    <n v="680"/>
    <n v="0"/>
    <n v="0"/>
    <n v="0"/>
    <n v="0"/>
    <n v="0"/>
    <n v="0"/>
    <m/>
    <m/>
    <n v="3282"/>
    <n v="3280"/>
    <n v="3208"/>
    <n v="3235"/>
    <n v="74"/>
    <n v="45"/>
    <m/>
    <m/>
    <m/>
    <n v="0"/>
    <n v="0"/>
    <n v="0"/>
    <m/>
    <m/>
  </r>
  <r>
    <x v="14"/>
    <s v="University of Virginia's College at Wise "/>
    <m/>
    <n v="233897"/>
    <x v="5"/>
    <n v="51940"/>
    <n v="49831"/>
    <n v="41813"/>
    <n v="40021"/>
    <n v="0"/>
    <n v="0"/>
    <n v="10127"/>
    <n v="0"/>
    <n v="0"/>
    <n v="9810"/>
    <n v="0"/>
    <n v="0"/>
    <m/>
    <m/>
    <n v="0"/>
    <n v="0"/>
    <m/>
    <m/>
    <m/>
    <m/>
    <m/>
    <m/>
    <m/>
    <m/>
    <m/>
    <m/>
    <m/>
    <m/>
  </r>
  <r>
    <x v="14"/>
    <s v="J.S. Reynolds Community College"/>
    <s v="Met the criteria for Two-Year 2 in 2016-17. "/>
    <n v="232414"/>
    <x v="6"/>
    <n v="216026"/>
    <n v="199882"/>
    <n v="134176"/>
    <n v="120995"/>
    <n v="7784"/>
    <n v="8783"/>
    <n v="74015"/>
    <n v="51"/>
    <n v="0"/>
    <n v="69894"/>
    <n v="210"/>
    <n v="0"/>
    <m/>
    <m/>
    <n v="0"/>
    <n v="0"/>
    <m/>
    <m/>
    <m/>
    <m/>
    <m/>
    <m/>
    <m/>
    <m/>
    <m/>
    <m/>
    <m/>
    <m/>
  </r>
  <r>
    <x v="14"/>
    <s v="John Tyler Community College"/>
    <s v="Met the criteria for Two-Year 2 in 2016-17. "/>
    <n v="232450"/>
    <x v="6"/>
    <n v="165394"/>
    <n v="163021"/>
    <n v="93977"/>
    <n v="89583"/>
    <n v="21092"/>
    <n v="23201"/>
    <n v="50183"/>
    <n v="142"/>
    <n v="0"/>
    <n v="50150"/>
    <n v="87"/>
    <n v="0"/>
    <m/>
    <m/>
    <n v="0"/>
    <n v="0"/>
    <m/>
    <m/>
    <m/>
    <m/>
    <m/>
    <m/>
    <m/>
    <m/>
    <m/>
    <m/>
    <m/>
    <m/>
  </r>
  <r>
    <x v="14"/>
    <s v="Northern Virginia Community College "/>
    <m/>
    <n v="232946"/>
    <x v="6"/>
    <n v="1037235.5"/>
    <n v="1002472.5"/>
    <n v="726162.5"/>
    <n v="700777.5"/>
    <n v="63202"/>
    <n v="67143"/>
    <n v="246995"/>
    <n v="876"/>
    <n v="0"/>
    <n v="233006"/>
    <n v="1546"/>
    <n v="0"/>
    <m/>
    <m/>
    <n v="0"/>
    <n v="0"/>
    <m/>
    <m/>
    <m/>
    <m/>
    <m/>
    <m/>
    <m/>
    <m/>
    <m/>
    <m/>
    <m/>
    <m/>
  </r>
  <r>
    <x v="14"/>
    <s v="Thomas Nelson Community College "/>
    <s v="Met the criteria for Two-Year 2 in 2016-17. "/>
    <n v="233754"/>
    <x v="6"/>
    <n v="186552"/>
    <n v="175424"/>
    <n v="122594"/>
    <n v="109936"/>
    <n v="10663"/>
    <n v="9254"/>
    <n v="52795"/>
    <n v="500"/>
    <n v="0"/>
    <n v="55878"/>
    <n v="356"/>
    <n v="0"/>
    <m/>
    <m/>
    <n v="0"/>
    <n v="0"/>
    <m/>
    <m/>
    <m/>
    <m/>
    <m/>
    <m/>
    <m/>
    <m/>
    <m/>
    <m/>
    <m/>
    <m/>
  </r>
  <r>
    <x v="14"/>
    <s v="Tidewater Community College "/>
    <m/>
    <n v="233772"/>
    <x v="6"/>
    <n v="542389"/>
    <n v="500999"/>
    <n v="355019"/>
    <n v="317431"/>
    <n v="29980"/>
    <n v="29914"/>
    <n v="157268"/>
    <n v="122"/>
    <n v="0"/>
    <n v="153524"/>
    <n v="130"/>
    <n v="0"/>
    <m/>
    <m/>
    <n v="0"/>
    <n v="0"/>
    <m/>
    <m/>
    <m/>
    <m/>
    <m/>
    <m/>
    <m/>
    <m/>
    <m/>
    <m/>
    <m/>
    <m/>
  </r>
  <r>
    <x v="14"/>
    <s v="Blue Ridge Community College "/>
    <s v="Met the criteria for Two-Year 3 in 2016-17. "/>
    <n v="231536"/>
    <x v="7"/>
    <n v="82046"/>
    <n v="76637"/>
    <n v="42502"/>
    <n v="39625"/>
    <n v="8570"/>
    <n v="8107"/>
    <n v="30974"/>
    <n v="0"/>
    <n v="0"/>
    <n v="28905"/>
    <n v="0"/>
    <n v="0"/>
    <m/>
    <m/>
    <n v="0"/>
    <n v="0"/>
    <m/>
    <m/>
    <m/>
    <m/>
    <m/>
    <m/>
    <m/>
    <m/>
    <m/>
    <m/>
    <m/>
    <m/>
  </r>
  <r>
    <x v="14"/>
    <s v="Central Virginia Community College "/>
    <s v="Met the criteria for Two-Year 3 in 2016-17. "/>
    <n v="231697"/>
    <x v="7"/>
    <n v="77861"/>
    <n v="75380"/>
    <n v="46321"/>
    <n v="42513"/>
    <n v="13673"/>
    <n v="13556"/>
    <n v="13893"/>
    <n v="3974"/>
    <n v="0"/>
    <n v="15348"/>
    <n v="3963"/>
    <n v="0"/>
    <m/>
    <m/>
    <n v="0"/>
    <n v="0"/>
    <m/>
    <m/>
    <m/>
    <m/>
    <m/>
    <m/>
    <m/>
    <m/>
    <m/>
    <m/>
    <m/>
    <m/>
  </r>
  <r>
    <x v="14"/>
    <s v="Danville Community College "/>
    <s v="Met the criteria for Two-Year 3 in 2016-17. "/>
    <n v="231882"/>
    <x v="7"/>
    <n v="69094"/>
    <n v="64255"/>
    <n v="42504"/>
    <n v="35695"/>
    <n v="18551"/>
    <n v="20783"/>
    <n v="7640"/>
    <n v="399"/>
    <n v="0"/>
    <n v="7249"/>
    <n v="528"/>
    <n v="0"/>
    <m/>
    <m/>
    <n v="0"/>
    <n v="0"/>
    <m/>
    <m/>
    <m/>
    <m/>
    <m/>
    <m/>
    <m/>
    <m/>
    <m/>
    <m/>
    <m/>
    <m/>
  </r>
  <r>
    <x v="14"/>
    <s v="Germanna Community College"/>
    <m/>
    <n v="232195"/>
    <x v="7"/>
    <n v="133098"/>
    <n v="125770"/>
    <n v="69833"/>
    <n v="66381"/>
    <n v="18683"/>
    <n v="15742"/>
    <n v="32182"/>
    <n v="12400"/>
    <n v="0"/>
    <n v="31223"/>
    <n v="12424"/>
    <n v="0"/>
    <m/>
    <m/>
    <n v="0"/>
    <n v="0"/>
    <m/>
    <m/>
    <m/>
    <m/>
    <m/>
    <m/>
    <m/>
    <m/>
    <m/>
    <m/>
    <m/>
    <m/>
  </r>
  <r>
    <x v="14"/>
    <s v="Lord Fairfax Community College"/>
    <m/>
    <n v="232575"/>
    <x v="7"/>
    <n v="120566"/>
    <n v="117955"/>
    <n v="51499"/>
    <n v="46265"/>
    <n v="25659"/>
    <n v="29822"/>
    <n v="35326"/>
    <n v="8082"/>
    <n v="0"/>
    <n v="34095"/>
    <n v="7773"/>
    <n v="0"/>
    <m/>
    <m/>
    <n v="0"/>
    <n v="0"/>
    <m/>
    <m/>
    <m/>
    <m/>
    <m/>
    <m/>
    <m/>
    <m/>
    <m/>
    <m/>
    <m/>
    <m/>
  </r>
  <r>
    <x v="14"/>
    <s v="New River Community College "/>
    <s v="Met the criteria for Two-Year 3 in 2016-17. "/>
    <n v="232867"/>
    <x v="7"/>
    <n v="85602"/>
    <n v="84669"/>
    <n v="25278"/>
    <n v="22487"/>
    <n v="29231"/>
    <n v="30174"/>
    <n v="30118"/>
    <n v="975"/>
    <n v="0"/>
    <n v="31077"/>
    <n v="931"/>
    <n v="0"/>
    <m/>
    <m/>
    <n v="0"/>
    <n v="0"/>
    <m/>
    <m/>
    <m/>
    <m/>
    <m/>
    <m/>
    <m/>
    <m/>
    <m/>
    <m/>
    <m/>
    <m/>
  </r>
  <r>
    <x v="14"/>
    <s v="Patrick Henry Community College "/>
    <s v="Met the criteria for Two-Year 3 in 2015-16 and 2016-17. "/>
    <n v="233019"/>
    <x v="7"/>
    <n v="58866"/>
    <n v="53178"/>
    <n v="28015"/>
    <n v="22645"/>
    <n v="11760"/>
    <n v="9692"/>
    <n v="17796"/>
    <n v="1295"/>
    <n v="0"/>
    <n v="17978"/>
    <n v="2863"/>
    <n v="0"/>
    <m/>
    <m/>
    <n v="0"/>
    <n v="0"/>
    <m/>
    <m/>
    <m/>
    <m/>
    <m/>
    <m/>
    <m/>
    <m/>
    <m/>
    <m/>
    <m/>
    <m/>
  </r>
  <r>
    <x v="14"/>
    <s v="Piedmont Virginia Community College "/>
    <s v="Met the criteria for Two-Year 3 in 2016-17. "/>
    <n v="233116"/>
    <x v="7"/>
    <n v="89302"/>
    <n v="89759"/>
    <n v="52981"/>
    <n v="53168"/>
    <n v="17132"/>
    <n v="17999"/>
    <n v="18270"/>
    <n v="919"/>
    <n v="0"/>
    <n v="17905"/>
    <n v="687"/>
    <n v="0"/>
    <m/>
    <m/>
    <n v="0"/>
    <n v="0"/>
    <m/>
    <m/>
    <m/>
    <m/>
    <m/>
    <m/>
    <m/>
    <m/>
    <m/>
    <m/>
    <m/>
    <m/>
  </r>
  <r>
    <x v="14"/>
    <s v="Southside Virginia Community College"/>
    <s v="Met the criteria for Two-Year 3 in 2016-17. "/>
    <n v="233639"/>
    <x v="7"/>
    <n v="90202"/>
    <n v="78764"/>
    <n v="22582"/>
    <n v="20073"/>
    <n v="40713"/>
    <n v="33046"/>
    <n v="25680"/>
    <n v="1227"/>
    <n v="0"/>
    <n v="24621"/>
    <n v="1024"/>
    <n v="0"/>
    <m/>
    <m/>
    <n v="0"/>
    <n v="0"/>
    <m/>
    <m/>
    <m/>
    <m/>
    <m/>
    <m/>
    <m/>
    <m/>
    <m/>
    <m/>
    <m/>
    <m/>
  </r>
  <r>
    <x v="14"/>
    <s v="Virginia Western Community College "/>
    <m/>
    <n v="233949"/>
    <x v="7"/>
    <n v="143601"/>
    <n v="137381"/>
    <n v="79231"/>
    <n v="72154"/>
    <n v="29609"/>
    <n v="32519"/>
    <n v="25319"/>
    <n v="9442"/>
    <n v="0"/>
    <n v="24395"/>
    <n v="8313"/>
    <n v="0"/>
    <m/>
    <m/>
    <n v="0"/>
    <n v="0"/>
    <m/>
    <m/>
    <m/>
    <m/>
    <m/>
    <m/>
    <m/>
    <m/>
    <m/>
    <m/>
    <m/>
    <m/>
  </r>
  <r>
    <x v="14"/>
    <s v="Wytheville Community College "/>
    <s v="Met the criteria for Two-Year 3 in 2015-16 and 2016-17. "/>
    <n v="234377"/>
    <x v="7"/>
    <n v="55632"/>
    <n v="52131"/>
    <n v="10146"/>
    <n v="8938"/>
    <n v="16403"/>
    <n v="15388"/>
    <n v="22790"/>
    <n v="6293"/>
    <n v="0"/>
    <n v="22771"/>
    <n v="5034"/>
    <n v="0"/>
    <m/>
    <m/>
    <n v="0"/>
    <n v="0"/>
    <m/>
    <m/>
    <m/>
    <m/>
    <m/>
    <m/>
    <m/>
    <m/>
    <m/>
    <m/>
    <m/>
    <m/>
  </r>
  <r>
    <x v="14"/>
    <s v="D.S. Lancaster Community College "/>
    <m/>
    <n v="231873"/>
    <x v="8"/>
    <n v="21682"/>
    <n v="22561"/>
    <n v="9526"/>
    <n v="9429"/>
    <n v="6405"/>
    <n v="7019"/>
    <n v="2865"/>
    <n v="2886"/>
    <n v="0"/>
    <n v="3334"/>
    <n v="2779"/>
    <n v="0"/>
    <m/>
    <m/>
    <n v="0"/>
    <n v="0"/>
    <m/>
    <m/>
    <m/>
    <m/>
    <m/>
    <m/>
    <m/>
    <m/>
    <m/>
    <m/>
    <m/>
    <m/>
  </r>
  <r>
    <x v="14"/>
    <s v="Eastern Shore Community College"/>
    <m/>
    <n v="232052"/>
    <x v="8"/>
    <n v="13777"/>
    <n v="11911"/>
    <n v="9270"/>
    <n v="7785"/>
    <n v="2592"/>
    <n v="2276"/>
    <n v="1915"/>
    <n v="0"/>
    <n v="0"/>
    <n v="1850"/>
    <n v="0"/>
    <n v="0"/>
    <m/>
    <m/>
    <n v="0"/>
    <n v="0"/>
    <m/>
    <m/>
    <m/>
    <m/>
    <m/>
    <m/>
    <m/>
    <m/>
    <m/>
    <m/>
    <m/>
    <m/>
  </r>
  <r>
    <x v="14"/>
    <s v="Mountain Empire Community College"/>
    <m/>
    <n v="232788"/>
    <x v="8"/>
    <n v="53121"/>
    <n v="52294"/>
    <n v="25243"/>
    <n v="25056"/>
    <n v="8619"/>
    <n v="9540"/>
    <n v="17827"/>
    <n v="1432"/>
    <n v="0"/>
    <n v="15769"/>
    <n v="1929"/>
    <n v="0"/>
    <m/>
    <m/>
    <n v="0"/>
    <n v="0"/>
    <m/>
    <m/>
    <m/>
    <m/>
    <m/>
    <m/>
    <m/>
    <m/>
    <m/>
    <m/>
    <m/>
    <m/>
  </r>
  <r>
    <x v="14"/>
    <s v="Paul D. Camp Community College"/>
    <m/>
    <n v="233037"/>
    <x v="8"/>
    <n v="24286"/>
    <n v="25306"/>
    <n v="9718"/>
    <n v="8219"/>
    <n v="4485"/>
    <n v="6433"/>
    <n v="7227"/>
    <n v="2856"/>
    <n v="0"/>
    <n v="9304"/>
    <n v="1350"/>
    <n v="0"/>
    <m/>
    <m/>
    <n v="0"/>
    <n v="0"/>
    <m/>
    <m/>
    <m/>
    <m/>
    <m/>
    <m/>
    <m/>
    <m/>
    <m/>
    <m/>
    <m/>
    <m/>
  </r>
  <r>
    <x v="14"/>
    <s v="Rappahannock Community College"/>
    <m/>
    <n v="233310"/>
    <x v="8"/>
    <n v="55958"/>
    <n v="56613"/>
    <n v="12635"/>
    <n v="12218"/>
    <n v="17430"/>
    <n v="18772"/>
    <n v="15897"/>
    <n v="9996"/>
    <n v="0"/>
    <n v="15158"/>
    <n v="10465"/>
    <n v="0"/>
    <m/>
    <m/>
    <n v="0"/>
    <n v="0"/>
    <m/>
    <m/>
    <m/>
    <m/>
    <m/>
    <m/>
    <m/>
    <m/>
    <m/>
    <m/>
    <m/>
    <m/>
  </r>
  <r>
    <x v="14"/>
    <s v="Richard Bland College "/>
    <m/>
    <n v="233338"/>
    <x v="8"/>
    <n v="34309"/>
    <n v="38959"/>
    <n v="25365"/>
    <n v="25932"/>
    <n v="5688"/>
    <n v="8796"/>
    <n v="3256"/>
    <n v="0"/>
    <n v="0"/>
    <n v="4231"/>
    <n v="0"/>
    <n v="0"/>
    <m/>
    <m/>
    <n v="0"/>
    <n v="0"/>
    <m/>
    <m/>
    <m/>
    <m/>
    <m/>
    <m/>
    <m/>
    <m/>
    <m/>
    <m/>
    <m/>
    <m/>
  </r>
  <r>
    <x v="14"/>
    <s v="Southwest Virginia Community College "/>
    <m/>
    <n v="233648"/>
    <x v="8"/>
    <n v="54150"/>
    <n v="53980"/>
    <n v="20141"/>
    <n v="18190"/>
    <n v="9369"/>
    <n v="9641"/>
    <n v="20476"/>
    <n v="4164"/>
    <n v="0"/>
    <n v="20507"/>
    <n v="5642"/>
    <n v="0"/>
    <m/>
    <m/>
    <n v="0"/>
    <n v="0"/>
    <m/>
    <m/>
    <m/>
    <m/>
    <m/>
    <m/>
    <m/>
    <m/>
    <m/>
    <m/>
    <m/>
    <m/>
  </r>
  <r>
    <x v="14"/>
    <s v="Virginia Highlands Community College "/>
    <m/>
    <n v="233903"/>
    <x v="8"/>
    <n v="46853"/>
    <n v="45505"/>
    <n v="21629"/>
    <n v="19743"/>
    <n v="8303"/>
    <n v="8313"/>
    <n v="15244"/>
    <n v="1677"/>
    <n v="0"/>
    <n v="15939"/>
    <n v="1510"/>
    <n v="0"/>
    <m/>
    <m/>
    <n v="0"/>
    <n v="0"/>
    <m/>
    <m/>
    <m/>
    <m/>
    <m/>
    <m/>
    <m/>
    <m/>
    <m/>
    <m/>
    <m/>
    <m/>
  </r>
  <r>
    <x v="15"/>
    <s v="Academy of Careers and Technology (Raleigh County)"/>
    <m/>
    <n v="237729"/>
    <x v="14"/>
    <n v="0"/>
    <n v="0"/>
    <m/>
    <m/>
    <m/>
    <m/>
    <m/>
    <m/>
    <m/>
    <m/>
    <m/>
    <m/>
    <m/>
    <m/>
    <n v="0"/>
    <n v="0"/>
    <m/>
    <m/>
    <m/>
    <m/>
    <m/>
    <m/>
    <m/>
    <m/>
    <m/>
    <m/>
    <m/>
    <m/>
  </r>
  <r>
    <x v="15"/>
    <s v="Ben Franklin Career Center"/>
    <m/>
    <n v="237172"/>
    <x v="14"/>
    <n v="0"/>
    <n v="0"/>
    <m/>
    <m/>
    <m/>
    <m/>
    <m/>
    <m/>
    <m/>
    <m/>
    <m/>
    <m/>
    <m/>
    <m/>
    <n v="0"/>
    <n v="0"/>
    <m/>
    <m/>
    <m/>
    <m/>
    <m/>
    <m/>
    <m/>
    <m/>
    <m/>
    <m/>
    <m/>
    <m/>
  </r>
  <r>
    <x v="15"/>
    <s v="Boone County Career &amp; Technical Center "/>
    <m/>
    <n v="237224"/>
    <x v="14"/>
    <n v="0"/>
    <n v="0"/>
    <m/>
    <m/>
    <m/>
    <m/>
    <m/>
    <m/>
    <m/>
    <m/>
    <m/>
    <m/>
    <m/>
    <m/>
    <n v="0"/>
    <n v="0"/>
    <m/>
    <m/>
    <m/>
    <m/>
    <m/>
    <m/>
    <m/>
    <m/>
    <m/>
    <m/>
    <m/>
    <m/>
  </r>
  <r>
    <x v="15"/>
    <s v="Cabell County Career Technology Center"/>
    <m/>
    <n v="237242"/>
    <x v="14"/>
    <n v="0"/>
    <n v="0"/>
    <m/>
    <m/>
    <m/>
    <m/>
    <m/>
    <m/>
    <m/>
    <m/>
    <m/>
    <m/>
    <m/>
    <m/>
    <n v="0"/>
    <n v="0"/>
    <m/>
    <m/>
    <m/>
    <m/>
    <m/>
    <m/>
    <m/>
    <m/>
    <m/>
    <m/>
    <m/>
    <m/>
  </r>
  <r>
    <x v="15"/>
    <s v="Carver Career Center "/>
    <m/>
    <n v="430795"/>
    <x v="14"/>
    <n v="0"/>
    <n v="0"/>
    <m/>
    <m/>
    <m/>
    <m/>
    <m/>
    <m/>
    <m/>
    <m/>
    <m/>
    <m/>
    <m/>
    <m/>
    <n v="0"/>
    <n v="0"/>
    <m/>
    <m/>
    <m/>
    <m/>
    <m/>
    <m/>
    <m/>
    <m/>
    <m/>
    <m/>
    <m/>
    <m/>
  </r>
  <r>
    <x v="15"/>
    <s v="Fayette Institute of Technology"/>
    <m/>
    <n v="413176"/>
    <x v="14"/>
    <n v="0"/>
    <n v="0"/>
    <m/>
    <m/>
    <m/>
    <m/>
    <m/>
    <m/>
    <m/>
    <m/>
    <m/>
    <m/>
    <m/>
    <m/>
    <n v="0"/>
    <n v="0"/>
    <m/>
    <m/>
    <m/>
    <m/>
    <m/>
    <m/>
    <m/>
    <m/>
    <m/>
    <m/>
    <m/>
    <m/>
  </r>
  <r>
    <x v="15"/>
    <s v="Fred W. Eberle Technical Center "/>
    <m/>
    <n v="237844"/>
    <x v="14"/>
    <n v="0"/>
    <n v="0"/>
    <m/>
    <m/>
    <m/>
    <m/>
    <m/>
    <m/>
    <m/>
    <m/>
    <m/>
    <m/>
    <m/>
    <m/>
    <n v="0"/>
    <n v="0"/>
    <m/>
    <m/>
    <m/>
    <m/>
    <m/>
    <m/>
    <m/>
    <m/>
    <m/>
    <m/>
    <m/>
    <m/>
  </r>
  <r>
    <x v="15"/>
    <s v="Garnet Career Center "/>
    <m/>
    <n v="431169"/>
    <x v="14"/>
    <n v="0"/>
    <n v="0"/>
    <m/>
    <m/>
    <m/>
    <m/>
    <m/>
    <m/>
    <m/>
    <m/>
    <m/>
    <m/>
    <m/>
    <m/>
    <n v="0"/>
    <n v="0"/>
    <m/>
    <m/>
    <m/>
    <m/>
    <m/>
    <m/>
    <m/>
    <m/>
    <m/>
    <m/>
    <m/>
    <m/>
  </r>
  <r>
    <x v="15"/>
    <s v="James Rumsey Technical Institute"/>
    <m/>
    <n v="237473"/>
    <x v="14"/>
    <n v="0"/>
    <n v="0"/>
    <m/>
    <m/>
    <m/>
    <m/>
    <m/>
    <m/>
    <m/>
    <m/>
    <m/>
    <m/>
    <m/>
    <m/>
    <n v="0"/>
    <n v="0"/>
    <m/>
    <m/>
    <m/>
    <m/>
    <m/>
    <m/>
    <m/>
    <m/>
    <m/>
    <m/>
    <m/>
    <m/>
  </r>
  <r>
    <x v="15"/>
    <s v="John D. Rockefeller IV Career Center"/>
    <m/>
    <n v="446349"/>
    <x v="14"/>
    <n v="0"/>
    <n v="0"/>
    <m/>
    <m/>
    <m/>
    <m/>
    <m/>
    <m/>
    <m/>
    <m/>
    <m/>
    <m/>
    <m/>
    <m/>
    <n v="0"/>
    <n v="0"/>
    <m/>
    <m/>
    <m/>
    <m/>
    <m/>
    <m/>
    <m/>
    <m/>
    <m/>
    <m/>
    <m/>
    <m/>
  </r>
  <r>
    <x v="15"/>
    <s v="Marion County Vocational-Technical Center"/>
    <m/>
    <n v="237516"/>
    <x v="14"/>
    <n v="0"/>
    <n v="0"/>
    <m/>
    <m/>
    <m/>
    <m/>
    <m/>
    <m/>
    <m/>
    <m/>
    <m/>
    <m/>
    <m/>
    <m/>
    <n v="0"/>
    <n v="0"/>
    <m/>
    <m/>
    <m/>
    <m/>
    <m/>
    <m/>
    <m/>
    <m/>
    <m/>
    <m/>
    <m/>
    <m/>
  </r>
  <r>
    <x v="15"/>
    <s v="McDowell County Vocational-Technical Center "/>
    <m/>
    <n v="237534"/>
    <x v="14"/>
    <n v="0"/>
    <n v="0"/>
    <m/>
    <m/>
    <m/>
    <m/>
    <m/>
    <m/>
    <m/>
    <m/>
    <m/>
    <m/>
    <m/>
    <m/>
    <n v="0"/>
    <n v="0"/>
    <m/>
    <m/>
    <m/>
    <m/>
    <m/>
    <m/>
    <m/>
    <m/>
    <m/>
    <m/>
    <m/>
    <m/>
  </r>
  <r>
    <x v="15"/>
    <s v="Mercer County Technical Education Center"/>
    <m/>
    <n v="237543"/>
    <x v="14"/>
    <n v="0"/>
    <n v="0"/>
    <m/>
    <m/>
    <m/>
    <m/>
    <m/>
    <m/>
    <m/>
    <m/>
    <m/>
    <m/>
    <m/>
    <m/>
    <n v="0"/>
    <n v="0"/>
    <m/>
    <m/>
    <m/>
    <m/>
    <m/>
    <m/>
    <m/>
    <m/>
    <m/>
    <m/>
    <m/>
    <m/>
  </r>
  <r>
    <x v="15"/>
    <s v="Mineral County Vocational-Technical Center "/>
    <m/>
    <n v="368647"/>
    <x v="14"/>
    <n v="0"/>
    <n v="0"/>
    <m/>
    <m/>
    <m/>
    <m/>
    <m/>
    <m/>
    <m/>
    <m/>
    <m/>
    <m/>
    <m/>
    <m/>
    <n v="0"/>
    <n v="0"/>
    <m/>
    <m/>
    <m/>
    <m/>
    <m/>
    <m/>
    <m/>
    <m/>
    <m/>
    <m/>
    <m/>
    <m/>
  </r>
  <r>
    <x v="15"/>
    <s v="Monongalia County Technical Education Center "/>
    <m/>
    <n v="237561"/>
    <x v="14"/>
    <n v="0"/>
    <n v="0"/>
    <m/>
    <m/>
    <m/>
    <m/>
    <m/>
    <m/>
    <m/>
    <m/>
    <m/>
    <m/>
    <m/>
    <m/>
    <n v="0"/>
    <n v="0"/>
    <m/>
    <m/>
    <m/>
    <m/>
    <m/>
    <m/>
    <m/>
    <m/>
    <m/>
    <m/>
    <m/>
    <m/>
  </r>
  <r>
    <x v="15"/>
    <s v="Putnam Career and Technical Center"/>
    <m/>
    <n v="419420"/>
    <x v="14"/>
    <n v="0"/>
    <n v="0"/>
    <m/>
    <m/>
    <m/>
    <m/>
    <m/>
    <m/>
    <m/>
    <m/>
    <m/>
    <m/>
    <m/>
    <m/>
    <n v="0"/>
    <n v="0"/>
    <m/>
    <m/>
    <m/>
    <m/>
    <m/>
    <m/>
    <m/>
    <m/>
    <m/>
    <m/>
    <m/>
    <m/>
  </r>
  <r>
    <x v="15"/>
    <s v="Ralph R. Willis Career and Technical Center"/>
    <m/>
    <n v="237491"/>
    <x v="14"/>
    <n v="0"/>
    <n v="0"/>
    <m/>
    <m/>
    <m/>
    <m/>
    <m/>
    <m/>
    <m/>
    <m/>
    <m/>
    <m/>
    <m/>
    <m/>
    <n v="0"/>
    <n v="0"/>
    <m/>
    <m/>
    <m/>
    <m/>
    <m/>
    <m/>
    <m/>
    <m/>
    <m/>
    <m/>
    <m/>
    <m/>
  </r>
  <r>
    <x v="15"/>
    <s v="Roane-Jackson Technical Center"/>
    <m/>
    <n v="364575"/>
    <x v="14"/>
    <n v="0"/>
    <n v="0"/>
    <m/>
    <m/>
    <m/>
    <m/>
    <m/>
    <m/>
    <m/>
    <m/>
    <m/>
    <m/>
    <m/>
    <m/>
    <n v="0"/>
    <n v="0"/>
    <m/>
    <m/>
    <m/>
    <m/>
    <m/>
    <m/>
    <m/>
    <m/>
    <m/>
    <m/>
    <m/>
    <m/>
  </r>
  <r>
    <x v="15"/>
    <s v="South Branch Career &amp; Technical Center"/>
    <m/>
    <n v="441894"/>
    <x v="14"/>
    <n v="0"/>
    <n v="0"/>
    <m/>
    <m/>
    <m/>
    <m/>
    <m/>
    <m/>
    <m/>
    <m/>
    <m/>
    <m/>
    <m/>
    <m/>
    <n v="0"/>
    <n v="0"/>
    <m/>
    <m/>
    <m/>
    <m/>
    <m/>
    <m/>
    <m/>
    <m/>
    <m/>
    <m/>
    <m/>
    <m/>
  </r>
  <r>
    <x v="15"/>
    <s v="United Technical Center"/>
    <m/>
    <n v="419031"/>
    <x v="14"/>
    <n v="0"/>
    <n v="0"/>
    <m/>
    <m/>
    <m/>
    <m/>
    <m/>
    <m/>
    <m/>
    <m/>
    <m/>
    <m/>
    <m/>
    <m/>
    <n v="0"/>
    <n v="0"/>
    <m/>
    <m/>
    <m/>
    <m/>
    <m/>
    <m/>
    <m/>
    <m/>
    <m/>
    <m/>
    <m/>
    <m/>
  </r>
  <r>
    <x v="15"/>
    <s v="Wyoming County "/>
    <m/>
    <s v="N/A"/>
    <x v="14"/>
    <n v="0"/>
    <n v="0"/>
    <m/>
    <m/>
    <m/>
    <m/>
    <m/>
    <m/>
    <m/>
    <m/>
    <m/>
    <m/>
    <m/>
    <m/>
    <n v="0"/>
    <n v="0"/>
    <m/>
    <m/>
    <m/>
    <m/>
    <m/>
    <m/>
    <m/>
    <m/>
    <m/>
    <m/>
    <m/>
    <m/>
  </r>
  <r>
    <x v="15"/>
    <s v="Greenbrier Practical School of Nursing"/>
    <m/>
    <s v="N/A"/>
    <x v="11"/>
    <n v="0"/>
    <n v="0"/>
    <m/>
    <m/>
    <m/>
    <m/>
    <m/>
    <m/>
    <m/>
    <m/>
    <m/>
    <m/>
    <m/>
    <m/>
    <n v="0"/>
    <n v="0"/>
    <m/>
    <m/>
    <m/>
    <m/>
    <m/>
    <m/>
    <m/>
    <m/>
    <m/>
    <m/>
    <m/>
    <m/>
  </r>
  <r>
    <x v="15"/>
    <s v="Mingo Extended Learning Center"/>
    <m/>
    <s v="N/A"/>
    <x v="11"/>
    <n v="0"/>
    <n v="0"/>
    <m/>
    <m/>
    <m/>
    <m/>
    <m/>
    <m/>
    <m/>
    <m/>
    <m/>
    <m/>
    <m/>
    <m/>
    <n v="0"/>
    <n v="0"/>
    <m/>
    <m/>
    <m/>
    <m/>
    <m/>
    <m/>
    <m/>
    <m/>
    <m/>
    <m/>
    <m/>
    <m/>
  </r>
  <r>
    <x v="15"/>
    <s v="Randolph Technical Center"/>
    <m/>
    <s v="N/A"/>
    <x v="11"/>
    <n v="0"/>
    <n v="0"/>
    <m/>
    <m/>
    <m/>
    <m/>
    <m/>
    <m/>
    <m/>
    <m/>
    <m/>
    <m/>
    <m/>
    <m/>
    <n v="0"/>
    <n v="0"/>
    <m/>
    <m/>
    <m/>
    <m/>
    <m/>
    <m/>
    <m/>
    <m/>
    <m/>
    <m/>
    <m/>
    <m/>
  </r>
  <r>
    <x v="15"/>
    <s v="Summers County School of Nursing"/>
    <m/>
    <s v="N/A"/>
    <x v="11"/>
    <n v="0"/>
    <n v="0"/>
    <m/>
    <m/>
    <m/>
    <m/>
    <m/>
    <m/>
    <m/>
    <m/>
    <m/>
    <m/>
    <m/>
    <m/>
    <n v="0"/>
    <n v="0"/>
    <m/>
    <m/>
    <m/>
    <m/>
    <m/>
    <m/>
    <m/>
    <m/>
    <m/>
    <m/>
    <m/>
    <m/>
  </r>
  <r>
    <x v="15"/>
    <s v="Wood County School of Practical Nursing"/>
    <m/>
    <n v="238096"/>
    <x v="11"/>
    <n v="0"/>
    <n v="0"/>
    <m/>
    <m/>
    <m/>
    <m/>
    <m/>
    <m/>
    <m/>
    <m/>
    <m/>
    <m/>
    <m/>
    <m/>
    <n v="0"/>
    <n v="0"/>
    <m/>
    <m/>
    <m/>
    <m/>
    <m/>
    <m/>
    <m/>
    <m/>
    <m/>
    <m/>
    <m/>
    <m/>
  </r>
  <r>
    <x v="15"/>
    <s v="West Virginia University"/>
    <m/>
    <n v="238032"/>
    <x v="0"/>
    <n v="657473"/>
    <n v="650502"/>
    <n v="591651"/>
    <n v="580662"/>
    <n v="1018"/>
    <n v="1093"/>
    <n v="62074"/>
    <n v="4"/>
    <n v="2726"/>
    <n v="64955"/>
    <n v="0"/>
    <n v="3792"/>
    <m/>
    <n v="0"/>
    <n v="98656"/>
    <n v="94979"/>
    <n v="66150"/>
    <n v="63100"/>
    <n v="3687"/>
    <n v="2859"/>
    <n v="28188"/>
    <n v="218"/>
    <n v="413"/>
    <n v="28405"/>
    <n v="3"/>
    <n v="612"/>
    <m/>
    <n v="0"/>
  </r>
  <r>
    <x v="15"/>
    <s v="Marshall University "/>
    <m/>
    <n v="237525"/>
    <x v="2"/>
    <n v="265653"/>
    <n v="264382"/>
    <n v="209848"/>
    <n v="203793"/>
    <n v="20373"/>
    <n v="22061"/>
    <n v="33679"/>
    <n v="1753"/>
    <m/>
    <n v="34898"/>
    <n v="3630"/>
    <n v="0"/>
    <m/>
    <n v="0"/>
    <n v="65963"/>
    <n v="70208"/>
    <n v="30967"/>
    <n v="36662"/>
    <n v="18894"/>
    <n v="17661"/>
    <n v="15677"/>
    <n v="425"/>
    <m/>
    <n v="15040"/>
    <n v="845"/>
    <n v="0"/>
    <m/>
    <n v="0"/>
  </r>
  <r>
    <x v="15"/>
    <s v="Fairmont State University"/>
    <m/>
    <n v="237367"/>
    <x v="4"/>
    <n v="101747"/>
    <n v="104251"/>
    <n v="77131"/>
    <n v="78761"/>
    <n v="7741"/>
    <n v="6198"/>
    <n v="16875"/>
    <m/>
    <m/>
    <n v="19292"/>
    <n v="0"/>
    <n v="0"/>
    <m/>
    <n v="0"/>
    <n v="3843"/>
    <n v="4331"/>
    <n v="746"/>
    <n v="1105"/>
    <m/>
    <n v="245"/>
    <n v="3097"/>
    <m/>
    <m/>
    <n v="2981"/>
    <n v="0"/>
    <n v="0"/>
    <m/>
    <n v="0"/>
  </r>
  <r>
    <x v="15"/>
    <s v="Shepherd University "/>
    <m/>
    <n v="237792"/>
    <x v="4"/>
    <n v="96671"/>
    <n v="91003"/>
    <n v="92096"/>
    <n v="84445"/>
    <n v="0"/>
    <n v="0"/>
    <n v="4575"/>
    <m/>
    <m/>
    <n v="6558"/>
    <n v="0"/>
    <n v="0"/>
    <m/>
    <n v="0"/>
    <n v="4212"/>
    <n v="5339"/>
    <n v="3357"/>
    <n v="4503"/>
    <m/>
    <n v="0"/>
    <n v="855"/>
    <m/>
    <m/>
    <n v="836"/>
    <n v="0"/>
    <n v="0"/>
    <m/>
    <n v="0"/>
  </r>
  <r>
    <x v="15"/>
    <s v="Bluefield State College "/>
    <m/>
    <n v="237215"/>
    <x v="5"/>
    <n v="39479"/>
    <n v="37239"/>
    <n v="19445"/>
    <n v="17710"/>
    <n v="3422"/>
    <n v="3125"/>
    <n v="12793"/>
    <n v="3819"/>
    <m/>
    <n v="13469"/>
    <n v="2935"/>
    <n v="0"/>
    <m/>
    <n v="0"/>
    <n v="0"/>
    <n v="0"/>
    <m/>
    <m/>
    <m/>
    <m/>
    <m/>
    <m/>
    <m/>
    <m/>
    <m/>
    <m/>
    <m/>
    <m/>
  </r>
  <r>
    <x v="15"/>
    <s v="Concord University "/>
    <s v="Reclassified: Met the criteria for Four-Year 5 in 2014-15, 2015-16, and 2016-17."/>
    <n v="237330"/>
    <x v="4"/>
    <n v="62917"/>
    <n v="61027"/>
    <n v="45384"/>
    <n v="42219"/>
    <n v="7938"/>
    <n v="7166"/>
    <n v="9462"/>
    <n v="69"/>
    <n v="64"/>
    <n v="11555"/>
    <n v="87"/>
    <n v="0"/>
    <m/>
    <n v="0"/>
    <n v="6111"/>
    <n v="6084"/>
    <n v="144"/>
    <n v="369"/>
    <m/>
    <n v="0"/>
    <n v="5967"/>
    <m/>
    <m/>
    <n v="5715"/>
    <n v="0"/>
    <n v="0"/>
    <m/>
    <n v="0"/>
  </r>
  <r>
    <x v="15"/>
    <s v="Glenville State College "/>
    <m/>
    <n v="237385"/>
    <x v="5"/>
    <n v="37395"/>
    <n v="36516"/>
    <n v="29210"/>
    <n v="29398"/>
    <n v="3082"/>
    <n v="2694"/>
    <n v="5103"/>
    <m/>
    <m/>
    <n v="4424"/>
    <n v="0"/>
    <n v="0"/>
    <m/>
    <n v="0"/>
    <n v="0"/>
    <n v="0"/>
    <m/>
    <m/>
    <m/>
    <m/>
    <m/>
    <m/>
    <m/>
    <m/>
    <m/>
    <m/>
    <m/>
    <m/>
  </r>
  <r>
    <x v="15"/>
    <s v="West Liberty University"/>
    <s v="Reclassified: Met the criteria for Four-Year 5 in 2014-15, 2015-16, and 2016-17."/>
    <n v="237932"/>
    <x v="4"/>
    <n v="66054"/>
    <n v="61051"/>
    <n v="56055"/>
    <n v="52133"/>
    <n v="3432"/>
    <n v="2504"/>
    <n v="6567"/>
    <m/>
    <m/>
    <n v="6414"/>
    <n v="0"/>
    <n v="0"/>
    <m/>
    <n v="0"/>
    <n v="4392"/>
    <n v="4194"/>
    <n v="2067"/>
    <n v="2016"/>
    <n v="1479"/>
    <n v="1188"/>
    <n v="846"/>
    <m/>
    <m/>
    <n v="990"/>
    <n v="0"/>
    <n v="0"/>
    <m/>
    <n v="0"/>
  </r>
  <r>
    <x v="15"/>
    <s v="West Virginia State University "/>
    <m/>
    <n v="237899"/>
    <x v="5"/>
    <n v="67364"/>
    <n v="65642"/>
    <n v="46501"/>
    <n v="42208"/>
    <n v="4739"/>
    <n v="7680"/>
    <n v="16124"/>
    <m/>
    <m/>
    <n v="15754"/>
    <n v="0"/>
    <n v="0"/>
    <m/>
    <n v="0"/>
    <n v="855"/>
    <n v="1265"/>
    <n v="684"/>
    <n v="845"/>
    <m/>
    <n v="108"/>
    <n v="171"/>
    <m/>
    <m/>
    <n v="312"/>
    <n v="0"/>
    <n v="0"/>
    <m/>
    <n v="0"/>
  </r>
  <r>
    <x v="15"/>
    <s v="West Virginia University at Parkersburg"/>
    <m/>
    <n v="237686"/>
    <x v="5"/>
    <n v="60616"/>
    <n v="57695"/>
    <n v="37360"/>
    <n v="33433"/>
    <n v="7291"/>
    <n v="6295"/>
    <n v="9690"/>
    <m/>
    <n v="6275"/>
    <n v="17718"/>
    <n v="0"/>
    <n v="249"/>
    <m/>
    <n v="0"/>
    <n v="0"/>
    <n v="0"/>
    <m/>
    <m/>
    <m/>
    <m/>
    <m/>
    <m/>
    <m/>
    <m/>
    <m/>
    <m/>
    <m/>
    <m/>
  </r>
  <r>
    <x v="15"/>
    <s v="West Virginia University Institute of Technology"/>
    <m/>
    <n v="237950"/>
    <x v="5"/>
    <n v="32817"/>
    <n v="32663"/>
    <n v="27210"/>
    <n v="27114"/>
    <n v="834"/>
    <n v="453"/>
    <n v="4773"/>
    <m/>
    <m/>
    <n v="5096"/>
    <n v="0"/>
    <n v="0"/>
    <m/>
    <n v="0"/>
    <n v="0"/>
    <n v="0"/>
    <m/>
    <m/>
    <m/>
    <m/>
    <m/>
    <m/>
    <m/>
    <m/>
    <m/>
    <m/>
    <m/>
    <m/>
  </r>
  <r>
    <x v="15"/>
    <s v="Potomac State College of West Virginia University"/>
    <m/>
    <n v="237701"/>
    <x v="12"/>
    <n v="37552"/>
    <n v="34802"/>
    <n v="31629"/>
    <n v="29351"/>
    <n v="2339"/>
    <n v="2400"/>
    <n v="3584"/>
    <m/>
    <m/>
    <n v="3051"/>
    <n v="0"/>
    <n v="0"/>
    <m/>
    <n v="0"/>
    <n v="0"/>
    <n v="0"/>
    <m/>
    <m/>
    <m/>
    <m/>
    <m/>
    <m/>
    <m/>
    <m/>
    <m/>
    <m/>
    <m/>
    <m/>
  </r>
  <r>
    <x v="15"/>
    <s v="New River Community &amp; Technical College"/>
    <s v="Reclassified: Met the criteria for Two-Year 3 in 2014-15 and 2015-16 and 2016-17."/>
    <n v="447582"/>
    <x v="8"/>
    <n v="42596"/>
    <n v="36968"/>
    <n v="26671"/>
    <n v="23169"/>
    <n v="469"/>
    <n v="0"/>
    <n v="11531"/>
    <n v="3925"/>
    <m/>
    <n v="11436"/>
    <n v="2363"/>
    <n v="0"/>
    <m/>
    <n v="0"/>
    <n v="0"/>
    <n v="0"/>
    <m/>
    <m/>
    <m/>
    <m/>
    <m/>
    <m/>
    <m/>
    <m/>
    <m/>
    <m/>
    <m/>
    <m/>
  </r>
  <r>
    <x v="15"/>
    <s v="Pierpont Community &amp; Technical College"/>
    <s v="Reclassified: Met the criteria for Two-Year 3 in 2014-15 and 2015-16 and 2016-17."/>
    <n v="443492"/>
    <x v="8"/>
    <n v="44759"/>
    <n v="41041"/>
    <n v="20364"/>
    <n v="16911"/>
    <n v="17802"/>
    <n v="16613"/>
    <n v="6593"/>
    <m/>
    <m/>
    <n v="7517"/>
    <n v="0"/>
    <n v="0"/>
    <m/>
    <n v="0"/>
    <n v="0"/>
    <n v="0"/>
    <m/>
    <m/>
    <m/>
    <m/>
    <m/>
    <m/>
    <m/>
    <m/>
    <m/>
    <m/>
    <m/>
    <m/>
  </r>
  <r>
    <x v="15"/>
    <s v="Blue Ridge Community &amp; Technical College"/>
    <m/>
    <n v="446774"/>
    <x v="8"/>
    <n v="60038"/>
    <n v="58674"/>
    <n v="33664"/>
    <n v="32943"/>
    <n v="12108"/>
    <n v="11526"/>
    <n v="14266"/>
    <m/>
    <m/>
    <n v="14205"/>
    <n v="0"/>
    <n v="0"/>
    <m/>
    <n v="0"/>
    <n v="0"/>
    <n v="0"/>
    <m/>
    <m/>
    <m/>
    <m/>
    <m/>
    <m/>
    <m/>
    <m/>
    <m/>
    <m/>
    <m/>
    <m/>
  </r>
  <r>
    <x v="15"/>
    <s v="BridgeValley Community &amp; Technical College"/>
    <s v="New"/>
    <n v="484932"/>
    <x v="8"/>
    <n v="43469"/>
    <n v="41698"/>
    <n v="35432"/>
    <n v="33965"/>
    <n v="645"/>
    <n v="460"/>
    <n v="7392"/>
    <m/>
    <m/>
    <n v="7273"/>
    <n v="0"/>
    <n v="0"/>
    <m/>
    <n v="0"/>
    <n v="0"/>
    <n v="0"/>
    <m/>
    <m/>
    <m/>
    <m/>
    <m/>
    <m/>
    <m/>
    <m/>
    <m/>
    <m/>
    <m/>
    <m/>
  </r>
  <r>
    <x v="15"/>
    <s v="Eastern West Virginia Community &amp; Technical College"/>
    <m/>
    <n v="438708"/>
    <x v="8"/>
    <n v="13604"/>
    <n v="11326"/>
    <n v="5936"/>
    <n v="4753"/>
    <n v="3923"/>
    <n v="3225"/>
    <n v="3745"/>
    <m/>
    <m/>
    <n v="3348"/>
    <n v="0"/>
    <n v="0"/>
    <m/>
    <n v="0"/>
    <n v="0"/>
    <n v="0"/>
    <m/>
    <m/>
    <m/>
    <m/>
    <m/>
    <m/>
    <m/>
    <m/>
    <m/>
    <m/>
    <m/>
    <m/>
  </r>
  <r>
    <x v="15"/>
    <s v="Mountwest Community &amp; Technical College"/>
    <m/>
    <n v="444954"/>
    <x v="8"/>
    <n v="45274"/>
    <n v="45643"/>
    <n v="25162"/>
    <n v="25789"/>
    <n v="8848"/>
    <n v="8524"/>
    <n v="11264"/>
    <m/>
    <m/>
    <n v="11330"/>
    <n v="0"/>
    <n v="0"/>
    <m/>
    <n v="0"/>
    <n v="0"/>
    <n v="0"/>
    <m/>
    <m/>
    <m/>
    <m/>
    <m/>
    <m/>
    <m/>
    <m/>
    <m/>
    <m/>
    <m/>
    <m/>
  </r>
  <r>
    <x v="15"/>
    <s v="Southern West Virginia Community &amp; Technical College "/>
    <m/>
    <n v="237817"/>
    <x v="8"/>
    <n v="37461"/>
    <n v="38388"/>
    <n v="23695"/>
    <n v="23322"/>
    <n v="1414"/>
    <n v="1196"/>
    <n v="8919"/>
    <n v="3433"/>
    <m/>
    <n v="11388"/>
    <n v="2482"/>
    <n v="0"/>
    <m/>
    <n v="0"/>
    <n v="0"/>
    <n v="0"/>
    <m/>
    <m/>
    <m/>
    <m/>
    <m/>
    <m/>
    <m/>
    <m/>
    <m/>
    <m/>
    <m/>
    <m/>
  </r>
  <r>
    <x v="15"/>
    <s v="West Virginia Northern Community College"/>
    <m/>
    <n v="238014"/>
    <x v="8"/>
    <n v="39484"/>
    <n v="37817"/>
    <n v="27897"/>
    <n v="25674"/>
    <n v="0"/>
    <n v="0"/>
    <n v="10036"/>
    <n v="1551"/>
    <m/>
    <n v="10011"/>
    <n v="2132"/>
    <n v="0"/>
    <m/>
    <n v="0"/>
    <n v="0"/>
    <n v="0"/>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A03367-BBBE-4A2F-8913-349656B5B156}" name="PivotTable1" cacheId="1" dataOnRows="1"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location ref="A3:S617" firstHeaderRow="1" firstDataRow="3" firstDataCol="2"/>
  <pivotFields count="74">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17">
        <item x="0"/>
        <item x="1"/>
        <item x="2"/>
        <item x="3"/>
        <item x="4"/>
        <item x="5"/>
        <item x="11"/>
        <item x="12"/>
        <item x="6"/>
        <item x="7"/>
        <item x="8"/>
        <item x="9"/>
        <item x="10"/>
        <item h="1" m="1" x="15"/>
        <item h="1" x="14"/>
        <item h="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7">
        <item n="Four-Year +" x="3"/>
        <item n="Two-Year" x="4"/>
        <item n="Technical" x="5"/>
        <item h="1" x="2"/>
        <item h="1" x="1"/>
        <item h="1" x="0"/>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1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rowItems>
  <colFields count="2">
    <field x="70"/>
    <field x="4"/>
  </colFields>
  <colItems count="17">
    <i>
      <x/>
      <x/>
    </i>
    <i r="1">
      <x v="1"/>
    </i>
    <i r="1">
      <x v="2"/>
    </i>
    <i r="1">
      <x v="3"/>
    </i>
    <i r="1">
      <x v="4"/>
    </i>
    <i r="1">
      <x v="5"/>
    </i>
    <i r="1">
      <x v="6"/>
    </i>
    <i t="default">
      <x/>
    </i>
    <i>
      <x v="1"/>
      <x v="7"/>
    </i>
    <i r="1">
      <x v="8"/>
    </i>
    <i r="1">
      <x v="9"/>
    </i>
    <i r="1">
      <x v="10"/>
    </i>
    <i t="default">
      <x v="1"/>
    </i>
    <i>
      <x v="2"/>
      <x v="11"/>
    </i>
    <i r="1">
      <x v="12"/>
    </i>
    <i t="default">
      <x v="2"/>
    </i>
    <i t="grand">
      <x/>
    </i>
  </colItems>
  <dataFields count="36">
    <dataField name=" Old %UG OnC Trad" fld="69" baseField="0" baseItem="0"/>
    <dataField name=" New %UG OnC Trad" fld="68" baseField="0" baseItem="0"/>
    <dataField name=" Change %UG OnC Trad" fld="51" baseField="0" baseItem="0"/>
    <dataField name=" Old %UG OffC Trad" fld="73" baseField="0" baseItem="0"/>
    <dataField name=" New %UG OffC Trad" fld="67" baseField="0" baseItem="0"/>
    <dataField name=" Change %UG OffC Trad" fld="54" baseField="0" baseItem="5"/>
    <dataField name=" Old %UG EL Web" fld="35" baseField="0" baseItem="0"/>
    <dataField name=" New %UG EL Web" fld="36" baseField="0" baseItem="0"/>
    <dataField name=" Change %UG EL Web" fld="55" baseField="0" baseItem="0"/>
    <dataField name=" Old %UG EL CV" fld="42" baseField="0" baseItem="0"/>
    <dataField name=" New %UG EL CV" fld="41" baseField="0" baseItem="0"/>
    <dataField name=" Change %UG EL CV" fld="58" baseField="0" baseItem="0"/>
    <dataField name=" Old %UG EL O" fld="43" baseField="0" baseItem="0"/>
    <dataField name=" New %UG EL O" fld="44" baseField="0" baseItem="0"/>
    <dataField name=" Change %UG EL O" fld="59" baseField="0" baseItem="0"/>
    <dataField name=" Old %UG Cor" fld="50" baseField="0" baseItem="0"/>
    <dataField name=" New %UG Cor" fld="49" baseField="0" baseItem="0"/>
    <dataField name=" Change %UG Cor" fld="62" baseField="0" baseItem="0"/>
    <dataField name=" Old %G OnC Trad" fld="71" baseField="0" baseItem="0"/>
    <dataField name=" New %G OnC Trad" fld="33" baseField="0" baseItem="0"/>
    <dataField name=" Change %G OnC Trad" fld="52" baseField="0" baseItem="0"/>
    <dataField name=" Old %G OffC Trad" fld="72" baseField="0" baseItem="0"/>
    <dataField name=" New %G OffC Trad" fld="34" baseField="0" baseItem="0"/>
    <dataField name=" Change %G OffC Trad" fld="53" baseField="0" baseItem="0"/>
    <dataField name=" Old %G EL Web" fld="38" baseField="0" baseItem="0"/>
    <dataField name=" New %G EL Web" fld="37" baseField="0" baseItem="0"/>
    <dataField name=" Change %G EL Web" fld="56" baseField="0" baseItem="0"/>
    <dataField name=" Old %G EL CV" fld="39" baseField="0" baseItem="0"/>
    <dataField name=" New %G EL CV" fld="40" baseField="0" baseItem="0"/>
    <dataField name=" Change %G EL CV" fld="57" baseField="0" baseItem="0"/>
    <dataField name=" Old %G EL O" fld="46" baseField="0" baseItem="0"/>
    <dataField name=" New %G EL O" fld="45" baseField="0" baseItem="0"/>
    <dataField name=" Change %G EL O" fld="60" baseField="0" baseItem="0"/>
    <dataField name=" Old %G Cor" fld="47" baseField="0" baseItem="0"/>
    <dataField name=" New %G Cor" fld="48" baseField="0" baseItem="0"/>
    <dataField name=" Change %G Cor" fld="61" baseField="0" baseItem="0"/>
  </dataFields>
  <formats count="1688">
    <format dxfId="3522">
      <pivotArea field="4" type="button" dataOnly="0" labelOnly="1" outline="0" axis="axisCol" fieldPosition="1"/>
    </format>
    <format dxfId="3521">
      <pivotArea type="topRight" dataOnly="0" labelOnly="1" outline="0" fieldPosition="0"/>
    </format>
    <format dxfId="3520">
      <pivotArea dataOnly="0" labelOnly="1" grandCol="1" outline="0" fieldPosition="0"/>
    </format>
    <format dxfId="3519">
      <pivotArea outline="0" fieldPosition="0"/>
    </format>
    <format dxfId="3518">
      <pivotArea dataOnly="0" labelOnly="1" outline="0" offset="IV256" fieldPosition="0">
        <references count="1">
          <reference field="0" count="1">
            <x v="9"/>
          </reference>
        </references>
      </pivotArea>
    </format>
    <format dxfId="3517">
      <pivotArea dataOnly="0" labelOnly="1" outline="0" fieldPosition="0">
        <references count="1">
          <reference field="0" count="0"/>
        </references>
      </pivotArea>
    </format>
    <format dxfId="3516">
      <pivotArea type="origin" dataOnly="0" labelOnly="1" outline="0" fieldPosition="0"/>
    </format>
    <format dxfId="3515">
      <pivotArea field="0" type="button" dataOnly="0" labelOnly="1" outline="0" axis="axisRow" fieldPosition="0"/>
    </format>
    <format dxfId="3514">
      <pivotArea field="-2" type="button" dataOnly="0" labelOnly="1" outline="0" axis="axisRow" fieldPosition="1"/>
    </format>
    <format dxfId="3513">
      <pivotArea field="4" type="button" dataOnly="0" labelOnly="1" outline="0" axis="axisCol" fieldPosition="1"/>
    </format>
    <format dxfId="3512">
      <pivotArea type="topRight" dataOnly="0" labelOnly="1" outline="0" fieldPosition="0"/>
    </format>
    <format dxfId="3511">
      <pivotArea dataOnly="0" labelOnly="1" grandCol="1" outline="0" offset="IV256" fieldPosition="0"/>
    </format>
    <format dxfId="3510">
      <pivotArea field="0" grandRow="1" outline="0" axis="axisRow" fieldPosition="0">
        <references count="1">
          <reference field="4294967294" count="1" selected="0">
            <x v="35"/>
          </reference>
        </references>
      </pivotArea>
    </format>
    <format dxfId="3509">
      <pivotArea field="0" dataOnly="0" labelOnly="1" grandRow="1" outline="0" axis="axisRow" fieldPosition="0">
        <references count="1">
          <reference field="4294967294" count="1" selected="0">
            <x v="0"/>
          </reference>
        </references>
      </pivotArea>
    </format>
    <format dxfId="3508">
      <pivotArea field="0" dataOnly="0" labelOnly="1" grandRow="1" outline="0" axis="axisRow" fieldPosition="0">
        <references count="1">
          <reference field="4294967294" count="1" selected="0">
            <x v="1"/>
          </reference>
        </references>
      </pivotArea>
    </format>
    <format dxfId="3507">
      <pivotArea field="0" dataOnly="0" labelOnly="1" grandRow="1" outline="0" axis="axisRow" fieldPosition="0">
        <references count="1">
          <reference field="4294967294" count="1" selected="0">
            <x v="3"/>
          </reference>
        </references>
      </pivotArea>
    </format>
    <format dxfId="3506">
      <pivotArea field="0" dataOnly="0" labelOnly="1" grandRow="1" outline="0" axis="axisRow" fieldPosition="0">
        <references count="1">
          <reference field="4294967294" count="1" selected="0">
            <x v="4"/>
          </reference>
        </references>
      </pivotArea>
    </format>
    <format dxfId="3505">
      <pivotArea field="0" dataOnly="0" labelOnly="1" grandRow="1" outline="0" axis="axisRow" fieldPosition="0">
        <references count="1">
          <reference field="4294967294" count="1" selected="0">
            <x v="5"/>
          </reference>
        </references>
      </pivotArea>
    </format>
    <format dxfId="3504">
      <pivotArea field="0" dataOnly="0" labelOnly="1" grandRow="1" outline="0" axis="axisRow" fieldPosition="0">
        <references count="1">
          <reference field="4294967294" count="1" selected="0">
            <x v="6"/>
          </reference>
        </references>
      </pivotArea>
    </format>
    <format dxfId="3503">
      <pivotArea field="0" dataOnly="0" labelOnly="1" grandRow="1" outline="0" axis="axisRow" fieldPosition="0">
        <references count="1">
          <reference field="4294967294" count="1" selected="0">
            <x v="7"/>
          </reference>
        </references>
      </pivotArea>
    </format>
    <format dxfId="3502">
      <pivotArea field="0" dataOnly="0" labelOnly="1" grandRow="1" outline="0" axis="axisRow" fieldPosition="0">
        <references count="1">
          <reference field="4294967294" count="1" selected="0">
            <x v="8"/>
          </reference>
        </references>
      </pivotArea>
    </format>
    <format dxfId="3501">
      <pivotArea field="0" dataOnly="0" labelOnly="1" grandRow="1" outline="0" axis="axisRow" fieldPosition="0">
        <references count="1">
          <reference field="4294967294" count="1" selected="0">
            <x v="9"/>
          </reference>
        </references>
      </pivotArea>
    </format>
    <format dxfId="3500">
      <pivotArea field="0" dataOnly="0" labelOnly="1" grandRow="1" outline="0" axis="axisRow" fieldPosition="0">
        <references count="1">
          <reference field="4294967294" count="1" selected="0">
            <x v="10"/>
          </reference>
        </references>
      </pivotArea>
    </format>
    <format dxfId="3499">
      <pivotArea field="0" dataOnly="0" labelOnly="1" grandRow="1" outline="0" axis="axisRow" fieldPosition="0">
        <references count="1">
          <reference field="4294967294" count="1" selected="0">
            <x v="11"/>
          </reference>
        </references>
      </pivotArea>
    </format>
    <format dxfId="3498">
      <pivotArea field="0" dataOnly="0" labelOnly="1" grandRow="1" outline="0" axis="axisRow" fieldPosition="0">
        <references count="1">
          <reference field="4294967294" count="1" selected="0">
            <x v="12"/>
          </reference>
        </references>
      </pivotArea>
    </format>
    <format dxfId="3497">
      <pivotArea field="0" dataOnly="0" labelOnly="1" grandRow="1" outline="0" axis="axisRow" fieldPosition="0">
        <references count="1">
          <reference field="4294967294" count="1" selected="0">
            <x v="13"/>
          </reference>
        </references>
      </pivotArea>
    </format>
    <format dxfId="3496">
      <pivotArea field="0" dataOnly="0" labelOnly="1" grandRow="1" outline="0" axis="axisRow" fieldPosition="0">
        <references count="1">
          <reference field="4294967294" count="1" selected="0">
            <x v="14"/>
          </reference>
        </references>
      </pivotArea>
    </format>
    <format dxfId="3495">
      <pivotArea field="0" dataOnly="0" labelOnly="1" grandRow="1" outline="0" axis="axisRow" fieldPosition="0">
        <references count="1">
          <reference field="4294967294" count="1" selected="0">
            <x v="15"/>
          </reference>
        </references>
      </pivotArea>
    </format>
    <format dxfId="3494">
      <pivotArea field="0" dataOnly="0" labelOnly="1" grandRow="1" outline="0" axis="axisRow" fieldPosition="0">
        <references count="1">
          <reference field="4294967294" count="1" selected="0">
            <x v="16"/>
          </reference>
        </references>
      </pivotArea>
    </format>
    <format dxfId="3493">
      <pivotArea field="0" dataOnly="0" labelOnly="1" grandRow="1" outline="0" axis="axisRow" fieldPosition="0">
        <references count="1">
          <reference field="4294967294" count="1" selected="0">
            <x v="17"/>
          </reference>
        </references>
      </pivotArea>
    </format>
    <format dxfId="3492">
      <pivotArea field="0" dataOnly="0" labelOnly="1" grandRow="1" outline="0" axis="axisRow" fieldPosition="0">
        <references count="1">
          <reference field="4294967294" count="1" selected="0">
            <x v="18"/>
          </reference>
        </references>
      </pivotArea>
    </format>
    <format dxfId="3491">
      <pivotArea field="0" dataOnly="0" labelOnly="1" grandRow="1" outline="0" axis="axisRow" fieldPosition="0">
        <references count="1">
          <reference field="4294967294" count="1" selected="0">
            <x v="19"/>
          </reference>
        </references>
      </pivotArea>
    </format>
    <format dxfId="3490">
      <pivotArea field="0" dataOnly="0" labelOnly="1" grandRow="1" outline="0" axis="axisRow" fieldPosition="0">
        <references count="1">
          <reference field="4294967294" count="1" selected="0">
            <x v="20"/>
          </reference>
        </references>
      </pivotArea>
    </format>
    <format dxfId="3489">
      <pivotArea field="0" dataOnly="0" labelOnly="1" grandRow="1" outline="0" axis="axisRow" fieldPosition="0">
        <references count="1">
          <reference field="4294967294" count="1" selected="0">
            <x v="21"/>
          </reference>
        </references>
      </pivotArea>
    </format>
    <format dxfId="3488">
      <pivotArea field="0" dataOnly="0" labelOnly="1" grandRow="1" outline="0" axis="axisRow" fieldPosition="0">
        <references count="1">
          <reference field="4294967294" count="1" selected="0">
            <x v="22"/>
          </reference>
        </references>
      </pivotArea>
    </format>
    <format dxfId="3487">
      <pivotArea field="0" dataOnly="0" labelOnly="1" grandRow="1" outline="0" axis="axisRow" fieldPosition="0">
        <references count="1">
          <reference field="4294967294" count="1" selected="0">
            <x v="23"/>
          </reference>
        </references>
      </pivotArea>
    </format>
    <format dxfId="3486">
      <pivotArea field="0" dataOnly="0" labelOnly="1" grandRow="1" outline="0" axis="axisRow" fieldPosition="0">
        <references count="1">
          <reference field="4294967294" count="1" selected="0">
            <x v="24"/>
          </reference>
        </references>
      </pivotArea>
    </format>
    <format dxfId="3485">
      <pivotArea field="0" dataOnly="0" labelOnly="1" grandRow="1" outline="0" axis="axisRow" fieldPosition="0">
        <references count="1">
          <reference field="4294967294" count="1" selected="0">
            <x v="25"/>
          </reference>
        </references>
      </pivotArea>
    </format>
    <format dxfId="3484">
      <pivotArea field="0" dataOnly="0" labelOnly="1" grandRow="1" outline="0" axis="axisRow" fieldPosition="0">
        <references count="1">
          <reference field="4294967294" count="1" selected="0">
            <x v="26"/>
          </reference>
        </references>
      </pivotArea>
    </format>
    <format dxfId="3483">
      <pivotArea field="0" dataOnly="0" labelOnly="1" grandRow="1" outline="0" axis="axisRow" fieldPosition="0">
        <references count="1">
          <reference field="4294967294" count="1" selected="0">
            <x v="27"/>
          </reference>
        </references>
      </pivotArea>
    </format>
    <format dxfId="3482">
      <pivotArea field="0" dataOnly="0" labelOnly="1" grandRow="1" outline="0" axis="axisRow" fieldPosition="0">
        <references count="1">
          <reference field="4294967294" count="1" selected="0">
            <x v="28"/>
          </reference>
        </references>
      </pivotArea>
    </format>
    <format dxfId="3481">
      <pivotArea field="0" dataOnly="0" labelOnly="1" grandRow="1" outline="0" axis="axisRow" fieldPosition="0">
        <references count="1">
          <reference field="4294967294" count="1" selected="0">
            <x v="29"/>
          </reference>
        </references>
      </pivotArea>
    </format>
    <format dxfId="3480">
      <pivotArea field="0" dataOnly="0" labelOnly="1" grandRow="1" outline="0" axis="axisRow" fieldPosition="0">
        <references count="1">
          <reference field="4294967294" count="1" selected="0">
            <x v="30"/>
          </reference>
        </references>
      </pivotArea>
    </format>
    <format dxfId="3479">
      <pivotArea field="0" dataOnly="0" labelOnly="1" grandRow="1" outline="0" axis="axisRow" fieldPosition="0">
        <references count="1">
          <reference field="4294967294" count="1" selected="0">
            <x v="31"/>
          </reference>
        </references>
      </pivotArea>
    </format>
    <format dxfId="3478">
      <pivotArea field="0" dataOnly="0" labelOnly="1" grandRow="1" outline="0" axis="axisRow" fieldPosition="0">
        <references count="1">
          <reference field="4294967294" count="1" selected="0">
            <x v="32"/>
          </reference>
        </references>
      </pivotArea>
    </format>
    <format dxfId="3477">
      <pivotArea field="0" dataOnly="0" labelOnly="1" grandRow="1" outline="0" axis="axisRow" fieldPosition="0">
        <references count="1">
          <reference field="4294967294" count="1" selected="0">
            <x v="33"/>
          </reference>
        </references>
      </pivotArea>
    </format>
    <format dxfId="3476">
      <pivotArea field="0" dataOnly="0" labelOnly="1" grandRow="1" outline="0" axis="axisRow" fieldPosition="0">
        <references count="1">
          <reference field="4294967294" count="1" selected="0">
            <x v="34"/>
          </reference>
        </references>
      </pivotArea>
    </format>
    <format dxfId="3475">
      <pivotArea field="0" dataOnly="0" labelOnly="1" grandRow="1" outline="0" axis="axisRow" fieldPosition="0">
        <references count="1">
          <reference field="4294967294" count="1" selected="0">
            <x v="35"/>
          </reference>
        </references>
      </pivotArea>
    </format>
    <format dxfId="3474">
      <pivotArea field="0" grandRow="1" outline="0" axis="axisRow" fieldPosition="0">
        <references count="1">
          <reference field="4294967294" count="1" selected="0">
            <x v="5"/>
          </reference>
        </references>
      </pivotArea>
    </format>
    <format dxfId="3473">
      <pivotArea field="0" grandRow="1" outline="0" axis="axisRow" fieldPosition="0">
        <references count="1">
          <reference field="4294967294" count="1" selected="0">
            <x v="8"/>
          </reference>
        </references>
      </pivotArea>
    </format>
    <format dxfId="3472">
      <pivotArea field="0" grandRow="1" outline="0" axis="axisRow" fieldPosition="0">
        <references count="1">
          <reference field="4294967294" count="1" selected="0">
            <x v="11"/>
          </reference>
        </references>
      </pivotArea>
    </format>
    <format dxfId="3471">
      <pivotArea field="0" grandRow="1" outline="0" axis="axisRow" fieldPosition="0">
        <references count="1">
          <reference field="4294967294" count="1" selected="0">
            <x v="14"/>
          </reference>
        </references>
      </pivotArea>
    </format>
    <format dxfId="3470">
      <pivotArea field="0" grandRow="1" outline="0" axis="axisRow" fieldPosition="0">
        <references count="1">
          <reference field="4294967294" count="1" selected="0">
            <x v="17"/>
          </reference>
        </references>
      </pivotArea>
    </format>
    <format dxfId="3469">
      <pivotArea field="0" grandRow="1" outline="0" axis="axisRow" fieldPosition="0">
        <references count="1">
          <reference field="4294967294" count="1" selected="0">
            <x v="20"/>
          </reference>
        </references>
      </pivotArea>
    </format>
    <format dxfId="3468">
      <pivotArea field="0" grandRow="1" outline="0" axis="axisRow" fieldPosition="0">
        <references count="1">
          <reference field="4294967294" count="1" selected="0">
            <x v="23"/>
          </reference>
        </references>
      </pivotArea>
    </format>
    <format dxfId="3467">
      <pivotArea field="0" grandRow="1" outline="0" axis="axisRow" fieldPosition="0">
        <references count="1">
          <reference field="4294967294" count="1" selected="0">
            <x v="26"/>
          </reference>
        </references>
      </pivotArea>
    </format>
    <format dxfId="3466">
      <pivotArea field="0" grandRow="1" outline="0" axis="axisRow" fieldPosition="0">
        <references count="1">
          <reference field="4294967294" count="1" selected="0">
            <x v="29"/>
          </reference>
        </references>
      </pivotArea>
    </format>
    <format dxfId="3465">
      <pivotArea field="0" grandRow="1" outline="0" axis="axisRow" fieldPosition="0">
        <references count="1">
          <reference field="4294967294" count="1" selected="0">
            <x v="32"/>
          </reference>
        </references>
      </pivotArea>
    </format>
    <format dxfId="3464">
      <pivotArea field="0" grandRow="1" outline="0" axis="axisRow" fieldPosition="0">
        <references count="1">
          <reference field="4294967294" count="1" selected="0">
            <x v="35"/>
          </reference>
        </references>
      </pivotArea>
    </format>
    <format dxfId="3463">
      <pivotArea field="4" type="button" dataOnly="0" labelOnly="1" outline="0" axis="axisCol" fieldPosition="1"/>
    </format>
    <format dxfId="3462">
      <pivotArea type="topRight" dataOnly="0" labelOnly="1" outline="0" fieldPosition="0"/>
    </format>
    <format dxfId="3461">
      <pivotArea type="topRight" dataOnly="0" labelOnly="1" outline="0" offset="O1" fieldPosition="0"/>
    </format>
    <format dxfId="3460">
      <pivotArea type="origin" dataOnly="0" labelOnly="1" outline="0" offset="A2:B2" fieldPosition="0"/>
    </format>
    <format dxfId="3459">
      <pivotArea field="0" dataOnly="0" labelOnly="1" grandRow="1" outline="0" axis="axisRow" fieldPosition="0">
        <references count="1">
          <reference field="4294967294" count="1" selected="0">
            <x v="0"/>
          </reference>
        </references>
      </pivotArea>
    </format>
    <format dxfId="3458">
      <pivotArea field="0" dataOnly="0" labelOnly="1" grandRow="1" outline="0" axis="axisRow" fieldPosition="0">
        <references count="1">
          <reference field="4294967294" count="1" selected="0">
            <x v="1"/>
          </reference>
        </references>
      </pivotArea>
    </format>
    <format dxfId="3457">
      <pivotArea field="0" dataOnly="0" labelOnly="1" grandRow="1" outline="0" axis="axisRow" fieldPosition="0">
        <references count="1">
          <reference field="4294967294" count="1" selected="0">
            <x v="3"/>
          </reference>
        </references>
      </pivotArea>
    </format>
    <format dxfId="3456">
      <pivotArea field="0" dataOnly="0" labelOnly="1" grandRow="1" outline="0" axis="axisRow" fieldPosition="0">
        <references count="1">
          <reference field="4294967294" count="1" selected="0">
            <x v="4"/>
          </reference>
        </references>
      </pivotArea>
    </format>
    <format dxfId="3455">
      <pivotArea field="0" dataOnly="0" labelOnly="1" grandRow="1" outline="0" axis="axisRow" fieldPosition="0">
        <references count="1">
          <reference field="4294967294" count="1" selected="0">
            <x v="5"/>
          </reference>
        </references>
      </pivotArea>
    </format>
    <format dxfId="3454">
      <pivotArea field="0" dataOnly="0" labelOnly="1" grandRow="1" outline="0" axis="axisRow" fieldPosition="0">
        <references count="1">
          <reference field="4294967294" count="1" selected="0">
            <x v="6"/>
          </reference>
        </references>
      </pivotArea>
    </format>
    <format dxfId="3453">
      <pivotArea field="0" dataOnly="0" labelOnly="1" grandRow="1" outline="0" axis="axisRow" fieldPosition="0">
        <references count="1">
          <reference field="4294967294" count="1" selected="0">
            <x v="7"/>
          </reference>
        </references>
      </pivotArea>
    </format>
    <format dxfId="3452">
      <pivotArea field="0" dataOnly="0" labelOnly="1" grandRow="1" outline="0" axis="axisRow" fieldPosition="0">
        <references count="1">
          <reference field="4294967294" count="1" selected="0">
            <x v="8"/>
          </reference>
        </references>
      </pivotArea>
    </format>
    <format dxfId="3451">
      <pivotArea field="0" dataOnly="0" labelOnly="1" grandRow="1" outline="0" axis="axisRow" fieldPosition="0">
        <references count="1">
          <reference field="4294967294" count="1" selected="0">
            <x v="9"/>
          </reference>
        </references>
      </pivotArea>
    </format>
    <format dxfId="3450">
      <pivotArea field="0" dataOnly="0" labelOnly="1" grandRow="1" outline="0" axis="axisRow" fieldPosition="0">
        <references count="1">
          <reference field="4294967294" count="1" selected="0">
            <x v="10"/>
          </reference>
        </references>
      </pivotArea>
    </format>
    <format dxfId="3449">
      <pivotArea field="0" dataOnly="0" labelOnly="1" grandRow="1" outline="0" axis="axisRow" fieldPosition="0">
        <references count="1">
          <reference field="4294967294" count="1" selected="0">
            <x v="11"/>
          </reference>
        </references>
      </pivotArea>
    </format>
    <format dxfId="3448">
      <pivotArea field="0" dataOnly="0" labelOnly="1" grandRow="1" outline="0" axis="axisRow" fieldPosition="0">
        <references count="1">
          <reference field="4294967294" count="1" selected="0">
            <x v="12"/>
          </reference>
        </references>
      </pivotArea>
    </format>
    <format dxfId="3447">
      <pivotArea field="0" dataOnly="0" labelOnly="1" grandRow="1" outline="0" axis="axisRow" fieldPosition="0">
        <references count="1">
          <reference field="4294967294" count="1" selected="0">
            <x v="13"/>
          </reference>
        </references>
      </pivotArea>
    </format>
    <format dxfId="3446">
      <pivotArea field="0" dataOnly="0" labelOnly="1" grandRow="1" outline="0" axis="axisRow" fieldPosition="0">
        <references count="1">
          <reference field="4294967294" count="1" selected="0">
            <x v="14"/>
          </reference>
        </references>
      </pivotArea>
    </format>
    <format dxfId="3445">
      <pivotArea field="0" dataOnly="0" labelOnly="1" grandRow="1" outline="0" axis="axisRow" fieldPosition="0">
        <references count="1">
          <reference field="4294967294" count="1" selected="0">
            <x v="15"/>
          </reference>
        </references>
      </pivotArea>
    </format>
    <format dxfId="3444">
      <pivotArea field="0" dataOnly="0" labelOnly="1" grandRow="1" outline="0" axis="axisRow" fieldPosition="0">
        <references count="1">
          <reference field="4294967294" count="1" selected="0">
            <x v="16"/>
          </reference>
        </references>
      </pivotArea>
    </format>
    <format dxfId="3443">
      <pivotArea field="0" dataOnly="0" labelOnly="1" grandRow="1" outline="0" axis="axisRow" fieldPosition="0">
        <references count="1">
          <reference field="4294967294" count="1" selected="0">
            <x v="17"/>
          </reference>
        </references>
      </pivotArea>
    </format>
    <format dxfId="3442">
      <pivotArea field="0" dataOnly="0" labelOnly="1" grandRow="1" outline="0" axis="axisRow" fieldPosition="0">
        <references count="1">
          <reference field="4294967294" count="1" selected="0">
            <x v="18"/>
          </reference>
        </references>
      </pivotArea>
    </format>
    <format dxfId="3441">
      <pivotArea field="0" dataOnly="0" labelOnly="1" grandRow="1" outline="0" axis="axisRow" fieldPosition="0">
        <references count="1">
          <reference field="4294967294" count="1" selected="0">
            <x v="19"/>
          </reference>
        </references>
      </pivotArea>
    </format>
    <format dxfId="3440">
      <pivotArea field="0" dataOnly="0" labelOnly="1" grandRow="1" outline="0" axis="axisRow" fieldPosition="0">
        <references count="1">
          <reference field="4294967294" count="1" selected="0">
            <x v="20"/>
          </reference>
        </references>
      </pivotArea>
    </format>
    <format dxfId="3439">
      <pivotArea field="0" dataOnly="0" labelOnly="1" grandRow="1" outline="0" axis="axisRow" fieldPosition="0">
        <references count="1">
          <reference field="4294967294" count="1" selected="0">
            <x v="21"/>
          </reference>
        </references>
      </pivotArea>
    </format>
    <format dxfId="3438">
      <pivotArea field="0" dataOnly="0" labelOnly="1" grandRow="1" outline="0" axis="axisRow" fieldPosition="0">
        <references count="1">
          <reference field="4294967294" count="1" selected="0">
            <x v="22"/>
          </reference>
        </references>
      </pivotArea>
    </format>
    <format dxfId="3437">
      <pivotArea field="0" dataOnly="0" labelOnly="1" grandRow="1" outline="0" axis="axisRow" fieldPosition="0">
        <references count="1">
          <reference field="4294967294" count="1" selected="0">
            <x v="23"/>
          </reference>
        </references>
      </pivotArea>
    </format>
    <format dxfId="3436">
      <pivotArea field="0" dataOnly="0" labelOnly="1" grandRow="1" outline="0" axis="axisRow" fieldPosition="0">
        <references count="1">
          <reference field="4294967294" count="1" selected="0">
            <x v="24"/>
          </reference>
        </references>
      </pivotArea>
    </format>
    <format dxfId="3435">
      <pivotArea field="0" dataOnly="0" labelOnly="1" grandRow="1" outline="0" axis="axisRow" fieldPosition="0">
        <references count="1">
          <reference field="4294967294" count="1" selected="0">
            <x v="25"/>
          </reference>
        </references>
      </pivotArea>
    </format>
    <format dxfId="3434">
      <pivotArea field="0" dataOnly="0" labelOnly="1" grandRow="1" outline="0" axis="axisRow" fieldPosition="0">
        <references count="1">
          <reference field="4294967294" count="1" selected="0">
            <x v="26"/>
          </reference>
        </references>
      </pivotArea>
    </format>
    <format dxfId="3433">
      <pivotArea field="0" dataOnly="0" labelOnly="1" grandRow="1" outline="0" axis="axisRow" fieldPosition="0">
        <references count="1">
          <reference field="4294967294" count="1" selected="0">
            <x v="27"/>
          </reference>
        </references>
      </pivotArea>
    </format>
    <format dxfId="3432">
      <pivotArea field="0" dataOnly="0" labelOnly="1" grandRow="1" outline="0" axis="axisRow" fieldPosition="0">
        <references count="1">
          <reference field="4294967294" count="1" selected="0">
            <x v="28"/>
          </reference>
        </references>
      </pivotArea>
    </format>
    <format dxfId="3431">
      <pivotArea field="0" dataOnly="0" labelOnly="1" grandRow="1" outline="0" axis="axisRow" fieldPosition="0">
        <references count="1">
          <reference field="4294967294" count="1" selected="0">
            <x v="29"/>
          </reference>
        </references>
      </pivotArea>
    </format>
    <format dxfId="3430">
      <pivotArea field="0" dataOnly="0" labelOnly="1" grandRow="1" outline="0" axis="axisRow" fieldPosition="0">
        <references count="1">
          <reference field="4294967294" count="1" selected="0">
            <x v="30"/>
          </reference>
        </references>
      </pivotArea>
    </format>
    <format dxfId="3429">
      <pivotArea field="0" dataOnly="0" labelOnly="1" grandRow="1" outline="0" axis="axisRow" fieldPosition="0">
        <references count="1">
          <reference field="4294967294" count="1" selected="0">
            <x v="31"/>
          </reference>
        </references>
      </pivotArea>
    </format>
    <format dxfId="3428">
      <pivotArea field="0" dataOnly="0" labelOnly="1" grandRow="1" outline="0" axis="axisRow" fieldPosition="0">
        <references count="1">
          <reference field="4294967294" count="1" selected="0">
            <x v="32"/>
          </reference>
        </references>
      </pivotArea>
    </format>
    <format dxfId="3427">
      <pivotArea field="0" dataOnly="0" labelOnly="1" grandRow="1" outline="0" axis="axisRow" fieldPosition="0">
        <references count="1">
          <reference field="4294967294" count="1" selected="0">
            <x v="33"/>
          </reference>
        </references>
      </pivotArea>
    </format>
    <format dxfId="3426">
      <pivotArea field="0" dataOnly="0" labelOnly="1" grandRow="1" outline="0" axis="axisRow" fieldPosition="0">
        <references count="1">
          <reference field="4294967294" count="1" selected="0">
            <x v="34"/>
          </reference>
        </references>
      </pivotArea>
    </format>
    <format dxfId="3425">
      <pivotArea field="0" dataOnly="0" labelOnly="1" grandRow="1" outline="0" axis="axisRow" fieldPosition="0">
        <references count="1">
          <reference field="4294967294" count="1" selected="0">
            <x v="35"/>
          </reference>
        </references>
      </pivotArea>
    </format>
    <format dxfId="3424">
      <pivotArea field="0" grandRow="1" outline="0" axis="axisRow" fieldPosition="0">
        <references count="1">
          <reference field="4294967294" count="1" selected="0">
            <x v="35"/>
          </reference>
        </references>
      </pivotArea>
    </format>
    <format dxfId="3423">
      <pivotArea field="0" dataOnly="0" labelOnly="1" grandRow="1" outline="0" offset="IV256" axis="axisRow" fieldPosition="0">
        <references count="1">
          <reference field="4294967294" count="1" selected="0">
            <x v="0"/>
          </reference>
        </references>
      </pivotArea>
    </format>
    <format dxfId="3422">
      <pivotArea field="0" dataOnly="0" labelOnly="1" grandRow="1" outline="0" offset="IV256" axis="axisRow" fieldPosition="0">
        <references count="1">
          <reference field="4294967294" count="1" selected="0">
            <x v="1"/>
          </reference>
        </references>
      </pivotArea>
    </format>
    <format dxfId="3421">
      <pivotArea field="0" dataOnly="0" labelOnly="1" grandRow="1" outline="0" offset="IV256" axis="axisRow" fieldPosition="0">
        <references count="1">
          <reference field="4294967294" count="1" selected="0">
            <x v="3"/>
          </reference>
        </references>
      </pivotArea>
    </format>
    <format dxfId="3420">
      <pivotArea field="0" dataOnly="0" labelOnly="1" grandRow="1" outline="0" offset="IV256" axis="axisRow" fieldPosition="0">
        <references count="1">
          <reference field="4294967294" count="1" selected="0">
            <x v="4"/>
          </reference>
        </references>
      </pivotArea>
    </format>
    <format dxfId="3419">
      <pivotArea field="0" dataOnly="0" labelOnly="1" grandRow="1" outline="0" offset="IV256" axis="axisRow" fieldPosition="0">
        <references count="1">
          <reference field="4294967294" count="1" selected="0">
            <x v="5"/>
          </reference>
        </references>
      </pivotArea>
    </format>
    <format dxfId="3418">
      <pivotArea field="0" dataOnly="0" labelOnly="1" grandRow="1" outline="0" offset="IV256" axis="axisRow" fieldPosition="0">
        <references count="1">
          <reference field="4294967294" count="1" selected="0">
            <x v="6"/>
          </reference>
        </references>
      </pivotArea>
    </format>
    <format dxfId="3417">
      <pivotArea field="0" dataOnly="0" labelOnly="1" grandRow="1" outline="0" offset="IV256" axis="axisRow" fieldPosition="0">
        <references count="1">
          <reference field="4294967294" count="1" selected="0">
            <x v="7"/>
          </reference>
        </references>
      </pivotArea>
    </format>
    <format dxfId="3416">
      <pivotArea field="0" dataOnly="0" labelOnly="1" grandRow="1" outline="0" offset="IV256" axis="axisRow" fieldPosition="0">
        <references count="1">
          <reference field="4294967294" count="1" selected="0">
            <x v="8"/>
          </reference>
        </references>
      </pivotArea>
    </format>
    <format dxfId="3415">
      <pivotArea field="0" dataOnly="0" labelOnly="1" grandRow="1" outline="0" offset="IV256" axis="axisRow" fieldPosition="0">
        <references count="1">
          <reference field="4294967294" count="1" selected="0">
            <x v="9"/>
          </reference>
        </references>
      </pivotArea>
    </format>
    <format dxfId="3414">
      <pivotArea field="0" dataOnly="0" labelOnly="1" grandRow="1" outline="0" offset="IV256" axis="axisRow" fieldPosition="0">
        <references count="1">
          <reference field="4294967294" count="1" selected="0">
            <x v="10"/>
          </reference>
        </references>
      </pivotArea>
    </format>
    <format dxfId="3413">
      <pivotArea field="0" dataOnly="0" labelOnly="1" grandRow="1" outline="0" offset="IV256" axis="axisRow" fieldPosition="0">
        <references count="1">
          <reference field="4294967294" count="1" selected="0">
            <x v="11"/>
          </reference>
        </references>
      </pivotArea>
    </format>
    <format dxfId="3412">
      <pivotArea field="0" dataOnly="0" labelOnly="1" grandRow="1" outline="0" offset="IV256" axis="axisRow" fieldPosition="0">
        <references count="1">
          <reference field="4294967294" count="1" selected="0">
            <x v="12"/>
          </reference>
        </references>
      </pivotArea>
    </format>
    <format dxfId="3411">
      <pivotArea field="0" dataOnly="0" labelOnly="1" grandRow="1" outline="0" offset="IV256" axis="axisRow" fieldPosition="0">
        <references count="1">
          <reference field="4294967294" count="1" selected="0">
            <x v="13"/>
          </reference>
        </references>
      </pivotArea>
    </format>
    <format dxfId="3410">
      <pivotArea field="0" dataOnly="0" labelOnly="1" grandRow="1" outline="0" offset="IV256" axis="axisRow" fieldPosition="0">
        <references count="1">
          <reference field="4294967294" count="1" selected="0">
            <x v="14"/>
          </reference>
        </references>
      </pivotArea>
    </format>
    <format dxfId="3409">
      <pivotArea field="0" dataOnly="0" labelOnly="1" grandRow="1" outline="0" offset="IV256" axis="axisRow" fieldPosition="0">
        <references count="1">
          <reference field="4294967294" count="1" selected="0">
            <x v="15"/>
          </reference>
        </references>
      </pivotArea>
    </format>
    <format dxfId="3408">
      <pivotArea field="0" dataOnly="0" labelOnly="1" grandRow="1" outline="0" offset="IV256" axis="axisRow" fieldPosition="0">
        <references count="1">
          <reference field="4294967294" count="1" selected="0">
            <x v="16"/>
          </reference>
        </references>
      </pivotArea>
    </format>
    <format dxfId="3407">
      <pivotArea field="0" dataOnly="0" labelOnly="1" grandRow="1" outline="0" offset="IV256" axis="axisRow" fieldPosition="0">
        <references count="1">
          <reference field="4294967294" count="1" selected="0">
            <x v="17"/>
          </reference>
        </references>
      </pivotArea>
    </format>
    <format dxfId="3406">
      <pivotArea field="0" dataOnly="0" labelOnly="1" grandRow="1" outline="0" offset="IV256" axis="axisRow" fieldPosition="0">
        <references count="1">
          <reference field="4294967294" count="1" selected="0">
            <x v="18"/>
          </reference>
        </references>
      </pivotArea>
    </format>
    <format dxfId="3405">
      <pivotArea field="0" dataOnly="0" labelOnly="1" grandRow="1" outline="0" offset="IV256" axis="axisRow" fieldPosition="0">
        <references count="1">
          <reference field="4294967294" count="1" selected="0">
            <x v="19"/>
          </reference>
        </references>
      </pivotArea>
    </format>
    <format dxfId="3404">
      <pivotArea field="0" dataOnly="0" labelOnly="1" grandRow="1" outline="0" offset="IV256" axis="axisRow" fieldPosition="0">
        <references count="1">
          <reference field="4294967294" count="1" selected="0">
            <x v="20"/>
          </reference>
        </references>
      </pivotArea>
    </format>
    <format dxfId="3403">
      <pivotArea field="0" dataOnly="0" labelOnly="1" grandRow="1" outline="0" offset="IV256" axis="axisRow" fieldPosition="0">
        <references count="1">
          <reference field="4294967294" count="1" selected="0">
            <x v="21"/>
          </reference>
        </references>
      </pivotArea>
    </format>
    <format dxfId="3402">
      <pivotArea field="0" dataOnly="0" labelOnly="1" grandRow="1" outline="0" offset="IV256" axis="axisRow" fieldPosition="0">
        <references count="1">
          <reference field="4294967294" count="1" selected="0">
            <x v="22"/>
          </reference>
        </references>
      </pivotArea>
    </format>
    <format dxfId="3401">
      <pivotArea field="0" dataOnly="0" labelOnly="1" grandRow="1" outline="0" offset="IV256" axis="axisRow" fieldPosition="0">
        <references count="1">
          <reference field="4294967294" count="1" selected="0">
            <x v="23"/>
          </reference>
        </references>
      </pivotArea>
    </format>
    <format dxfId="3400">
      <pivotArea field="0" dataOnly="0" labelOnly="1" grandRow="1" outline="0" offset="IV256" axis="axisRow" fieldPosition="0">
        <references count="1">
          <reference field="4294967294" count="1" selected="0">
            <x v="24"/>
          </reference>
        </references>
      </pivotArea>
    </format>
    <format dxfId="3399">
      <pivotArea field="0" dataOnly="0" labelOnly="1" grandRow="1" outline="0" offset="IV256" axis="axisRow" fieldPosition="0">
        <references count="1">
          <reference field="4294967294" count="1" selected="0">
            <x v="25"/>
          </reference>
        </references>
      </pivotArea>
    </format>
    <format dxfId="3398">
      <pivotArea field="0" dataOnly="0" labelOnly="1" grandRow="1" outline="0" offset="IV256" axis="axisRow" fieldPosition="0">
        <references count="1">
          <reference field="4294967294" count="1" selected="0">
            <x v="26"/>
          </reference>
        </references>
      </pivotArea>
    </format>
    <format dxfId="3397">
      <pivotArea field="0" dataOnly="0" labelOnly="1" grandRow="1" outline="0" offset="IV256" axis="axisRow" fieldPosition="0">
        <references count="1">
          <reference field="4294967294" count="1" selected="0">
            <x v="27"/>
          </reference>
        </references>
      </pivotArea>
    </format>
    <format dxfId="3396">
      <pivotArea field="0" dataOnly="0" labelOnly="1" grandRow="1" outline="0" offset="IV256" axis="axisRow" fieldPosition="0">
        <references count="1">
          <reference field="4294967294" count="1" selected="0">
            <x v="28"/>
          </reference>
        </references>
      </pivotArea>
    </format>
    <format dxfId="3395">
      <pivotArea field="0" dataOnly="0" labelOnly="1" grandRow="1" outline="0" offset="IV256" axis="axisRow" fieldPosition="0">
        <references count="1">
          <reference field="4294967294" count="1" selected="0">
            <x v="29"/>
          </reference>
        </references>
      </pivotArea>
    </format>
    <format dxfId="3394">
      <pivotArea field="0" dataOnly="0" labelOnly="1" grandRow="1" outline="0" offset="IV256" axis="axisRow" fieldPosition="0">
        <references count="1">
          <reference field="4294967294" count="1" selected="0">
            <x v="30"/>
          </reference>
        </references>
      </pivotArea>
    </format>
    <format dxfId="3393">
      <pivotArea field="0" dataOnly="0" labelOnly="1" grandRow="1" outline="0" offset="IV256" axis="axisRow" fieldPosition="0">
        <references count="1">
          <reference field="4294967294" count="1" selected="0">
            <x v="31"/>
          </reference>
        </references>
      </pivotArea>
    </format>
    <format dxfId="3392">
      <pivotArea field="0" dataOnly="0" labelOnly="1" grandRow="1" outline="0" offset="IV256" axis="axisRow" fieldPosition="0">
        <references count="1">
          <reference field="4294967294" count="1" selected="0">
            <x v="32"/>
          </reference>
        </references>
      </pivotArea>
    </format>
    <format dxfId="3391">
      <pivotArea field="0" dataOnly="0" labelOnly="1" grandRow="1" outline="0" offset="IV256" axis="axisRow" fieldPosition="0">
        <references count="1">
          <reference field="4294967294" count="1" selected="0">
            <x v="33"/>
          </reference>
        </references>
      </pivotArea>
    </format>
    <format dxfId="3390">
      <pivotArea field="0" dataOnly="0" labelOnly="1" grandRow="1" outline="0" offset="IV256" axis="axisRow" fieldPosition="0">
        <references count="1">
          <reference field="4294967294" count="1" selected="0">
            <x v="34"/>
          </reference>
        </references>
      </pivotArea>
    </format>
    <format dxfId="3389">
      <pivotArea field="0" dataOnly="0" labelOnly="1" grandRow="1" outline="0" offset="IV256" axis="axisRow" fieldPosition="0">
        <references count="1">
          <reference field="4294967294" count="1" selected="0">
            <x v="35"/>
          </reference>
        </references>
      </pivotArea>
    </format>
    <format dxfId="3388">
      <pivotArea type="all" dataOnly="0" outline="0" fieldPosition="0"/>
    </format>
    <format dxfId="3387">
      <pivotArea type="all" dataOnly="0" outline="0" fieldPosition="0"/>
    </format>
    <format dxfId="3386">
      <pivotArea outline="0" fieldPosition="0">
        <references count="2">
          <reference field="4" count="1" selected="0">
            <x v="8"/>
          </reference>
          <reference field="70" count="1" selected="0">
            <x v="1"/>
          </reference>
        </references>
      </pivotArea>
    </format>
    <format dxfId="3385">
      <pivotArea dataOnly="0" labelOnly="1" outline="0" offset="B256" fieldPosition="0">
        <references count="1">
          <reference field="70" count="1">
            <x v="1"/>
          </reference>
        </references>
      </pivotArea>
    </format>
    <format dxfId="3384">
      <pivotArea dataOnly="0" labelOnly="1" outline="0" fieldPosition="0">
        <references count="2">
          <reference field="4" count="1">
            <x v="8"/>
          </reference>
          <reference field="70" count="1" selected="0">
            <x v="1"/>
          </reference>
        </references>
      </pivotArea>
    </format>
    <format dxfId="3383">
      <pivotArea outline="0" fieldPosition="0">
        <references count="2">
          <reference field="4" count="1" selected="0">
            <x v="7"/>
          </reference>
          <reference field="70" count="1" selected="0">
            <x v="1"/>
          </reference>
        </references>
      </pivotArea>
    </format>
    <format dxfId="3382">
      <pivotArea dataOnly="0" labelOnly="1" outline="0" fieldPosition="0">
        <references count="2">
          <reference field="4" count="1">
            <x v="7"/>
          </reference>
          <reference field="70" count="1" selected="0">
            <x v="1"/>
          </reference>
        </references>
      </pivotArea>
    </format>
    <format dxfId="3381">
      <pivotArea dataOnly="0" labelOnly="1" outline="0" offset="A256" fieldPosition="0">
        <references count="1">
          <reference field="70" count="1">
            <x v="1"/>
          </reference>
        </references>
      </pivotArea>
    </format>
    <format dxfId="3380">
      <pivotArea outline="0" fieldPosition="0">
        <references count="2">
          <reference field="4" count="1" selected="0">
            <x v="11"/>
          </reference>
          <reference field="70" count="1" selected="0">
            <x v="2"/>
          </reference>
        </references>
      </pivotArea>
    </format>
    <format dxfId="3379">
      <pivotArea dataOnly="0" labelOnly="1" outline="0" fieldPosition="0">
        <references count="2">
          <reference field="4" count="1">
            <x v="11"/>
          </reference>
          <reference field="70" count="1" selected="0">
            <x v="2"/>
          </reference>
        </references>
      </pivotArea>
    </format>
    <format dxfId="3378">
      <pivotArea outline="0" fieldPosition="0">
        <references count="2">
          <reference field="4294967294" count="1" selected="0">
            <x v="35"/>
          </reference>
          <reference field="0" count="1" selected="0">
            <x v="0"/>
          </reference>
        </references>
      </pivotArea>
    </format>
    <format dxfId="3377">
      <pivotArea dataOnly="0" labelOnly="1" outline="0" offset="IV256" fieldPosition="0">
        <references count="1">
          <reference field="0" count="1">
            <x v="0"/>
          </reference>
        </references>
      </pivotArea>
    </format>
    <format dxfId="3376">
      <pivotArea dataOnly="0" labelOnly="1" outline="0" fieldPosition="0">
        <references count="2">
          <reference field="4294967294" count="1">
            <x v="35"/>
          </reference>
          <reference field="0" count="1" selected="0">
            <x v="0"/>
          </reference>
        </references>
      </pivotArea>
    </format>
    <format dxfId="3375">
      <pivotArea outline="0" fieldPosition="0">
        <references count="1">
          <reference field="70" count="3" selected="0" defaultSubtotal="1">
            <x v="0"/>
            <x v="1"/>
            <x v="2"/>
          </reference>
        </references>
      </pivotArea>
    </format>
    <format dxfId="3374">
      <pivotArea dataOnly="0" labelOnly="1" outline="0" offset="IV256" fieldPosition="0">
        <references count="1">
          <reference field="70" count="1" defaultSubtotal="1">
            <x v="0"/>
          </reference>
        </references>
      </pivotArea>
    </format>
    <format dxfId="3373">
      <pivotArea dataOnly="0" labelOnly="1" outline="0" offset="IV256" fieldPosition="0">
        <references count="1">
          <reference field="70" count="1" defaultSubtotal="1">
            <x v="1"/>
          </reference>
        </references>
      </pivotArea>
    </format>
    <format dxfId="3372">
      <pivotArea dataOnly="0" labelOnly="1" outline="0" offset="IV256" fieldPosition="0">
        <references count="1">
          <reference field="70" count="1" defaultSubtotal="1">
            <x v="2"/>
          </reference>
        </references>
      </pivotArea>
    </format>
    <format dxfId="3371">
      <pivotArea dataOnly="0" labelOnly="1" outline="0" fieldPosition="0">
        <references count="2">
          <reference field="4" count="7">
            <x v="0"/>
            <x v="1"/>
            <x v="2"/>
            <x v="3"/>
            <x v="4"/>
            <x v="5"/>
            <x v="6"/>
          </reference>
          <reference field="70" count="1" selected="0">
            <x v="0"/>
          </reference>
        </references>
      </pivotArea>
    </format>
    <format dxfId="3370">
      <pivotArea dataOnly="0" labelOnly="1" outline="0" fieldPosition="0">
        <references count="2">
          <reference field="4" count="4">
            <x v="7"/>
            <x v="8"/>
            <x v="9"/>
            <x v="10"/>
          </reference>
          <reference field="70" count="1" selected="0">
            <x v="1"/>
          </reference>
        </references>
      </pivotArea>
    </format>
    <format dxfId="3369">
      <pivotArea dataOnly="0" labelOnly="1" outline="0" fieldPosition="0">
        <references count="2">
          <reference field="4" count="2">
            <x v="11"/>
            <x v="12"/>
          </reference>
          <reference field="70" count="1" selected="0">
            <x v="2"/>
          </reference>
        </references>
      </pivotArea>
    </format>
    <format dxfId="3368">
      <pivotArea outline="0" fieldPosition="0">
        <references count="4">
          <reference field="4294967294" count="1" selected="0">
            <x v="20"/>
          </reference>
          <reference field="0" count="1" selected="0">
            <x v="1"/>
          </reference>
          <reference field="4" count="1" selected="0">
            <x v="3"/>
          </reference>
          <reference field="70" count="1" selected="0">
            <x v="0"/>
          </reference>
        </references>
      </pivotArea>
    </format>
    <format dxfId="3367">
      <pivotArea outline="0" fieldPosition="0">
        <references count="4">
          <reference field="4294967294" count="1" selected="0">
            <x v="20"/>
          </reference>
          <reference field="0" count="1" selected="0">
            <x v="1"/>
          </reference>
          <reference field="4" count="1" selected="0">
            <x v="5"/>
          </reference>
          <reference field="70" count="1" selected="0">
            <x v="0"/>
          </reference>
        </references>
      </pivotArea>
    </format>
    <format dxfId="3366">
      <pivotArea outline="0" fieldPosition="0">
        <references count="4">
          <reference field="4294967294" count="1" selected="0">
            <x v="26"/>
          </reference>
          <reference field="0" count="1" selected="0">
            <x v="1"/>
          </reference>
          <reference field="4" count="1" selected="0">
            <x v="3"/>
          </reference>
          <reference field="70" count="1" selected="0">
            <x v="0"/>
          </reference>
        </references>
      </pivotArea>
    </format>
    <format dxfId="3365">
      <pivotArea outline="0" fieldPosition="0">
        <references count="4">
          <reference field="4294967294" count="1" selected="0">
            <x v="26"/>
          </reference>
          <reference field="0" count="1" selected="0">
            <x v="1"/>
          </reference>
          <reference field="4" count="1" selected="0">
            <x v="5"/>
          </reference>
          <reference field="70" count="1" selected="0">
            <x v="0"/>
          </reference>
        </references>
      </pivotArea>
    </format>
    <format dxfId="3364">
      <pivotArea outline="0" fieldPosition="0">
        <references count="4">
          <reference field="4294967294" count="1" selected="0">
            <x v="2"/>
          </reference>
          <reference field="0" count="1" selected="0">
            <x v="3"/>
          </reference>
          <reference field="4" count="1" selected="0">
            <x v="0"/>
          </reference>
          <reference field="70" count="1" selected="0">
            <x v="0"/>
          </reference>
        </references>
      </pivotArea>
    </format>
    <format dxfId="3363">
      <pivotArea outline="0" fieldPosition="0">
        <references count="4">
          <reference field="4294967294" count="1" selected="0">
            <x v="8"/>
          </reference>
          <reference field="0" count="1" selected="0">
            <x v="3"/>
          </reference>
          <reference field="4" count="1" selected="0">
            <x v="0"/>
          </reference>
          <reference field="70" count="1" selected="0">
            <x v="0"/>
          </reference>
        </references>
      </pivotArea>
    </format>
    <format dxfId="3362">
      <pivotArea outline="0" fieldPosition="0">
        <references count="4">
          <reference field="4294967294" count="1" selected="0">
            <x v="20"/>
          </reference>
          <reference field="0" count="1" selected="0">
            <x v="3"/>
          </reference>
          <reference field="4" count="2" selected="0">
            <x v="0"/>
            <x v="1"/>
          </reference>
          <reference field="70" count="1" selected="0">
            <x v="0"/>
          </reference>
        </references>
      </pivotArea>
    </format>
    <format dxfId="3361">
      <pivotArea outline="0" fieldPosition="0">
        <references count="4">
          <reference field="4294967294" count="1" selected="0">
            <x v="26"/>
          </reference>
          <reference field="0" count="1" selected="0">
            <x v="3"/>
          </reference>
          <reference field="4" count="2" selected="0">
            <x v="0"/>
            <x v="1"/>
          </reference>
          <reference field="70" count="1" selected="0">
            <x v="0"/>
          </reference>
        </references>
      </pivotArea>
    </format>
    <format dxfId="3360">
      <pivotArea outline="0" fieldPosition="0">
        <references count="4">
          <reference field="4294967294" count="1" selected="0">
            <x v="32"/>
          </reference>
          <reference field="0" count="1" selected="0">
            <x v="3"/>
          </reference>
          <reference field="4" count="1" selected="0">
            <x v="2"/>
          </reference>
          <reference field="70" count="1" selected="0">
            <x v="0"/>
          </reference>
        </references>
      </pivotArea>
    </format>
    <format dxfId="3359">
      <pivotArea outline="0" fieldPosition="0">
        <references count="4">
          <reference field="4294967294" count="1" selected="0">
            <x v="20"/>
          </reference>
          <reference field="0" count="1" selected="0">
            <x v="8"/>
          </reference>
          <reference field="4" count="1" selected="0">
            <x v="3"/>
          </reference>
          <reference field="70" count="1" selected="0">
            <x v="0"/>
          </reference>
        </references>
      </pivotArea>
    </format>
    <format dxfId="3358">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3357">
      <pivotArea outline="0" fieldPosition="0">
        <references count="4">
          <reference field="4294967294" count="1" selected="0">
            <x v="20"/>
          </reference>
          <reference field="0" count="1" selected="0">
            <x v="10"/>
          </reference>
          <reference field="4" count="1" selected="0">
            <x v="3"/>
          </reference>
          <reference field="70" count="1" selected="0">
            <x v="0"/>
          </reference>
        </references>
      </pivotArea>
    </format>
    <format dxfId="3356">
      <pivotArea outline="0" fieldPosition="0">
        <references count="4">
          <reference field="4294967294" count="1" selected="0">
            <x v="20"/>
          </reference>
          <reference field="0" count="1" selected="0">
            <x v="10"/>
          </reference>
          <reference field="4" count="1" selected="0">
            <x v="4"/>
          </reference>
          <reference field="70" count="1" selected="0">
            <x v="0"/>
          </reference>
        </references>
      </pivotArea>
    </format>
    <format dxfId="3355">
      <pivotArea outline="0" fieldPosition="0">
        <references count="4">
          <reference field="4294967294" count="1" selected="0">
            <x v="29"/>
          </reference>
          <reference field="0" count="1" selected="0">
            <x v="10"/>
          </reference>
          <reference field="4" count="1" selected="0">
            <x v="4"/>
          </reference>
          <reference field="70" count="1" selected="0">
            <x v="0"/>
          </reference>
        </references>
      </pivotArea>
    </format>
    <format dxfId="3354">
      <pivotArea outline="0" fieldPosition="0">
        <references count="4">
          <reference field="4294967294" count="1" selected="0">
            <x v="26"/>
          </reference>
          <reference field="0" count="1" selected="0">
            <x v="11"/>
          </reference>
          <reference field="4" count="1" selected="0">
            <x v="4"/>
          </reference>
          <reference field="70" count="1" selected="0">
            <x v="0"/>
          </reference>
        </references>
      </pivotArea>
    </format>
    <format dxfId="3353">
      <pivotArea outline="0" fieldPosition="0">
        <references count="4">
          <reference field="4294967294" count="1" selected="0">
            <x v="20"/>
          </reference>
          <reference field="0" count="1" selected="0">
            <x v="11"/>
          </reference>
          <reference field="4" count="1" selected="0">
            <x v="4"/>
          </reference>
          <reference field="70" count="1" selected="0">
            <x v="0"/>
          </reference>
        </references>
      </pivotArea>
    </format>
    <format dxfId="3352">
      <pivotArea outline="0" fieldPosition="0">
        <references count="4">
          <reference field="4294967294" count="1" selected="0">
            <x v="26"/>
          </reference>
          <reference field="0" count="1" selected="0">
            <x v="12"/>
          </reference>
          <reference field="4" count="1" selected="0">
            <x v="2"/>
          </reference>
          <reference field="70" count="1" selected="0">
            <x v="0"/>
          </reference>
        </references>
      </pivotArea>
    </format>
    <format dxfId="3351">
      <pivotArea outline="0" fieldPosition="0">
        <references count="4">
          <reference field="4294967294" count="1" selected="0">
            <x v="20"/>
          </reference>
          <reference field="0" count="1" selected="0">
            <x v="13"/>
          </reference>
          <reference field="4" count="1" selected="0">
            <x v="5"/>
          </reference>
          <reference field="70" count="1" selected="0">
            <x v="0"/>
          </reference>
        </references>
      </pivotArea>
    </format>
    <format dxfId="3350">
      <pivotArea outline="0" fieldPosition="0">
        <references count="4">
          <reference field="4294967294" count="1" selected="0">
            <x v="26"/>
          </reference>
          <reference field="0" count="1" selected="0">
            <x v="13"/>
          </reference>
          <reference field="4" count="1" selected="0">
            <x v="5"/>
          </reference>
          <reference field="70" count="1" selected="0">
            <x v="0"/>
          </reference>
        </references>
      </pivotArea>
    </format>
    <format dxfId="3349">
      <pivotArea outline="0" fieldPosition="0">
        <references count="4">
          <reference field="4294967294" count="1" selected="0">
            <x v="8"/>
          </reference>
          <reference field="0" count="1" selected="0">
            <x v="14"/>
          </reference>
          <reference field="4" count="1" selected="0">
            <x v="5"/>
          </reference>
          <reference field="70" count="1" selected="0">
            <x v="0"/>
          </reference>
        </references>
      </pivotArea>
    </format>
    <format dxfId="3348">
      <pivotArea outline="0" fieldPosition="0">
        <references count="4">
          <reference field="4294967294" count="1" selected="0">
            <x v="11"/>
          </reference>
          <reference field="0" count="1" selected="0">
            <x v="14"/>
          </reference>
          <reference field="4" count="1" selected="0">
            <x v="5"/>
          </reference>
          <reference field="70" count="1" selected="0">
            <x v="0"/>
          </reference>
        </references>
      </pivotArea>
    </format>
    <format dxfId="3347">
      <pivotArea outline="0" fieldPosition="0">
        <references count="4">
          <reference field="4294967294" count="1" selected="0">
            <x v="23"/>
          </reference>
          <reference field="0" count="1" selected="0">
            <x v="15"/>
          </reference>
          <reference field="4" count="1" selected="0">
            <x v="5"/>
          </reference>
          <reference field="70" count="1" selected="0">
            <x v="0"/>
          </reference>
        </references>
      </pivotArea>
    </format>
    <format dxfId="3346">
      <pivotArea outline="0" fieldPosition="0">
        <references count="4">
          <reference field="4294967294" count="1" selected="0">
            <x v="26"/>
          </reference>
          <reference field="0" count="1" selected="0">
            <x v="15"/>
          </reference>
          <reference field="4" count="1" selected="0">
            <x v="5"/>
          </reference>
          <reference field="70" count="1" selected="0">
            <x v="0"/>
          </reference>
        </references>
      </pivotArea>
    </format>
    <format dxfId="3345">
      <pivotArea outline="0" fieldPosition="0">
        <references count="4">
          <reference field="4294967294" count="1" selected="0">
            <x v="5"/>
          </reference>
          <reference field="0" count="1" selected="0">
            <x v="1"/>
          </reference>
          <reference field="4" count="1" selected="0">
            <x v="8"/>
          </reference>
          <reference field="70" count="1" selected="0">
            <x v="1"/>
          </reference>
        </references>
      </pivotArea>
    </format>
    <format dxfId="3344">
      <pivotArea outline="0" fieldPosition="0">
        <references count="4">
          <reference field="4294967294" count="1" selected="0">
            <x v="2"/>
          </reference>
          <reference field="0" count="1" selected="0">
            <x v="1"/>
          </reference>
          <reference field="4" count="1" selected="0">
            <x v="8"/>
          </reference>
          <reference field="70" count="1" selected="0">
            <x v="1"/>
          </reference>
        </references>
      </pivotArea>
    </format>
    <format dxfId="3343">
      <pivotArea outline="0" fieldPosition="0">
        <references count="4">
          <reference field="4294967294" count="1" selected="0">
            <x v="2"/>
          </reference>
          <reference field="0" count="1" selected="0">
            <x v="2"/>
          </reference>
          <reference field="4" count="1" selected="0">
            <x v="9"/>
          </reference>
          <reference field="70" count="1" selected="0">
            <x v="1"/>
          </reference>
        </references>
      </pivotArea>
    </format>
    <format dxfId="3342">
      <pivotArea outline="0" fieldPosition="0">
        <references count="4">
          <reference field="4294967294" count="1" selected="0">
            <x v="8"/>
          </reference>
          <reference field="0" count="1" selected="0">
            <x v="2"/>
          </reference>
          <reference field="4" count="1" selected="0">
            <x v="9"/>
          </reference>
          <reference field="70" count="1" selected="0">
            <x v="1"/>
          </reference>
        </references>
      </pivotArea>
    </format>
    <format dxfId="3341">
      <pivotArea outline="0" fieldPosition="0">
        <references count="4">
          <reference field="4294967294" count="1" selected="0">
            <x v="2"/>
          </reference>
          <reference field="0" count="1" selected="0">
            <x v="3"/>
          </reference>
          <reference field="4" count="1" selected="0">
            <x v="10"/>
          </reference>
          <reference field="70" count="1" selected="0">
            <x v="1"/>
          </reference>
        </references>
      </pivotArea>
    </format>
    <format dxfId="3340">
      <pivotArea outline="0" fieldPosition="0">
        <references count="4">
          <reference field="4294967294" count="1" selected="0">
            <x v="14"/>
          </reference>
          <reference field="0" count="1" selected="0">
            <x v="3"/>
          </reference>
          <reference field="4" count="1" selected="0">
            <x v="10"/>
          </reference>
          <reference field="70" count="1" selected="0">
            <x v="1"/>
          </reference>
        </references>
      </pivotArea>
    </format>
    <format dxfId="3339">
      <pivotArea outline="0" fieldPosition="0">
        <references count="4">
          <reference field="4294967294" count="1" selected="0">
            <x v="2"/>
          </reference>
          <reference field="0" count="1" selected="0">
            <x v="5"/>
          </reference>
          <reference field="4" count="1" selected="0">
            <x v="10"/>
          </reference>
          <reference field="70" count="1" selected="0">
            <x v="1"/>
          </reference>
        </references>
      </pivotArea>
    </format>
    <format dxfId="3338">
      <pivotArea outline="0" fieldPosition="0">
        <references count="4">
          <reference field="4294967294" count="1" selected="0">
            <x v="8"/>
          </reference>
          <reference field="0" count="1" selected="0">
            <x v="5"/>
          </reference>
          <reference field="4" count="1" selected="0">
            <x v="10"/>
          </reference>
          <reference field="70" count="1" selected="0">
            <x v="1"/>
          </reference>
        </references>
      </pivotArea>
    </format>
    <format dxfId="3337">
      <pivotArea outline="0" fieldPosition="0">
        <references count="4">
          <reference field="4294967294" count="1" selected="0">
            <x v="5"/>
          </reference>
          <reference field="0" count="1" selected="0">
            <x v="5"/>
          </reference>
          <reference field="4" count="1" selected="0">
            <x v="10"/>
          </reference>
          <reference field="70" count="1" selected="0">
            <x v="1"/>
          </reference>
        </references>
      </pivotArea>
    </format>
    <format dxfId="3336">
      <pivotArea outline="0" fieldPosition="0">
        <references count="4">
          <reference field="4294967294" count="1" selected="0">
            <x v="2"/>
          </reference>
          <reference field="0" count="1" selected="0">
            <x v="5"/>
          </reference>
          <reference field="4" count="1" selected="0">
            <x v="11"/>
          </reference>
          <reference field="70" count="1" selected="0">
            <x v="2"/>
          </reference>
        </references>
      </pivotArea>
    </format>
    <format dxfId="3335">
      <pivotArea outline="0" fieldPosition="0">
        <references count="4">
          <reference field="4294967294" count="1" selected="0">
            <x v="8"/>
          </reference>
          <reference field="0" count="1" selected="0">
            <x v="5"/>
          </reference>
          <reference field="4" count="1" selected="0">
            <x v="11"/>
          </reference>
          <reference field="70" count="1" selected="0">
            <x v="2"/>
          </reference>
        </references>
      </pivotArea>
    </format>
    <format dxfId="3334">
      <pivotArea outline="0" fieldPosition="0">
        <references count="4">
          <reference field="4294967294" count="1" selected="0">
            <x v="26"/>
          </reference>
          <reference field="0" count="1" selected="0">
            <x v="15"/>
          </reference>
          <reference field="4" count="1" selected="0">
            <x v="9"/>
          </reference>
          <reference field="70" count="1" selected="0">
            <x v="1"/>
          </reference>
        </references>
      </pivotArea>
    </format>
    <format dxfId="3333">
      <pivotArea outline="0" fieldPosition="0">
        <references count="4">
          <reference field="4294967294" count="1" selected="0">
            <x v="14"/>
          </reference>
          <reference field="0" count="1" selected="0">
            <x v="0"/>
          </reference>
          <reference field="4" count="1" selected="0">
            <x v="8"/>
          </reference>
          <reference field="70" count="1" selected="0">
            <x v="1"/>
          </reference>
        </references>
      </pivotArea>
    </format>
    <format dxfId="3332">
      <pivotArea outline="0" fieldPosition="0">
        <references count="4">
          <reference field="4294967294" count="1" selected="0">
            <x v="32"/>
          </reference>
          <reference field="0" count="1" selected="0">
            <x v="9"/>
          </reference>
          <reference field="4" count="1" selected="0">
            <x v="2"/>
          </reference>
          <reference field="70" count="1" selected="0">
            <x v="0"/>
          </reference>
        </references>
      </pivotArea>
    </format>
    <format dxfId="3331">
      <pivotArea outline="0" fieldPosition="0">
        <references count="4">
          <reference field="4294967294" count="1" selected="0">
            <x v="26"/>
          </reference>
          <reference field="0" count="1" selected="0">
            <x v="10"/>
          </reference>
          <reference field="4" count="1" selected="0">
            <x v="3"/>
          </reference>
          <reference field="70" count="1" selected="0">
            <x v="0"/>
          </reference>
        </references>
      </pivotArea>
    </format>
    <format dxfId="3330">
      <pivotArea outline="0" fieldPosition="0">
        <references count="4">
          <reference field="4294967294" count="1" selected="0">
            <x v="29"/>
          </reference>
          <reference field="0" count="1" selected="0">
            <x v="11"/>
          </reference>
          <reference field="4" count="1" selected="0">
            <x v="2"/>
          </reference>
          <reference field="70" count="1" selected="0">
            <x v="0"/>
          </reference>
        </references>
      </pivotArea>
    </format>
    <format dxfId="3329">
      <pivotArea outline="0" fieldPosition="0">
        <references count="4">
          <reference field="4294967294" count="1" selected="0">
            <x v="20"/>
          </reference>
          <reference field="0" count="1" selected="0">
            <x v="5"/>
          </reference>
          <reference field="4" count="1" selected="0">
            <x v="0"/>
          </reference>
          <reference field="70" count="1" selected="0">
            <x v="0"/>
          </reference>
        </references>
      </pivotArea>
    </format>
    <format dxfId="3328">
      <pivotArea outline="0" fieldPosition="0">
        <references count="4">
          <reference field="4294967294" count="1" selected="0">
            <x v="26"/>
          </reference>
          <reference field="0" count="1" selected="0">
            <x v="5"/>
          </reference>
          <reference field="4" count="1" selected="0">
            <x v="0"/>
          </reference>
          <reference field="70" count="1" selected="0">
            <x v="0"/>
          </reference>
        </references>
      </pivotArea>
    </format>
    <format dxfId="3327">
      <pivotArea type="all" dataOnly="0" outline="0" fieldPosition="0"/>
    </format>
    <format dxfId="3326">
      <pivotArea outline="0" fieldPosition="0"/>
    </format>
    <format dxfId="3325">
      <pivotArea type="origin" dataOnly="0" labelOnly="1" outline="0" fieldPosition="0"/>
    </format>
    <format dxfId="3324">
      <pivotArea field="70" type="button" dataOnly="0" labelOnly="1" outline="0" axis="axisCol" fieldPosition="0"/>
    </format>
    <format dxfId="3323">
      <pivotArea field="4" type="button" dataOnly="0" labelOnly="1" outline="0" axis="axisCol" fieldPosition="1"/>
    </format>
    <format dxfId="3322">
      <pivotArea type="topRight" dataOnly="0" labelOnly="1" outline="0" fieldPosition="0"/>
    </format>
    <format dxfId="3321">
      <pivotArea field="0" type="button" dataOnly="0" labelOnly="1" outline="0" axis="axisRow" fieldPosition="0"/>
    </format>
    <format dxfId="3320">
      <pivotArea field="-2" type="button" dataOnly="0" labelOnly="1" outline="0" axis="axisRow" fieldPosition="1"/>
    </format>
    <format dxfId="3319">
      <pivotArea dataOnly="0" labelOnly="1" outline="0" fieldPosition="0">
        <references count="1">
          <reference field="0" count="0"/>
        </references>
      </pivotArea>
    </format>
    <format dxfId="3318">
      <pivotArea field="0" dataOnly="0" labelOnly="1" grandRow="1" outline="0" axis="axisRow" fieldPosition="0">
        <references count="1">
          <reference field="4294967294" count="1" selected="0">
            <x v="0"/>
          </reference>
        </references>
      </pivotArea>
    </format>
    <format dxfId="3317">
      <pivotArea field="0" dataOnly="0" labelOnly="1" grandRow="1" outline="0" axis="axisRow" fieldPosition="0">
        <references count="1">
          <reference field="4294967294" count="1" selected="0">
            <x v="1"/>
          </reference>
        </references>
      </pivotArea>
    </format>
    <format dxfId="3316">
      <pivotArea field="0" dataOnly="0" labelOnly="1" grandRow="1" outline="0" axis="axisRow" fieldPosition="0">
        <references count="1">
          <reference field="4294967294" count="1" selected="0">
            <x v="2"/>
          </reference>
        </references>
      </pivotArea>
    </format>
    <format dxfId="3315">
      <pivotArea field="0" dataOnly="0" labelOnly="1" grandRow="1" outline="0" axis="axisRow" fieldPosition="0">
        <references count="1">
          <reference field="4294967294" count="1" selected="0">
            <x v="3"/>
          </reference>
        </references>
      </pivotArea>
    </format>
    <format dxfId="3314">
      <pivotArea field="0" dataOnly="0" labelOnly="1" grandRow="1" outline="0" axis="axisRow" fieldPosition="0">
        <references count="1">
          <reference field="4294967294" count="1" selected="0">
            <x v="4"/>
          </reference>
        </references>
      </pivotArea>
    </format>
    <format dxfId="3313">
      <pivotArea field="0" dataOnly="0" labelOnly="1" grandRow="1" outline="0" axis="axisRow" fieldPosition="0">
        <references count="1">
          <reference field="4294967294" count="1" selected="0">
            <x v="5"/>
          </reference>
        </references>
      </pivotArea>
    </format>
    <format dxfId="3312">
      <pivotArea field="0" dataOnly="0" labelOnly="1" grandRow="1" outline="0" axis="axisRow" fieldPosition="0">
        <references count="1">
          <reference field="4294967294" count="1" selected="0">
            <x v="6"/>
          </reference>
        </references>
      </pivotArea>
    </format>
    <format dxfId="3311">
      <pivotArea field="0" dataOnly="0" labelOnly="1" grandRow="1" outline="0" axis="axisRow" fieldPosition="0">
        <references count="1">
          <reference field="4294967294" count="1" selected="0">
            <x v="7"/>
          </reference>
        </references>
      </pivotArea>
    </format>
    <format dxfId="3310">
      <pivotArea field="0" dataOnly="0" labelOnly="1" grandRow="1" outline="0" axis="axisRow" fieldPosition="0">
        <references count="1">
          <reference field="4294967294" count="1" selected="0">
            <x v="8"/>
          </reference>
        </references>
      </pivotArea>
    </format>
    <format dxfId="3309">
      <pivotArea field="0" dataOnly="0" labelOnly="1" grandRow="1" outline="0" axis="axisRow" fieldPosition="0">
        <references count="1">
          <reference field="4294967294" count="1" selected="0">
            <x v="9"/>
          </reference>
        </references>
      </pivotArea>
    </format>
    <format dxfId="3308">
      <pivotArea field="0" dataOnly="0" labelOnly="1" grandRow="1" outline="0" axis="axisRow" fieldPosition="0">
        <references count="1">
          <reference field="4294967294" count="1" selected="0">
            <x v="10"/>
          </reference>
        </references>
      </pivotArea>
    </format>
    <format dxfId="3307">
      <pivotArea field="0" dataOnly="0" labelOnly="1" grandRow="1" outline="0" axis="axisRow" fieldPosition="0">
        <references count="1">
          <reference field="4294967294" count="1" selected="0">
            <x v="11"/>
          </reference>
        </references>
      </pivotArea>
    </format>
    <format dxfId="3306">
      <pivotArea field="0" dataOnly="0" labelOnly="1" grandRow="1" outline="0" axis="axisRow" fieldPosition="0">
        <references count="1">
          <reference field="4294967294" count="1" selected="0">
            <x v="12"/>
          </reference>
        </references>
      </pivotArea>
    </format>
    <format dxfId="3305">
      <pivotArea field="0" dataOnly="0" labelOnly="1" grandRow="1" outline="0" axis="axisRow" fieldPosition="0">
        <references count="1">
          <reference field="4294967294" count="1" selected="0">
            <x v="13"/>
          </reference>
        </references>
      </pivotArea>
    </format>
    <format dxfId="3304">
      <pivotArea field="0" dataOnly="0" labelOnly="1" grandRow="1" outline="0" axis="axisRow" fieldPosition="0">
        <references count="1">
          <reference field="4294967294" count="1" selected="0">
            <x v="14"/>
          </reference>
        </references>
      </pivotArea>
    </format>
    <format dxfId="3303">
      <pivotArea field="0" dataOnly="0" labelOnly="1" grandRow="1" outline="0" axis="axisRow" fieldPosition="0">
        <references count="1">
          <reference field="4294967294" count="1" selected="0">
            <x v="15"/>
          </reference>
        </references>
      </pivotArea>
    </format>
    <format dxfId="3302">
      <pivotArea field="0" dataOnly="0" labelOnly="1" grandRow="1" outline="0" axis="axisRow" fieldPosition="0">
        <references count="1">
          <reference field="4294967294" count="1" selected="0">
            <x v="16"/>
          </reference>
        </references>
      </pivotArea>
    </format>
    <format dxfId="3301">
      <pivotArea field="0" dataOnly="0" labelOnly="1" grandRow="1" outline="0" axis="axisRow" fieldPosition="0">
        <references count="1">
          <reference field="4294967294" count="1" selected="0">
            <x v="17"/>
          </reference>
        </references>
      </pivotArea>
    </format>
    <format dxfId="3300">
      <pivotArea field="0" dataOnly="0" labelOnly="1" grandRow="1" outline="0" axis="axisRow" fieldPosition="0">
        <references count="1">
          <reference field="4294967294" count="1" selected="0">
            <x v="18"/>
          </reference>
        </references>
      </pivotArea>
    </format>
    <format dxfId="3299">
      <pivotArea field="0" dataOnly="0" labelOnly="1" grandRow="1" outline="0" axis="axisRow" fieldPosition="0">
        <references count="1">
          <reference field="4294967294" count="1" selected="0">
            <x v="19"/>
          </reference>
        </references>
      </pivotArea>
    </format>
    <format dxfId="3298">
      <pivotArea field="0" dataOnly="0" labelOnly="1" grandRow="1" outline="0" axis="axisRow" fieldPosition="0">
        <references count="1">
          <reference field="4294967294" count="1" selected="0">
            <x v="20"/>
          </reference>
        </references>
      </pivotArea>
    </format>
    <format dxfId="3297">
      <pivotArea field="0" dataOnly="0" labelOnly="1" grandRow="1" outline="0" axis="axisRow" fieldPosition="0">
        <references count="1">
          <reference field="4294967294" count="1" selected="0">
            <x v="21"/>
          </reference>
        </references>
      </pivotArea>
    </format>
    <format dxfId="3296">
      <pivotArea field="0" dataOnly="0" labelOnly="1" grandRow="1" outline="0" axis="axisRow" fieldPosition="0">
        <references count="1">
          <reference field="4294967294" count="1" selected="0">
            <x v="22"/>
          </reference>
        </references>
      </pivotArea>
    </format>
    <format dxfId="3295">
      <pivotArea field="0" dataOnly="0" labelOnly="1" grandRow="1" outline="0" axis="axisRow" fieldPosition="0">
        <references count="1">
          <reference field="4294967294" count="1" selected="0">
            <x v="23"/>
          </reference>
        </references>
      </pivotArea>
    </format>
    <format dxfId="3294">
      <pivotArea field="0" dataOnly="0" labelOnly="1" grandRow="1" outline="0" axis="axisRow" fieldPosition="0">
        <references count="1">
          <reference field="4294967294" count="1" selected="0">
            <x v="24"/>
          </reference>
        </references>
      </pivotArea>
    </format>
    <format dxfId="3293">
      <pivotArea field="0" dataOnly="0" labelOnly="1" grandRow="1" outline="0" axis="axisRow" fieldPosition="0">
        <references count="1">
          <reference field="4294967294" count="1" selected="0">
            <x v="25"/>
          </reference>
        </references>
      </pivotArea>
    </format>
    <format dxfId="3292">
      <pivotArea field="0" dataOnly="0" labelOnly="1" grandRow="1" outline="0" axis="axisRow" fieldPosition="0">
        <references count="1">
          <reference field="4294967294" count="1" selected="0">
            <x v="26"/>
          </reference>
        </references>
      </pivotArea>
    </format>
    <format dxfId="3291">
      <pivotArea field="0" dataOnly="0" labelOnly="1" grandRow="1" outline="0" axis="axisRow" fieldPosition="0">
        <references count="1">
          <reference field="4294967294" count="1" selected="0">
            <x v="27"/>
          </reference>
        </references>
      </pivotArea>
    </format>
    <format dxfId="3290">
      <pivotArea field="0" dataOnly="0" labelOnly="1" grandRow="1" outline="0" axis="axisRow" fieldPosition="0">
        <references count="1">
          <reference field="4294967294" count="1" selected="0">
            <x v="28"/>
          </reference>
        </references>
      </pivotArea>
    </format>
    <format dxfId="3289">
      <pivotArea field="0" dataOnly="0" labelOnly="1" grandRow="1" outline="0" axis="axisRow" fieldPosition="0">
        <references count="1">
          <reference field="4294967294" count="1" selected="0">
            <x v="29"/>
          </reference>
        </references>
      </pivotArea>
    </format>
    <format dxfId="3288">
      <pivotArea field="0" dataOnly="0" labelOnly="1" grandRow="1" outline="0" axis="axisRow" fieldPosition="0">
        <references count="1">
          <reference field="4294967294" count="1" selected="0">
            <x v="30"/>
          </reference>
        </references>
      </pivotArea>
    </format>
    <format dxfId="3287">
      <pivotArea field="0" dataOnly="0" labelOnly="1" grandRow="1" outline="0" axis="axisRow" fieldPosition="0">
        <references count="1">
          <reference field="4294967294" count="1" selected="0">
            <x v="31"/>
          </reference>
        </references>
      </pivotArea>
    </format>
    <format dxfId="3286">
      <pivotArea field="0" dataOnly="0" labelOnly="1" grandRow="1" outline="0" axis="axisRow" fieldPosition="0">
        <references count="1">
          <reference field="4294967294" count="1" selected="0">
            <x v="32"/>
          </reference>
        </references>
      </pivotArea>
    </format>
    <format dxfId="3285">
      <pivotArea field="0" dataOnly="0" labelOnly="1" grandRow="1" outline="0" axis="axisRow" fieldPosition="0">
        <references count="1">
          <reference field="4294967294" count="1" selected="0">
            <x v="33"/>
          </reference>
        </references>
      </pivotArea>
    </format>
    <format dxfId="3284">
      <pivotArea field="0" dataOnly="0" labelOnly="1" grandRow="1" outline="0" axis="axisRow" fieldPosition="0">
        <references count="1">
          <reference field="4294967294" count="1" selected="0">
            <x v="34"/>
          </reference>
        </references>
      </pivotArea>
    </format>
    <format dxfId="3283">
      <pivotArea field="0" dataOnly="0" labelOnly="1" grandRow="1" outline="0" axis="axisRow" fieldPosition="0">
        <references count="1">
          <reference field="4294967294" count="1" selected="0">
            <x v="35"/>
          </reference>
        </references>
      </pivotArea>
    </format>
    <format dxfId="3282">
      <pivotArea field="0" dataOnly="0" labelOnly="1" grandRow="1" outline="0" axis="axisRow" fieldPosition="0">
        <references count="1">
          <reference field="4294967294" count="1" selected="0">
            <x v="0"/>
          </reference>
        </references>
      </pivotArea>
    </format>
    <format dxfId="3281">
      <pivotArea field="0" dataOnly="0" labelOnly="1" grandRow="1" outline="0" axis="axisRow" fieldPosition="0">
        <references count="1">
          <reference field="4294967294" count="1" selected="0">
            <x v="1"/>
          </reference>
        </references>
      </pivotArea>
    </format>
    <format dxfId="3280">
      <pivotArea field="0" dataOnly="0" labelOnly="1" grandRow="1" outline="0" axis="axisRow" fieldPosition="0">
        <references count="1">
          <reference field="4294967294" count="1" selected="0">
            <x v="2"/>
          </reference>
        </references>
      </pivotArea>
    </format>
    <format dxfId="3279">
      <pivotArea field="0" dataOnly="0" labelOnly="1" grandRow="1" outline="0" axis="axisRow" fieldPosition="0">
        <references count="1">
          <reference field="4294967294" count="1" selected="0">
            <x v="3"/>
          </reference>
        </references>
      </pivotArea>
    </format>
    <format dxfId="3278">
      <pivotArea field="0" dataOnly="0" labelOnly="1" grandRow="1" outline="0" axis="axisRow" fieldPosition="0">
        <references count="1">
          <reference field="4294967294" count="1" selected="0">
            <x v="4"/>
          </reference>
        </references>
      </pivotArea>
    </format>
    <format dxfId="3277">
      <pivotArea field="0" dataOnly="0" labelOnly="1" grandRow="1" outline="0" axis="axisRow" fieldPosition="0">
        <references count="1">
          <reference field="4294967294" count="1" selected="0">
            <x v="5"/>
          </reference>
        </references>
      </pivotArea>
    </format>
    <format dxfId="3276">
      <pivotArea field="0" dataOnly="0" labelOnly="1" grandRow="1" outline="0" axis="axisRow" fieldPosition="0">
        <references count="1">
          <reference field="4294967294" count="1" selected="0">
            <x v="6"/>
          </reference>
        </references>
      </pivotArea>
    </format>
    <format dxfId="3275">
      <pivotArea field="0" dataOnly="0" labelOnly="1" grandRow="1" outline="0" axis="axisRow" fieldPosition="0">
        <references count="1">
          <reference field="4294967294" count="1" selected="0">
            <x v="7"/>
          </reference>
        </references>
      </pivotArea>
    </format>
    <format dxfId="3274">
      <pivotArea field="0" dataOnly="0" labelOnly="1" grandRow="1" outline="0" axis="axisRow" fieldPosition="0">
        <references count="1">
          <reference field="4294967294" count="1" selected="0">
            <x v="8"/>
          </reference>
        </references>
      </pivotArea>
    </format>
    <format dxfId="3273">
      <pivotArea field="0" dataOnly="0" labelOnly="1" grandRow="1" outline="0" axis="axisRow" fieldPosition="0">
        <references count="1">
          <reference field="4294967294" count="1" selected="0">
            <x v="9"/>
          </reference>
        </references>
      </pivotArea>
    </format>
    <format dxfId="3272">
      <pivotArea field="0" dataOnly="0" labelOnly="1" grandRow="1" outline="0" axis="axisRow" fieldPosition="0">
        <references count="1">
          <reference field="4294967294" count="1" selected="0">
            <x v="10"/>
          </reference>
        </references>
      </pivotArea>
    </format>
    <format dxfId="3271">
      <pivotArea field="0" dataOnly="0" labelOnly="1" grandRow="1" outline="0" axis="axisRow" fieldPosition="0">
        <references count="1">
          <reference field="4294967294" count="1" selected="0">
            <x v="11"/>
          </reference>
        </references>
      </pivotArea>
    </format>
    <format dxfId="3270">
      <pivotArea field="0" dataOnly="0" labelOnly="1" grandRow="1" outline="0" axis="axisRow" fieldPosition="0">
        <references count="1">
          <reference field="4294967294" count="1" selected="0">
            <x v="12"/>
          </reference>
        </references>
      </pivotArea>
    </format>
    <format dxfId="3269">
      <pivotArea field="0" dataOnly="0" labelOnly="1" grandRow="1" outline="0" axis="axisRow" fieldPosition="0">
        <references count="1">
          <reference field="4294967294" count="1" selected="0">
            <x v="13"/>
          </reference>
        </references>
      </pivotArea>
    </format>
    <format dxfId="3268">
      <pivotArea field="0" dataOnly="0" labelOnly="1" grandRow="1" outline="0" axis="axisRow" fieldPosition="0">
        <references count="1">
          <reference field="4294967294" count="1" selected="0">
            <x v="14"/>
          </reference>
        </references>
      </pivotArea>
    </format>
    <format dxfId="3267">
      <pivotArea field="0" dataOnly="0" labelOnly="1" grandRow="1" outline="0" axis="axisRow" fieldPosition="0">
        <references count="1">
          <reference field="4294967294" count="1" selected="0">
            <x v="15"/>
          </reference>
        </references>
      </pivotArea>
    </format>
    <format dxfId="3266">
      <pivotArea field="0" dataOnly="0" labelOnly="1" grandRow="1" outline="0" axis="axisRow" fieldPosition="0">
        <references count="1">
          <reference field="4294967294" count="1" selected="0">
            <x v="16"/>
          </reference>
        </references>
      </pivotArea>
    </format>
    <format dxfId="3265">
      <pivotArea field="0" dataOnly="0" labelOnly="1" grandRow="1" outline="0" axis="axisRow" fieldPosition="0">
        <references count="1">
          <reference field="4294967294" count="1" selected="0">
            <x v="17"/>
          </reference>
        </references>
      </pivotArea>
    </format>
    <format dxfId="3264">
      <pivotArea field="0" dataOnly="0" labelOnly="1" grandRow="1" outline="0" axis="axisRow" fieldPosition="0">
        <references count="1">
          <reference field="4294967294" count="1" selected="0">
            <x v="18"/>
          </reference>
        </references>
      </pivotArea>
    </format>
    <format dxfId="3263">
      <pivotArea field="0" dataOnly="0" labelOnly="1" grandRow="1" outline="0" axis="axisRow" fieldPosition="0">
        <references count="1">
          <reference field="4294967294" count="1" selected="0">
            <x v="19"/>
          </reference>
        </references>
      </pivotArea>
    </format>
    <format dxfId="3262">
      <pivotArea field="0" dataOnly="0" labelOnly="1" grandRow="1" outline="0" axis="axisRow" fieldPosition="0">
        <references count="1">
          <reference field="4294967294" count="1" selected="0">
            <x v="20"/>
          </reference>
        </references>
      </pivotArea>
    </format>
    <format dxfId="3261">
      <pivotArea field="0" dataOnly="0" labelOnly="1" grandRow="1" outline="0" axis="axisRow" fieldPosition="0">
        <references count="1">
          <reference field="4294967294" count="1" selected="0">
            <x v="21"/>
          </reference>
        </references>
      </pivotArea>
    </format>
    <format dxfId="3260">
      <pivotArea field="0" dataOnly="0" labelOnly="1" grandRow="1" outline="0" axis="axisRow" fieldPosition="0">
        <references count="1">
          <reference field="4294967294" count="1" selected="0">
            <x v="22"/>
          </reference>
        </references>
      </pivotArea>
    </format>
    <format dxfId="3259">
      <pivotArea field="0" dataOnly="0" labelOnly="1" grandRow="1" outline="0" axis="axisRow" fieldPosition="0">
        <references count="1">
          <reference field="4294967294" count="1" selected="0">
            <x v="23"/>
          </reference>
        </references>
      </pivotArea>
    </format>
    <format dxfId="3258">
      <pivotArea field="0" dataOnly="0" labelOnly="1" grandRow="1" outline="0" axis="axisRow" fieldPosition="0">
        <references count="1">
          <reference field="4294967294" count="1" selected="0">
            <x v="24"/>
          </reference>
        </references>
      </pivotArea>
    </format>
    <format dxfId="3257">
      <pivotArea field="0" dataOnly="0" labelOnly="1" grandRow="1" outline="0" axis="axisRow" fieldPosition="0">
        <references count="1">
          <reference field="4294967294" count="1" selected="0">
            <x v="25"/>
          </reference>
        </references>
      </pivotArea>
    </format>
    <format dxfId="3256">
      <pivotArea field="0" dataOnly="0" labelOnly="1" grandRow="1" outline="0" axis="axisRow" fieldPosition="0">
        <references count="1">
          <reference field="4294967294" count="1" selected="0">
            <x v="26"/>
          </reference>
        </references>
      </pivotArea>
    </format>
    <format dxfId="3255">
      <pivotArea field="0" dataOnly="0" labelOnly="1" grandRow="1" outline="0" axis="axisRow" fieldPosition="0">
        <references count="1">
          <reference field="4294967294" count="1" selected="0">
            <x v="27"/>
          </reference>
        </references>
      </pivotArea>
    </format>
    <format dxfId="3254">
      <pivotArea field="0" dataOnly="0" labelOnly="1" grandRow="1" outline="0" axis="axisRow" fieldPosition="0">
        <references count="1">
          <reference field="4294967294" count="1" selected="0">
            <x v="28"/>
          </reference>
        </references>
      </pivotArea>
    </format>
    <format dxfId="3253">
      <pivotArea field="0" dataOnly="0" labelOnly="1" grandRow="1" outline="0" axis="axisRow" fieldPosition="0">
        <references count="1">
          <reference field="4294967294" count="1" selected="0">
            <x v="29"/>
          </reference>
        </references>
      </pivotArea>
    </format>
    <format dxfId="3252">
      <pivotArea field="0" dataOnly="0" labelOnly="1" grandRow="1" outline="0" axis="axisRow" fieldPosition="0">
        <references count="1">
          <reference field="4294967294" count="1" selected="0">
            <x v="30"/>
          </reference>
        </references>
      </pivotArea>
    </format>
    <format dxfId="3251">
      <pivotArea field="0" dataOnly="0" labelOnly="1" grandRow="1" outline="0" axis="axisRow" fieldPosition="0">
        <references count="1">
          <reference field="4294967294" count="1" selected="0">
            <x v="31"/>
          </reference>
        </references>
      </pivotArea>
    </format>
    <format dxfId="3250">
      <pivotArea field="0" dataOnly="0" labelOnly="1" grandRow="1" outline="0" axis="axisRow" fieldPosition="0">
        <references count="1">
          <reference field="4294967294" count="1" selected="0">
            <x v="32"/>
          </reference>
        </references>
      </pivotArea>
    </format>
    <format dxfId="3249">
      <pivotArea field="0" dataOnly="0" labelOnly="1" grandRow="1" outline="0" axis="axisRow" fieldPosition="0">
        <references count="1">
          <reference field="4294967294" count="1" selected="0">
            <x v="33"/>
          </reference>
        </references>
      </pivotArea>
    </format>
    <format dxfId="3248">
      <pivotArea field="0" dataOnly="0" labelOnly="1" grandRow="1" outline="0" axis="axisRow" fieldPosition="0">
        <references count="1">
          <reference field="4294967294" count="1" selected="0">
            <x v="34"/>
          </reference>
        </references>
      </pivotArea>
    </format>
    <format dxfId="3247">
      <pivotArea field="0" dataOnly="0" labelOnly="1" grandRow="1" outline="0" axis="axisRow" fieldPosition="0">
        <references count="1">
          <reference field="4294967294" count="1" selected="0">
            <x v="35"/>
          </reference>
        </references>
      </pivotArea>
    </format>
    <format dxfId="3246">
      <pivotArea field="0" dataOnly="0" labelOnly="1" grandRow="1" outline="0" axis="axisRow" fieldPosition="0">
        <references count="1">
          <reference field="4294967294" count="1" selected="0">
            <x v="0"/>
          </reference>
        </references>
      </pivotArea>
    </format>
    <format dxfId="3245">
      <pivotArea field="0" dataOnly="0" labelOnly="1" grandRow="1" outline="0" axis="axisRow" fieldPosition="0">
        <references count="1">
          <reference field="4294967294" count="1" selected="0">
            <x v="1"/>
          </reference>
        </references>
      </pivotArea>
    </format>
    <format dxfId="3244">
      <pivotArea field="0" dataOnly="0" labelOnly="1" grandRow="1" outline="0" axis="axisRow" fieldPosition="0">
        <references count="1">
          <reference field="4294967294" count="1" selected="0">
            <x v="2"/>
          </reference>
        </references>
      </pivotArea>
    </format>
    <format dxfId="3243">
      <pivotArea field="0" dataOnly="0" labelOnly="1" grandRow="1" outline="0" axis="axisRow" fieldPosition="0">
        <references count="1">
          <reference field="4294967294" count="1" selected="0">
            <x v="3"/>
          </reference>
        </references>
      </pivotArea>
    </format>
    <format dxfId="3242">
      <pivotArea field="0" dataOnly="0" labelOnly="1" grandRow="1" outline="0" axis="axisRow" fieldPosition="0">
        <references count="1">
          <reference field="4294967294" count="1" selected="0">
            <x v="4"/>
          </reference>
        </references>
      </pivotArea>
    </format>
    <format dxfId="3241">
      <pivotArea field="0" dataOnly="0" labelOnly="1" grandRow="1" outline="0" axis="axisRow" fieldPosition="0">
        <references count="1">
          <reference field="4294967294" count="1" selected="0">
            <x v="5"/>
          </reference>
        </references>
      </pivotArea>
    </format>
    <format dxfId="3240">
      <pivotArea field="0" dataOnly="0" labelOnly="1" grandRow="1" outline="0" axis="axisRow" fieldPosition="0">
        <references count="1">
          <reference field="4294967294" count="1" selected="0">
            <x v="6"/>
          </reference>
        </references>
      </pivotArea>
    </format>
    <format dxfId="3239">
      <pivotArea field="0" dataOnly="0" labelOnly="1" grandRow="1" outline="0" axis="axisRow" fieldPosition="0">
        <references count="1">
          <reference field="4294967294" count="1" selected="0">
            <x v="7"/>
          </reference>
        </references>
      </pivotArea>
    </format>
    <format dxfId="3238">
      <pivotArea field="0" dataOnly="0" labelOnly="1" grandRow="1" outline="0" axis="axisRow" fieldPosition="0">
        <references count="1">
          <reference field="4294967294" count="1" selected="0">
            <x v="8"/>
          </reference>
        </references>
      </pivotArea>
    </format>
    <format dxfId="3237">
      <pivotArea field="0" dataOnly="0" labelOnly="1" grandRow="1" outline="0" axis="axisRow" fieldPosition="0">
        <references count="1">
          <reference field="4294967294" count="1" selected="0">
            <x v="9"/>
          </reference>
        </references>
      </pivotArea>
    </format>
    <format dxfId="3236">
      <pivotArea field="0" dataOnly="0" labelOnly="1" grandRow="1" outline="0" axis="axisRow" fieldPosition="0">
        <references count="1">
          <reference field="4294967294" count="1" selected="0">
            <x v="10"/>
          </reference>
        </references>
      </pivotArea>
    </format>
    <format dxfId="3235">
      <pivotArea field="0" dataOnly="0" labelOnly="1" grandRow="1" outline="0" axis="axisRow" fieldPosition="0">
        <references count="1">
          <reference field="4294967294" count="1" selected="0">
            <x v="11"/>
          </reference>
        </references>
      </pivotArea>
    </format>
    <format dxfId="3234">
      <pivotArea field="0" dataOnly="0" labelOnly="1" grandRow="1" outline="0" axis="axisRow" fieldPosition="0">
        <references count="1">
          <reference field="4294967294" count="1" selected="0">
            <x v="12"/>
          </reference>
        </references>
      </pivotArea>
    </format>
    <format dxfId="3233">
      <pivotArea field="0" dataOnly="0" labelOnly="1" grandRow="1" outline="0" axis="axisRow" fieldPosition="0">
        <references count="1">
          <reference field="4294967294" count="1" selected="0">
            <x v="13"/>
          </reference>
        </references>
      </pivotArea>
    </format>
    <format dxfId="3232">
      <pivotArea field="0" dataOnly="0" labelOnly="1" grandRow="1" outline="0" axis="axisRow" fieldPosition="0">
        <references count="1">
          <reference field="4294967294" count="1" selected="0">
            <x v="14"/>
          </reference>
        </references>
      </pivotArea>
    </format>
    <format dxfId="3231">
      <pivotArea field="0" dataOnly="0" labelOnly="1" grandRow="1" outline="0" axis="axisRow" fieldPosition="0">
        <references count="1">
          <reference field="4294967294" count="1" selected="0">
            <x v="15"/>
          </reference>
        </references>
      </pivotArea>
    </format>
    <format dxfId="3230">
      <pivotArea field="0" dataOnly="0" labelOnly="1" grandRow="1" outline="0" axis="axisRow" fieldPosition="0">
        <references count="1">
          <reference field="4294967294" count="1" selected="0">
            <x v="16"/>
          </reference>
        </references>
      </pivotArea>
    </format>
    <format dxfId="3229">
      <pivotArea field="0" dataOnly="0" labelOnly="1" grandRow="1" outline="0" axis="axisRow" fieldPosition="0">
        <references count="1">
          <reference field="4294967294" count="1" selected="0">
            <x v="17"/>
          </reference>
        </references>
      </pivotArea>
    </format>
    <format dxfId="3228">
      <pivotArea field="0" dataOnly="0" labelOnly="1" grandRow="1" outline="0" axis="axisRow" fieldPosition="0">
        <references count="1">
          <reference field="4294967294" count="1" selected="0">
            <x v="18"/>
          </reference>
        </references>
      </pivotArea>
    </format>
    <format dxfId="3227">
      <pivotArea field="0" dataOnly="0" labelOnly="1" grandRow="1" outline="0" axis="axisRow" fieldPosition="0">
        <references count="1">
          <reference field="4294967294" count="1" selected="0">
            <x v="19"/>
          </reference>
        </references>
      </pivotArea>
    </format>
    <format dxfId="3226">
      <pivotArea field="0" dataOnly="0" labelOnly="1" grandRow="1" outline="0" axis="axisRow" fieldPosition="0">
        <references count="1">
          <reference field="4294967294" count="1" selected="0">
            <x v="20"/>
          </reference>
        </references>
      </pivotArea>
    </format>
    <format dxfId="3225">
      <pivotArea field="0" dataOnly="0" labelOnly="1" grandRow="1" outline="0" axis="axisRow" fieldPosition="0">
        <references count="1">
          <reference field="4294967294" count="1" selected="0">
            <x v="21"/>
          </reference>
        </references>
      </pivotArea>
    </format>
    <format dxfId="3224">
      <pivotArea field="0" dataOnly="0" labelOnly="1" grandRow="1" outline="0" axis="axisRow" fieldPosition="0">
        <references count="1">
          <reference field="4294967294" count="1" selected="0">
            <x v="22"/>
          </reference>
        </references>
      </pivotArea>
    </format>
    <format dxfId="3223">
      <pivotArea field="0" dataOnly="0" labelOnly="1" grandRow="1" outline="0" axis="axisRow" fieldPosition="0">
        <references count="1">
          <reference field="4294967294" count="1" selected="0">
            <x v="23"/>
          </reference>
        </references>
      </pivotArea>
    </format>
    <format dxfId="3222">
      <pivotArea field="0" dataOnly="0" labelOnly="1" grandRow="1" outline="0" axis="axisRow" fieldPosition="0">
        <references count="1">
          <reference field="4294967294" count="1" selected="0">
            <x v="24"/>
          </reference>
        </references>
      </pivotArea>
    </format>
    <format dxfId="3221">
      <pivotArea field="0" dataOnly="0" labelOnly="1" grandRow="1" outline="0" axis="axisRow" fieldPosition="0">
        <references count="1">
          <reference field="4294967294" count="1" selected="0">
            <x v="25"/>
          </reference>
        </references>
      </pivotArea>
    </format>
    <format dxfId="3220">
      <pivotArea field="0" dataOnly="0" labelOnly="1" grandRow="1" outline="0" axis="axisRow" fieldPosition="0">
        <references count="1">
          <reference field="4294967294" count="1" selected="0">
            <x v="26"/>
          </reference>
        </references>
      </pivotArea>
    </format>
    <format dxfId="3219">
      <pivotArea field="0" dataOnly="0" labelOnly="1" grandRow="1" outline="0" axis="axisRow" fieldPosition="0">
        <references count="1">
          <reference field="4294967294" count="1" selected="0">
            <x v="27"/>
          </reference>
        </references>
      </pivotArea>
    </format>
    <format dxfId="3218">
      <pivotArea field="0" dataOnly="0" labelOnly="1" grandRow="1" outline="0" axis="axisRow" fieldPosition="0">
        <references count="1">
          <reference field="4294967294" count="1" selected="0">
            <x v="28"/>
          </reference>
        </references>
      </pivotArea>
    </format>
    <format dxfId="3217">
      <pivotArea field="0" dataOnly="0" labelOnly="1" grandRow="1" outline="0" axis="axisRow" fieldPosition="0">
        <references count="1">
          <reference field="4294967294" count="1" selected="0">
            <x v="29"/>
          </reference>
        </references>
      </pivotArea>
    </format>
    <format dxfId="3216">
      <pivotArea field="0" dataOnly="0" labelOnly="1" grandRow="1" outline="0" axis="axisRow" fieldPosition="0">
        <references count="1">
          <reference field="4294967294" count="1" selected="0">
            <x v="30"/>
          </reference>
        </references>
      </pivotArea>
    </format>
    <format dxfId="3215">
      <pivotArea field="0" dataOnly="0" labelOnly="1" grandRow="1" outline="0" axis="axisRow" fieldPosition="0">
        <references count="1">
          <reference field="4294967294" count="1" selected="0">
            <x v="31"/>
          </reference>
        </references>
      </pivotArea>
    </format>
    <format dxfId="3214">
      <pivotArea field="0" dataOnly="0" labelOnly="1" grandRow="1" outline="0" axis="axisRow" fieldPosition="0">
        <references count="1">
          <reference field="4294967294" count="1" selected="0">
            <x v="32"/>
          </reference>
        </references>
      </pivotArea>
    </format>
    <format dxfId="3213">
      <pivotArea field="0" dataOnly="0" labelOnly="1" grandRow="1" outline="0" axis="axisRow" fieldPosition="0">
        <references count="1">
          <reference field="4294967294" count="1" selected="0">
            <x v="33"/>
          </reference>
        </references>
      </pivotArea>
    </format>
    <format dxfId="3212">
      <pivotArea field="0" dataOnly="0" labelOnly="1" grandRow="1" outline="0" axis="axisRow" fieldPosition="0">
        <references count="1">
          <reference field="4294967294" count="1" selected="0">
            <x v="34"/>
          </reference>
        </references>
      </pivotArea>
    </format>
    <format dxfId="3211">
      <pivotArea field="0" dataOnly="0" labelOnly="1" grandRow="1" outline="0" axis="axisRow" fieldPosition="0">
        <references count="1">
          <reference field="4294967294" count="1" selected="0">
            <x v="35"/>
          </reference>
        </references>
      </pivotArea>
    </format>
    <format dxfId="3210">
      <pivotArea field="0" dataOnly="0" labelOnly="1" grandRow="1" outline="0" axis="axisRow" fieldPosition="0">
        <references count="1">
          <reference field="4294967294" count="1" selected="0">
            <x v="0"/>
          </reference>
        </references>
      </pivotArea>
    </format>
    <format dxfId="3209">
      <pivotArea field="0" dataOnly="0" labelOnly="1" grandRow="1" outline="0" axis="axisRow" fieldPosition="0">
        <references count="1">
          <reference field="4294967294" count="1" selected="0">
            <x v="1"/>
          </reference>
        </references>
      </pivotArea>
    </format>
    <format dxfId="3208">
      <pivotArea field="0" dataOnly="0" labelOnly="1" grandRow="1" outline="0" axis="axisRow" fieldPosition="0">
        <references count="1">
          <reference field="4294967294" count="1" selected="0">
            <x v="2"/>
          </reference>
        </references>
      </pivotArea>
    </format>
    <format dxfId="3207">
      <pivotArea field="0" dataOnly="0" labelOnly="1" grandRow="1" outline="0" axis="axisRow" fieldPosition="0">
        <references count="1">
          <reference field="4294967294" count="1" selected="0">
            <x v="3"/>
          </reference>
        </references>
      </pivotArea>
    </format>
    <format dxfId="3206">
      <pivotArea field="0" dataOnly="0" labelOnly="1" grandRow="1" outline="0" axis="axisRow" fieldPosition="0">
        <references count="1">
          <reference field="4294967294" count="1" selected="0">
            <x v="4"/>
          </reference>
        </references>
      </pivotArea>
    </format>
    <format dxfId="3205">
      <pivotArea field="0" dataOnly="0" labelOnly="1" grandRow="1" outline="0" axis="axisRow" fieldPosition="0">
        <references count="1">
          <reference field="4294967294" count="1" selected="0">
            <x v="5"/>
          </reference>
        </references>
      </pivotArea>
    </format>
    <format dxfId="3204">
      <pivotArea field="0" dataOnly="0" labelOnly="1" grandRow="1" outline="0" axis="axisRow" fieldPosition="0">
        <references count="1">
          <reference field="4294967294" count="1" selected="0">
            <x v="6"/>
          </reference>
        </references>
      </pivotArea>
    </format>
    <format dxfId="3203">
      <pivotArea field="0" dataOnly="0" labelOnly="1" grandRow="1" outline="0" axis="axisRow" fieldPosition="0">
        <references count="1">
          <reference field="4294967294" count="1" selected="0">
            <x v="7"/>
          </reference>
        </references>
      </pivotArea>
    </format>
    <format dxfId="3202">
      <pivotArea field="0" dataOnly="0" labelOnly="1" grandRow="1" outline="0" axis="axisRow" fieldPosition="0">
        <references count="1">
          <reference field="4294967294" count="1" selected="0">
            <x v="8"/>
          </reference>
        </references>
      </pivotArea>
    </format>
    <format dxfId="3201">
      <pivotArea field="0" dataOnly="0" labelOnly="1" grandRow="1" outline="0" axis="axisRow" fieldPosition="0">
        <references count="1">
          <reference field="4294967294" count="1" selected="0">
            <x v="9"/>
          </reference>
        </references>
      </pivotArea>
    </format>
    <format dxfId="3200">
      <pivotArea field="0" dataOnly="0" labelOnly="1" grandRow="1" outline="0" axis="axisRow" fieldPosition="0">
        <references count="1">
          <reference field="4294967294" count="1" selected="0">
            <x v="10"/>
          </reference>
        </references>
      </pivotArea>
    </format>
    <format dxfId="3199">
      <pivotArea field="0" dataOnly="0" labelOnly="1" grandRow="1" outline="0" axis="axisRow" fieldPosition="0">
        <references count="1">
          <reference field="4294967294" count="1" selected="0">
            <x v="11"/>
          </reference>
        </references>
      </pivotArea>
    </format>
    <format dxfId="3198">
      <pivotArea field="0" dataOnly="0" labelOnly="1" grandRow="1" outline="0" axis="axisRow" fieldPosition="0">
        <references count="1">
          <reference field="4294967294" count="1" selected="0">
            <x v="12"/>
          </reference>
        </references>
      </pivotArea>
    </format>
    <format dxfId="3197">
      <pivotArea field="0" dataOnly="0" labelOnly="1" grandRow="1" outline="0" axis="axisRow" fieldPosition="0">
        <references count="1">
          <reference field="4294967294" count="1" selected="0">
            <x v="13"/>
          </reference>
        </references>
      </pivotArea>
    </format>
    <format dxfId="3196">
      <pivotArea field="0" dataOnly="0" labelOnly="1" grandRow="1" outline="0" axis="axisRow" fieldPosition="0">
        <references count="1">
          <reference field="4294967294" count="1" selected="0">
            <x v="14"/>
          </reference>
        </references>
      </pivotArea>
    </format>
    <format dxfId="3195">
      <pivotArea field="0" dataOnly="0" labelOnly="1" grandRow="1" outline="0" axis="axisRow" fieldPosition="0">
        <references count="1">
          <reference field="4294967294" count="1" selected="0">
            <x v="15"/>
          </reference>
        </references>
      </pivotArea>
    </format>
    <format dxfId="3194">
      <pivotArea field="0" dataOnly="0" labelOnly="1" grandRow="1" outline="0" axis="axisRow" fieldPosition="0">
        <references count="1">
          <reference field="4294967294" count="1" selected="0">
            <x v="16"/>
          </reference>
        </references>
      </pivotArea>
    </format>
    <format dxfId="3193">
      <pivotArea field="0" dataOnly="0" labelOnly="1" grandRow="1" outline="0" axis="axisRow" fieldPosition="0">
        <references count="1">
          <reference field="4294967294" count="1" selected="0">
            <x v="17"/>
          </reference>
        </references>
      </pivotArea>
    </format>
    <format dxfId="3192">
      <pivotArea field="0" dataOnly="0" labelOnly="1" grandRow="1" outline="0" axis="axisRow" fieldPosition="0">
        <references count="1">
          <reference field="4294967294" count="1" selected="0">
            <x v="18"/>
          </reference>
        </references>
      </pivotArea>
    </format>
    <format dxfId="3191">
      <pivotArea field="0" dataOnly="0" labelOnly="1" grandRow="1" outline="0" axis="axisRow" fieldPosition="0">
        <references count="1">
          <reference field="4294967294" count="1" selected="0">
            <x v="19"/>
          </reference>
        </references>
      </pivotArea>
    </format>
    <format dxfId="3190">
      <pivotArea field="0" dataOnly="0" labelOnly="1" grandRow="1" outline="0" axis="axisRow" fieldPosition="0">
        <references count="1">
          <reference field="4294967294" count="1" selected="0">
            <x v="20"/>
          </reference>
        </references>
      </pivotArea>
    </format>
    <format dxfId="3189">
      <pivotArea field="0" dataOnly="0" labelOnly="1" grandRow="1" outline="0" axis="axisRow" fieldPosition="0">
        <references count="1">
          <reference field="4294967294" count="1" selected="0">
            <x v="21"/>
          </reference>
        </references>
      </pivotArea>
    </format>
    <format dxfId="3188">
      <pivotArea field="0" dataOnly="0" labelOnly="1" grandRow="1" outline="0" axis="axisRow" fieldPosition="0">
        <references count="1">
          <reference field="4294967294" count="1" selected="0">
            <x v="22"/>
          </reference>
        </references>
      </pivotArea>
    </format>
    <format dxfId="3187">
      <pivotArea field="0" dataOnly="0" labelOnly="1" grandRow="1" outline="0" axis="axisRow" fieldPosition="0">
        <references count="1">
          <reference field="4294967294" count="1" selected="0">
            <x v="23"/>
          </reference>
        </references>
      </pivotArea>
    </format>
    <format dxfId="3186">
      <pivotArea field="0" dataOnly="0" labelOnly="1" grandRow="1" outline="0" axis="axisRow" fieldPosition="0">
        <references count="1">
          <reference field="4294967294" count="1" selected="0">
            <x v="24"/>
          </reference>
        </references>
      </pivotArea>
    </format>
    <format dxfId="3185">
      <pivotArea field="0" dataOnly="0" labelOnly="1" grandRow="1" outline="0" axis="axisRow" fieldPosition="0">
        <references count="1">
          <reference field="4294967294" count="1" selected="0">
            <x v="25"/>
          </reference>
        </references>
      </pivotArea>
    </format>
    <format dxfId="3184">
      <pivotArea field="0" dataOnly="0" labelOnly="1" grandRow="1" outline="0" axis="axisRow" fieldPosition="0">
        <references count="1">
          <reference field="4294967294" count="1" selected="0">
            <x v="26"/>
          </reference>
        </references>
      </pivotArea>
    </format>
    <format dxfId="3183">
      <pivotArea field="0" dataOnly="0" labelOnly="1" grandRow="1" outline="0" axis="axisRow" fieldPosition="0">
        <references count="1">
          <reference field="4294967294" count="1" selected="0">
            <x v="27"/>
          </reference>
        </references>
      </pivotArea>
    </format>
    <format dxfId="3182">
      <pivotArea field="0" dataOnly="0" labelOnly="1" grandRow="1" outline="0" axis="axisRow" fieldPosition="0">
        <references count="1">
          <reference field="4294967294" count="1" selected="0">
            <x v="28"/>
          </reference>
        </references>
      </pivotArea>
    </format>
    <format dxfId="3181">
      <pivotArea field="0" dataOnly="0" labelOnly="1" grandRow="1" outline="0" axis="axisRow" fieldPosition="0">
        <references count="1">
          <reference field="4294967294" count="1" selected="0">
            <x v="29"/>
          </reference>
        </references>
      </pivotArea>
    </format>
    <format dxfId="3180">
      <pivotArea field="0" dataOnly="0" labelOnly="1" grandRow="1" outline="0" axis="axisRow" fieldPosition="0">
        <references count="1">
          <reference field="4294967294" count="1" selected="0">
            <x v="30"/>
          </reference>
        </references>
      </pivotArea>
    </format>
    <format dxfId="3179">
      <pivotArea field="0" dataOnly="0" labelOnly="1" grandRow="1" outline="0" axis="axisRow" fieldPosition="0">
        <references count="1">
          <reference field="4294967294" count="1" selected="0">
            <x v="31"/>
          </reference>
        </references>
      </pivotArea>
    </format>
    <format dxfId="3178">
      <pivotArea field="0" dataOnly="0" labelOnly="1" grandRow="1" outline="0" axis="axisRow" fieldPosition="0">
        <references count="1">
          <reference field="4294967294" count="1" selected="0">
            <x v="32"/>
          </reference>
        </references>
      </pivotArea>
    </format>
    <format dxfId="3177">
      <pivotArea field="0" dataOnly="0" labelOnly="1" grandRow="1" outline="0" axis="axisRow" fieldPosition="0">
        <references count="1">
          <reference field="4294967294" count="1" selected="0">
            <x v="33"/>
          </reference>
        </references>
      </pivotArea>
    </format>
    <format dxfId="3176">
      <pivotArea field="0" dataOnly="0" labelOnly="1" grandRow="1" outline="0" axis="axisRow" fieldPosition="0">
        <references count="1">
          <reference field="4294967294" count="1" selected="0">
            <x v="34"/>
          </reference>
        </references>
      </pivotArea>
    </format>
    <format dxfId="3175">
      <pivotArea field="0" dataOnly="0" labelOnly="1" grandRow="1" outline="0" axis="axisRow" fieldPosition="0">
        <references count="1">
          <reference field="4294967294" count="1" selected="0">
            <x v="35"/>
          </reference>
        </references>
      </pivotArea>
    </format>
    <format dxfId="3174">
      <pivotArea field="0" dataOnly="0" labelOnly="1" grandRow="1" outline="0" axis="axisRow" fieldPosition="0">
        <references count="1">
          <reference field="4294967294" count="1" selected="0">
            <x v="0"/>
          </reference>
        </references>
      </pivotArea>
    </format>
    <format dxfId="3173">
      <pivotArea field="0" dataOnly="0" labelOnly="1" grandRow="1" outline="0" axis="axisRow" fieldPosition="0">
        <references count="1">
          <reference field="4294967294" count="1" selected="0">
            <x v="1"/>
          </reference>
        </references>
      </pivotArea>
    </format>
    <format dxfId="3172">
      <pivotArea field="0" dataOnly="0" labelOnly="1" grandRow="1" outline="0" axis="axisRow" fieldPosition="0">
        <references count="1">
          <reference field="4294967294" count="1" selected="0">
            <x v="2"/>
          </reference>
        </references>
      </pivotArea>
    </format>
    <format dxfId="3171">
      <pivotArea field="0" dataOnly="0" labelOnly="1" grandRow="1" outline="0" axis="axisRow" fieldPosition="0">
        <references count="1">
          <reference field="4294967294" count="1" selected="0">
            <x v="3"/>
          </reference>
        </references>
      </pivotArea>
    </format>
    <format dxfId="3170">
      <pivotArea field="0" dataOnly="0" labelOnly="1" grandRow="1" outline="0" axis="axisRow" fieldPosition="0">
        <references count="1">
          <reference field="4294967294" count="1" selected="0">
            <x v="4"/>
          </reference>
        </references>
      </pivotArea>
    </format>
    <format dxfId="3169">
      <pivotArea field="0" dataOnly="0" labelOnly="1" grandRow="1" outline="0" axis="axisRow" fieldPosition="0">
        <references count="1">
          <reference field="4294967294" count="1" selected="0">
            <x v="5"/>
          </reference>
        </references>
      </pivotArea>
    </format>
    <format dxfId="3168">
      <pivotArea field="0" dataOnly="0" labelOnly="1" grandRow="1" outline="0" axis="axisRow" fieldPosition="0">
        <references count="1">
          <reference field="4294967294" count="1" selected="0">
            <x v="6"/>
          </reference>
        </references>
      </pivotArea>
    </format>
    <format dxfId="3167">
      <pivotArea field="0" dataOnly="0" labelOnly="1" grandRow="1" outline="0" axis="axisRow" fieldPosition="0">
        <references count="1">
          <reference field="4294967294" count="1" selected="0">
            <x v="7"/>
          </reference>
        </references>
      </pivotArea>
    </format>
    <format dxfId="3166">
      <pivotArea field="0" dataOnly="0" labelOnly="1" grandRow="1" outline="0" axis="axisRow" fieldPosition="0">
        <references count="1">
          <reference field="4294967294" count="1" selected="0">
            <x v="8"/>
          </reference>
        </references>
      </pivotArea>
    </format>
    <format dxfId="3165">
      <pivotArea field="0" dataOnly="0" labelOnly="1" grandRow="1" outline="0" axis="axisRow" fieldPosition="0">
        <references count="1">
          <reference field="4294967294" count="1" selected="0">
            <x v="9"/>
          </reference>
        </references>
      </pivotArea>
    </format>
    <format dxfId="3164">
      <pivotArea field="0" dataOnly="0" labelOnly="1" grandRow="1" outline="0" axis="axisRow" fieldPosition="0">
        <references count="1">
          <reference field="4294967294" count="1" selected="0">
            <x v="10"/>
          </reference>
        </references>
      </pivotArea>
    </format>
    <format dxfId="3163">
      <pivotArea field="0" dataOnly="0" labelOnly="1" grandRow="1" outline="0" axis="axisRow" fieldPosition="0">
        <references count="1">
          <reference field="4294967294" count="1" selected="0">
            <x v="11"/>
          </reference>
        </references>
      </pivotArea>
    </format>
    <format dxfId="3162">
      <pivotArea field="0" dataOnly="0" labelOnly="1" grandRow="1" outline="0" axis="axisRow" fieldPosition="0">
        <references count="1">
          <reference field="4294967294" count="1" selected="0">
            <x v="12"/>
          </reference>
        </references>
      </pivotArea>
    </format>
    <format dxfId="3161">
      <pivotArea field="0" dataOnly="0" labelOnly="1" grandRow="1" outline="0" axis="axisRow" fieldPosition="0">
        <references count="1">
          <reference field="4294967294" count="1" selected="0">
            <x v="13"/>
          </reference>
        </references>
      </pivotArea>
    </format>
    <format dxfId="3160">
      <pivotArea field="0" dataOnly="0" labelOnly="1" grandRow="1" outline="0" axis="axisRow" fieldPosition="0">
        <references count="1">
          <reference field="4294967294" count="1" selected="0">
            <x v="14"/>
          </reference>
        </references>
      </pivotArea>
    </format>
    <format dxfId="3159">
      <pivotArea field="0" dataOnly="0" labelOnly="1" grandRow="1" outline="0" axis="axisRow" fieldPosition="0">
        <references count="1">
          <reference field="4294967294" count="1" selected="0">
            <x v="15"/>
          </reference>
        </references>
      </pivotArea>
    </format>
    <format dxfId="3158">
      <pivotArea field="0" dataOnly="0" labelOnly="1" grandRow="1" outline="0" axis="axisRow" fieldPosition="0">
        <references count="1">
          <reference field="4294967294" count="1" selected="0">
            <x v="16"/>
          </reference>
        </references>
      </pivotArea>
    </format>
    <format dxfId="3157">
      <pivotArea field="0" dataOnly="0" labelOnly="1" grandRow="1" outline="0" axis="axisRow" fieldPosition="0">
        <references count="1">
          <reference field="4294967294" count="1" selected="0">
            <x v="17"/>
          </reference>
        </references>
      </pivotArea>
    </format>
    <format dxfId="3156">
      <pivotArea field="0" dataOnly="0" labelOnly="1" grandRow="1" outline="0" axis="axisRow" fieldPosition="0">
        <references count="1">
          <reference field="4294967294" count="1" selected="0">
            <x v="18"/>
          </reference>
        </references>
      </pivotArea>
    </format>
    <format dxfId="3155">
      <pivotArea field="0" dataOnly="0" labelOnly="1" grandRow="1" outline="0" axis="axisRow" fieldPosition="0">
        <references count="1">
          <reference field="4294967294" count="1" selected="0">
            <x v="19"/>
          </reference>
        </references>
      </pivotArea>
    </format>
    <format dxfId="3154">
      <pivotArea field="0" dataOnly="0" labelOnly="1" grandRow="1" outline="0" axis="axisRow" fieldPosition="0">
        <references count="1">
          <reference field="4294967294" count="1" selected="0">
            <x v="20"/>
          </reference>
        </references>
      </pivotArea>
    </format>
    <format dxfId="3153">
      <pivotArea field="0" dataOnly="0" labelOnly="1" grandRow="1" outline="0" axis="axisRow" fieldPosition="0">
        <references count="1">
          <reference field="4294967294" count="1" selected="0">
            <x v="21"/>
          </reference>
        </references>
      </pivotArea>
    </format>
    <format dxfId="3152">
      <pivotArea field="0" dataOnly="0" labelOnly="1" grandRow="1" outline="0" axis="axisRow" fieldPosition="0">
        <references count="1">
          <reference field="4294967294" count="1" selected="0">
            <x v="22"/>
          </reference>
        </references>
      </pivotArea>
    </format>
    <format dxfId="3151">
      <pivotArea field="0" dataOnly="0" labelOnly="1" grandRow="1" outline="0" axis="axisRow" fieldPosition="0">
        <references count="1">
          <reference field="4294967294" count="1" selected="0">
            <x v="23"/>
          </reference>
        </references>
      </pivotArea>
    </format>
    <format dxfId="3150">
      <pivotArea field="0" dataOnly="0" labelOnly="1" grandRow="1" outline="0" axis="axisRow" fieldPosition="0">
        <references count="1">
          <reference field="4294967294" count="1" selected="0">
            <x v="24"/>
          </reference>
        </references>
      </pivotArea>
    </format>
    <format dxfId="3149">
      <pivotArea field="0" dataOnly="0" labelOnly="1" grandRow="1" outline="0" axis="axisRow" fieldPosition="0">
        <references count="1">
          <reference field="4294967294" count="1" selected="0">
            <x v="25"/>
          </reference>
        </references>
      </pivotArea>
    </format>
    <format dxfId="3148">
      <pivotArea field="0" dataOnly="0" labelOnly="1" grandRow="1" outline="0" axis="axisRow" fieldPosition="0">
        <references count="1">
          <reference field="4294967294" count="1" selected="0">
            <x v="26"/>
          </reference>
        </references>
      </pivotArea>
    </format>
    <format dxfId="3147">
      <pivotArea field="0" dataOnly="0" labelOnly="1" grandRow="1" outline="0" axis="axisRow" fieldPosition="0">
        <references count="1">
          <reference field="4294967294" count="1" selected="0">
            <x v="27"/>
          </reference>
        </references>
      </pivotArea>
    </format>
    <format dxfId="3146">
      <pivotArea field="0" dataOnly="0" labelOnly="1" grandRow="1" outline="0" axis="axisRow" fieldPosition="0">
        <references count="1">
          <reference field="4294967294" count="1" selected="0">
            <x v="28"/>
          </reference>
        </references>
      </pivotArea>
    </format>
    <format dxfId="3145">
      <pivotArea field="0" dataOnly="0" labelOnly="1" grandRow="1" outline="0" axis="axisRow" fieldPosition="0">
        <references count="1">
          <reference field="4294967294" count="1" selected="0">
            <x v="29"/>
          </reference>
        </references>
      </pivotArea>
    </format>
    <format dxfId="3144">
      <pivotArea field="0" dataOnly="0" labelOnly="1" grandRow="1" outline="0" axis="axisRow" fieldPosition="0">
        <references count="1">
          <reference field="4294967294" count="1" selected="0">
            <x v="30"/>
          </reference>
        </references>
      </pivotArea>
    </format>
    <format dxfId="3143">
      <pivotArea field="0" dataOnly="0" labelOnly="1" grandRow="1" outline="0" axis="axisRow" fieldPosition="0">
        <references count="1">
          <reference field="4294967294" count="1" selected="0">
            <x v="31"/>
          </reference>
        </references>
      </pivotArea>
    </format>
    <format dxfId="3142">
      <pivotArea field="0" dataOnly="0" labelOnly="1" grandRow="1" outline="0" axis="axisRow" fieldPosition="0">
        <references count="1">
          <reference field="4294967294" count="1" selected="0">
            <x v="32"/>
          </reference>
        </references>
      </pivotArea>
    </format>
    <format dxfId="3141">
      <pivotArea field="0" dataOnly="0" labelOnly="1" grandRow="1" outline="0" axis="axisRow" fieldPosition="0">
        <references count="1">
          <reference field="4294967294" count="1" selected="0">
            <x v="33"/>
          </reference>
        </references>
      </pivotArea>
    </format>
    <format dxfId="3140">
      <pivotArea field="0" dataOnly="0" labelOnly="1" grandRow="1" outline="0" axis="axisRow" fieldPosition="0">
        <references count="1">
          <reference field="4294967294" count="1" selected="0">
            <x v="34"/>
          </reference>
        </references>
      </pivotArea>
    </format>
    <format dxfId="3139">
      <pivotArea field="0" dataOnly="0" labelOnly="1" grandRow="1" outline="0" axis="axisRow" fieldPosition="0">
        <references count="1">
          <reference field="4294967294" count="1" selected="0">
            <x v="35"/>
          </reference>
        </references>
      </pivotArea>
    </format>
    <format dxfId="3138">
      <pivotArea field="0" dataOnly="0" labelOnly="1" grandRow="1" outline="0" axis="axisRow" fieldPosition="0">
        <references count="1">
          <reference field="4294967294" count="1" selected="0">
            <x v="0"/>
          </reference>
        </references>
      </pivotArea>
    </format>
    <format dxfId="3137">
      <pivotArea field="0" dataOnly="0" labelOnly="1" grandRow="1" outline="0" axis="axisRow" fieldPosition="0">
        <references count="1">
          <reference field="4294967294" count="1" selected="0">
            <x v="1"/>
          </reference>
        </references>
      </pivotArea>
    </format>
    <format dxfId="3136">
      <pivotArea field="0" dataOnly="0" labelOnly="1" grandRow="1" outline="0" axis="axisRow" fieldPosition="0">
        <references count="1">
          <reference field="4294967294" count="1" selected="0">
            <x v="2"/>
          </reference>
        </references>
      </pivotArea>
    </format>
    <format dxfId="3135">
      <pivotArea field="0" dataOnly="0" labelOnly="1" grandRow="1" outline="0" axis="axisRow" fieldPosition="0">
        <references count="1">
          <reference field="4294967294" count="1" selected="0">
            <x v="3"/>
          </reference>
        </references>
      </pivotArea>
    </format>
    <format dxfId="3134">
      <pivotArea field="0" dataOnly="0" labelOnly="1" grandRow="1" outline="0" axis="axisRow" fieldPosition="0">
        <references count="1">
          <reference field="4294967294" count="1" selected="0">
            <x v="4"/>
          </reference>
        </references>
      </pivotArea>
    </format>
    <format dxfId="3133">
      <pivotArea field="0" dataOnly="0" labelOnly="1" grandRow="1" outline="0" axis="axisRow" fieldPosition="0">
        <references count="1">
          <reference field="4294967294" count="1" selected="0">
            <x v="5"/>
          </reference>
        </references>
      </pivotArea>
    </format>
    <format dxfId="3132">
      <pivotArea field="0" dataOnly="0" labelOnly="1" grandRow="1" outline="0" axis="axisRow" fieldPosition="0">
        <references count="1">
          <reference field="4294967294" count="1" selected="0">
            <x v="6"/>
          </reference>
        </references>
      </pivotArea>
    </format>
    <format dxfId="3131">
      <pivotArea field="0" dataOnly="0" labelOnly="1" grandRow="1" outline="0" axis="axisRow" fieldPosition="0">
        <references count="1">
          <reference field="4294967294" count="1" selected="0">
            <x v="7"/>
          </reference>
        </references>
      </pivotArea>
    </format>
    <format dxfId="3130">
      <pivotArea field="0" dataOnly="0" labelOnly="1" grandRow="1" outline="0" axis="axisRow" fieldPosition="0">
        <references count="1">
          <reference field="4294967294" count="1" selected="0">
            <x v="8"/>
          </reference>
        </references>
      </pivotArea>
    </format>
    <format dxfId="3129">
      <pivotArea field="0" dataOnly="0" labelOnly="1" grandRow="1" outline="0" axis="axisRow" fieldPosition="0">
        <references count="1">
          <reference field="4294967294" count="1" selected="0">
            <x v="9"/>
          </reference>
        </references>
      </pivotArea>
    </format>
    <format dxfId="3128">
      <pivotArea field="0" dataOnly="0" labelOnly="1" grandRow="1" outline="0" axis="axisRow" fieldPosition="0">
        <references count="1">
          <reference field="4294967294" count="1" selected="0">
            <x v="10"/>
          </reference>
        </references>
      </pivotArea>
    </format>
    <format dxfId="3127">
      <pivotArea field="0" dataOnly="0" labelOnly="1" grandRow="1" outline="0" axis="axisRow" fieldPosition="0">
        <references count="1">
          <reference field="4294967294" count="1" selected="0">
            <x v="11"/>
          </reference>
        </references>
      </pivotArea>
    </format>
    <format dxfId="3126">
      <pivotArea field="0" dataOnly="0" labelOnly="1" grandRow="1" outline="0" axis="axisRow" fieldPosition="0">
        <references count="1">
          <reference field="4294967294" count="1" selected="0">
            <x v="12"/>
          </reference>
        </references>
      </pivotArea>
    </format>
    <format dxfId="3125">
      <pivotArea field="0" dataOnly="0" labelOnly="1" grandRow="1" outline="0" axis="axisRow" fieldPosition="0">
        <references count="1">
          <reference field="4294967294" count="1" selected="0">
            <x v="13"/>
          </reference>
        </references>
      </pivotArea>
    </format>
    <format dxfId="3124">
      <pivotArea field="0" dataOnly="0" labelOnly="1" grandRow="1" outline="0" axis="axisRow" fieldPosition="0">
        <references count="1">
          <reference field="4294967294" count="1" selected="0">
            <x v="14"/>
          </reference>
        </references>
      </pivotArea>
    </format>
    <format dxfId="3123">
      <pivotArea field="0" dataOnly="0" labelOnly="1" grandRow="1" outline="0" axis="axisRow" fieldPosition="0">
        <references count="1">
          <reference field="4294967294" count="1" selected="0">
            <x v="15"/>
          </reference>
        </references>
      </pivotArea>
    </format>
    <format dxfId="3122">
      <pivotArea field="0" dataOnly="0" labelOnly="1" grandRow="1" outline="0" axis="axisRow" fieldPosition="0">
        <references count="1">
          <reference field="4294967294" count="1" selected="0">
            <x v="16"/>
          </reference>
        </references>
      </pivotArea>
    </format>
    <format dxfId="3121">
      <pivotArea field="0" dataOnly="0" labelOnly="1" grandRow="1" outline="0" axis="axisRow" fieldPosition="0">
        <references count="1">
          <reference field="4294967294" count="1" selected="0">
            <x v="17"/>
          </reference>
        </references>
      </pivotArea>
    </format>
    <format dxfId="3120">
      <pivotArea field="0" dataOnly="0" labelOnly="1" grandRow="1" outline="0" axis="axisRow" fieldPosition="0">
        <references count="1">
          <reference field="4294967294" count="1" selected="0">
            <x v="18"/>
          </reference>
        </references>
      </pivotArea>
    </format>
    <format dxfId="3119">
      <pivotArea field="0" dataOnly="0" labelOnly="1" grandRow="1" outline="0" axis="axisRow" fieldPosition="0">
        <references count="1">
          <reference field="4294967294" count="1" selected="0">
            <x v="19"/>
          </reference>
        </references>
      </pivotArea>
    </format>
    <format dxfId="3118">
      <pivotArea field="0" dataOnly="0" labelOnly="1" grandRow="1" outline="0" axis="axisRow" fieldPosition="0">
        <references count="1">
          <reference field="4294967294" count="1" selected="0">
            <x v="20"/>
          </reference>
        </references>
      </pivotArea>
    </format>
    <format dxfId="3117">
      <pivotArea field="0" dataOnly="0" labelOnly="1" grandRow="1" outline="0" axis="axisRow" fieldPosition="0">
        <references count="1">
          <reference field="4294967294" count="1" selected="0">
            <x v="21"/>
          </reference>
        </references>
      </pivotArea>
    </format>
    <format dxfId="3116">
      <pivotArea field="0" dataOnly="0" labelOnly="1" grandRow="1" outline="0" axis="axisRow" fieldPosition="0">
        <references count="1">
          <reference field="4294967294" count="1" selected="0">
            <x v="22"/>
          </reference>
        </references>
      </pivotArea>
    </format>
    <format dxfId="3115">
      <pivotArea field="0" dataOnly="0" labelOnly="1" grandRow="1" outline="0" axis="axisRow" fieldPosition="0">
        <references count="1">
          <reference field="4294967294" count="1" selected="0">
            <x v="23"/>
          </reference>
        </references>
      </pivotArea>
    </format>
    <format dxfId="3114">
      <pivotArea field="0" dataOnly="0" labelOnly="1" grandRow="1" outline="0" axis="axisRow" fieldPosition="0">
        <references count="1">
          <reference field="4294967294" count="1" selected="0">
            <x v="24"/>
          </reference>
        </references>
      </pivotArea>
    </format>
    <format dxfId="3113">
      <pivotArea field="0" dataOnly="0" labelOnly="1" grandRow="1" outline="0" axis="axisRow" fieldPosition="0">
        <references count="1">
          <reference field="4294967294" count="1" selected="0">
            <x v="25"/>
          </reference>
        </references>
      </pivotArea>
    </format>
    <format dxfId="3112">
      <pivotArea field="0" dataOnly="0" labelOnly="1" grandRow="1" outline="0" axis="axisRow" fieldPosition="0">
        <references count="1">
          <reference field="4294967294" count="1" selected="0">
            <x v="26"/>
          </reference>
        </references>
      </pivotArea>
    </format>
    <format dxfId="3111">
      <pivotArea field="0" dataOnly="0" labelOnly="1" grandRow="1" outline="0" axis="axisRow" fieldPosition="0">
        <references count="1">
          <reference field="4294967294" count="1" selected="0">
            <x v="27"/>
          </reference>
        </references>
      </pivotArea>
    </format>
    <format dxfId="3110">
      <pivotArea field="0" dataOnly="0" labelOnly="1" grandRow="1" outline="0" axis="axisRow" fieldPosition="0">
        <references count="1">
          <reference field="4294967294" count="1" selected="0">
            <x v="28"/>
          </reference>
        </references>
      </pivotArea>
    </format>
    <format dxfId="3109">
      <pivotArea field="0" dataOnly="0" labelOnly="1" grandRow="1" outline="0" axis="axisRow" fieldPosition="0">
        <references count="1">
          <reference field="4294967294" count="1" selected="0">
            <x v="29"/>
          </reference>
        </references>
      </pivotArea>
    </format>
    <format dxfId="3108">
      <pivotArea field="0" dataOnly="0" labelOnly="1" grandRow="1" outline="0" axis="axisRow" fieldPosition="0">
        <references count="1">
          <reference field="4294967294" count="1" selected="0">
            <x v="30"/>
          </reference>
        </references>
      </pivotArea>
    </format>
    <format dxfId="3107">
      <pivotArea field="0" dataOnly="0" labelOnly="1" grandRow="1" outline="0" axis="axisRow" fieldPosition="0">
        <references count="1">
          <reference field="4294967294" count="1" selected="0">
            <x v="31"/>
          </reference>
        </references>
      </pivotArea>
    </format>
    <format dxfId="3106">
      <pivotArea field="0" dataOnly="0" labelOnly="1" grandRow="1" outline="0" axis="axisRow" fieldPosition="0">
        <references count="1">
          <reference field="4294967294" count="1" selected="0">
            <x v="32"/>
          </reference>
        </references>
      </pivotArea>
    </format>
    <format dxfId="3105">
      <pivotArea field="0" dataOnly="0" labelOnly="1" grandRow="1" outline="0" axis="axisRow" fieldPosition="0">
        <references count="1">
          <reference field="4294967294" count="1" selected="0">
            <x v="33"/>
          </reference>
        </references>
      </pivotArea>
    </format>
    <format dxfId="3104">
      <pivotArea field="0" dataOnly="0" labelOnly="1" grandRow="1" outline="0" axis="axisRow" fieldPosition="0">
        <references count="1">
          <reference field="4294967294" count="1" selected="0">
            <x v="34"/>
          </reference>
        </references>
      </pivotArea>
    </format>
    <format dxfId="3103">
      <pivotArea field="0" dataOnly="0" labelOnly="1" grandRow="1" outline="0" axis="axisRow" fieldPosition="0">
        <references count="1">
          <reference field="4294967294" count="1" selected="0">
            <x v="35"/>
          </reference>
        </references>
      </pivotArea>
    </format>
    <format dxfId="3102">
      <pivotArea field="0" dataOnly="0" labelOnly="1" grandRow="1" outline="0" axis="axisRow" fieldPosition="0">
        <references count="1">
          <reference field="4294967294" count="1" selected="0">
            <x v="0"/>
          </reference>
        </references>
      </pivotArea>
    </format>
    <format dxfId="3101">
      <pivotArea field="0" dataOnly="0" labelOnly="1" grandRow="1" outline="0" axis="axisRow" fieldPosition="0">
        <references count="1">
          <reference field="4294967294" count="1" selected="0">
            <x v="1"/>
          </reference>
        </references>
      </pivotArea>
    </format>
    <format dxfId="3100">
      <pivotArea field="0" dataOnly="0" labelOnly="1" grandRow="1" outline="0" axis="axisRow" fieldPosition="0">
        <references count="1">
          <reference field="4294967294" count="1" selected="0">
            <x v="2"/>
          </reference>
        </references>
      </pivotArea>
    </format>
    <format dxfId="3099">
      <pivotArea field="0" dataOnly="0" labelOnly="1" grandRow="1" outline="0" axis="axisRow" fieldPosition="0">
        <references count="1">
          <reference field="4294967294" count="1" selected="0">
            <x v="3"/>
          </reference>
        </references>
      </pivotArea>
    </format>
    <format dxfId="3098">
      <pivotArea field="0" dataOnly="0" labelOnly="1" grandRow="1" outline="0" axis="axisRow" fieldPosition="0">
        <references count="1">
          <reference field="4294967294" count="1" selected="0">
            <x v="4"/>
          </reference>
        </references>
      </pivotArea>
    </format>
    <format dxfId="3097">
      <pivotArea field="0" dataOnly="0" labelOnly="1" grandRow="1" outline="0" axis="axisRow" fieldPosition="0">
        <references count="1">
          <reference field="4294967294" count="1" selected="0">
            <x v="5"/>
          </reference>
        </references>
      </pivotArea>
    </format>
    <format dxfId="3096">
      <pivotArea field="0" dataOnly="0" labelOnly="1" grandRow="1" outline="0" axis="axisRow" fieldPosition="0">
        <references count="1">
          <reference field="4294967294" count="1" selected="0">
            <x v="6"/>
          </reference>
        </references>
      </pivotArea>
    </format>
    <format dxfId="3095">
      <pivotArea field="0" dataOnly="0" labelOnly="1" grandRow="1" outline="0" axis="axisRow" fieldPosition="0">
        <references count="1">
          <reference field="4294967294" count="1" selected="0">
            <x v="7"/>
          </reference>
        </references>
      </pivotArea>
    </format>
    <format dxfId="3094">
      <pivotArea field="0" dataOnly="0" labelOnly="1" grandRow="1" outline="0" axis="axisRow" fieldPosition="0">
        <references count="1">
          <reference field="4294967294" count="1" selected="0">
            <x v="8"/>
          </reference>
        </references>
      </pivotArea>
    </format>
    <format dxfId="3093">
      <pivotArea field="0" dataOnly="0" labelOnly="1" grandRow="1" outline="0" axis="axisRow" fieldPosition="0">
        <references count="1">
          <reference field="4294967294" count="1" selected="0">
            <x v="9"/>
          </reference>
        </references>
      </pivotArea>
    </format>
    <format dxfId="3092">
      <pivotArea field="0" dataOnly="0" labelOnly="1" grandRow="1" outline="0" axis="axisRow" fieldPosition="0">
        <references count="1">
          <reference field="4294967294" count="1" selected="0">
            <x v="10"/>
          </reference>
        </references>
      </pivotArea>
    </format>
    <format dxfId="3091">
      <pivotArea field="0" dataOnly="0" labelOnly="1" grandRow="1" outline="0" axis="axisRow" fieldPosition="0">
        <references count="1">
          <reference field="4294967294" count="1" selected="0">
            <x v="11"/>
          </reference>
        </references>
      </pivotArea>
    </format>
    <format dxfId="3090">
      <pivotArea field="0" dataOnly="0" labelOnly="1" grandRow="1" outline="0" axis="axisRow" fieldPosition="0">
        <references count="1">
          <reference field="4294967294" count="1" selected="0">
            <x v="12"/>
          </reference>
        </references>
      </pivotArea>
    </format>
    <format dxfId="3089">
      <pivotArea field="0" dataOnly="0" labelOnly="1" grandRow="1" outline="0" axis="axisRow" fieldPosition="0">
        <references count="1">
          <reference field="4294967294" count="1" selected="0">
            <x v="13"/>
          </reference>
        </references>
      </pivotArea>
    </format>
    <format dxfId="3088">
      <pivotArea field="0" dataOnly="0" labelOnly="1" grandRow="1" outline="0" axis="axisRow" fieldPosition="0">
        <references count="1">
          <reference field="4294967294" count="1" selected="0">
            <x v="14"/>
          </reference>
        </references>
      </pivotArea>
    </format>
    <format dxfId="3087">
      <pivotArea field="0" dataOnly="0" labelOnly="1" grandRow="1" outline="0" axis="axisRow" fieldPosition="0">
        <references count="1">
          <reference field="4294967294" count="1" selected="0">
            <x v="15"/>
          </reference>
        </references>
      </pivotArea>
    </format>
    <format dxfId="3086">
      <pivotArea field="0" dataOnly="0" labelOnly="1" grandRow="1" outline="0" axis="axisRow" fieldPosition="0">
        <references count="1">
          <reference field="4294967294" count="1" selected="0">
            <x v="16"/>
          </reference>
        </references>
      </pivotArea>
    </format>
    <format dxfId="3085">
      <pivotArea field="0" dataOnly="0" labelOnly="1" grandRow="1" outline="0" axis="axisRow" fieldPosition="0">
        <references count="1">
          <reference field="4294967294" count="1" selected="0">
            <x v="17"/>
          </reference>
        </references>
      </pivotArea>
    </format>
    <format dxfId="3084">
      <pivotArea field="0" dataOnly="0" labelOnly="1" grandRow="1" outline="0" axis="axisRow" fieldPosition="0">
        <references count="1">
          <reference field="4294967294" count="1" selected="0">
            <x v="18"/>
          </reference>
        </references>
      </pivotArea>
    </format>
    <format dxfId="3083">
      <pivotArea field="0" dataOnly="0" labelOnly="1" grandRow="1" outline="0" axis="axisRow" fieldPosition="0">
        <references count="1">
          <reference field="4294967294" count="1" selected="0">
            <x v="19"/>
          </reference>
        </references>
      </pivotArea>
    </format>
    <format dxfId="3082">
      <pivotArea field="0" dataOnly="0" labelOnly="1" grandRow="1" outline="0" axis="axisRow" fieldPosition="0">
        <references count="1">
          <reference field="4294967294" count="1" selected="0">
            <x v="20"/>
          </reference>
        </references>
      </pivotArea>
    </format>
    <format dxfId="3081">
      <pivotArea field="0" dataOnly="0" labelOnly="1" grandRow="1" outline="0" axis="axisRow" fieldPosition="0">
        <references count="1">
          <reference field="4294967294" count="1" selected="0">
            <x v="21"/>
          </reference>
        </references>
      </pivotArea>
    </format>
    <format dxfId="3080">
      <pivotArea field="0" dataOnly="0" labelOnly="1" grandRow="1" outline="0" axis="axisRow" fieldPosition="0">
        <references count="1">
          <reference field="4294967294" count="1" selected="0">
            <x v="22"/>
          </reference>
        </references>
      </pivotArea>
    </format>
    <format dxfId="3079">
      <pivotArea field="0" dataOnly="0" labelOnly="1" grandRow="1" outline="0" axis="axisRow" fieldPosition="0">
        <references count="1">
          <reference field="4294967294" count="1" selected="0">
            <x v="23"/>
          </reference>
        </references>
      </pivotArea>
    </format>
    <format dxfId="3078">
      <pivotArea field="0" dataOnly="0" labelOnly="1" grandRow="1" outline="0" axis="axisRow" fieldPosition="0">
        <references count="1">
          <reference field="4294967294" count="1" selected="0">
            <x v="24"/>
          </reference>
        </references>
      </pivotArea>
    </format>
    <format dxfId="3077">
      <pivotArea field="0" dataOnly="0" labelOnly="1" grandRow="1" outline="0" axis="axisRow" fieldPosition="0">
        <references count="1">
          <reference field="4294967294" count="1" selected="0">
            <x v="25"/>
          </reference>
        </references>
      </pivotArea>
    </format>
    <format dxfId="3076">
      <pivotArea field="0" dataOnly="0" labelOnly="1" grandRow="1" outline="0" axis="axisRow" fieldPosition="0">
        <references count="1">
          <reference field="4294967294" count="1" selected="0">
            <x v="26"/>
          </reference>
        </references>
      </pivotArea>
    </format>
    <format dxfId="3075">
      <pivotArea field="0" dataOnly="0" labelOnly="1" grandRow="1" outline="0" axis="axisRow" fieldPosition="0">
        <references count="1">
          <reference field="4294967294" count="1" selected="0">
            <x v="27"/>
          </reference>
        </references>
      </pivotArea>
    </format>
    <format dxfId="3074">
      <pivotArea field="0" dataOnly="0" labelOnly="1" grandRow="1" outline="0" axis="axisRow" fieldPosition="0">
        <references count="1">
          <reference field="4294967294" count="1" selected="0">
            <x v="28"/>
          </reference>
        </references>
      </pivotArea>
    </format>
    <format dxfId="3073">
      <pivotArea field="0" dataOnly="0" labelOnly="1" grandRow="1" outline="0" axis="axisRow" fieldPosition="0">
        <references count="1">
          <reference field="4294967294" count="1" selected="0">
            <x v="29"/>
          </reference>
        </references>
      </pivotArea>
    </format>
    <format dxfId="3072">
      <pivotArea field="0" dataOnly="0" labelOnly="1" grandRow="1" outline="0" axis="axisRow" fieldPosition="0">
        <references count="1">
          <reference field="4294967294" count="1" selected="0">
            <x v="30"/>
          </reference>
        </references>
      </pivotArea>
    </format>
    <format dxfId="3071">
      <pivotArea field="0" dataOnly="0" labelOnly="1" grandRow="1" outline="0" axis="axisRow" fieldPosition="0">
        <references count="1">
          <reference field="4294967294" count="1" selected="0">
            <x v="31"/>
          </reference>
        </references>
      </pivotArea>
    </format>
    <format dxfId="3070">
      <pivotArea field="0" dataOnly="0" labelOnly="1" grandRow="1" outline="0" axis="axisRow" fieldPosition="0">
        <references count="1">
          <reference field="4294967294" count="1" selected="0">
            <x v="32"/>
          </reference>
        </references>
      </pivotArea>
    </format>
    <format dxfId="3069">
      <pivotArea field="0" dataOnly="0" labelOnly="1" grandRow="1" outline="0" axis="axisRow" fieldPosition="0">
        <references count="1">
          <reference field="4294967294" count="1" selected="0">
            <x v="33"/>
          </reference>
        </references>
      </pivotArea>
    </format>
    <format dxfId="3068">
      <pivotArea field="0" dataOnly="0" labelOnly="1" grandRow="1" outline="0" axis="axisRow" fieldPosition="0">
        <references count="1">
          <reference field="4294967294" count="1" selected="0">
            <x v="34"/>
          </reference>
        </references>
      </pivotArea>
    </format>
    <format dxfId="3067">
      <pivotArea field="0" dataOnly="0" labelOnly="1" grandRow="1" outline="0" axis="axisRow" fieldPosition="0">
        <references count="1">
          <reference field="4294967294" count="1" selected="0">
            <x v="35"/>
          </reference>
        </references>
      </pivotArea>
    </format>
    <format dxfId="3066">
      <pivotArea field="0" dataOnly="0" labelOnly="1" grandRow="1" outline="0" axis="axisRow" fieldPosition="0">
        <references count="1">
          <reference field="4294967294" count="1" selected="0">
            <x v="0"/>
          </reference>
        </references>
      </pivotArea>
    </format>
    <format dxfId="3065">
      <pivotArea field="0" dataOnly="0" labelOnly="1" grandRow="1" outline="0" axis="axisRow" fieldPosition="0">
        <references count="1">
          <reference field="4294967294" count="1" selected="0">
            <x v="1"/>
          </reference>
        </references>
      </pivotArea>
    </format>
    <format dxfId="3064">
      <pivotArea field="0" dataOnly="0" labelOnly="1" grandRow="1" outline="0" axis="axisRow" fieldPosition="0">
        <references count="1">
          <reference field="4294967294" count="1" selected="0">
            <x v="2"/>
          </reference>
        </references>
      </pivotArea>
    </format>
    <format dxfId="3063">
      <pivotArea field="0" dataOnly="0" labelOnly="1" grandRow="1" outline="0" axis="axisRow" fieldPosition="0">
        <references count="1">
          <reference field="4294967294" count="1" selected="0">
            <x v="3"/>
          </reference>
        </references>
      </pivotArea>
    </format>
    <format dxfId="3062">
      <pivotArea field="0" dataOnly="0" labelOnly="1" grandRow="1" outline="0" axis="axisRow" fieldPosition="0">
        <references count="1">
          <reference field="4294967294" count="1" selected="0">
            <x v="4"/>
          </reference>
        </references>
      </pivotArea>
    </format>
    <format dxfId="3061">
      <pivotArea field="0" dataOnly="0" labelOnly="1" grandRow="1" outline="0" axis="axisRow" fieldPosition="0">
        <references count="1">
          <reference field="4294967294" count="1" selected="0">
            <x v="5"/>
          </reference>
        </references>
      </pivotArea>
    </format>
    <format dxfId="3060">
      <pivotArea field="0" dataOnly="0" labelOnly="1" grandRow="1" outline="0" axis="axisRow" fieldPosition="0">
        <references count="1">
          <reference field="4294967294" count="1" selected="0">
            <x v="6"/>
          </reference>
        </references>
      </pivotArea>
    </format>
    <format dxfId="3059">
      <pivotArea field="0" dataOnly="0" labelOnly="1" grandRow="1" outline="0" axis="axisRow" fieldPosition="0">
        <references count="1">
          <reference field="4294967294" count="1" selected="0">
            <x v="7"/>
          </reference>
        </references>
      </pivotArea>
    </format>
    <format dxfId="3058">
      <pivotArea field="0" dataOnly="0" labelOnly="1" grandRow="1" outline="0" axis="axisRow" fieldPosition="0">
        <references count="1">
          <reference field="4294967294" count="1" selected="0">
            <x v="8"/>
          </reference>
        </references>
      </pivotArea>
    </format>
    <format dxfId="3057">
      <pivotArea field="0" dataOnly="0" labelOnly="1" grandRow="1" outline="0" axis="axisRow" fieldPosition="0">
        <references count="1">
          <reference field="4294967294" count="1" selected="0">
            <x v="9"/>
          </reference>
        </references>
      </pivotArea>
    </format>
    <format dxfId="3056">
      <pivotArea field="0" dataOnly="0" labelOnly="1" grandRow="1" outline="0" axis="axisRow" fieldPosition="0">
        <references count="1">
          <reference field="4294967294" count="1" selected="0">
            <x v="10"/>
          </reference>
        </references>
      </pivotArea>
    </format>
    <format dxfId="3055">
      <pivotArea field="0" dataOnly="0" labelOnly="1" grandRow="1" outline="0" axis="axisRow" fieldPosition="0">
        <references count="1">
          <reference field="4294967294" count="1" selected="0">
            <x v="11"/>
          </reference>
        </references>
      </pivotArea>
    </format>
    <format dxfId="3054">
      <pivotArea field="0" dataOnly="0" labelOnly="1" grandRow="1" outline="0" axis="axisRow" fieldPosition="0">
        <references count="1">
          <reference field="4294967294" count="1" selected="0">
            <x v="12"/>
          </reference>
        </references>
      </pivotArea>
    </format>
    <format dxfId="3053">
      <pivotArea field="0" dataOnly="0" labelOnly="1" grandRow="1" outline="0" axis="axisRow" fieldPosition="0">
        <references count="1">
          <reference field="4294967294" count="1" selected="0">
            <x v="13"/>
          </reference>
        </references>
      </pivotArea>
    </format>
    <format dxfId="3052">
      <pivotArea field="0" dataOnly="0" labelOnly="1" grandRow="1" outline="0" axis="axisRow" fieldPosition="0">
        <references count="1">
          <reference field="4294967294" count="1" selected="0">
            <x v="14"/>
          </reference>
        </references>
      </pivotArea>
    </format>
    <format dxfId="3051">
      <pivotArea field="0" dataOnly="0" labelOnly="1" grandRow="1" outline="0" axis="axisRow" fieldPosition="0">
        <references count="1">
          <reference field="4294967294" count="1" selected="0">
            <x v="15"/>
          </reference>
        </references>
      </pivotArea>
    </format>
    <format dxfId="3050">
      <pivotArea field="0" dataOnly="0" labelOnly="1" grandRow="1" outline="0" axis="axisRow" fieldPosition="0">
        <references count="1">
          <reference field="4294967294" count="1" selected="0">
            <x v="16"/>
          </reference>
        </references>
      </pivotArea>
    </format>
    <format dxfId="3049">
      <pivotArea field="0" dataOnly="0" labelOnly="1" grandRow="1" outline="0" axis="axisRow" fieldPosition="0">
        <references count="1">
          <reference field="4294967294" count="1" selected="0">
            <x v="17"/>
          </reference>
        </references>
      </pivotArea>
    </format>
    <format dxfId="3048">
      <pivotArea field="0" dataOnly="0" labelOnly="1" grandRow="1" outline="0" axis="axisRow" fieldPosition="0">
        <references count="1">
          <reference field="4294967294" count="1" selected="0">
            <x v="18"/>
          </reference>
        </references>
      </pivotArea>
    </format>
    <format dxfId="3047">
      <pivotArea field="0" dataOnly="0" labelOnly="1" grandRow="1" outline="0" axis="axisRow" fieldPosition="0">
        <references count="1">
          <reference field="4294967294" count="1" selected="0">
            <x v="19"/>
          </reference>
        </references>
      </pivotArea>
    </format>
    <format dxfId="3046">
      <pivotArea field="0" dataOnly="0" labelOnly="1" grandRow="1" outline="0" axis="axisRow" fieldPosition="0">
        <references count="1">
          <reference field="4294967294" count="1" selected="0">
            <x v="20"/>
          </reference>
        </references>
      </pivotArea>
    </format>
    <format dxfId="3045">
      <pivotArea field="0" dataOnly="0" labelOnly="1" grandRow="1" outline="0" axis="axisRow" fieldPosition="0">
        <references count="1">
          <reference field="4294967294" count="1" selected="0">
            <x v="21"/>
          </reference>
        </references>
      </pivotArea>
    </format>
    <format dxfId="3044">
      <pivotArea field="0" dataOnly="0" labelOnly="1" grandRow="1" outline="0" axis="axisRow" fieldPosition="0">
        <references count="1">
          <reference field="4294967294" count="1" selected="0">
            <x v="22"/>
          </reference>
        </references>
      </pivotArea>
    </format>
    <format dxfId="3043">
      <pivotArea field="0" dataOnly="0" labelOnly="1" grandRow="1" outline="0" axis="axisRow" fieldPosition="0">
        <references count="1">
          <reference field="4294967294" count="1" selected="0">
            <x v="23"/>
          </reference>
        </references>
      </pivotArea>
    </format>
    <format dxfId="3042">
      <pivotArea field="0" dataOnly="0" labelOnly="1" grandRow="1" outline="0" axis="axisRow" fieldPosition="0">
        <references count="1">
          <reference field="4294967294" count="1" selected="0">
            <x v="24"/>
          </reference>
        </references>
      </pivotArea>
    </format>
    <format dxfId="3041">
      <pivotArea field="0" dataOnly="0" labelOnly="1" grandRow="1" outline="0" axis="axisRow" fieldPosition="0">
        <references count="1">
          <reference field="4294967294" count="1" selected="0">
            <x v="25"/>
          </reference>
        </references>
      </pivotArea>
    </format>
    <format dxfId="3040">
      <pivotArea field="0" dataOnly="0" labelOnly="1" grandRow="1" outline="0" axis="axisRow" fieldPosition="0">
        <references count="1">
          <reference field="4294967294" count="1" selected="0">
            <x v="26"/>
          </reference>
        </references>
      </pivotArea>
    </format>
    <format dxfId="3039">
      <pivotArea field="0" dataOnly="0" labelOnly="1" grandRow="1" outline="0" axis="axisRow" fieldPosition="0">
        <references count="1">
          <reference field="4294967294" count="1" selected="0">
            <x v="27"/>
          </reference>
        </references>
      </pivotArea>
    </format>
    <format dxfId="3038">
      <pivotArea field="0" dataOnly="0" labelOnly="1" grandRow="1" outline="0" axis="axisRow" fieldPosition="0">
        <references count="1">
          <reference field="4294967294" count="1" selected="0">
            <x v="28"/>
          </reference>
        </references>
      </pivotArea>
    </format>
    <format dxfId="3037">
      <pivotArea field="0" dataOnly="0" labelOnly="1" grandRow="1" outline="0" axis="axisRow" fieldPosition="0">
        <references count="1">
          <reference field="4294967294" count="1" selected="0">
            <x v="29"/>
          </reference>
        </references>
      </pivotArea>
    </format>
    <format dxfId="3036">
      <pivotArea field="0" dataOnly="0" labelOnly="1" grandRow="1" outline="0" axis="axisRow" fieldPosition="0">
        <references count="1">
          <reference field="4294967294" count="1" selected="0">
            <x v="30"/>
          </reference>
        </references>
      </pivotArea>
    </format>
    <format dxfId="3035">
      <pivotArea field="0" dataOnly="0" labelOnly="1" grandRow="1" outline="0" axis="axisRow" fieldPosition="0">
        <references count="1">
          <reference field="4294967294" count="1" selected="0">
            <x v="31"/>
          </reference>
        </references>
      </pivotArea>
    </format>
    <format dxfId="3034">
      <pivotArea field="0" dataOnly="0" labelOnly="1" grandRow="1" outline="0" axis="axisRow" fieldPosition="0">
        <references count="1">
          <reference field="4294967294" count="1" selected="0">
            <x v="32"/>
          </reference>
        </references>
      </pivotArea>
    </format>
    <format dxfId="3033">
      <pivotArea field="0" dataOnly="0" labelOnly="1" grandRow="1" outline="0" axis="axisRow" fieldPosition="0">
        <references count="1">
          <reference field="4294967294" count="1" selected="0">
            <x v="33"/>
          </reference>
        </references>
      </pivotArea>
    </format>
    <format dxfId="3032">
      <pivotArea field="0" dataOnly="0" labelOnly="1" grandRow="1" outline="0" axis="axisRow" fieldPosition="0">
        <references count="1">
          <reference field="4294967294" count="1" selected="0">
            <x v="34"/>
          </reference>
        </references>
      </pivotArea>
    </format>
    <format dxfId="3031">
      <pivotArea field="0" dataOnly="0" labelOnly="1" grandRow="1" outline="0" axis="axisRow" fieldPosition="0">
        <references count="1">
          <reference field="4294967294" count="1" selected="0">
            <x v="35"/>
          </reference>
        </references>
      </pivotArea>
    </format>
    <format dxfId="3030">
      <pivotArea field="0" dataOnly="0" labelOnly="1" grandRow="1" outline="0" axis="axisRow" fieldPosition="0">
        <references count="1">
          <reference field="4294967294" count="1" selected="0">
            <x v="0"/>
          </reference>
        </references>
      </pivotArea>
    </format>
    <format dxfId="3029">
      <pivotArea field="0" dataOnly="0" labelOnly="1" grandRow="1" outline="0" axis="axisRow" fieldPosition="0">
        <references count="1">
          <reference field="4294967294" count="1" selected="0">
            <x v="1"/>
          </reference>
        </references>
      </pivotArea>
    </format>
    <format dxfId="3028">
      <pivotArea field="0" dataOnly="0" labelOnly="1" grandRow="1" outline="0" axis="axisRow" fieldPosition="0">
        <references count="1">
          <reference field="4294967294" count="1" selected="0">
            <x v="2"/>
          </reference>
        </references>
      </pivotArea>
    </format>
    <format dxfId="3027">
      <pivotArea field="0" dataOnly="0" labelOnly="1" grandRow="1" outline="0" axis="axisRow" fieldPosition="0">
        <references count="1">
          <reference field="4294967294" count="1" selected="0">
            <x v="3"/>
          </reference>
        </references>
      </pivotArea>
    </format>
    <format dxfId="3026">
      <pivotArea field="0" dataOnly="0" labelOnly="1" grandRow="1" outline="0" axis="axisRow" fieldPosition="0">
        <references count="1">
          <reference field="4294967294" count="1" selected="0">
            <x v="4"/>
          </reference>
        </references>
      </pivotArea>
    </format>
    <format dxfId="3025">
      <pivotArea field="0" dataOnly="0" labelOnly="1" grandRow="1" outline="0" axis="axisRow" fieldPosition="0">
        <references count="1">
          <reference field="4294967294" count="1" selected="0">
            <x v="5"/>
          </reference>
        </references>
      </pivotArea>
    </format>
    <format dxfId="3024">
      <pivotArea field="0" dataOnly="0" labelOnly="1" grandRow="1" outline="0" axis="axisRow" fieldPosition="0">
        <references count="1">
          <reference field="4294967294" count="1" selected="0">
            <x v="6"/>
          </reference>
        </references>
      </pivotArea>
    </format>
    <format dxfId="3023">
      <pivotArea field="0" dataOnly="0" labelOnly="1" grandRow="1" outline="0" axis="axisRow" fieldPosition="0">
        <references count="1">
          <reference field="4294967294" count="1" selected="0">
            <x v="7"/>
          </reference>
        </references>
      </pivotArea>
    </format>
    <format dxfId="3022">
      <pivotArea field="0" dataOnly="0" labelOnly="1" grandRow="1" outline="0" axis="axisRow" fieldPosition="0">
        <references count="1">
          <reference field="4294967294" count="1" selected="0">
            <x v="8"/>
          </reference>
        </references>
      </pivotArea>
    </format>
    <format dxfId="3021">
      <pivotArea field="0" dataOnly="0" labelOnly="1" grandRow="1" outline="0" axis="axisRow" fieldPosition="0">
        <references count="1">
          <reference field="4294967294" count="1" selected="0">
            <x v="9"/>
          </reference>
        </references>
      </pivotArea>
    </format>
    <format dxfId="3020">
      <pivotArea field="0" dataOnly="0" labelOnly="1" grandRow="1" outline="0" axis="axisRow" fieldPosition="0">
        <references count="1">
          <reference field="4294967294" count="1" selected="0">
            <x v="10"/>
          </reference>
        </references>
      </pivotArea>
    </format>
    <format dxfId="3019">
      <pivotArea field="0" dataOnly="0" labelOnly="1" grandRow="1" outline="0" axis="axisRow" fieldPosition="0">
        <references count="1">
          <reference field="4294967294" count="1" selected="0">
            <x v="11"/>
          </reference>
        </references>
      </pivotArea>
    </format>
    <format dxfId="3018">
      <pivotArea field="0" dataOnly="0" labelOnly="1" grandRow="1" outline="0" axis="axisRow" fieldPosition="0">
        <references count="1">
          <reference field="4294967294" count="1" selected="0">
            <x v="12"/>
          </reference>
        </references>
      </pivotArea>
    </format>
    <format dxfId="3017">
      <pivotArea field="0" dataOnly="0" labelOnly="1" grandRow="1" outline="0" axis="axisRow" fieldPosition="0">
        <references count="1">
          <reference field="4294967294" count="1" selected="0">
            <x v="13"/>
          </reference>
        </references>
      </pivotArea>
    </format>
    <format dxfId="3016">
      <pivotArea field="0" dataOnly="0" labelOnly="1" grandRow="1" outline="0" axis="axisRow" fieldPosition="0">
        <references count="1">
          <reference field="4294967294" count="1" selected="0">
            <x v="14"/>
          </reference>
        </references>
      </pivotArea>
    </format>
    <format dxfId="3015">
      <pivotArea field="0" dataOnly="0" labelOnly="1" grandRow="1" outline="0" axis="axisRow" fieldPosition="0">
        <references count="1">
          <reference field="4294967294" count="1" selected="0">
            <x v="15"/>
          </reference>
        </references>
      </pivotArea>
    </format>
    <format dxfId="3014">
      <pivotArea field="0" dataOnly="0" labelOnly="1" grandRow="1" outline="0" axis="axisRow" fieldPosition="0">
        <references count="1">
          <reference field="4294967294" count="1" selected="0">
            <x v="16"/>
          </reference>
        </references>
      </pivotArea>
    </format>
    <format dxfId="3013">
      <pivotArea field="0" dataOnly="0" labelOnly="1" grandRow="1" outline="0" axis="axisRow" fieldPosition="0">
        <references count="1">
          <reference field="4294967294" count="1" selected="0">
            <x v="17"/>
          </reference>
        </references>
      </pivotArea>
    </format>
    <format dxfId="3012">
      <pivotArea field="0" dataOnly="0" labelOnly="1" grandRow="1" outline="0" axis="axisRow" fieldPosition="0">
        <references count="1">
          <reference field="4294967294" count="1" selected="0">
            <x v="18"/>
          </reference>
        </references>
      </pivotArea>
    </format>
    <format dxfId="3011">
      <pivotArea field="0" dataOnly="0" labelOnly="1" grandRow="1" outline="0" axis="axisRow" fieldPosition="0">
        <references count="1">
          <reference field="4294967294" count="1" selected="0">
            <x v="19"/>
          </reference>
        </references>
      </pivotArea>
    </format>
    <format dxfId="3010">
      <pivotArea field="0" dataOnly="0" labelOnly="1" grandRow="1" outline="0" axis="axisRow" fieldPosition="0">
        <references count="1">
          <reference field="4294967294" count="1" selected="0">
            <x v="20"/>
          </reference>
        </references>
      </pivotArea>
    </format>
    <format dxfId="3009">
      <pivotArea field="0" dataOnly="0" labelOnly="1" grandRow="1" outline="0" axis="axisRow" fieldPosition="0">
        <references count="1">
          <reference field="4294967294" count="1" selected="0">
            <x v="21"/>
          </reference>
        </references>
      </pivotArea>
    </format>
    <format dxfId="3008">
      <pivotArea field="0" dataOnly="0" labelOnly="1" grandRow="1" outline="0" axis="axisRow" fieldPosition="0">
        <references count="1">
          <reference field="4294967294" count="1" selected="0">
            <x v="22"/>
          </reference>
        </references>
      </pivotArea>
    </format>
    <format dxfId="3007">
      <pivotArea field="0" dataOnly="0" labelOnly="1" grandRow="1" outline="0" axis="axisRow" fieldPosition="0">
        <references count="1">
          <reference field="4294967294" count="1" selected="0">
            <x v="23"/>
          </reference>
        </references>
      </pivotArea>
    </format>
    <format dxfId="3006">
      <pivotArea field="0" dataOnly="0" labelOnly="1" grandRow="1" outline="0" axis="axisRow" fieldPosition="0">
        <references count="1">
          <reference field="4294967294" count="1" selected="0">
            <x v="24"/>
          </reference>
        </references>
      </pivotArea>
    </format>
    <format dxfId="3005">
      <pivotArea field="0" dataOnly="0" labelOnly="1" grandRow="1" outline="0" axis="axisRow" fieldPosition="0">
        <references count="1">
          <reference field="4294967294" count="1" selected="0">
            <x v="25"/>
          </reference>
        </references>
      </pivotArea>
    </format>
    <format dxfId="3004">
      <pivotArea field="0" dataOnly="0" labelOnly="1" grandRow="1" outline="0" axis="axisRow" fieldPosition="0">
        <references count="1">
          <reference field="4294967294" count="1" selected="0">
            <x v="26"/>
          </reference>
        </references>
      </pivotArea>
    </format>
    <format dxfId="3003">
      <pivotArea field="0" dataOnly="0" labelOnly="1" grandRow="1" outline="0" axis="axisRow" fieldPosition="0">
        <references count="1">
          <reference field="4294967294" count="1" selected="0">
            <x v="27"/>
          </reference>
        </references>
      </pivotArea>
    </format>
    <format dxfId="3002">
      <pivotArea field="0" dataOnly="0" labelOnly="1" grandRow="1" outline="0" axis="axisRow" fieldPosition="0">
        <references count="1">
          <reference field="4294967294" count="1" selected="0">
            <x v="28"/>
          </reference>
        </references>
      </pivotArea>
    </format>
    <format dxfId="3001">
      <pivotArea field="0" dataOnly="0" labelOnly="1" grandRow="1" outline="0" axis="axisRow" fieldPosition="0">
        <references count="1">
          <reference field="4294967294" count="1" selected="0">
            <x v="29"/>
          </reference>
        </references>
      </pivotArea>
    </format>
    <format dxfId="3000">
      <pivotArea field="0" dataOnly="0" labelOnly="1" grandRow="1" outline="0" axis="axisRow" fieldPosition="0">
        <references count="1">
          <reference field="4294967294" count="1" selected="0">
            <x v="30"/>
          </reference>
        </references>
      </pivotArea>
    </format>
    <format dxfId="2999">
      <pivotArea field="0" dataOnly="0" labelOnly="1" grandRow="1" outline="0" axis="axisRow" fieldPosition="0">
        <references count="1">
          <reference field="4294967294" count="1" selected="0">
            <x v="31"/>
          </reference>
        </references>
      </pivotArea>
    </format>
    <format dxfId="2998">
      <pivotArea field="0" dataOnly="0" labelOnly="1" grandRow="1" outline="0" axis="axisRow" fieldPosition="0">
        <references count="1">
          <reference field="4294967294" count="1" selected="0">
            <x v="32"/>
          </reference>
        </references>
      </pivotArea>
    </format>
    <format dxfId="2997">
      <pivotArea field="0" dataOnly="0" labelOnly="1" grandRow="1" outline="0" axis="axisRow" fieldPosition="0">
        <references count="1">
          <reference field="4294967294" count="1" selected="0">
            <x v="33"/>
          </reference>
        </references>
      </pivotArea>
    </format>
    <format dxfId="2996">
      <pivotArea field="0" dataOnly="0" labelOnly="1" grandRow="1" outline="0" axis="axisRow" fieldPosition="0">
        <references count="1">
          <reference field="4294967294" count="1" selected="0">
            <x v="34"/>
          </reference>
        </references>
      </pivotArea>
    </format>
    <format dxfId="2995">
      <pivotArea field="0" dataOnly="0" labelOnly="1" grandRow="1" outline="0" axis="axisRow" fieldPosition="0">
        <references count="1">
          <reference field="4294967294" count="1" selected="0">
            <x v="35"/>
          </reference>
        </references>
      </pivotArea>
    </format>
    <format dxfId="2994">
      <pivotArea field="0" dataOnly="0" labelOnly="1" grandRow="1" outline="0" axis="axisRow" fieldPosition="0">
        <references count="1">
          <reference field="4294967294" count="1" selected="0">
            <x v="0"/>
          </reference>
        </references>
      </pivotArea>
    </format>
    <format dxfId="2993">
      <pivotArea field="0" dataOnly="0" labelOnly="1" grandRow="1" outline="0" axis="axisRow" fieldPosition="0">
        <references count="1">
          <reference field="4294967294" count="1" selected="0">
            <x v="1"/>
          </reference>
        </references>
      </pivotArea>
    </format>
    <format dxfId="2992">
      <pivotArea field="0" dataOnly="0" labelOnly="1" grandRow="1" outline="0" axis="axisRow" fieldPosition="0">
        <references count="1">
          <reference field="4294967294" count="1" selected="0">
            <x v="2"/>
          </reference>
        </references>
      </pivotArea>
    </format>
    <format dxfId="2991">
      <pivotArea field="0" dataOnly="0" labelOnly="1" grandRow="1" outline="0" axis="axisRow" fieldPosition="0">
        <references count="1">
          <reference field="4294967294" count="1" selected="0">
            <x v="3"/>
          </reference>
        </references>
      </pivotArea>
    </format>
    <format dxfId="2990">
      <pivotArea field="0" dataOnly="0" labelOnly="1" grandRow="1" outline="0" axis="axisRow" fieldPosition="0">
        <references count="1">
          <reference field="4294967294" count="1" selected="0">
            <x v="4"/>
          </reference>
        </references>
      </pivotArea>
    </format>
    <format dxfId="2989">
      <pivotArea field="0" dataOnly="0" labelOnly="1" grandRow="1" outline="0" axis="axisRow" fieldPosition="0">
        <references count="1">
          <reference field="4294967294" count="1" selected="0">
            <x v="5"/>
          </reference>
        </references>
      </pivotArea>
    </format>
    <format dxfId="2988">
      <pivotArea field="0" dataOnly="0" labelOnly="1" grandRow="1" outline="0" axis="axisRow" fieldPosition="0">
        <references count="1">
          <reference field="4294967294" count="1" selected="0">
            <x v="6"/>
          </reference>
        </references>
      </pivotArea>
    </format>
    <format dxfId="2987">
      <pivotArea field="0" dataOnly="0" labelOnly="1" grandRow="1" outline="0" axis="axisRow" fieldPosition="0">
        <references count="1">
          <reference field="4294967294" count="1" selected="0">
            <x v="7"/>
          </reference>
        </references>
      </pivotArea>
    </format>
    <format dxfId="2986">
      <pivotArea field="0" dataOnly="0" labelOnly="1" grandRow="1" outline="0" axis="axisRow" fieldPosition="0">
        <references count="1">
          <reference field="4294967294" count="1" selected="0">
            <x v="8"/>
          </reference>
        </references>
      </pivotArea>
    </format>
    <format dxfId="2985">
      <pivotArea field="0" dataOnly="0" labelOnly="1" grandRow="1" outline="0" axis="axisRow" fieldPosition="0">
        <references count="1">
          <reference field="4294967294" count="1" selected="0">
            <x v="9"/>
          </reference>
        </references>
      </pivotArea>
    </format>
    <format dxfId="2984">
      <pivotArea field="0" dataOnly="0" labelOnly="1" grandRow="1" outline="0" axis="axisRow" fieldPosition="0">
        <references count="1">
          <reference field="4294967294" count="1" selected="0">
            <x v="10"/>
          </reference>
        </references>
      </pivotArea>
    </format>
    <format dxfId="2983">
      <pivotArea field="0" dataOnly="0" labelOnly="1" grandRow="1" outline="0" axis="axisRow" fieldPosition="0">
        <references count="1">
          <reference field="4294967294" count="1" selected="0">
            <x v="11"/>
          </reference>
        </references>
      </pivotArea>
    </format>
    <format dxfId="2982">
      <pivotArea field="0" dataOnly="0" labelOnly="1" grandRow="1" outline="0" axis="axisRow" fieldPosition="0">
        <references count="1">
          <reference field="4294967294" count="1" selected="0">
            <x v="12"/>
          </reference>
        </references>
      </pivotArea>
    </format>
    <format dxfId="2981">
      <pivotArea field="0" dataOnly="0" labelOnly="1" grandRow="1" outline="0" axis="axisRow" fieldPosition="0">
        <references count="1">
          <reference field="4294967294" count="1" selected="0">
            <x v="13"/>
          </reference>
        </references>
      </pivotArea>
    </format>
    <format dxfId="2980">
      <pivotArea field="0" dataOnly="0" labelOnly="1" grandRow="1" outline="0" axis="axisRow" fieldPosition="0">
        <references count="1">
          <reference field="4294967294" count="1" selected="0">
            <x v="14"/>
          </reference>
        </references>
      </pivotArea>
    </format>
    <format dxfId="2979">
      <pivotArea field="0" dataOnly="0" labelOnly="1" grandRow="1" outline="0" axis="axisRow" fieldPosition="0">
        <references count="1">
          <reference field="4294967294" count="1" selected="0">
            <x v="15"/>
          </reference>
        </references>
      </pivotArea>
    </format>
    <format dxfId="2978">
      <pivotArea field="0" dataOnly="0" labelOnly="1" grandRow="1" outline="0" axis="axisRow" fieldPosition="0">
        <references count="1">
          <reference field="4294967294" count="1" selected="0">
            <x v="16"/>
          </reference>
        </references>
      </pivotArea>
    </format>
    <format dxfId="2977">
      <pivotArea field="0" dataOnly="0" labelOnly="1" grandRow="1" outline="0" axis="axisRow" fieldPosition="0">
        <references count="1">
          <reference field="4294967294" count="1" selected="0">
            <x v="17"/>
          </reference>
        </references>
      </pivotArea>
    </format>
    <format dxfId="2976">
      <pivotArea field="0" dataOnly="0" labelOnly="1" grandRow="1" outline="0" axis="axisRow" fieldPosition="0">
        <references count="1">
          <reference field="4294967294" count="1" selected="0">
            <x v="18"/>
          </reference>
        </references>
      </pivotArea>
    </format>
    <format dxfId="2975">
      <pivotArea field="0" dataOnly="0" labelOnly="1" grandRow="1" outline="0" axis="axisRow" fieldPosition="0">
        <references count="1">
          <reference field="4294967294" count="1" selected="0">
            <x v="19"/>
          </reference>
        </references>
      </pivotArea>
    </format>
    <format dxfId="2974">
      <pivotArea field="0" dataOnly="0" labelOnly="1" grandRow="1" outline="0" axis="axisRow" fieldPosition="0">
        <references count="1">
          <reference field="4294967294" count="1" selected="0">
            <x v="20"/>
          </reference>
        </references>
      </pivotArea>
    </format>
    <format dxfId="2973">
      <pivotArea field="0" dataOnly="0" labelOnly="1" grandRow="1" outline="0" axis="axisRow" fieldPosition="0">
        <references count="1">
          <reference field="4294967294" count="1" selected="0">
            <x v="21"/>
          </reference>
        </references>
      </pivotArea>
    </format>
    <format dxfId="2972">
      <pivotArea field="0" dataOnly="0" labelOnly="1" grandRow="1" outline="0" axis="axisRow" fieldPosition="0">
        <references count="1">
          <reference field="4294967294" count="1" selected="0">
            <x v="22"/>
          </reference>
        </references>
      </pivotArea>
    </format>
    <format dxfId="2971">
      <pivotArea field="0" dataOnly="0" labelOnly="1" grandRow="1" outline="0" axis="axisRow" fieldPosition="0">
        <references count="1">
          <reference field="4294967294" count="1" selected="0">
            <x v="23"/>
          </reference>
        </references>
      </pivotArea>
    </format>
    <format dxfId="2970">
      <pivotArea field="0" dataOnly="0" labelOnly="1" grandRow="1" outline="0" axis="axisRow" fieldPosition="0">
        <references count="1">
          <reference field="4294967294" count="1" selected="0">
            <x v="24"/>
          </reference>
        </references>
      </pivotArea>
    </format>
    <format dxfId="2969">
      <pivotArea field="0" dataOnly="0" labelOnly="1" grandRow="1" outline="0" axis="axisRow" fieldPosition="0">
        <references count="1">
          <reference field="4294967294" count="1" selected="0">
            <x v="25"/>
          </reference>
        </references>
      </pivotArea>
    </format>
    <format dxfId="2968">
      <pivotArea field="0" dataOnly="0" labelOnly="1" grandRow="1" outline="0" axis="axisRow" fieldPosition="0">
        <references count="1">
          <reference field="4294967294" count="1" selected="0">
            <x v="26"/>
          </reference>
        </references>
      </pivotArea>
    </format>
    <format dxfId="2967">
      <pivotArea field="0" dataOnly="0" labelOnly="1" grandRow="1" outline="0" axis="axisRow" fieldPosition="0">
        <references count="1">
          <reference field="4294967294" count="1" selected="0">
            <x v="27"/>
          </reference>
        </references>
      </pivotArea>
    </format>
    <format dxfId="2966">
      <pivotArea field="0" dataOnly="0" labelOnly="1" grandRow="1" outline="0" axis="axisRow" fieldPosition="0">
        <references count="1">
          <reference field="4294967294" count="1" selected="0">
            <x v="28"/>
          </reference>
        </references>
      </pivotArea>
    </format>
    <format dxfId="2965">
      <pivotArea field="0" dataOnly="0" labelOnly="1" grandRow="1" outline="0" axis="axisRow" fieldPosition="0">
        <references count="1">
          <reference field="4294967294" count="1" selected="0">
            <x v="29"/>
          </reference>
        </references>
      </pivotArea>
    </format>
    <format dxfId="2964">
      <pivotArea field="0" dataOnly="0" labelOnly="1" grandRow="1" outline="0" axis="axisRow" fieldPosition="0">
        <references count="1">
          <reference field="4294967294" count="1" selected="0">
            <x v="30"/>
          </reference>
        </references>
      </pivotArea>
    </format>
    <format dxfId="2963">
      <pivotArea field="0" dataOnly="0" labelOnly="1" grandRow="1" outline="0" axis="axisRow" fieldPosition="0">
        <references count="1">
          <reference field="4294967294" count="1" selected="0">
            <x v="31"/>
          </reference>
        </references>
      </pivotArea>
    </format>
    <format dxfId="2962">
      <pivotArea field="0" dataOnly="0" labelOnly="1" grandRow="1" outline="0" axis="axisRow" fieldPosition="0">
        <references count="1">
          <reference field="4294967294" count="1" selected="0">
            <x v="32"/>
          </reference>
        </references>
      </pivotArea>
    </format>
    <format dxfId="2961">
      <pivotArea field="0" dataOnly="0" labelOnly="1" grandRow="1" outline="0" axis="axisRow" fieldPosition="0">
        <references count="1">
          <reference field="4294967294" count="1" selected="0">
            <x v="33"/>
          </reference>
        </references>
      </pivotArea>
    </format>
    <format dxfId="2960">
      <pivotArea field="0" dataOnly="0" labelOnly="1" grandRow="1" outline="0" axis="axisRow" fieldPosition="0">
        <references count="1">
          <reference field="4294967294" count="1" selected="0">
            <x v="34"/>
          </reference>
        </references>
      </pivotArea>
    </format>
    <format dxfId="2959">
      <pivotArea field="0" dataOnly="0" labelOnly="1" grandRow="1" outline="0" axis="axisRow" fieldPosition="0">
        <references count="1">
          <reference field="4294967294" count="1" selected="0">
            <x v="35"/>
          </reference>
        </references>
      </pivotArea>
    </format>
    <format dxfId="2958">
      <pivotArea field="0" dataOnly="0" labelOnly="1" grandRow="1" outline="0" axis="axisRow" fieldPosition="0">
        <references count="1">
          <reference field="4294967294" count="1" selected="0">
            <x v="0"/>
          </reference>
        </references>
      </pivotArea>
    </format>
    <format dxfId="2957">
      <pivotArea field="0" dataOnly="0" labelOnly="1" grandRow="1" outline="0" axis="axisRow" fieldPosition="0">
        <references count="1">
          <reference field="4294967294" count="1" selected="0">
            <x v="1"/>
          </reference>
        </references>
      </pivotArea>
    </format>
    <format dxfId="2956">
      <pivotArea field="0" dataOnly="0" labelOnly="1" grandRow="1" outline="0" axis="axisRow" fieldPosition="0">
        <references count="1">
          <reference field="4294967294" count="1" selected="0">
            <x v="2"/>
          </reference>
        </references>
      </pivotArea>
    </format>
    <format dxfId="2955">
      <pivotArea field="0" dataOnly="0" labelOnly="1" grandRow="1" outline="0" axis="axisRow" fieldPosition="0">
        <references count="1">
          <reference field="4294967294" count="1" selected="0">
            <x v="3"/>
          </reference>
        </references>
      </pivotArea>
    </format>
    <format dxfId="2954">
      <pivotArea field="0" dataOnly="0" labelOnly="1" grandRow="1" outline="0" axis="axisRow" fieldPosition="0">
        <references count="1">
          <reference field="4294967294" count="1" selected="0">
            <x v="4"/>
          </reference>
        </references>
      </pivotArea>
    </format>
    <format dxfId="2953">
      <pivotArea field="0" dataOnly="0" labelOnly="1" grandRow="1" outline="0" axis="axisRow" fieldPosition="0">
        <references count="1">
          <reference field="4294967294" count="1" selected="0">
            <x v="5"/>
          </reference>
        </references>
      </pivotArea>
    </format>
    <format dxfId="2952">
      <pivotArea field="0" dataOnly="0" labelOnly="1" grandRow="1" outline="0" axis="axisRow" fieldPosition="0">
        <references count="1">
          <reference field="4294967294" count="1" selected="0">
            <x v="6"/>
          </reference>
        </references>
      </pivotArea>
    </format>
    <format dxfId="2951">
      <pivotArea field="0" dataOnly="0" labelOnly="1" grandRow="1" outline="0" axis="axisRow" fieldPosition="0">
        <references count="1">
          <reference field="4294967294" count="1" selected="0">
            <x v="7"/>
          </reference>
        </references>
      </pivotArea>
    </format>
    <format dxfId="2950">
      <pivotArea field="0" dataOnly="0" labelOnly="1" grandRow="1" outline="0" axis="axisRow" fieldPosition="0">
        <references count="1">
          <reference field="4294967294" count="1" selected="0">
            <x v="8"/>
          </reference>
        </references>
      </pivotArea>
    </format>
    <format dxfId="2949">
      <pivotArea field="0" dataOnly="0" labelOnly="1" grandRow="1" outline="0" axis="axisRow" fieldPosition="0">
        <references count="1">
          <reference field="4294967294" count="1" selected="0">
            <x v="9"/>
          </reference>
        </references>
      </pivotArea>
    </format>
    <format dxfId="2948">
      <pivotArea field="0" dataOnly="0" labelOnly="1" grandRow="1" outline="0" axis="axisRow" fieldPosition="0">
        <references count="1">
          <reference field="4294967294" count="1" selected="0">
            <x v="10"/>
          </reference>
        </references>
      </pivotArea>
    </format>
    <format dxfId="2947">
      <pivotArea field="0" dataOnly="0" labelOnly="1" grandRow="1" outline="0" axis="axisRow" fieldPosition="0">
        <references count="1">
          <reference field="4294967294" count="1" selected="0">
            <x v="11"/>
          </reference>
        </references>
      </pivotArea>
    </format>
    <format dxfId="2946">
      <pivotArea field="0" dataOnly="0" labelOnly="1" grandRow="1" outline="0" axis="axisRow" fieldPosition="0">
        <references count="1">
          <reference field="4294967294" count="1" selected="0">
            <x v="12"/>
          </reference>
        </references>
      </pivotArea>
    </format>
    <format dxfId="2945">
      <pivotArea field="0" dataOnly="0" labelOnly="1" grandRow="1" outline="0" axis="axisRow" fieldPosition="0">
        <references count="1">
          <reference field="4294967294" count="1" selected="0">
            <x v="13"/>
          </reference>
        </references>
      </pivotArea>
    </format>
    <format dxfId="2944">
      <pivotArea field="0" dataOnly="0" labelOnly="1" grandRow="1" outline="0" axis="axisRow" fieldPosition="0">
        <references count="1">
          <reference field="4294967294" count="1" selected="0">
            <x v="14"/>
          </reference>
        </references>
      </pivotArea>
    </format>
    <format dxfId="2943">
      <pivotArea field="0" dataOnly="0" labelOnly="1" grandRow="1" outline="0" axis="axisRow" fieldPosition="0">
        <references count="1">
          <reference field="4294967294" count="1" selected="0">
            <x v="15"/>
          </reference>
        </references>
      </pivotArea>
    </format>
    <format dxfId="2942">
      <pivotArea field="0" dataOnly="0" labelOnly="1" grandRow="1" outline="0" axis="axisRow" fieldPosition="0">
        <references count="1">
          <reference field="4294967294" count="1" selected="0">
            <x v="16"/>
          </reference>
        </references>
      </pivotArea>
    </format>
    <format dxfId="2941">
      <pivotArea field="0" dataOnly="0" labelOnly="1" grandRow="1" outline="0" axis="axisRow" fieldPosition="0">
        <references count="1">
          <reference field="4294967294" count="1" selected="0">
            <x v="17"/>
          </reference>
        </references>
      </pivotArea>
    </format>
    <format dxfId="2940">
      <pivotArea field="0" dataOnly="0" labelOnly="1" grandRow="1" outline="0" axis="axisRow" fieldPosition="0">
        <references count="1">
          <reference field="4294967294" count="1" selected="0">
            <x v="18"/>
          </reference>
        </references>
      </pivotArea>
    </format>
    <format dxfId="2939">
      <pivotArea field="0" dataOnly="0" labelOnly="1" grandRow="1" outline="0" axis="axisRow" fieldPosition="0">
        <references count="1">
          <reference field="4294967294" count="1" selected="0">
            <x v="19"/>
          </reference>
        </references>
      </pivotArea>
    </format>
    <format dxfId="2938">
      <pivotArea field="0" dataOnly="0" labelOnly="1" grandRow="1" outline="0" axis="axisRow" fieldPosition="0">
        <references count="1">
          <reference field="4294967294" count="1" selected="0">
            <x v="20"/>
          </reference>
        </references>
      </pivotArea>
    </format>
    <format dxfId="2937">
      <pivotArea field="0" dataOnly="0" labelOnly="1" grandRow="1" outline="0" axis="axisRow" fieldPosition="0">
        <references count="1">
          <reference field="4294967294" count="1" selected="0">
            <x v="21"/>
          </reference>
        </references>
      </pivotArea>
    </format>
    <format dxfId="2936">
      <pivotArea field="0" dataOnly="0" labelOnly="1" grandRow="1" outline="0" axis="axisRow" fieldPosition="0">
        <references count="1">
          <reference field="4294967294" count="1" selected="0">
            <x v="22"/>
          </reference>
        </references>
      </pivotArea>
    </format>
    <format dxfId="2935">
      <pivotArea field="0" dataOnly="0" labelOnly="1" grandRow="1" outline="0" axis="axisRow" fieldPosition="0">
        <references count="1">
          <reference field="4294967294" count="1" selected="0">
            <x v="23"/>
          </reference>
        </references>
      </pivotArea>
    </format>
    <format dxfId="2934">
      <pivotArea field="0" dataOnly="0" labelOnly="1" grandRow="1" outline="0" axis="axisRow" fieldPosition="0">
        <references count="1">
          <reference field="4294967294" count="1" selected="0">
            <x v="24"/>
          </reference>
        </references>
      </pivotArea>
    </format>
    <format dxfId="2933">
      <pivotArea field="0" dataOnly="0" labelOnly="1" grandRow="1" outline="0" axis="axisRow" fieldPosition="0">
        <references count="1">
          <reference field="4294967294" count="1" selected="0">
            <x v="25"/>
          </reference>
        </references>
      </pivotArea>
    </format>
    <format dxfId="2932">
      <pivotArea field="0" dataOnly="0" labelOnly="1" grandRow="1" outline="0" axis="axisRow" fieldPosition="0">
        <references count="1">
          <reference field="4294967294" count="1" selected="0">
            <x v="26"/>
          </reference>
        </references>
      </pivotArea>
    </format>
    <format dxfId="2931">
      <pivotArea field="0" dataOnly="0" labelOnly="1" grandRow="1" outline="0" axis="axisRow" fieldPosition="0">
        <references count="1">
          <reference field="4294967294" count="1" selected="0">
            <x v="27"/>
          </reference>
        </references>
      </pivotArea>
    </format>
    <format dxfId="2930">
      <pivotArea field="0" dataOnly="0" labelOnly="1" grandRow="1" outline="0" axis="axisRow" fieldPosition="0">
        <references count="1">
          <reference field="4294967294" count="1" selected="0">
            <x v="28"/>
          </reference>
        </references>
      </pivotArea>
    </format>
    <format dxfId="2929">
      <pivotArea field="0" dataOnly="0" labelOnly="1" grandRow="1" outline="0" axis="axisRow" fieldPosition="0">
        <references count="1">
          <reference field="4294967294" count="1" selected="0">
            <x v="29"/>
          </reference>
        </references>
      </pivotArea>
    </format>
    <format dxfId="2928">
      <pivotArea field="0" dataOnly="0" labelOnly="1" grandRow="1" outline="0" axis="axisRow" fieldPosition="0">
        <references count="1">
          <reference field="4294967294" count="1" selected="0">
            <x v="30"/>
          </reference>
        </references>
      </pivotArea>
    </format>
    <format dxfId="2927">
      <pivotArea field="0" dataOnly="0" labelOnly="1" grandRow="1" outline="0" axis="axisRow" fieldPosition="0">
        <references count="1">
          <reference field="4294967294" count="1" selected="0">
            <x v="31"/>
          </reference>
        </references>
      </pivotArea>
    </format>
    <format dxfId="2926">
      <pivotArea field="0" dataOnly="0" labelOnly="1" grandRow="1" outline="0" axis="axisRow" fieldPosition="0">
        <references count="1">
          <reference field="4294967294" count="1" selected="0">
            <x v="32"/>
          </reference>
        </references>
      </pivotArea>
    </format>
    <format dxfId="2925">
      <pivotArea field="0" dataOnly="0" labelOnly="1" grandRow="1" outline="0" axis="axisRow" fieldPosition="0">
        <references count="1">
          <reference field="4294967294" count="1" selected="0">
            <x v="33"/>
          </reference>
        </references>
      </pivotArea>
    </format>
    <format dxfId="2924">
      <pivotArea field="0" dataOnly="0" labelOnly="1" grandRow="1" outline="0" axis="axisRow" fieldPosition="0">
        <references count="1">
          <reference field="4294967294" count="1" selected="0">
            <x v="34"/>
          </reference>
        </references>
      </pivotArea>
    </format>
    <format dxfId="2923">
      <pivotArea field="0" dataOnly="0" labelOnly="1" grandRow="1" outline="0" axis="axisRow" fieldPosition="0">
        <references count="1">
          <reference field="4294967294" count="1" selected="0">
            <x v="35"/>
          </reference>
        </references>
      </pivotArea>
    </format>
    <format dxfId="2922">
      <pivotArea field="0" dataOnly="0" labelOnly="1" grandRow="1" outline="0" axis="axisRow" fieldPosition="0">
        <references count="1">
          <reference field="4294967294" count="1" selected="0">
            <x v="0"/>
          </reference>
        </references>
      </pivotArea>
    </format>
    <format dxfId="2921">
      <pivotArea field="0" dataOnly="0" labelOnly="1" grandRow="1" outline="0" axis="axisRow" fieldPosition="0">
        <references count="1">
          <reference field="4294967294" count="1" selected="0">
            <x v="1"/>
          </reference>
        </references>
      </pivotArea>
    </format>
    <format dxfId="2920">
      <pivotArea field="0" dataOnly="0" labelOnly="1" grandRow="1" outline="0" axis="axisRow" fieldPosition="0">
        <references count="1">
          <reference field="4294967294" count="1" selected="0">
            <x v="2"/>
          </reference>
        </references>
      </pivotArea>
    </format>
    <format dxfId="2919">
      <pivotArea field="0" dataOnly="0" labelOnly="1" grandRow="1" outline="0" axis="axisRow" fieldPosition="0">
        <references count="1">
          <reference field="4294967294" count="1" selected="0">
            <x v="3"/>
          </reference>
        </references>
      </pivotArea>
    </format>
    <format dxfId="2918">
      <pivotArea field="0" dataOnly="0" labelOnly="1" grandRow="1" outline="0" axis="axisRow" fieldPosition="0">
        <references count="1">
          <reference field="4294967294" count="1" selected="0">
            <x v="4"/>
          </reference>
        </references>
      </pivotArea>
    </format>
    <format dxfId="2917">
      <pivotArea field="0" dataOnly="0" labelOnly="1" grandRow="1" outline="0" axis="axisRow" fieldPosition="0">
        <references count="1">
          <reference field="4294967294" count="1" selected="0">
            <x v="5"/>
          </reference>
        </references>
      </pivotArea>
    </format>
    <format dxfId="2916">
      <pivotArea field="0" dataOnly="0" labelOnly="1" grandRow="1" outline="0" axis="axisRow" fieldPosition="0">
        <references count="1">
          <reference field="4294967294" count="1" selected="0">
            <x v="6"/>
          </reference>
        </references>
      </pivotArea>
    </format>
    <format dxfId="2915">
      <pivotArea field="0" dataOnly="0" labelOnly="1" grandRow="1" outline="0" axis="axisRow" fieldPosition="0">
        <references count="1">
          <reference field="4294967294" count="1" selected="0">
            <x v="7"/>
          </reference>
        </references>
      </pivotArea>
    </format>
    <format dxfId="2914">
      <pivotArea field="0" dataOnly="0" labelOnly="1" grandRow="1" outline="0" axis="axisRow" fieldPosition="0">
        <references count="1">
          <reference field="4294967294" count="1" selected="0">
            <x v="8"/>
          </reference>
        </references>
      </pivotArea>
    </format>
    <format dxfId="2913">
      <pivotArea field="0" dataOnly="0" labelOnly="1" grandRow="1" outline="0" axis="axisRow" fieldPosition="0">
        <references count="1">
          <reference field="4294967294" count="1" selected="0">
            <x v="9"/>
          </reference>
        </references>
      </pivotArea>
    </format>
    <format dxfId="2912">
      <pivotArea field="0" dataOnly="0" labelOnly="1" grandRow="1" outline="0" axis="axisRow" fieldPosition="0">
        <references count="1">
          <reference field="4294967294" count="1" selected="0">
            <x v="10"/>
          </reference>
        </references>
      </pivotArea>
    </format>
    <format dxfId="2911">
      <pivotArea field="0" dataOnly="0" labelOnly="1" grandRow="1" outline="0" axis="axisRow" fieldPosition="0">
        <references count="1">
          <reference field="4294967294" count="1" selected="0">
            <x v="11"/>
          </reference>
        </references>
      </pivotArea>
    </format>
    <format dxfId="2910">
      <pivotArea field="0" dataOnly="0" labelOnly="1" grandRow="1" outline="0" axis="axisRow" fieldPosition="0">
        <references count="1">
          <reference field="4294967294" count="1" selected="0">
            <x v="12"/>
          </reference>
        </references>
      </pivotArea>
    </format>
    <format dxfId="2909">
      <pivotArea field="0" dataOnly="0" labelOnly="1" grandRow="1" outline="0" axis="axisRow" fieldPosition="0">
        <references count="1">
          <reference field="4294967294" count="1" selected="0">
            <x v="13"/>
          </reference>
        </references>
      </pivotArea>
    </format>
    <format dxfId="2908">
      <pivotArea field="0" dataOnly="0" labelOnly="1" grandRow="1" outline="0" axis="axisRow" fieldPosition="0">
        <references count="1">
          <reference field="4294967294" count="1" selected="0">
            <x v="14"/>
          </reference>
        </references>
      </pivotArea>
    </format>
    <format dxfId="2907">
      <pivotArea field="0" dataOnly="0" labelOnly="1" grandRow="1" outline="0" axis="axisRow" fieldPosition="0">
        <references count="1">
          <reference field="4294967294" count="1" selected="0">
            <x v="15"/>
          </reference>
        </references>
      </pivotArea>
    </format>
    <format dxfId="2906">
      <pivotArea field="0" dataOnly="0" labelOnly="1" grandRow="1" outline="0" axis="axisRow" fieldPosition="0">
        <references count="1">
          <reference field="4294967294" count="1" selected="0">
            <x v="16"/>
          </reference>
        </references>
      </pivotArea>
    </format>
    <format dxfId="2905">
      <pivotArea field="0" dataOnly="0" labelOnly="1" grandRow="1" outline="0" axis="axisRow" fieldPosition="0">
        <references count="1">
          <reference field="4294967294" count="1" selected="0">
            <x v="17"/>
          </reference>
        </references>
      </pivotArea>
    </format>
    <format dxfId="2904">
      <pivotArea field="0" dataOnly="0" labelOnly="1" grandRow="1" outline="0" axis="axisRow" fieldPosition="0">
        <references count="1">
          <reference field="4294967294" count="1" selected="0">
            <x v="18"/>
          </reference>
        </references>
      </pivotArea>
    </format>
    <format dxfId="2903">
      <pivotArea field="0" dataOnly="0" labelOnly="1" grandRow="1" outline="0" axis="axisRow" fieldPosition="0">
        <references count="1">
          <reference field="4294967294" count="1" selected="0">
            <x v="19"/>
          </reference>
        </references>
      </pivotArea>
    </format>
    <format dxfId="2902">
      <pivotArea field="0" dataOnly="0" labelOnly="1" grandRow="1" outline="0" axis="axisRow" fieldPosition="0">
        <references count="1">
          <reference field="4294967294" count="1" selected="0">
            <x v="20"/>
          </reference>
        </references>
      </pivotArea>
    </format>
    <format dxfId="2901">
      <pivotArea field="0" dataOnly="0" labelOnly="1" grandRow="1" outline="0" axis="axisRow" fieldPosition="0">
        <references count="1">
          <reference field="4294967294" count="1" selected="0">
            <x v="21"/>
          </reference>
        </references>
      </pivotArea>
    </format>
    <format dxfId="2900">
      <pivotArea field="0" dataOnly="0" labelOnly="1" grandRow="1" outline="0" axis="axisRow" fieldPosition="0">
        <references count="1">
          <reference field="4294967294" count="1" selected="0">
            <x v="22"/>
          </reference>
        </references>
      </pivotArea>
    </format>
    <format dxfId="2899">
      <pivotArea field="0" dataOnly="0" labelOnly="1" grandRow="1" outline="0" axis="axisRow" fieldPosition="0">
        <references count="1">
          <reference field="4294967294" count="1" selected="0">
            <x v="23"/>
          </reference>
        </references>
      </pivotArea>
    </format>
    <format dxfId="2898">
      <pivotArea field="0" dataOnly="0" labelOnly="1" grandRow="1" outline="0" axis="axisRow" fieldPosition="0">
        <references count="1">
          <reference field="4294967294" count="1" selected="0">
            <x v="24"/>
          </reference>
        </references>
      </pivotArea>
    </format>
    <format dxfId="2897">
      <pivotArea field="0" dataOnly="0" labelOnly="1" grandRow="1" outline="0" axis="axisRow" fieldPosition="0">
        <references count="1">
          <reference field="4294967294" count="1" selected="0">
            <x v="25"/>
          </reference>
        </references>
      </pivotArea>
    </format>
    <format dxfId="2896">
      <pivotArea field="0" dataOnly="0" labelOnly="1" grandRow="1" outline="0" axis="axisRow" fieldPosition="0">
        <references count="1">
          <reference field="4294967294" count="1" selected="0">
            <x v="26"/>
          </reference>
        </references>
      </pivotArea>
    </format>
    <format dxfId="2895">
      <pivotArea field="0" dataOnly="0" labelOnly="1" grandRow="1" outline="0" axis="axisRow" fieldPosition="0">
        <references count="1">
          <reference field="4294967294" count="1" selected="0">
            <x v="27"/>
          </reference>
        </references>
      </pivotArea>
    </format>
    <format dxfId="2894">
      <pivotArea field="0" dataOnly="0" labelOnly="1" grandRow="1" outline="0" axis="axisRow" fieldPosition="0">
        <references count="1">
          <reference field="4294967294" count="1" selected="0">
            <x v="28"/>
          </reference>
        </references>
      </pivotArea>
    </format>
    <format dxfId="2893">
      <pivotArea field="0" dataOnly="0" labelOnly="1" grandRow="1" outline="0" axis="axisRow" fieldPosition="0">
        <references count="1">
          <reference field="4294967294" count="1" selected="0">
            <x v="29"/>
          </reference>
        </references>
      </pivotArea>
    </format>
    <format dxfId="2892">
      <pivotArea field="0" dataOnly="0" labelOnly="1" grandRow="1" outline="0" axis="axisRow" fieldPosition="0">
        <references count="1">
          <reference field="4294967294" count="1" selected="0">
            <x v="30"/>
          </reference>
        </references>
      </pivotArea>
    </format>
    <format dxfId="2891">
      <pivotArea field="0" dataOnly="0" labelOnly="1" grandRow="1" outline="0" axis="axisRow" fieldPosition="0">
        <references count="1">
          <reference field="4294967294" count="1" selected="0">
            <x v="31"/>
          </reference>
        </references>
      </pivotArea>
    </format>
    <format dxfId="2890">
      <pivotArea field="0" dataOnly="0" labelOnly="1" grandRow="1" outline="0" axis="axisRow" fieldPosition="0">
        <references count="1">
          <reference field="4294967294" count="1" selected="0">
            <x v="32"/>
          </reference>
        </references>
      </pivotArea>
    </format>
    <format dxfId="2889">
      <pivotArea field="0" dataOnly="0" labelOnly="1" grandRow="1" outline="0" axis="axisRow" fieldPosition="0">
        <references count="1">
          <reference field="4294967294" count="1" selected="0">
            <x v="33"/>
          </reference>
        </references>
      </pivotArea>
    </format>
    <format dxfId="2888">
      <pivotArea field="0" dataOnly="0" labelOnly="1" grandRow="1" outline="0" axis="axisRow" fieldPosition="0">
        <references count="1">
          <reference field="4294967294" count="1" selected="0">
            <x v="34"/>
          </reference>
        </references>
      </pivotArea>
    </format>
    <format dxfId="2887">
      <pivotArea field="0" dataOnly="0" labelOnly="1" grandRow="1" outline="0" axis="axisRow" fieldPosition="0">
        <references count="1">
          <reference field="4294967294" count="1" selected="0">
            <x v="35"/>
          </reference>
        </references>
      </pivotArea>
    </format>
    <format dxfId="2886">
      <pivotArea field="0" dataOnly="0" labelOnly="1" grandRow="1" outline="0" axis="axisRow" fieldPosition="0">
        <references count="1">
          <reference field="4294967294" count="1" selected="0">
            <x v="0"/>
          </reference>
        </references>
      </pivotArea>
    </format>
    <format dxfId="2885">
      <pivotArea field="0" dataOnly="0" labelOnly="1" grandRow="1" outline="0" axis="axisRow" fieldPosition="0">
        <references count="1">
          <reference field="4294967294" count="1" selected="0">
            <x v="1"/>
          </reference>
        </references>
      </pivotArea>
    </format>
    <format dxfId="2884">
      <pivotArea field="0" dataOnly="0" labelOnly="1" grandRow="1" outline="0" axis="axisRow" fieldPosition="0">
        <references count="1">
          <reference field="4294967294" count="1" selected="0">
            <x v="2"/>
          </reference>
        </references>
      </pivotArea>
    </format>
    <format dxfId="2883">
      <pivotArea field="0" dataOnly="0" labelOnly="1" grandRow="1" outline="0" axis="axisRow" fieldPosition="0">
        <references count="1">
          <reference field="4294967294" count="1" selected="0">
            <x v="3"/>
          </reference>
        </references>
      </pivotArea>
    </format>
    <format dxfId="2882">
      <pivotArea field="0" dataOnly="0" labelOnly="1" grandRow="1" outline="0" axis="axisRow" fieldPosition="0">
        <references count="1">
          <reference field="4294967294" count="1" selected="0">
            <x v="4"/>
          </reference>
        </references>
      </pivotArea>
    </format>
    <format dxfId="2881">
      <pivotArea field="0" dataOnly="0" labelOnly="1" grandRow="1" outline="0" axis="axisRow" fieldPosition="0">
        <references count="1">
          <reference field="4294967294" count="1" selected="0">
            <x v="5"/>
          </reference>
        </references>
      </pivotArea>
    </format>
    <format dxfId="2880">
      <pivotArea field="0" dataOnly="0" labelOnly="1" grandRow="1" outline="0" axis="axisRow" fieldPosition="0">
        <references count="1">
          <reference field="4294967294" count="1" selected="0">
            <x v="6"/>
          </reference>
        </references>
      </pivotArea>
    </format>
    <format dxfId="2879">
      <pivotArea field="0" dataOnly="0" labelOnly="1" grandRow="1" outline="0" axis="axisRow" fieldPosition="0">
        <references count="1">
          <reference field="4294967294" count="1" selected="0">
            <x v="7"/>
          </reference>
        </references>
      </pivotArea>
    </format>
    <format dxfId="2878">
      <pivotArea field="0" dataOnly="0" labelOnly="1" grandRow="1" outline="0" axis="axisRow" fieldPosition="0">
        <references count="1">
          <reference field="4294967294" count="1" selected="0">
            <x v="8"/>
          </reference>
        </references>
      </pivotArea>
    </format>
    <format dxfId="2877">
      <pivotArea field="0" dataOnly="0" labelOnly="1" grandRow="1" outline="0" axis="axisRow" fieldPosition="0">
        <references count="1">
          <reference field="4294967294" count="1" selected="0">
            <x v="9"/>
          </reference>
        </references>
      </pivotArea>
    </format>
    <format dxfId="2876">
      <pivotArea field="0" dataOnly="0" labelOnly="1" grandRow="1" outline="0" axis="axisRow" fieldPosition="0">
        <references count="1">
          <reference field="4294967294" count="1" selected="0">
            <x v="10"/>
          </reference>
        </references>
      </pivotArea>
    </format>
    <format dxfId="2875">
      <pivotArea field="0" dataOnly="0" labelOnly="1" grandRow="1" outline="0" axis="axisRow" fieldPosition="0">
        <references count="1">
          <reference field="4294967294" count="1" selected="0">
            <x v="11"/>
          </reference>
        </references>
      </pivotArea>
    </format>
    <format dxfId="2874">
      <pivotArea field="0" dataOnly="0" labelOnly="1" grandRow="1" outline="0" axis="axisRow" fieldPosition="0">
        <references count="1">
          <reference field="4294967294" count="1" selected="0">
            <x v="12"/>
          </reference>
        </references>
      </pivotArea>
    </format>
    <format dxfId="2873">
      <pivotArea field="0" dataOnly="0" labelOnly="1" grandRow="1" outline="0" axis="axisRow" fieldPosition="0">
        <references count="1">
          <reference field="4294967294" count="1" selected="0">
            <x v="13"/>
          </reference>
        </references>
      </pivotArea>
    </format>
    <format dxfId="2872">
      <pivotArea field="0" dataOnly="0" labelOnly="1" grandRow="1" outline="0" axis="axisRow" fieldPosition="0">
        <references count="1">
          <reference field="4294967294" count="1" selected="0">
            <x v="14"/>
          </reference>
        </references>
      </pivotArea>
    </format>
    <format dxfId="2871">
      <pivotArea field="0" dataOnly="0" labelOnly="1" grandRow="1" outline="0" axis="axisRow" fieldPosition="0">
        <references count="1">
          <reference field="4294967294" count="1" selected="0">
            <x v="15"/>
          </reference>
        </references>
      </pivotArea>
    </format>
    <format dxfId="2870">
      <pivotArea field="0" dataOnly="0" labelOnly="1" grandRow="1" outline="0" axis="axisRow" fieldPosition="0">
        <references count="1">
          <reference field="4294967294" count="1" selected="0">
            <x v="16"/>
          </reference>
        </references>
      </pivotArea>
    </format>
    <format dxfId="2869">
      <pivotArea field="0" dataOnly="0" labelOnly="1" grandRow="1" outline="0" axis="axisRow" fieldPosition="0">
        <references count="1">
          <reference field="4294967294" count="1" selected="0">
            <x v="17"/>
          </reference>
        </references>
      </pivotArea>
    </format>
    <format dxfId="2868">
      <pivotArea field="0" dataOnly="0" labelOnly="1" grandRow="1" outline="0" axis="axisRow" fieldPosition="0">
        <references count="1">
          <reference field="4294967294" count="1" selected="0">
            <x v="18"/>
          </reference>
        </references>
      </pivotArea>
    </format>
    <format dxfId="2867">
      <pivotArea field="0" dataOnly="0" labelOnly="1" grandRow="1" outline="0" axis="axisRow" fieldPosition="0">
        <references count="1">
          <reference field="4294967294" count="1" selected="0">
            <x v="19"/>
          </reference>
        </references>
      </pivotArea>
    </format>
    <format dxfId="2866">
      <pivotArea field="0" dataOnly="0" labelOnly="1" grandRow="1" outline="0" axis="axisRow" fieldPosition="0">
        <references count="1">
          <reference field="4294967294" count="1" selected="0">
            <x v="20"/>
          </reference>
        </references>
      </pivotArea>
    </format>
    <format dxfId="2865">
      <pivotArea field="0" dataOnly="0" labelOnly="1" grandRow="1" outline="0" axis="axisRow" fieldPosition="0">
        <references count="1">
          <reference field="4294967294" count="1" selected="0">
            <x v="21"/>
          </reference>
        </references>
      </pivotArea>
    </format>
    <format dxfId="2864">
      <pivotArea field="0" dataOnly="0" labelOnly="1" grandRow="1" outline="0" axis="axisRow" fieldPosition="0">
        <references count="1">
          <reference field="4294967294" count="1" selected="0">
            <x v="22"/>
          </reference>
        </references>
      </pivotArea>
    </format>
    <format dxfId="2863">
      <pivotArea field="0" dataOnly="0" labelOnly="1" grandRow="1" outline="0" axis="axisRow" fieldPosition="0">
        <references count="1">
          <reference field="4294967294" count="1" selected="0">
            <x v="23"/>
          </reference>
        </references>
      </pivotArea>
    </format>
    <format dxfId="2862">
      <pivotArea field="0" dataOnly="0" labelOnly="1" grandRow="1" outline="0" axis="axisRow" fieldPosition="0">
        <references count="1">
          <reference field="4294967294" count="1" selected="0">
            <x v="24"/>
          </reference>
        </references>
      </pivotArea>
    </format>
    <format dxfId="2861">
      <pivotArea field="0" dataOnly="0" labelOnly="1" grandRow="1" outline="0" axis="axisRow" fieldPosition="0">
        <references count="1">
          <reference field="4294967294" count="1" selected="0">
            <x v="25"/>
          </reference>
        </references>
      </pivotArea>
    </format>
    <format dxfId="2860">
      <pivotArea field="0" dataOnly="0" labelOnly="1" grandRow="1" outline="0" axis="axisRow" fieldPosition="0">
        <references count="1">
          <reference field="4294967294" count="1" selected="0">
            <x v="26"/>
          </reference>
        </references>
      </pivotArea>
    </format>
    <format dxfId="2859">
      <pivotArea field="0" dataOnly="0" labelOnly="1" grandRow="1" outline="0" axis="axisRow" fieldPosition="0">
        <references count="1">
          <reference field="4294967294" count="1" selected="0">
            <x v="27"/>
          </reference>
        </references>
      </pivotArea>
    </format>
    <format dxfId="2858">
      <pivotArea field="0" dataOnly="0" labelOnly="1" grandRow="1" outline="0" axis="axisRow" fieldPosition="0">
        <references count="1">
          <reference field="4294967294" count="1" selected="0">
            <x v="28"/>
          </reference>
        </references>
      </pivotArea>
    </format>
    <format dxfId="2857">
      <pivotArea field="0" dataOnly="0" labelOnly="1" grandRow="1" outline="0" axis="axisRow" fieldPosition="0">
        <references count="1">
          <reference field="4294967294" count="1" selected="0">
            <x v="29"/>
          </reference>
        </references>
      </pivotArea>
    </format>
    <format dxfId="2856">
      <pivotArea field="0" dataOnly="0" labelOnly="1" grandRow="1" outline="0" axis="axisRow" fieldPosition="0">
        <references count="1">
          <reference field="4294967294" count="1" selected="0">
            <x v="30"/>
          </reference>
        </references>
      </pivotArea>
    </format>
    <format dxfId="2855">
      <pivotArea field="0" dataOnly="0" labelOnly="1" grandRow="1" outline="0" axis="axisRow" fieldPosition="0">
        <references count="1">
          <reference field="4294967294" count="1" selected="0">
            <x v="31"/>
          </reference>
        </references>
      </pivotArea>
    </format>
    <format dxfId="2854">
      <pivotArea field="0" dataOnly="0" labelOnly="1" grandRow="1" outline="0" axis="axisRow" fieldPosition="0">
        <references count="1">
          <reference field="4294967294" count="1" selected="0">
            <x v="32"/>
          </reference>
        </references>
      </pivotArea>
    </format>
    <format dxfId="2853">
      <pivotArea field="0" dataOnly="0" labelOnly="1" grandRow="1" outline="0" axis="axisRow" fieldPosition="0">
        <references count="1">
          <reference field="4294967294" count="1" selected="0">
            <x v="33"/>
          </reference>
        </references>
      </pivotArea>
    </format>
    <format dxfId="2852">
      <pivotArea field="0" dataOnly="0" labelOnly="1" grandRow="1" outline="0" axis="axisRow" fieldPosition="0">
        <references count="1">
          <reference field="4294967294" count="1" selected="0">
            <x v="34"/>
          </reference>
        </references>
      </pivotArea>
    </format>
    <format dxfId="2851">
      <pivotArea field="0" dataOnly="0" labelOnly="1" grandRow="1" outline="0" axis="axisRow" fieldPosition="0">
        <references count="1">
          <reference field="4294967294" count="1" selected="0">
            <x v="35"/>
          </reference>
        </references>
      </pivotArea>
    </format>
    <format dxfId="2850">
      <pivotArea field="0" dataOnly="0" labelOnly="1" grandRow="1" outline="0" axis="axisRow" fieldPosition="0">
        <references count="1">
          <reference field="4294967294" count="1" selected="0">
            <x v="0"/>
          </reference>
        </references>
      </pivotArea>
    </format>
    <format dxfId="2849">
      <pivotArea field="0" dataOnly="0" labelOnly="1" grandRow="1" outline="0" axis="axisRow" fieldPosition="0">
        <references count="1">
          <reference field="4294967294" count="1" selected="0">
            <x v="1"/>
          </reference>
        </references>
      </pivotArea>
    </format>
    <format dxfId="2848">
      <pivotArea field="0" dataOnly="0" labelOnly="1" grandRow="1" outline="0" axis="axisRow" fieldPosition="0">
        <references count="1">
          <reference field="4294967294" count="1" selected="0">
            <x v="2"/>
          </reference>
        </references>
      </pivotArea>
    </format>
    <format dxfId="2847">
      <pivotArea field="0" dataOnly="0" labelOnly="1" grandRow="1" outline="0" axis="axisRow" fieldPosition="0">
        <references count="1">
          <reference field="4294967294" count="1" selected="0">
            <x v="3"/>
          </reference>
        </references>
      </pivotArea>
    </format>
    <format dxfId="2846">
      <pivotArea field="0" dataOnly="0" labelOnly="1" grandRow="1" outline="0" axis="axisRow" fieldPosition="0">
        <references count="1">
          <reference field="4294967294" count="1" selected="0">
            <x v="4"/>
          </reference>
        </references>
      </pivotArea>
    </format>
    <format dxfId="2845">
      <pivotArea field="0" dataOnly="0" labelOnly="1" grandRow="1" outline="0" axis="axisRow" fieldPosition="0">
        <references count="1">
          <reference field="4294967294" count="1" selected="0">
            <x v="5"/>
          </reference>
        </references>
      </pivotArea>
    </format>
    <format dxfId="2844">
      <pivotArea field="0" dataOnly="0" labelOnly="1" grandRow="1" outline="0" axis="axisRow" fieldPosition="0">
        <references count="1">
          <reference field="4294967294" count="1" selected="0">
            <x v="6"/>
          </reference>
        </references>
      </pivotArea>
    </format>
    <format dxfId="2843">
      <pivotArea field="0" dataOnly="0" labelOnly="1" grandRow="1" outline="0" axis="axisRow" fieldPosition="0">
        <references count="1">
          <reference field="4294967294" count="1" selected="0">
            <x v="7"/>
          </reference>
        </references>
      </pivotArea>
    </format>
    <format dxfId="2842">
      <pivotArea field="0" dataOnly="0" labelOnly="1" grandRow="1" outline="0" axis="axisRow" fieldPosition="0">
        <references count="1">
          <reference field="4294967294" count="1" selected="0">
            <x v="8"/>
          </reference>
        </references>
      </pivotArea>
    </format>
    <format dxfId="2841">
      <pivotArea field="0" dataOnly="0" labelOnly="1" grandRow="1" outline="0" axis="axisRow" fieldPosition="0">
        <references count="1">
          <reference field="4294967294" count="1" selected="0">
            <x v="9"/>
          </reference>
        </references>
      </pivotArea>
    </format>
    <format dxfId="2840">
      <pivotArea field="0" dataOnly="0" labelOnly="1" grandRow="1" outline="0" axis="axisRow" fieldPosition="0">
        <references count="1">
          <reference field="4294967294" count="1" selected="0">
            <x v="10"/>
          </reference>
        </references>
      </pivotArea>
    </format>
    <format dxfId="2839">
      <pivotArea field="0" dataOnly="0" labelOnly="1" grandRow="1" outline="0" axis="axisRow" fieldPosition="0">
        <references count="1">
          <reference field="4294967294" count="1" selected="0">
            <x v="11"/>
          </reference>
        </references>
      </pivotArea>
    </format>
    <format dxfId="2838">
      <pivotArea field="0" dataOnly="0" labelOnly="1" grandRow="1" outline="0" axis="axisRow" fieldPosition="0">
        <references count="1">
          <reference field="4294967294" count="1" selected="0">
            <x v="12"/>
          </reference>
        </references>
      </pivotArea>
    </format>
    <format dxfId="2837">
      <pivotArea field="0" dataOnly="0" labelOnly="1" grandRow="1" outline="0" axis="axisRow" fieldPosition="0">
        <references count="1">
          <reference field="4294967294" count="1" selected="0">
            <x v="13"/>
          </reference>
        </references>
      </pivotArea>
    </format>
    <format dxfId="2836">
      <pivotArea field="0" dataOnly="0" labelOnly="1" grandRow="1" outline="0" axis="axisRow" fieldPosition="0">
        <references count="1">
          <reference field="4294967294" count="1" selected="0">
            <x v="14"/>
          </reference>
        </references>
      </pivotArea>
    </format>
    <format dxfId="2835">
      <pivotArea field="0" dataOnly="0" labelOnly="1" grandRow="1" outline="0" axis="axisRow" fieldPosition="0">
        <references count="1">
          <reference field="4294967294" count="1" selected="0">
            <x v="15"/>
          </reference>
        </references>
      </pivotArea>
    </format>
    <format dxfId="2834">
      <pivotArea field="0" dataOnly="0" labelOnly="1" grandRow="1" outline="0" axis="axisRow" fieldPosition="0">
        <references count="1">
          <reference field="4294967294" count="1" selected="0">
            <x v="16"/>
          </reference>
        </references>
      </pivotArea>
    </format>
    <format dxfId="2833">
      <pivotArea field="0" dataOnly="0" labelOnly="1" grandRow="1" outline="0" axis="axisRow" fieldPosition="0">
        <references count="1">
          <reference field="4294967294" count="1" selected="0">
            <x v="17"/>
          </reference>
        </references>
      </pivotArea>
    </format>
    <format dxfId="2832">
      <pivotArea field="0" dataOnly="0" labelOnly="1" grandRow="1" outline="0" axis="axisRow" fieldPosition="0">
        <references count="1">
          <reference field="4294967294" count="1" selected="0">
            <x v="18"/>
          </reference>
        </references>
      </pivotArea>
    </format>
    <format dxfId="2831">
      <pivotArea field="0" dataOnly="0" labelOnly="1" grandRow="1" outline="0" axis="axisRow" fieldPosition="0">
        <references count="1">
          <reference field="4294967294" count="1" selected="0">
            <x v="19"/>
          </reference>
        </references>
      </pivotArea>
    </format>
    <format dxfId="2830">
      <pivotArea field="0" dataOnly="0" labelOnly="1" grandRow="1" outline="0" axis="axisRow" fieldPosition="0">
        <references count="1">
          <reference field="4294967294" count="1" selected="0">
            <x v="20"/>
          </reference>
        </references>
      </pivotArea>
    </format>
    <format dxfId="2829">
      <pivotArea field="0" dataOnly="0" labelOnly="1" grandRow="1" outline="0" axis="axisRow" fieldPosition="0">
        <references count="1">
          <reference field="4294967294" count="1" selected="0">
            <x v="21"/>
          </reference>
        </references>
      </pivotArea>
    </format>
    <format dxfId="2828">
      <pivotArea field="0" dataOnly="0" labelOnly="1" grandRow="1" outline="0" axis="axisRow" fieldPosition="0">
        <references count="1">
          <reference field="4294967294" count="1" selected="0">
            <x v="22"/>
          </reference>
        </references>
      </pivotArea>
    </format>
    <format dxfId="2827">
      <pivotArea field="0" dataOnly="0" labelOnly="1" grandRow="1" outline="0" axis="axisRow" fieldPosition="0">
        <references count="1">
          <reference field="4294967294" count="1" selected="0">
            <x v="23"/>
          </reference>
        </references>
      </pivotArea>
    </format>
    <format dxfId="2826">
      <pivotArea field="0" dataOnly="0" labelOnly="1" grandRow="1" outline="0" axis="axisRow" fieldPosition="0">
        <references count="1">
          <reference field="4294967294" count="1" selected="0">
            <x v="24"/>
          </reference>
        </references>
      </pivotArea>
    </format>
    <format dxfId="2825">
      <pivotArea field="0" dataOnly="0" labelOnly="1" grandRow="1" outline="0" axis="axisRow" fieldPosition="0">
        <references count="1">
          <reference field="4294967294" count="1" selected="0">
            <x v="25"/>
          </reference>
        </references>
      </pivotArea>
    </format>
    <format dxfId="2824">
      <pivotArea field="0" dataOnly="0" labelOnly="1" grandRow="1" outline="0" axis="axisRow" fieldPosition="0">
        <references count="1">
          <reference field="4294967294" count="1" selected="0">
            <x v="26"/>
          </reference>
        </references>
      </pivotArea>
    </format>
    <format dxfId="2823">
      <pivotArea field="0" dataOnly="0" labelOnly="1" grandRow="1" outline="0" axis="axisRow" fieldPosition="0">
        <references count="1">
          <reference field="4294967294" count="1" selected="0">
            <x v="27"/>
          </reference>
        </references>
      </pivotArea>
    </format>
    <format dxfId="2822">
      <pivotArea field="0" dataOnly="0" labelOnly="1" grandRow="1" outline="0" axis="axisRow" fieldPosition="0">
        <references count="1">
          <reference field="4294967294" count="1" selected="0">
            <x v="28"/>
          </reference>
        </references>
      </pivotArea>
    </format>
    <format dxfId="2821">
      <pivotArea field="0" dataOnly="0" labelOnly="1" grandRow="1" outline="0" axis="axisRow" fieldPosition="0">
        <references count="1">
          <reference field="4294967294" count="1" selected="0">
            <x v="29"/>
          </reference>
        </references>
      </pivotArea>
    </format>
    <format dxfId="2820">
      <pivotArea field="0" dataOnly="0" labelOnly="1" grandRow="1" outline="0" axis="axisRow" fieldPosition="0">
        <references count="1">
          <reference field="4294967294" count="1" selected="0">
            <x v="30"/>
          </reference>
        </references>
      </pivotArea>
    </format>
    <format dxfId="2819">
      <pivotArea field="0" dataOnly="0" labelOnly="1" grandRow="1" outline="0" axis="axisRow" fieldPosition="0">
        <references count="1">
          <reference field="4294967294" count="1" selected="0">
            <x v="31"/>
          </reference>
        </references>
      </pivotArea>
    </format>
    <format dxfId="2818">
      <pivotArea field="0" dataOnly="0" labelOnly="1" grandRow="1" outline="0" axis="axisRow" fieldPosition="0">
        <references count="1">
          <reference field="4294967294" count="1" selected="0">
            <x v="32"/>
          </reference>
        </references>
      </pivotArea>
    </format>
    <format dxfId="2817">
      <pivotArea field="0" dataOnly="0" labelOnly="1" grandRow="1" outline="0" axis="axisRow" fieldPosition="0">
        <references count="1">
          <reference field="4294967294" count="1" selected="0">
            <x v="33"/>
          </reference>
        </references>
      </pivotArea>
    </format>
    <format dxfId="2816">
      <pivotArea field="0" dataOnly="0" labelOnly="1" grandRow="1" outline="0" axis="axisRow" fieldPosition="0">
        <references count="1">
          <reference field="4294967294" count="1" selected="0">
            <x v="34"/>
          </reference>
        </references>
      </pivotArea>
    </format>
    <format dxfId="2815">
      <pivotArea field="0" dataOnly="0" labelOnly="1" grandRow="1" outline="0" axis="axisRow" fieldPosition="0">
        <references count="1">
          <reference field="4294967294" count="1" selected="0">
            <x v="35"/>
          </reference>
        </references>
      </pivotArea>
    </format>
    <format dxfId="2814">
      <pivotArea field="0" dataOnly="0" labelOnly="1" grandRow="1" outline="0" axis="axisRow" fieldPosition="0">
        <references count="1">
          <reference field="4294967294" count="1" selected="0">
            <x v="0"/>
          </reference>
        </references>
      </pivotArea>
    </format>
    <format dxfId="2813">
      <pivotArea field="0" dataOnly="0" labelOnly="1" grandRow="1" outline="0" axis="axisRow" fieldPosition="0">
        <references count="1">
          <reference field="4294967294" count="1" selected="0">
            <x v="1"/>
          </reference>
        </references>
      </pivotArea>
    </format>
    <format dxfId="2812">
      <pivotArea field="0" dataOnly="0" labelOnly="1" grandRow="1" outline="0" axis="axisRow" fieldPosition="0">
        <references count="1">
          <reference field="4294967294" count="1" selected="0">
            <x v="2"/>
          </reference>
        </references>
      </pivotArea>
    </format>
    <format dxfId="2811">
      <pivotArea field="0" dataOnly="0" labelOnly="1" grandRow="1" outline="0" axis="axisRow" fieldPosition="0">
        <references count="1">
          <reference field="4294967294" count="1" selected="0">
            <x v="3"/>
          </reference>
        </references>
      </pivotArea>
    </format>
    <format dxfId="2810">
      <pivotArea field="0" dataOnly="0" labelOnly="1" grandRow="1" outline="0" axis="axisRow" fieldPosition="0">
        <references count="1">
          <reference field="4294967294" count="1" selected="0">
            <x v="4"/>
          </reference>
        </references>
      </pivotArea>
    </format>
    <format dxfId="2809">
      <pivotArea field="0" dataOnly="0" labelOnly="1" grandRow="1" outline="0" axis="axisRow" fieldPosition="0">
        <references count="1">
          <reference field="4294967294" count="1" selected="0">
            <x v="5"/>
          </reference>
        </references>
      </pivotArea>
    </format>
    <format dxfId="2808">
      <pivotArea field="0" dataOnly="0" labelOnly="1" grandRow="1" outline="0" axis="axisRow" fieldPosition="0">
        <references count="1">
          <reference field="4294967294" count="1" selected="0">
            <x v="6"/>
          </reference>
        </references>
      </pivotArea>
    </format>
    <format dxfId="2807">
      <pivotArea field="0" dataOnly="0" labelOnly="1" grandRow="1" outline="0" axis="axisRow" fieldPosition="0">
        <references count="1">
          <reference field="4294967294" count="1" selected="0">
            <x v="7"/>
          </reference>
        </references>
      </pivotArea>
    </format>
    <format dxfId="2806">
      <pivotArea field="0" dataOnly="0" labelOnly="1" grandRow="1" outline="0" axis="axisRow" fieldPosition="0">
        <references count="1">
          <reference field="4294967294" count="1" selected="0">
            <x v="8"/>
          </reference>
        </references>
      </pivotArea>
    </format>
    <format dxfId="2805">
      <pivotArea field="0" dataOnly="0" labelOnly="1" grandRow="1" outline="0" axis="axisRow" fieldPosition="0">
        <references count="1">
          <reference field="4294967294" count="1" selected="0">
            <x v="9"/>
          </reference>
        </references>
      </pivotArea>
    </format>
    <format dxfId="2804">
      <pivotArea field="0" dataOnly="0" labelOnly="1" grandRow="1" outline="0" axis="axisRow" fieldPosition="0">
        <references count="1">
          <reference field="4294967294" count="1" selected="0">
            <x v="10"/>
          </reference>
        </references>
      </pivotArea>
    </format>
    <format dxfId="2803">
      <pivotArea field="0" dataOnly="0" labelOnly="1" grandRow="1" outline="0" axis="axisRow" fieldPosition="0">
        <references count="1">
          <reference field="4294967294" count="1" selected="0">
            <x v="11"/>
          </reference>
        </references>
      </pivotArea>
    </format>
    <format dxfId="2802">
      <pivotArea field="0" dataOnly="0" labelOnly="1" grandRow="1" outline="0" axis="axisRow" fieldPosition="0">
        <references count="1">
          <reference field="4294967294" count="1" selected="0">
            <x v="12"/>
          </reference>
        </references>
      </pivotArea>
    </format>
    <format dxfId="2801">
      <pivotArea field="0" dataOnly="0" labelOnly="1" grandRow="1" outline="0" axis="axisRow" fieldPosition="0">
        <references count="1">
          <reference field="4294967294" count="1" selected="0">
            <x v="13"/>
          </reference>
        </references>
      </pivotArea>
    </format>
    <format dxfId="2800">
      <pivotArea field="0" dataOnly="0" labelOnly="1" grandRow="1" outline="0" axis="axisRow" fieldPosition="0">
        <references count="1">
          <reference field="4294967294" count="1" selected="0">
            <x v="14"/>
          </reference>
        </references>
      </pivotArea>
    </format>
    <format dxfId="2799">
      <pivotArea field="0" dataOnly="0" labelOnly="1" grandRow="1" outline="0" axis="axisRow" fieldPosition="0">
        <references count="1">
          <reference field="4294967294" count="1" selected="0">
            <x v="15"/>
          </reference>
        </references>
      </pivotArea>
    </format>
    <format dxfId="2798">
      <pivotArea field="0" dataOnly="0" labelOnly="1" grandRow="1" outline="0" axis="axisRow" fieldPosition="0">
        <references count="1">
          <reference field="4294967294" count="1" selected="0">
            <x v="16"/>
          </reference>
        </references>
      </pivotArea>
    </format>
    <format dxfId="2797">
      <pivotArea field="0" dataOnly="0" labelOnly="1" grandRow="1" outline="0" axis="axisRow" fieldPosition="0">
        <references count="1">
          <reference field="4294967294" count="1" selected="0">
            <x v="17"/>
          </reference>
        </references>
      </pivotArea>
    </format>
    <format dxfId="2796">
      <pivotArea field="0" dataOnly="0" labelOnly="1" grandRow="1" outline="0" axis="axisRow" fieldPosition="0">
        <references count="1">
          <reference field="4294967294" count="1" selected="0">
            <x v="18"/>
          </reference>
        </references>
      </pivotArea>
    </format>
    <format dxfId="2795">
      <pivotArea field="0" dataOnly="0" labelOnly="1" grandRow="1" outline="0" axis="axisRow" fieldPosition="0">
        <references count="1">
          <reference field="4294967294" count="1" selected="0">
            <x v="19"/>
          </reference>
        </references>
      </pivotArea>
    </format>
    <format dxfId="2794">
      <pivotArea field="0" dataOnly="0" labelOnly="1" grandRow="1" outline="0" axis="axisRow" fieldPosition="0">
        <references count="1">
          <reference field="4294967294" count="1" selected="0">
            <x v="20"/>
          </reference>
        </references>
      </pivotArea>
    </format>
    <format dxfId="2793">
      <pivotArea field="0" dataOnly="0" labelOnly="1" grandRow="1" outline="0" axis="axisRow" fieldPosition="0">
        <references count="1">
          <reference field="4294967294" count="1" selected="0">
            <x v="21"/>
          </reference>
        </references>
      </pivotArea>
    </format>
    <format dxfId="2792">
      <pivotArea field="0" dataOnly="0" labelOnly="1" grandRow="1" outline="0" axis="axisRow" fieldPosition="0">
        <references count="1">
          <reference field="4294967294" count="1" selected="0">
            <x v="22"/>
          </reference>
        </references>
      </pivotArea>
    </format>
    <format dxfId="2791">
      <pivotArea field="0" dataOnly="0" labelOnly="1" grandRow="1" outline="0" axis="axisRow" fieldPosition="0">
        <references count="1">
          <reference field="4294967294" count="1" selected="0">
            <x v="23"/>
          </reference>
        </references>
      </pivotArea>
    </format>
    <format dxfId="2790">
      <pivotArea field="0" dataOnly="0" labelOnly="1" grandRow="1" outline="0" axis="axisRow" fieldPosition="0">
        <references count="1">
          <reference field="4294967294" count="1" selected="0">
            <x v="24"/>
          </reference>
        </references>
      </pivotArea>
    </format>
    <format dxfId="2789">
      <pivotArea field="0" dataOnly="0" labelOnly="1" grandRow="1" outline="0" axis="axisRow" fieldPosition="0">
        <references count="1">
          <reference field="4294967294" count="1" selected="0">
            <x v="25"/>
          </reference>
        </references>
      </pivotArea>
    </format>
    <format dxfId="2788">
      <pivotArea field="0" dataOnly="0" labelOnly="1" grandRow="1" outline="0" axis="axisRow" fieldPosition="0">
        <references count="1">
          <reference field="4294967294" count="1" selected="0">
            <x v="26"/>
          </reference>
        </references>
      </pivotArea>
    </format>
    <format dxfId="2787">
      <pivotArea field="0" dataOnly="0" labelOnly="1" grandRow="1" outline="0" axis="axisRow" fieldPosition="0">
        <references count="1">
          <reference field="4294967294" count="1" selected="0">
            <x v="27"/>
          </reference>
        </references>
      </pivotArea>
    </format>
    <format dxfId="2786">
      <pivotArea field="0" dataOnly="0" labelOnly="1" grandRow="1" outline="0" axis="axisRow" fieldPosition="0">
        <references count="1">
          <reference field="4294967294" count="1" selected="0">
            <x v="28"/>
          </reference>
        </references>
      </pivotArea>
    </format>
    <format dxfId="2785">
      <pivotArea field="0" dataOnly="0" labelOnly="1" grandRow="1" outline="0" axis="axisRow" fieldPosition="0">
        <references count="1">
          <reference field="4294967294" count="1" selected="0">
            <x v="29"/>
          </reference>
        </references>
      </pivotArea>
    </format>
    <format dxfId="2784">
      <pivotArea field="0" dataOnly="0" labelOnly="1" grandRow="1" outline="0" axis="axisRow" fieldPosition="0">
        <references count="1">
          <reference field="4294967294" count="1" selected="0">
            <x v="30"/>
          </reference>
        </references>
      </pivotArea>
    </format>
    <format dxfId="2783">
      <pivotArea field="0" dataOnly="0" labelOnly="1" grandRow="1" outline="0" axis="axisRow" fieldPosition="0">
        <references count="1">
          <reference field="4294967294" count="1" selected="0">
            <x v="31"/>
          </reference>
        </references>
      </pivotArea>
    </format>
    <format dxfId="2782">
      <pivotArea field="0" dataOnly="0" labelOnly="1" grandRow="1" outline="0" axis="axisRow" fieldPosition="0">
        <references count="1">
          <reference field="4294967294" count="1" selected="0">
            <x v="32"/>
          </reference>
        </references>
      </pivotArea>
    </format>
    <format dxfId="2781">
      <pivotArea field="0" dataOnly="0" labelOnly="1" grandRow="1" outline="0" axis="axisRow" fieldPosition="0">
        <references count="1">
          <reference field="4294967294" count="1" selected="0">
            <x v="33"/>
          </reference>
        </references>
      </pivotArea>
    </format>
    <format dxfId="2780">
      <pivotArea field="0" dataOnly="0" labelOnly="1" grandRow="1" outline="0" axis="axisRow" fieldPosition="0">
        <references count="1">
          <reference field="4294967294" count="1" selected="0">
            <x v="34"/>
          </reference>
        </references>
      </pivotArea>
    </format>
    <format dxfId="2779">
      <pivotArea field="0" dataOnly="0" labelOnly="1" grandRow="1" outline="0" axis="axisRow" fieldPosition="0">
        <references count="1">
          <reference field="4294967294" count="1" selected="0">
            <x v="35"/>
          </reference>
        </references>
      </pivotArea>
    </format>
    <format dxfId="2778">
      <pivotArea field="0" dataOnly="0" labelOnly="1" grandRow="1" outline="0" axis="axisRow" fieldPosition="0">
        <references count="1">
          <reference field="4294967294" count="1" selected="0">
            <x v="0"/>
          </reference>
        </references>
      </pivotArea>
    </format>
    <format dxfId="2777">
      <pivotArea field="0" dataOnly="0" labelOnly="1" grandRow="1" outline="0" axis="axisRow" fieldPosition="0">
        <references count="1">
          <reference field="4294967294" count="1" selected="0">
            <x v="1"/>
          </reference>
        </references>
      </pivotArea>
    </format>
    <format dxfId="2776">
      <pivotArea field="0" dataOnly="0" labelOnly="1" grandRow="1" outline="0" axis="axisRow" fieldPosition="0">
        <references count="1">
          <reference field="4294967294" count="1" selected="0">
            <x v="2"/>
          </reference>
        </references>
      </pivotArea>
    </format>
    <format dxfId="2775">
      <pivotArea field="0" dataOnly="0" labelOnly="1" grandRow="1" outline="0" axis="axisRow" fieldPosition="0">
        <references count="1">
          <reference field="4294967294" count="1" selected="0">
            <x v="3"/>
          </reference>
        </references>
      </pivotArea>
    </format>
    <format dxfId="2774">
      <pivotArea field="0" dataOnly="0" labelOnly="1" grandRow="1" outline="0" axis="axisRow" fieldPosition="0">
        <references count="1">
          <reference field="4294967294" count="1" selected="0">
            <x v="4"/>
          </reference>
        </references>
      </pivotArea>
    </format>
    <format dxfId="2773">
      <pivotArea field="0" dataOnly="0" labelOnly="1" grandRow="1" outline="0" axis="axisRow" fieldPosition="0">
        <references count="1">
          <reference field="4294967294" count="1" selected="0">
            <x v="5"/>
          </reference>
        </references>
      </pivotArea>
    </format>
    <format dxfId="2772">
      <pivotArea field="0" dataOnly="0" labelOnly="1" grandRow="1" outline="0" axis="axisRow" fieldPosition="0">
        <references count="1">
          <reference field="4294967294" count="1" selected="0">
            <x v="6"/>
          </reference>
        </references>
      </pivotArea>
    </format>
    <format dxfId="2771">
      <pivotArea field="0" dataOnly="0" labelOnly="1" grandRow="1" outline="0" axis="axisRow" fieldPosition="0">
        <references count="1">
          <reference field="4294967294" count="1" selected="0">
            <x v="7"/>
          </reference>
        </references>
      </pivotArea>
    </format>
    <format dxfId="2770">
      <pivotArea field="0" dataOnly="0" labelOnly="1" grandRow="1" outline="0" axis="axisRow" fieldPosition="0">
        <references count="1">
          <reference field="4294967294" count="1" selected="0">
            <x v="8"/>
          </reference>
        </references>
      </pivotArea>
    </format>
    <format dxfId="2769">
      <pivotArea field="0" dataOnly="0" labelOnly="1" grandRow="1" outline="0" axis="axisRow" fieldPosition="0">
        <references count="1">
          <reference field="4294967294" count="1" selected="0">
            <x v="9"/>
          </reference>
        </references>
      </pivotArea>
    </format>
    <format dxfId="2768">
      <pivotArea field="0" dataOnly="0" labelOnly="1" grandRow="1" outline="0" axis="axisRow" fieldPosition="0">
        <references count="1">
          <reference field="4294967294" count="1" selected="0">
            <x v="10"/>
          </reference>
        </references>
      </pivotArea>
    </format>
    <format dxfId="2767">
      <pivotArea field="0" dataOnly="0" labelOnly="1" grandRow="1" outline="0" axis="axisRow" fieldPosition="0">
        <references count="1">
          <reference field="4294967294" count="1" selected="0">
            <x v="11"/>
          </reference>
        </references>
      </pivotArea>
    </format>
    <format dxfId="2766">
      <pivotArea field="0" dataOnly="0" labelOnly="1" grandRow="1" outline="0" axis="axisRow" fieldPosition="0">
        <references count="1">
          <reference field="4294967294" count="1" selected="0">
            <x v="12"/>
          </reference>
        </references>
      </pivotArea>
    </format>
    <format dxfId="2765">
      <pivotArea field="0" dataOnly="0" labelOnly="1" grandRow="1" outline="0" axis="axisRow" fieldPosition="0">
        <references count="1">
          <reference field="4294967294" count="1" selected="0">
            <x v="13"/>
          </reference>
        </references>
      </pivotArea>
    </format>
    <format dxfId="2764">
      <pivotArea field="0" dataOnly="0" labelOnly="1" grandRow="1" outline="0" axis="axisRow" fieldPosition="0">
        <references count="1">
          <reference field="4294967294" count="1" selected="0">
            <x v="14"/>
          </reference>
        </references>
      </pivotArea>
    </format>
    <format dxfId="2763">
      <pivotArea field="0" dataOnly="0" labelOnly="1" grandRow="1" outline="0" axis="axisRow" fieldPosition="0">
        <references count="1">
          <reference field="4294967294" count="1" selected="0">
            <x v="15"/>
          </reference>
        </references>
      </pivotArea>
    </format>
    <format dxfId="2762">
      <pivotArea field="0" dataOnly="0" labelOnly="1" grandRow="1" outline="0" axis="axisRow" fieldPosition="0">
        <references count="1">
          <reference field="4294967294" count="1" selected="0">
            <x v="16"/>
          </reference>
        </references>
      </pivotArea>
    </format>
    <format dxfId="2761">
      <pivotArea field="0" dataOnly="0" labelOnly="1" grandRow="1" outline="0" axis="axisRow" fieldPosition="0">
        <references count="1">
          <reference field="4294967294" count="1" selected="0">
            <x v="17"/>
          </reference>
        </references>
      </pivotArea>
    </format>
    <format dxfId="2760">
      <pivotArea field="0" dataOnly="0" labelOnly="1" grandRow="1" outline="0" axis="axisRow" fieldPosition="0">
        <references count="1">
          <reference field="4294967294" count="1" selected="0">
            <x v="18"/>
          </reference>
        </references>
      </pivotArea>
    </format>
    <format dxfId="2759">
      <pivotArea field="0" dataOnly="0" labelOnly="1" grandRow="1" outline="0" axis="axisRow" fieldPosition="0">
        <references count="1">
          <reference field="4294967294" count="1" selected="0">
            <x v="19"/>
          </reference>
        </references>
      </pivotArea>
    </format>
    <format dxfId="2758">
      <pivotArea field="0" dataOnly="0" labelOnly="1" grandRow="1" outline="0" axis="axisRow" fieldPosition="0">
        <references count="1">
          <reference field="4294967294" count="1" selected="0">
            <x v="20"/>
          </reference>
        </references>
      </pivotArea>
    </format>
    <format dxfId="2757">
      <pivotArea field="0" dataOnly="0" labelOnly="1" grandRow="1" outline="0" axis="axisRow" fieldPosition="0">
        <references count="1">
          <reference field="4294967294" count="1" selected="0">
            <x v="21"/>
          </reference>
        </references>
      </pivotArea>
    </format>
    <format dxfId="2756">
      <pivotArea field="0" dataOnly="0" labelOnly="1" grandRow="1" outline="0" axis="axisRow" fieldPosition="0">
        <references count="1">
          <reference field="4294967294" count="1" selected="0">
            <x v="22"/>
          </reference>
        </references>
      </pivotArea>
    </format>
    <format dxfId="2755">
      <pivotArea field="0" dataOnly="0" labelOnly="1" grandRow="1" outline="0" axis="axisRow" fieldPosition="0">
        <references count="1">
          <reference field="4294967294" count="1" selected="0">
            <x v="23"/>
          </reference>
        </references>
      </pivotArea>
    </format>
    <format dxfId="2754">
      <pivotArea field="0" dataOnly="0" labelOnly="1" grandRow="1" outline="0" axis="axisRow" fieldPosition="0">
        <references count="1">
          <reference field="4294967294" count="1" selected="0">
            <x v="24"/>
          </reference>
        </references>
      </pivotArea>
    </format>
    <format dxfId="2753">
      <pivotArea field="0" dataOnly="0" labelOnly="1" grandRow="1" outline="0" axis="axisRow" fieldPosition="0">
        <references count="1">
          <reference field="4294967294" count="1" selected="0">
            <x v="25"/>
          </reference>
        </references>
      </pivotArea>
    </format>
    <format dxfId="2752">
      <pivotArea field="0" dataOnly="0" labelOnly="1" grandRow="1" outline="0" axis="axisRow" fieldPosition="0">
        <references count="1">
          <reference field="4294967294" count="1" selected="0">
            <x v="26"/>
          </reference>
        </references>
      </pivotArea>
    </format>
    <format dxfId="2751">
      <pivotArea field="0" dataOnly="0" labelOnly="1" grandRow="1" outline="0" axis="axisRow" fieldPosition="0">
        <references count="1">
          <reference field="4294967294" count="1" selected="0">
            <x v="27"/>
          </reference>
        </references>
      </pivotArea>
    </format>
    <format dxfId="2750">
      <pivotArea field="0" dataOnly="0" labelOnly="1" grandRow="1" outline="0" axis="axisRow" fieldPosition="0">
        <references count="1">
          <reference field="4294967294" count="1" selected="0">
            <x v="28"/>
          </reference>
        </references>
      </pivotArea>
    </format>
    <format dxfId="2749">
      <pivotArea field="0" dataOnly="0" labelOnly="1" grandRow="1" outline="0" axis="axisRow" fieldPosition="0">
        <references count="1">
          <reference field="4294967294" count="1" selected="0">
            <x v="29"/>
          </reference>
        </references>
      </pivotArea>
    </format>
    <format dxfId="2748">
      <pivotArea field="0" dataOnly="0" labelOnly="1" grandRow="1" outline="0" axis="axisRow" fieldPosition="0">
        <references count="1">
          <reference field="4294967294" count="1" selected="0">
            <x v="30"/>
          </reference>
        </references>
      </pivotArea>
    </format>
    <format dxfId="2747">
      <pivotArea field="0" dataOnly="0" labelOnly="1" grandRow="1" outline="0" axis="axisRow" fieldPosition="0">
        <references count="1">
          <reference field="4294967294" count="1" selected="0">
            <x v="31"/>
          </reference>
        </references>
      </pivotArea>
    </format>
    <format dxfId="2746">
      <pivotArea field="0" dataOnly="0" labelOnly="1" grandRow="1" outline="0" axis="axisRow" fieldPosition="0">
        <references count="1">
          <reference field="4294967294" count="1" selected="0">
            <x v="32"/>
          </reference>
        </references>
      </pivotArea>
    </format>
    <format dxfId="2745">
      <pivotArea field="0" dataOnly="0" labelOnly="1" grandRow="1" outline="0" axis="axisRow" fieldPosition="0">
        <references count="1">
          <reference field="4294967294" count="1" selected="0">
            <x v="33"/>
          </reference>
        </references>
      </pivotArea>
    </format>
    <format dxfId="2744">
      <pivotArea field="0" dataOnly="0" labelOnly="1" grandRow="1" outline="0" axis="axisRow" fieldPosition="0">
        <references count="1">
          <reference field="4294967294" count="1" selected="0">
            <x v="34"/>
          </reference>
        </references>
      </pivotArea>
    </format>
    <format dxfId="2743">
      <pivotArea field="0" dataOnly="0" labelOnly="1" grandRow="1" outline="0" axis="axisRow" fieldPosition="0">
        <references count="1">
          <reference field="4294967294" count="1" selected="0">
            <x v="35"/>
          </reference>
        </references>
      </pivotArea>
    </format>
    <format dxfId="2742">
      <pivotArea field="0" dataOnly="0" labelOnly="1" grandRow="1" outline="0" axis="axisRow" fieldPosition="0">
        <references count="1">
          <reference field="4294967294" count="1" selected="0">
            <x v="0"/>
          </reference>
        </references>
      </pivotArea>
    </format>
    <format dxfId="2741">
      <pivotArea field="0" dataOnly="0" labelOnly="1" grandRow="1" outline="0" axis="axisRow" fieldPosition="0">
        <references count="1">
          <reference field="4294967294" count="1" selected="0">
            <x v="1"/>
          </reference>
        </references>
      </pivotArea>
    </format>
    <format dxfId="2740">
      <pivotArea field="0" dataOnly="0" labelOnly="1" grandRow="1" outline="0" axis="axisRow" fieldPosition="0">
        <references count="1">
          <reference field="4294967294" count="1" selected="0">
            <x v="2"/>
          </reference>
        </references>
      </pivotArea>
    </format>
    <format dxfId="2739">
      <pivotArea field="0" dataOnly="0" labelOnly="1" grandRow="1" outline="0" axis="axisRow" fieldPosition="0">
        <references count="1">
          <reference field="4294967294" count="1" selected="0">
            <x v="3"/>
          </reference>
        </references>
      </pivotArea>
    </format>
    <format dxfId="2738">
      <pivotArea field="0" dataOnly="0" labelOnly="1" grandRow="1" outline="0" axis="axisRow" fieldPosition="0">
        <references count="1">
          <reference field="4294967294" count="1" selected="0">
            <x v="4"/>
          </reference>
        </references>
      </pivotArea>
    </format>
    <format dxfId="2737">
      <pivotArea field="0" dataOnly="0" labelOnly="1" grandRow="1" outline="0" axis="axisRow" fieldPosition="0">
        <references count="1">
          <reference field="4294967294" count="1" selected="0">
            <x v="5"/>
          </reference>
        </references>
      </pivotArea>
    </format>
    <format dxfId="2736">
      <pivotArea field="0" dataOnly="0" labelOnly="1" grandRow="1" outline="0" axis="axisRow" fieldPosition="0">
        <references count="1">
          <reference field="4294967294" count="1" selected="0">
            <x v="6"/>
          </reference>
        </references>
      </pivotArea>
    </format>
    <format dxfId="2735">
      <pivotArea field="0" dataOnly="0" labelOnly="1" grandRow="1" outline="0" axis="axisRow" fieldPosition="0">
        <references count="1">
          <reference field="4294967294" count="1" selected="0">
            <x v="7"/>
          </reference>
        </references>
      </pivotArea>
    </format>
    <format dxfId="2734">
      <pivotArea field="0" dataOnly="0" labelOnly="1" grandRow="1" outline="0" axis="axisRow" fieldPosition="0">
        <references count="1">
          <reference field="4294967294" count="1" selected="0">
            <x v="8"/>
          </reference>
        </references>
      </pivotArea>
    </format>
    <format dxfId="2733">
      <pivotArea field="0" dataOnly="0" labelOnly="1" grandRow="1" outline="0" axis="axisRow" fieldPosition="0">
        <references count="1">
          <reference field="4294967294" count="1" selected="0">
            <x v="9"/>
          </reference>
        </references>
      </pivotArea>
    </format>
    <format dxfId="2732">
      <pivotArea field="0" dataOnly="0" labelOnly="1" grandRow="1" outline="0" axis="axisRow" fieldPosition="0">
        <references count="1">
          <reference field="4294967294" count="1" selected="0">
            <x v="10"/>
          </reference>
        </references>
      </pivotArea>
    </format>
    <format dxfId="2731">
      <pivotArea field="0" dataOnly="0" labelOnly="1" grandRow="1" outline="0" axis="axisRow" fieldPosition="0">
        <references count="1">
          <reference field="4294967294" count="1" selected="0">
            <x v="11"/>
          </reference>
        </references>
      </pivotArea>
    </format>
    <format dxfId="2730">
      <pivotArea field="0" dataOnly="0" labelOnly="1" grandRow="1" outline="0" axis="axisRow" fieldPosition="0">
        <references count="1">
          <reference field="4294967294" count="1" selected="0">
            <x v="12"/>
          </reference>
        </references>
      </pivotArea>
    </format>
    <format dxfId="2729">
      <pivotArea field="0" dataOnly="0" labelOnly="1" grandRow="1" outline="0" axis="axisRow" fieldPosition="0">
        <references count="1">
          <reference field="4294967294" count="1" selected="0">
            <x v="13"/>
          </reference>
        </references>
      </pivotArea>
    </format>
    <format dxfId="2728">
      <pivotArea field="0" dataOnly="0" labelOnly="1" grandRow="1" outline="0" axis="axisRow" fieldPosition="0">
        <references count="1">
          <reference field="4294967294" count="1" selected="0">
            <x v="14"/>
          </reference>
        </references>
      </pivotArea>
    </format>
    <format dxfId="2727">
      <pivotArea field="0" dataOnly="0" labelOnly="1" grandRow="1" outline="0" axis="axisRow" fieldPosition="0">
        <references count="1">
          <reference field="4294967294" count="1" selected="0">
            <x v="15"/>
          </reference>
        </references>
      </pivotArea>
    </format>
    <format dxfId="2726">
      <pivotArea field="0" dataOnly="0" labelOnly="1" grandRow="1" outline="0" axis="axisRow" fieldPosition="0">
        <references count="1">
          <reference field="4294967294" count="1" selected="0">
            <x v="16"/>
          </reference>
        </references>
      </pivotArea>
    </format>
    <format dxfId="2725">
      <pivotArea field="0" dataOnly="0" labelOnly="1" grandRow="1" outline="0" axis="axisRow" fieldPosition="0">
        <references count="1">
          <reference field="4294967294" count="1" selected="0">
            <x v="17"/>
          </reference>
        </references>
      </pivotArea>
    </format>
    <format dxfId="2724">
      <pivotArea field="0" dataOnly="0" labelOnly="1" grandRow="1" outline="0" axis="axisRow" fieldPosition="0">
        <references count="1">
          <reference field="4294967294" count="1" selected="0">
            <x v="18"/>
          </reference>
        </references>
      </pivotArea>
    </format>
    <format dxfId="2723">
      <pivotArea field="0" dataOnly="0" labelOnly="1" grandRow="1" outline="0" axis="axisRow" fieldPosition="0">
        <references count="1">
          <reference field="4294967294" count="1" selected="0">
            <x v="19"/>
          </reference>
        </references>
      </pivotArea>
    </format>
    <format dxfId="2722">
      <pivotArea field="0" dataOnly="0" labelOnly="1" grandRow="1" outline="0" axis="axisRow" fieldPosition="0">
        <references count="1">
          <reference field="4294967294" count="1" selected="0">
            <x v="20"/>
          </reference>
        </references>
      </pivotArea>
    </format>
    <format dxfId="2721">
      <pivotArea field="0" dataOnly="0" labelOnly="1" grandRow="1" outline="0" axis="axisRow" fieldPosition="0">
        <references count="1">
          <reference field="4294967294" count="1" selected="0">
            <x v="21"/>
          </reference>
        </references>
      </pivotArea>
    </format>
    <format dxfId="2720">
      <pivotArea field="0" dataOnly="0" labelOnly="1" grandRow="1" outline="0" axis="axisRow" fieldPosition="0">
        <references count="1">
          <reference field="4294967294" count="1" selected="0">
            <x v="22"/>
          </reference>
        </references>
      </pivotArea>
    </format>
    <format dxfId="2719">
      <pivotArea field="0" dataOnly="0" labelOnly="1" grandRow="1" outline="0" axis="axisRow" fieldPosition="0">
        <references count="1">
          <reference field="4294967294" count="1" selected="0">
            <x v="23"/>
          </reference>
        </references>
      </pivotArea>
    </format>
    <format dxfId="2718">
      <pivotArea field="0" dataOnly="0" labelOnly="1" grandRow="1" outline="0" axis="axisRow" fieldPosition="0">
        <references count="1">
          <reference field="4294967294" count="1" selected="0">
            <x v="24"/>
          </reference>
        </references>
      </pivotArea>
    </format>
    <format dxfId="2717">
      <pivotArea field="0" dataOnly="0" labelOnly="1" grandRow="1" outline="0" axis="axisRow" fieldPosition="0">
        <references count="1">
          <reference field="4294967294" count="1" selected="0">
            <x v="25"/>
          </reference>
        </references>
      </pivotArea>
    </format>
    <format dxfId="2716">
      <pivotArea field="0" dataOnly="0" labelOnly="1" grandRow="1" outline="0" axis="axisRow" fieldPosition="0">
        <references count="1">
          <reference field="4294967294" count="1" selected="0">
            <x v="26"/>
          </reference>
        </references>
      </pivotArea>
    </format>
    <format dxfId="2715">
      <pivotArea field="0" dataOnly="0" labelOnly="1" grandRow="1" outline="0" axis="axisRow" fieldPosition="0">
        <references count="1">
          <reference field="4294967294" count="1" selected="0">
            <x v="27"/>
          </reference>
        </references>
      </pivotArea>
    </format>
    <format dxfId="2714">
      <pivotArea field="0" dataOnly="0" labelOnly="1" grandRow="1" outline="0" axis="axisRow" fieldPosition="0">
        <references count="1">
          <reference field="4294967294" count="1" selected="0">
            <x v="28"/>
          </reference>
        </references>
      </pivotArea>
    </format>
    <format dxfId="2713">
      <pivotArea field="0" dataOnly="0" labelOnly="1" grandRow="1" outline="0" axis="axisRow" fieldPosition="0">
        <references count="1">
          <reference field="4294967294" count="1" selected="0">
            <x v="29"/>
          </reference>
        </references>
      </pivotArea>
    </format>
    <format dxfId="2712">
      <pivotArea field="0" dataOnly="0" labelOnly="1" grandRow="1" outline="0" axis="axisRow" fieldPosition="0">
        <references count="1">
          <reference field="4294967294" count="1" selected="0">
            <x v="30"/>
          </reference>
        </references>
      </pivotArea>
    </format>
    <format dxfId="2711">
      <pivotArea field="0" dataOnly="0" labelOnly="1" grandRow="1" outline="0" axis="axisRow" fieldPosition="0">
        <references count="1">
          <reference field="4294967294" count="1" selected="0">
            <x v="31"/>
          </reference>
        </references>
      </pivotArea>
    </format>
    <format dxfId="2710">
      <pivotArea field="0" dataOnly="0" labelOnly="1" grandRow="1" outline="0" axis="axisRow" fieldPosition="0">
        <references count="1">
          <reference field="4294967294" count="1" selected="0">
            <x v="32"/>
          </reference>
        </references>
      </pivotArea>
    </format>
    <format dxfId="2709">
      <pivotArea field="0" dataOnly="0" labelOnly="1" grandRow="1" outline="0" axis="axisRow" fieldPosition="0">
        <references count="1">
          <reference field="4294967294" count="1" selected="0">
            <x v="33"/>
          </reference>
        </references>
      </pivotArea>
    </format>
    <format dxfId="2708">
      <pivotArea field="0" dataOnly="0" labelOnly="1" grandRow="1" outline="0" axis="axisRow" fieldPosition="0">
        <references count="1">
          <reference field="4294967294" count="1" selected="0">
            <x v="34"/>
          </reference>
        </references>
      </pivotArea>
    </format>
    <format dxfId="2707">
      <pivotArea field="0" dataOnly="0" labelOnly="1" grandRow="1" outline="0" axis="axisRow" fieldPosition="0">
        <references count="1">
          <reference field="4294967294" count="1" selected="0">
            <x v="35"/>
          </reference>
        </references>
      </pivotArea>
    </format>
    <format dxfId="2706">
      <pivotArea field="0" dataOnly="0" labelOnly="1" grandRow="1" outline="0" axis="axisRow" fieldPosition="0">
        <references count="1">
          <reference field="4294967294" count="1" selected="0">
            <x v="0"/>
          </reference>
        </references>
      </pivotArea>
    </format>
    <format dxfId="2705">
      <pivotArea field="0" dataOnly="0" labelOnly="1" grandRow="1" outline="0" axis="axisRow" fieldPosition="0">
        <references count="1">
          <reference field="4294967294" count="1" selected="0">
            <x v="1"/>
          </reference>
        </references>
      </pivotArea>
    </format>
    <format dxfId="2704">
      <pivotArea field="0" dataOnly="0" labelOnly="1" grandRow="1" outline="0" axis="axisRow" fieldPosition="0">
        <references count="1">
          <reference field="4294967294" count="1" selected="0">
            <x v="2"/>
          </reference>
        </references>
      </pivotArea>
    </format>
    <format dxfId="2703">
      <pivotArea field="0" dataOnly="0" labelOnly="1" grandRow="1" outline="0" axis="axisRow" fieldPosition="0">
        <references count="1">
          <reference field="4294967294" count="1" selected="0">
            <x v="3"/>
          </reference>
        </references>
      </pivotArea>
    </format>
    <format dxfId="2702">
      <pivotArea field="0" dataOnly="0" labelOnly="1" grandRow="1" outline="0" axis="axisRow" fieldPosition="0">
        <references count="1">
          <reference field="4294967294" count="1" selected="0">
            <x v="4"/>
          </reference>
        </references>
      </pivotArea>
    </format>
    <format dxfId="2701">
      <pivotArea field="0" dataOnly="0" labelOnly="1" grandRow="1" outline="0" axis="axisRow" fieldPosition="0">
        <references count="1">
          <reference field="4294967294" count="1" selected="0">
            <x v="5"/>
          </reference>
        </references>
      </pivotArea>
    </format>
    <format dxfId="2700">
      <pivotArea field="0" dataOnly="0" labelOnly="1" grandRow="1" outline="0" axis="axisRow" fieldPosition="0">
        <references count="1">
          <reference field="4294967294" count="1" selected="0">
            <x v="6"/>
          </reference>
        </references>
      </pivotArea>
    </format>
    <format dxfId="2699">
      <pivotArea field="0" dataOnly="0" labelOnly="1" grandRow="1" outline="0" axis="axisRow" fieldPosition="0">
        <references count="1">
          <reference field="4294967294" count="1" selected="0">
            <x v="7"/>
          </reference>
        </references>
      </pivotArea>
    </format>
    <format dxfId="2698">
      <pivotArea field="0" dataOnly="0" labelOnly="1" grandRow="1" outline="0" axis="axisRow" fieldPosition="0">
        <references count="1">
          <reference field="4294967294" count="1" selected="0">
            <x v="8"/>
          </reference>
        </references>
      </pivotArea>
    </format>
    <format dxfId="2697">
      <pivotArea field="0" dataOnly="0" labelOnly="1" grandRow="1" outline="0" axis="axisRow" fieldPosition="0">
        <references count="1">
          <reference field="4294967294" count="1" selected="0">
            <x v="9"/>
          </reference>
        </references>
      </pivotArea>
    </format>
    <format dxfId="2696">
      <pivotArea field="0" dataOnly="0" labelOnly="1" grandRow="1" outline="0" axis="axisRow" fieldPosition="0">
        <references count="1">
          <reference field="4294967294" count="1" selected="0">
            <x v="10"/>
          </reference>
        </references>
      </pivotArea>
    </format>
    <format dxfId="2695">
      <pivotArea field="0" dataOnly="0" labelOnly="1" grandRow="1" outline="0" axis="axisRow" fieldPosition="0">
        <references count="1">
          <reference field="4294967294" count="1" selected="0">
            <x v="11"/>
          </reference>
        </references>
      </pivotArea>
    </format>
    <format dxfId="2694">
      <pivotArea field="0" dataOnly="0" labelOnly="1" grandRow="1" outline="0" axis="axisRow" fieldPosition="0">
        <references count="1">
          <reference field="4294967294" count="1" selected="0">
            <x v="12"/>
          </reference>
        </references>
      </pivotArea>
    </format>
    <format dxfId="2693">
      <pivotArea field="0" dataOnly="0" labelOnly="1" grandRow="1" outline="0" axis="axisRow" fieldPosition="0">
        <references count="1">
          <reference field="4294967294" count="1" selected="0">
            <x v="13"/>
          </reference>
        </references>
      </pivotArea>
    </format>
    <format dxfId="2692">
      <pivotArea field="0" dataOnly="0" labelOnly="1" grandRow="1" outline="0" axis="axisRow" fieldPosition="0">
        <references count="1">
          <reference field="4294967294" count="1" selected="0">
            <x v="14"/>
          </reference>
        </references>
      </pivotArea>
    </format>
    <format dxfId="2691">
      <pivotArea field="0" dataOnly="0" labelOnly="1" grandRow="1" outline="0" axis="axisRow" fieldPosition="0">
        <references count="1">
          <reference field="4294967294" count="1" selected="0">
            <x v="15"/>
          </reference>
        </references>
      </pivotArea>
    </format>
    <format dxfId="2690">
      <pivotArea field="0" dataOnly="0" labelOnly="1" grandRow="1" outline="0" axis="axisRow" fieldPosition="0">
        <references count="1">
          <reference field="4294967294" count="1" selected="0">
            <x v="16"/>
          </reference>
        </references>
      </pivotArea>
    </format>
    <format dxfId="2689">
      <pivotArea field="0" dataOnly="0" labelOnly="1" grandRow="1" outline="0" axis="axisRow" fieldPosition="0">
        <references count="1">
          <reference field="4294967294" count="1" selected="0">
            <x v="17"/>
          </reference>
        </references>
      </pivotArea>
    </format>
    <format dxfId="2688">
      <pivotArea field="0" dataOnly="0" labelOnly="1" grandRow="1" outline="0" axis="axisRow" fieldPosition="0">
        <references count="1">
          <reference field="4294967294" count="1" selected="0">
            <x v="18"/>
          </reference>
        </references>
      </pivotArea>
    </format>
    <format dxfId="2687">
      <pivotArea field="0" dataOnly="0" labelOnly="1" grandRow="1" outline="0" axis="axisRow" fieldPosition="0">
        <references count="1">
          <reference field="4294967294" count="1" selected="0">
            <x v="19"/>
          </reference>
        </references>
      </pivotArea>
    </format>
    <format dxfId="2686">
      <pivotArea field="0" dataOnly="0" labelOnly="1" grandRow="1" outline="0" axis="axisRow" fieldPosition="0">
        <references count="1">
          <reference field="4294967294" count="1" selected="0">
            <x v="20"/>
          </reference>
        </references>
      </pivotArea>
    </format>
    <format dxfId="2685">
      <pivotArea field="0" dataOnly="0" labelOnly="1" grandRow="1" outline="0" axis="axisRow" fieldPosition="0">
        <references count="1">
          <reference field="4294967294" count="1" selected="0">
            <x v="21"/>
          </reference>
        </references>
      </pivotArea>
    </format>
    <format dxfId="2684">
      <pivotArea field="0" dataOnly="0" labelOnly="1" grandRow="1" outline="0" axis="axisRow" fieldPosition="0">
        <references count="1">
          <reference field="4294967294" count="1" selected="0">
            <x v="22"/>
          </reference>
        </references>
      </pivotArea>
    </format>
    <format dxfId="2683">
      <pivotArea field="0" dataOnly="0" labelOnly="1" grandRow="1" outline="0" axis="axisRow" fieldPosition="0">
        <references count="1">
          <reference field="4294967294" count="1" selected="0">
            <x v="23"/>
          </reference>
        </references>
      </pivotArea>
    </format>
    <format dxfId="2682">
      <pivotArea field="0" dataOnly="0" labelOnly="1" grandRow="1" outline="0" axis="axisRow" fieldPosition="0">
        <references count="1">
          <reference field="4294967294" count="1" selected="0">
            <x v="24"/>
          </reference>
        </references>
      </pivotArea>
    </format>
    <format dxfId="2681">
      <pivotArea field="0" dataOnly="0" labelOnly="1" grandRow="1" outline="0" axis="axisRow" fieldPosition="0">
        <references count="1">
          <reference field="4294967294" count="1" selected="0">
            <x v="25"/>
          </reference>
        </references>
      </pivotArea>
    </format>
    <format dxfId="2680">
      <pivotArea field="0" dataOnly="0" labelOnly="1" grandRow="1" outline="0" axis="axisRow" fieldPosition="0">
        <references count="1">
          <reference field="4294967294" count="1" selected="0">
            <x v="26"/>
          </reference>
        </references>
      </pivotArea>
    </format>
    <format dxfId="2679">
      <pivotArea field="0" dataOnly="0" labelOnly="1" grandRow="1" outline="0" axis="axisRow" fieldPosition="0">
        <references count="1">
          <reference field="4294967294" count="1" selected="0">
            <x v="27"/>
          </reference>
        </references>
      </pivotArea>
    </format>
    <format dxfId="2678">
      <pivotArea field="0" dataOnly="0" labelOnly="1" grandRow="1" outline="0" axis="axisRow" fieldPosition="0">
        <references count="1">
          <reference field="4294967294" count="1" selected="0">
            <x v="28"/>
          </reference>
        </references>
      </pivotArea>
    </format>
    <format dxfId="2677">
      <pivotArea field="0" dataOnly="0" labelOnly="1" grandRow="1" outline="0" axis="axisRow" fieldPosition="0">
        <references count="1">
          <reference field="4294967294" count="1" selected="0">
            <x v="29"/>
          </reference>
        </references>
      </pivotArea>
    </format>
    <format dxfId="2676">
      <pivotArea field="0" dataOnly="0" labelOnly="1" grandRow="1" outline="0" axis="axisRow" fieldPosition="0">
        <references count="1">
          <reference field="4294967294" count="1" selected="0">
            <x v="30"/>
          </reference>
        </references>
      </pivotArea>
    </format>
    <format dxfId="2675">
      <pivotArea field="0" dataOnly="0" labelOnly="1" grandRow="1" outline="0" axis="axisRow" fieldPosition="0">
        <references count="1">
          <reference field="4294967294" count="1" selected="0">
            <x v="31"/>
          </reference>
        </references>
      </pivotArea>
    </format>
    <format dxfId="2674">
      <pivotArea field="0" dataOnly="0" labelOnly="1" grandRow="1" outline="0" axis="axisRow" fieldPosition="0">
        <references count="1">
          <reference field="4294967294" count="1" selected="0">
            <x v="32"/>
          </reference>
        </references>
      </pivotArea>
    </format>
    <format dxfId="2673">
      <pivotArea field="0" dataOnly="0" labelOnly="1" grandRow="1" outline="0" axis="axisRow" fieldPosition="0">
        <references count="1">
          <reference field="4294967294" count="1" selected="0">
            <x v="33"/>
          </reference>
        </references>
      </pivotArea>
    </format>
    <format dxfId="2672">
      <pivotArea field="0" dataOnly="0" labelOnly="1" grandRow="1" outline="0" axis="axisRow" fieldPosition="0">
        <references count="1">
          <reference field="4294967294" count="1" selected="0">
            <x v="34"/>
          </reference>
        </references>
      </pivotArea>
    </format>
    <format dxfId="2671">
      <pivotArea field="0" dataOnly="0" labelOnly="1" grandRow="1" outline="0" axis="axisRow" fieldPosition="0">
        <references count="1">
          <reference field="4294967294" count="1" selected="0">
            <x v="35"/>
          </reference>
        </references>
      </pivotArea>
    </format>
    <format dxfId="2670">
      <pivotArea field="0" dataOnly="0" labelOnly="1" grandRow="1" outline="0" axis="axisRow" fieldPosition="0">
        <references count="1">
          <reference field="4294967294" count="1" selected="0">
            <x v="0"/>
          </reference>
        </references>
      </pivotArea>
    </format>
    <format dxfId="2669">
      <pivotArea field="0" dataOnly="0" labelOnly="1" grandRow="1" outline="0" axis="axisRow" fieldPosition="0">
        <references count="1">
          <reference field="4294967294" count="1" selected="0">
            <x v="1"/>
          </reference>
        </references>
      </pivotArea>
    </format>
    <format dxfId="2668">
      <pivotArea field="0" dataOnly="0" labelOnly="1" grandRow="1" outline="0" axis="axisRow" fieldPosition="0">
        <references count="1">
          <reference field="4294967294" count="1" selected="0">
            <x v="2"/>
          </reference>
        </references>
      </pivotArea>
    </format>
    <format dxfId="2667">
      <pivotArea field="0" dataOnly="0" labelOnly="1" grandRow="1" outline="0" axis="axisRow" fieldPosition="0">
        <references count="1">
          <reference field="4294967294" count="1" selected="0">
            <x v="3"/>
          </reference>
        </references>
      </pivotArea>
    </format>
    <format dxfId="2666">
      <pivotArea field="0" dataOnly="0" labelOnly="1" grandRow="1" outline="0" axis="axisRow" fieldPosition="0">
        <references count="1">
          <reference field="4294967294" count="1" selected="0">
            <x v="4"/>
          </reference>
        </references>
      </pivotArea>
    </format>
    <format dxfId="2665">
      <pivotArea field="0" dataOnly="0" labelOnly="1" grandRow="1" outline="0" axis="axisRow" fieldPosition="0">
        <references count="1">
          <reference field="4294967294" count="1" selected="0">
            <x v="5"/>
          </reference>
        </references>
      </pivotArea>
    </format>
    <format dxfId="2664">
      <pivotArea field="0" dataOnly="0" labelOnly="1" grandRow="1" outline="0" axis="axisRow" fieldPosition="0">
        <references count="1">
          <reference field="4294967294" count="1" selected="0">
            <x v="6"/>
          </reference>
        </references>
      </pivotArea>
    </format>
    <format dxfId="2663">
      <pivotArea field="0" dataOnly="0" labelOnly="1" grandRow="1" outline="0" axis="axisRow" fieldPosition="0">
        <references count="1">
          <reference field="4294967294" count="1" selected="0">
            <x v="7"/>
          </reference>
        </references>
      </pivotArea>
    </format>
    <format dxfId="2662">
      <pivotArea field="0" dataOnly="0" labelOnly="1" grandRow="1" outline="0" axis="axisRow" fieldPosition="0">
        <references count="1">
          <reference field="4294967294" count="1" selected="0">
            <x v="8"/>
          </reference>
        </references>
      </pivotArea>
    </format>
    <format dxfId="2661">
      <pivotArea field="0" dataOnly="0" labelOnly="1" grandRow="1" outline="0" axis="axisRow" fieldPosition="0">
        <references count="1">
          <reference field="4294967294" count="1" selected="0">
            <x v="9"/>
          </reference>
        </references>
      </pivotArea>
    </format>
    <format dxfId="2660">
      <pivotArea field="0" dataOnly="0" labelOnly="1" grandRow="1" outline="0" axis="axisRow" fieldPosition="0">
        <references count="1">
          <reference field="4294967294" count="1" selected="0">
            <x v="10"/>
          </reference>
        </references>
      </pivotArea>
    </format>
    <format dxfId="2659">
      <pivotArea field="0" dataOnly="0" labelOnly="1" grandRow="1" outline="0" axis="axisRow" fieldPosition="0">
        <references count="1">
          <reference field="4294967294" count="1" selected="0">
            <x v="11"/>
          </reference>
        </references>
      </pivotArea>
    </format>
    <format dxfId="2658">
      <pivotArea field="0" dataOnly="0" labelOnly="1" grandRow="1" outline="0" axis="axisRow" fieldPosition="0">
        <references count="1">
          <reference field="4294967294" count="1" selected="0">
            <x v="12"/>
          </reference>
        </references>
      </pivotArea>
    </format>
    <format dxfId="2657">
      <pivotArea field="0" dataOnly="0" labelOnly="1" grandRow="1" outline="0" axis="axisRow" fieldPosition="0">
        <references count="1">
          <reference field="4294967294" count="1" selected="0">
            <x v="13"/>
          </reference>
        </references>
      </pivotArea>
    </format>
    <format dxfId="2656">
      <pivotArea field="0" dataOnly="0" labelOnly="1" grandRow="1" outline="0" axis="axisRow" fieldPosition="0">
        <references count="1">
          <reference field="4294967294" count="1" selected="0">
            <x v="14"/>
          </reference>
        </references>
      </pivotArea>
    </format>
    <format dxfId="2655">
      <pivotArea field="0" dataOnly="0" labelOnly="1" grandRow="1" outline="0" axis="axisRow" fieldPosition="0">
        <references count="1">
          <reference field="4294967294" count="1" selected="0">
            <x v="15"/>
          </reference>
        </references>
      </pivotArea>
    </format>
    <format dxfId="2654">
      <pivotArea field="0" dataOnly="0" labelOnly="1" grandRow="1" outline="0" axis="axisRow" fieldPosition="0">
        <references count="1">
          <reference field="4294967294" count="1" selected="0">
            <x v="16"/>
          </reference>
        </references>
      </pivotArea>
    </format>
    <format dxfId="2653">
      <pivotArea field="0" dataOnly="0" labelOnly="1" grandRow="1" outline="0" axis="axisRow" fieldPosition="0">
        <references count="1">
          <reference field="4294967294" count="1" selected="0">
            <x v="17"/>
          </reference>
        </references>
      </pivotArea>
    </format>
    <format dxfId="2652">
      <pivotArea field="0" dataOnly="0" labelOnly="1" grandRow="1" outline="0" axis="axisRow" fieldPosition="0">
        <references count="1">
          <reference field="4294967294" count="1" selected="0">
            <x v="18"/>
          </reference>
        </references>
      </pivotArea>
    </format>
    <format dxfId="2651">
      <pivotArea field="0" dataOnly="0" labelOnly="1" grandRow="1" outline="0" axis="axisRow" fieldPosition="0">
        <references count="1">
          <reference field="4294967294" count="1" selected="0">
            <x v="19"/>
          </reference>
        </references>
      </pivotArea>
    </format>
    <format dxfId="2650">
      <pivotArea field="0" dataOnly="0" labelOnly="1" grandRow="1" outline="0" axis="axisRow" fieldPosition="0">
        <references count="1">
          <reference field="4294967294" count="1" selected="0">
            <x v="20"/>
          </reference>
        </references>
      </pivotArea>
    </format>
    <format dxfId="2649">
      <pivotArea field="0" dataOnly="0" labelOnly="1" grandRow="1" outline="0" axis="axisRow" fieldPosition="0">
        <references count="1">
          <reference field="4294967294" count="1" selected="0">
            <x v="21"/>
          </reference>
        </references>
      </pivotArea>
    </format>
    <format dxfId="2648">
      <pivotArea field="0" dataOnly="0" labelOnly="1" grandRow="1" outline="0" axis="axisRow" fieldPosition="0">
        <references count="1">
          <reference field="4294967294" count="1" selected="0">
            <x v="22"/>
          </reference>
        </references>
      </pivotArea>
    </format>
    <format dxfId="2647">
      <pivotArea field="0" dataOnly="0" labelOnly="1" grandRow="1" outline="0" axis="axisRow" fieldPosition="0">
        <references count="1">
          <reference field="4294967294" count="1" selected="0">
            <x v="23"/>
          </reference>
        </references>
      </pivotArea>
    </format>
    <format dxfId="2646">
      <pivotArea field="0" dataOnly="0" labelOnly="1" grandRow="1" outline="0" axis="axisRow" fieldPosition="0">
        <references count="1">
          <reference field="4294967294" count="1" selected="0">
            <x v="24"/>
          </reference>
        </references>
      </pivotArea>
    </format>
    <format dxfId="2645">
      <pivotArea field="0" dataOnly="0" labelOnly="1" grandRow="1" outline="0" axis="axisRow" fieldPosition="0">
        <references count="1">
          <reference field="4294967294" count="1" selected="0">
            <x v="25"/>
          </reference>
        </references>
      </pivotArea>
    </format>
    <format dxfId="2644">
      <pivotArea field="0" dataOnly="0" labelOnly="1" grandRow="1" outline="0" axis="axisRow" fieldPosition="0">
        <references count="1">
          <reference field="4294967294" count="1" selected="0">
            <x v="26"/>
          </reference>
        </references>
      </pivotArea>
    </format>
    <format dxfId="2643">
      <pivotArea field="0" dataOnly="0" labelOnly="1" grandRow="1" outline="0" axis="axisRow" fieldPosition="0">
        <references count="1">
          <reference field="4294967294" count="1" selected="0">
            <x v="27"/>
          </reference>
        </references>
      </pivotArea>
    </format>
    <format dxfId="2642">
      <pivotArea field="0" dataOnly="0" labelOnly="1" grandRow="1" outline="0" axis="axisRow" fieldPosition="0">
        <references count="1">
          <reference field="4294967294" count="1" selected="0">
            <x v="28"/>
          </reference>
        </references>
      </pivotArea>
    </format>
    <format dxfId="2641">
      <pivotArea field="0" dataOnly="0" labelOnly="1" grandRow="1" outline="0" axis="axisRow" fieldPosition="0">
        <references count="1">
          <reference field="4294967294" count="1" selected="0">
            <x v="29"/>
          </reference>
        </references>
      </pivotArea>
    </format>
    <format dxfId="2640">
      <pivotArea field="0" dataOnly="0" labelOnly="1" grandRow="1" outline="0" axis="axisRow" fieldPosition="0">
        <references count="1">
          <reference field="4294967294" count="1" selected="0">
            <x v="30"/>
          </reference>
        </references>
      </pivotArea>
    </format>
    <format dxfId="2639">
      <pivotArea field="0" dataOnly="0" labelOnly="1" grandRow="1" outline="0" axis="axisRow" fieldPosition="0">
        <references count="1">
          <reference field="4294967294" count="1" selected="0">
            <x v="31"/>
          </reference>
        </references>
      </pivotArea>
    </format>
    <format dxfId="2638">
      <pivotArea field="0" dataOnly="0" labelOnly="1" grandRow="1" outline="0" axis="axisRow" fieldPosition="0">
        <references count="1">
          <reference field="4294967294" count="1" selected="0">
            <x v="32"/>
          </reference>
        </references>
      </pivotArea>
    </format>
    <format dxfId="2637">
      <pivotArea field="0" dataOnly="0" labelOnly="1" grandRow="1" outline="0" axis="axisRow" fieldPosition="0">
        <references count="1">
          <reference field="4294967294" count="1" selected="0">
            <x v="33"/>
          </reference>
        </references>
      </pivotArea>
    </format>
    <format dxfId="2636">
      <pivotArea field="0" dataOnly="0" labelOnly="1" grandRow="1" outline="0" axis="axisRow" fieldPosition="0">
        <references count="1">
          <reference field="4294967294" count="1" selected="0">
            <x v="34"/>
          </reference>
        </references>
      </pivotArea>
    </format>
    <format dxfId="2635">
      <pivotArea field="0" dataOnly="0" labelOnly="1" grandRow="1" outline="0" axis="axisRow" fieldPosition="0">
        <references count="1">
          <reference field="4294967294" count="1" selected="0">
            <x v="35"/>
          </reference>
        </references>
      </pivotArea>
    </format>
    <format dxfId="2634">
      <pivotArea field="0" dataOnly="0" labelOnly="1" grandRow="1" outline="0" axis="axisRow" fieldPosition="0">
        <references count="1">
          <reference field="4294967294" count="1" selected="0">
            <x v="0"/>
          </reference>
        </references>
      </pivotArea>
    </format>
    <format dxfId="2633">
      <pivotArea field="0" dataOnly="0" labelOnly="1" grandRow="1" outline="0" axis="axisRow" fieldPosition="0">
        <references count="1">
          <reference field="4294967294" count="1" selected="0">
            <x v="1"/>
          </reference>
        </references>
      </pivotArea>
    </format>
    <format dxfId="2632">
      <pivotArea field="0" dataOnly="0" labelOnly="1" grandRow="1" outline="0" axis="axisRow" fieldPosition="0">
        <references count="1">
          <reference field="4294967294" count="1" selected="0">
            <x v="2"/>
          </reference>
        </references>
      </pivotArea>
    </format>
    <format dxfId="2631">
      <pivotArea field="0" dataOnly="0" labelOnly="1" grandRow="1" outline="0" axis="axisRow" fieldPosition="0">
        <references count="1">
          <reference field="4294967294" count="1" selected="0">
            <x v="3"/>
          </reference>
        </references>
      </pivotArea>
    </format>
    <format dxfId="2630">
      <pivotArea field="0" dataOnly="0" labelOnly="1" grandRow="1" outline="0" axis="axisRow" fieldPosition="0">
        <references count="1">
          <reference field="4294967294" count="1" selected="0">
            <x v="4"/>
          </reference>
        </references>
      </pivotArea>
    </format>
    <format dxfId="2629">
      <pivotArea field="0" dataOnly="0" labelOnly="1" grandRow="1" outline="0" axis="axisRow" fieldPosition="0">
        <references count="1">
          <reference field="4294967294" count="1" selected="0">
            <x v="5"/>
          </reference>
        </references>
      </pivotArea>
    </format>
    <format dxfId="2628">
      <pivotArea field="0" dataOnly="0" labelOnly="1" grandRow="1" outline="0" axis="axisRow" fieldPosition="0">
        <references count="1">
          <reference field="4294967294" count="1" selected="0">
            <x v="6"/>
          </reference>
        </references>
      </pivotArea>
    </format>
    <format dxfId="2627">
      <pivotArea field="0" dataOnly="0" labelOnly="1" grandRow="1" outline="0" axis="axisRow" fieldPosition="0">
        <references count="1">
          <reference field="4294967294" count="1" selected="0">
            <x v="7"/>
          </reference>
        </references>
      </pivotArea>
    </format>
    <format dxfId="2626">
      <pivotArea field="0" dataOnly="0" labelOnly="1" grandRow="1" outline="0" axis="axisRow" fieldPosition="0">
        <references count="1">
          <reference field="4294967294" count="1" selected="0">
            <x v="8"/>
          </reference>
        </references>
      </pivotArea>
    </format>
    <format dxfId="2625">
      <pivotArea field="0" dataOnly="0" labelOnly="1" grandRow="1" outline="0" axis="axisRow" fieldPosition="0">
        <references count="1">
          <reference field="4294967294" count="1" selected="0">
            <x v="9"/>
          </reference>
        </references>
      </pivotArea>
    </format>
    <format dxfId="2624">
      <pivotArea field="0" dataOnly="0" labelOnly="1" grandRow="1" outline="0" axis="axisRow" fieldPosition="0">
        <references count="1">
          <reference field="4294967294" count="1" selected="0">
            <x v="10"/>
          </reference>
        </references>
      </pivotArea>
    </format>
    <format dxfId="2623">
      <pivotArea field="0" dataOnly="0" labelOnly="1" grandRow="1" outline="0" axis="axisRow" fieldPosition="0">
        <references count="1">
          <reference field="4294967294" count="1" selected="0">
            <x v="11"/>
          </reference>
        </references>
      </pivotArea>
    </format>
    <format dxfId="2622">
      <pivotArea field="0" dataOnly="0" labelOnly="1" grandRow="1" outline="0" axis="axisRow" fieldPosition="0">
        <references count="1">
          <reference field="4294967294" count="1" selected="0">
            <x v="12"/>
          </reference>
        </references>
      </pivotArea>
    </format>
    <format dxfId="2621">
      <pivotArea field="0" dataOnly="0" labelOnly="1" grandRow="1" outline="0" axis="axisRow" fieldPosition="0">
        <references count="1">
          <reference field="4294967294" count="1" selected="0">
            <x v="13"/>
          </reference>
        </references>
      </pivotArea>
    </format>
    <format dxfId="2620">
      <pivotArea field="0" dataOnly="0" labelOnly="1" grandRow="1" outline="0" axis="axisRow" fieldPosition="0">
        <references count="1">
          <reference field="4294967294" count="1" selected="0">
            <x v="14"/>
          </reference>
        </references>
      </pivotArea>
    </format>
    <format dxfId="2619">
      <pivotArea field="0" dataOnly="0" labelOnly="1" grandRow="1" outline="0" axis="axisRow" fieldPosition="0">
        <references count="1">
          <reference field="4294967294" count="1" selected="0">
            <x v="15"/>
          </reference>
        </references>
      </pivotArea>
    </format>
    <format dxfId="2618">
      <pivotArea field="0" dataOnly="0" labelOnly="1" grandRow="1" outline="0" axis="axisRow" fieldPosition="0">
        <references count="1">
          <reference field="4294967294" count="1" selected="0">
            <x v="16"/>
          </reference>
        </references>
      </pivotArea>
    </format>
    <format dxfId="2617">
      <pivotArea field="0" dataOnly="0" labelOnly="1" grandRow="1" outline="0" axis="axisRow" fieldPosition="0">
        <references count="1">
          <reference field="4294967294" count="1" selected="0">
            <x v="17"/>
          </reference>
        </references>
      </pivotArea>
    </format>
    <format dxfId="2616">
      <pivotArea field="0" dataOnly="0" labelOnly="1" grandRow="1" outline="0" axis="axisRow" fieldPosition="0">
        <references count="1">
          <reference field="4294967294" count="1" selected="0">
            <x v="18"/>
          </reference>
        </references>
      </pivotArea>
    </format>
    <format dxfId="2615">
      <pivotArea field="0" dataOnly="0" labelOnly="1" grandRow="1" outline="0" axis="axisRow" fieldPosition="0">
        <references count="1">
          <reference field="4294967294" count="1" selected="0">
            <x v="19"/>
          </reference>
        </references>
      </pivotArea>
    </format>
    <format dxfId="2614">
      <pivotArea field="0" dataOnly="0" labelOnly="1" grandRow="1" outline="0" axis="axisRow" fieldPosition="0">
        <references count="1">
          <reference field="4294967294" count="1" selected="0">
            <x v="20"/>
          </reference>
        </references>
      </pivotArea>
    </format>
    <format dxfId="2613">
      <pivotArea field="0" dataOnly="0" labelOnly="1" grandRow="1" outline="0" axis="axisRow" fieldPosition="0">
        <references count="1">
          <reference field="4294967294" count="1" selected="0">
            <x v="21"/>
          </reference>
        </references>
      </pivotArea>
    </format>
    <format dxfId="2612">
      <pivotArea field="0" dataOnly="0" labelOnly="1" grandRow="1" outline="0" axis="axisRow" fieldPosition="0">
        <references count="1">
          <reference field="4294967294" count="1" selected="0">
            <x v="22"/>
          </reference>
        </references>
      </pivotArea>
    </format>
    <format dxfId="2611">
      <pivotArea field="0" dataOnly="0" labelOnly="1" grandRow="1" outline="0" axis="axisRow" fieldPosition="0">
        <references count="1">
          <reference field="4294967294" count="1" selected="0">
            <x v="23"/>
          </reference>
        </references>
      </pivotArea>
    </format>
    <format dxfId="2610">
      <pivotArea field="0" dataOnly="0" labelOnly="1" grandRow="1" outline="0" axis="axisRow" fieldPosition="0">
        <references count="1">
          <reference field="4294967294" count="1" selected="0">
            <x v="24"/>
          </reference>
        </references>
      </pivotArea>
    </format>
    <format dxfId="2609">
      <pivotArea field="0" dataOnly="0" labelOnly="1" grandRow="1" outline="0" axis="axisRow" fieldPosition="0">
        <references count="1">
          <reference field="4294967294" count="1" selected="0">
            <x v="25"/>
          </reference>
        </references>
      </pivotArea>
    </format>
    <format dxfId="2608">
      <pivotArea field="0" dataOnly="0" labelOnly="1" grandRow="1" outline="0" axis="axisRow" fieldPosition="0">
        <references count="1">
          <reference field="4294967294" count="1" selected="0">
            <x v="26"/>
          </reference>
        </references>
      </pivotArea>
    </format>
    <format dxfId="2607">
      <pivotArea field="0" dataOnly="0" labelOnly="1" grandRow="1" outline="0" axis="axisRow" fieldPosition="0">
        <references count="1">
          <reference field="4294967294" count="1" selected="0">
            <x v="27"/>
          </reference>
        </references>
      </pivotArea>
    </format>
    <format dxfId="2606">
      <pivotArea field="0" dataOnly="0" labelOnly="1" grandRow="1" outline="0" axis="axisRow" fieldPosition="0">
        <references count="1">
          <reference field="4294967294" count="1" selected="0">
            <x v="28"/>
          </reference>
        </references>
      </pivotArea>
    </format>
    <format dxfId="2605">
      <pivotArea field="0" dataOnly="0" labelOnly="1" grandRow="1" outline="0" axis="axisRow" fieldPosition="0">
        <references count="1">
          <reference field="4294967294" count="1" selected="0">
            <x v="29"/>
          </reference>
        </references>
      </pivotArea>
    </format>
    <format dxfId="2604">
      <pivotArea field="0" dataOnly="0" labelOnly="1" grandRow="1" outline="0" axis="axisRow" fieldPosition="0">
        <references count="1">
          <reference field="4294967294" count="1" selected="0">
            <x v="30"/>
          </reference>
        </references>
      </pivotArea>
    </format>
    <format dxfId="2603">
      <pivotArea field="0" dataOnly="0" labelOnly="1" grandRow="1" outline="0" axis="axisRow" fieldPosition="0">
        <references count="1">
          <reference field="4294967294" count="1" selected="0">
            <x v="31"/>
          </reference>
        </references>
      </pivotArea>
    </format>
    <format dxfId="2602">
      <pivotArea field="0" dataOnly="0" labelOnly="1" grandRow="1" outline="0" axis="axisRow" fieldPosition="0">
        <references count="1">
          <reference field="4294967294" count="1" selected="0">
            <x v="32"/>
          </reference>
        </references>
      </pivotArea>
    </format>
    <format dxfId="2601">
      <pivotArea field="0" dataOnly="0" labelOnly="1" grandRow="1" outline="0" axis="axisRow" fieldPosition="0">
        <references count="1">
          <reference field="4294967294" count="1" selected="0">
            <x v="33"/>
          </reference>
        </references>
      </pivotArea>
    </format>
    <format dxfId="2600">
      <pivotArea field="0" dataOnly="0" labelOnly="1" grandRow="1" outline="0" axis="axisRow" fieldPosition="0">
        <references count="1">
          <reference field="4294967294" count="1" selected="0">
            <x v="34"/>
          </reference>
        </references>
      </pivotArea>
    </format>
    <format dxfId="2599">
      <pivotArea field="0" dataOnly="0" labelOnly="1" grandRow="1" outline="0" axis="axisRow" fieldPosition="0">
        <references count="1">
          <reference field="4294967294" count="1" selected="0">
            <x v="35"/>
          </reference>
        </references>
      </pivotArea>
    </format>
    <format dxfId="2598">
      <pivotArea field="0" dataOnly="0" labelOnly="1" grandRow="1" outline="0" axis="axisRow" fieldPosition="0">
        <references count="1">
          <reference field="4294967294" count="1" selected="0">
            <x v="0"/>
          </reference>
        </references>
      </pivotArea>
    </format>
    <format dxfId="2597">
      <pivotArea field="0" dataOnly="0" labelOnly="1" grandRow="1" outline="0" axis="axisRow" fieldPosition="0">
        <references count="1">
          <reference field="4294967294" count="1" selected="0">
            <x v="1"/>
          </reference>
        </references>
      </pivotArea>
    </format>
    <format dxfId="2596">
      <pivotArea field="0" dataOnly="0" labelOnly="1" grandRow="1" outline="0" axis="axisRow" fieldPosition="0">
        <references count="1">
          <reference field="4294967294" count="1" selected="0">
            <x v="2"/>
          </reference>
        </references>
      </pivotArea>
    </format>
    <format dxfId="2595">
      <pivotArea field="0" dataOnly="0" labelOnly="1" grandRow="1" outline="0" axis="axisRow" fieldPosition="0">
        <references count="1">
          <reference field="4294967294" count="1" selected="0">
            <x v="3"/>
          </reference>
        </references>
      </pivotArea>
    </format>
    <format dxfId="2594">
      <pivotArea field="0" dataOnly="0" labelOnly="1" grandRow="1" outline="0" axis="axisRow" fieldPosition="0">
        <references count="1">
          <reference field="4294967294" count="1" selected="0">
            <x v="4"/>
          </reference>
        </references>
      </pivotArea>
    </format>
    <format dxfId="2593">
      <pivotArea field="0" dataOnly="0" labelOnly="1" grandRow="1" outline="0" axis="axisRow" fieldPosition="0">
        <references count="1">
          <reference field="4294967294" count="1" selected="0">
            <x v="5"/>
          </reference>
        </references>
      </pivotArea>
    </format>
    <format dxfId="2592">
      <pivotArea field="0" dataOnly="0" labelOnly="1" grandRow="1" outline="0" axis="axisRow" fieldPosition="0">
        <references count="1">
          <reference field="4294967294" count="1" selected="0">
            <x v="6"/>
          </reference>
        </references>
      </pivotArea>
    </format>
    <format dxfId="2591">
      <pivotArea field="0" dataOnly="0" labelOnly="1" grandRow="1" outline="0" axis="axisRow" fieldPosition="0">
        <references count="1">
          <reference field="4294967294" count="1" selected="0">
            <x v="7"/>
          </reference>
        </references>
      </pivotArea>
    </format>
    <format dxfId="2590">
      <pivotArea field="0" dataOnly="0" labelOnly="1" grandRow="1" outline="0" axis="axisRow" fieldPosition="0">
        <references count="1">
          <reference field="4294967294" count="1" selected="0">
            <x v="8"/>
          </reference>
        </references>
      </pivotArea>
    </format>
    <format dxfId="2589">
      <pivotArea field="0" dataOnly="0" labelOnly="1" grandRow="1" outline="0" axis="axisRow" fieldPosition="0">
        <references count="1">
          <reference field="4294967294" count="1" selected="0">
            <x v="9"/>
          </reference>
        </references>
      </pivotArea>
    </format>
    <format dxfId="2588">
      <pivotArea field="0" dataOnly="0" labelOnly="1" grandRow="1" outline="0" axis="axisRow" fieldPosition="0">
        <references count="1">
          <reference field="4294967294" count="1" selected="0">
            <x v="10"/>
          </reference>
        </references>
      </pivotArea>
    </format>
    <format dxfId="2587">
      <pivotArea field="0" dataOnly="0" labelOnly="1" grandRow="1" outline="0" axis="axisRow" fieldPosition="0">
        <references count="1">
          <reference field="4294967294" count="1" selected="0">
            <x v="11"/>
          </reference>
        </references>
      </pivotArea>
    </format>
    <format dxfId="2586">
      <pivotArea field="0" dataOnly="0" labelOnly="1" grandRow="1" outline="0" axis="axisRow" fieldPosition="0">
        <references count="1">
          <reference field="4294967294" count="1" selected="0">
            <x v="12"/>
          </reference>
        </references>
      </pivotArea>
    </format>
    <format dxfId="2585">
      <pivotArea field="0" dataOnly="0" labelOnly="1" grandRow="1" outline="0" axis="axisRow" fieldPosition="0">
        <references count="1">
          <reference field="4294967294" count="1" selected="0">
            <x v="13"/>
          </reference>
        </references>
      </pivotArea>
    </format>
    <format dxfId="2584">
      <pivotArea field="0" dataOnly="0" labelOnly="1" grandRow="1" outline="0" axis="axisRow" fieldPosition="0">
        <references count="1">
          <reference field="4294967294" count="1" selected="0">
            <x v="14"/>
          </reference>
        </references>
      </pivotArea>
    </format>
    <format dxfId="2583">
      <pivotArea field="0" dataOnly="0" labelOnly="1" grandRow="1" outline="0" axis="axisRow" fieldPosition="0">
        <references count="1">
          <reference field="4294967294" count="1" selected="0">
            <x v="15"/>
          </reference>
        </references>
      </pivotArea>
    </format>
    <format dxfId="2582">
      <pivotArea field="0" dataOnly="0" labelOnly="1" grandRow="1" outline="0" axis="axisRow" fieldPosition="0">
        <references count="1">
          <reference field="4294967294" count="1" selected="0">
            <x v="16"/>
          </reference>
        </references>
      </pivotArea>
    </format>
    <format dxfId="2581">
      <pivotArea field="0" dataOnly="0" labelOnly="1" grandRow="1" outline="0" axis="axisRow" fieldPosition="0">
        <references count="1">
          <reference field="4294967294" count="1" selected="0">
            <x v="17"/>
          </reference>
        </references>
      </pivotArea>
    </format>
    <format dxfId="2580">
      <pivotArea field="0" dataOnly="0" labelOnly="1" grandRow="1" outline="0" axis="axisRow" fieldPosition="0">
        <references count="1">
          <reference field="4294967294" count="1" selected="0">
            <x v="18"/>
          </reference>
        </references>
      </pivotArea>
    </format>
    <format dxfId="2579">
      <pivotArea field="0" dataOnly="0" labelOnly="1" grandRow="1" outline="0" axis="axisRow" fieldPosition="0">
        <references count="1">
          <reference field="4294967294" count="1" selected="0">
            <x v="19"/>
          </reference>
        </references>
      </pivotArea>
    </format>
    <format dxfId="2578">
      <pivotArea field="0" dataOnly="0" labelOnly="1" grandRow="1" outline="0" axis="axisRow" fieldPosition="0">
        <references count="1">
          <reference field="4294967294" count="1" selected="0">
            <x v="20"/>
          </reference>
        </references>
      </pivotArea>
    </format>
    <format dxfId="2577">
      <pivotArea field="0" dataOnly="0" labelOnly="1" grandRow="1" outline="0" axis="axisRow" fieldPosition="0">
        <references count="1">
          <reference field="4294967294" count="1" selected="0">
            <x v="21"/>
          </reference>
        </references>
      </pivotArea>
    </format>
    <format dxfId="2576">
      <pivotArea field="0" dataOnly="0" labelOnly="1" grandRow="1" outline="0" axis="axisRow" fieldPosition="0">
        <references count="1">
          <reference field="4294967294" count="1" selected="0">
            <x v="22"/>
          </reference>
        </references>
      </pivotArea>
    </format>
    <format dxfId="2575">
      <pivotArea field="0" dataOnly="0" labelOnly="1" grandRow="1" outline="0" axis="axisRow" fieldPosition="0">
        <references count="1">
          <reference field="4294967294" count="1" selected="0">
            <x v="23"/>
          </reference>
        </references>
      </pivotArea>
    </format>
    <format dxfId="2574">
      <pivotArea field="0" dataOnly="0" labelOnly="1" grandRow="1" outline="0" axis="axisRow" fieldPosition="0">
        <references count="1">
          <reference field="4294967294" count="1" selected="0">
            <x v="24"/>
          </reference>
        </references>
      </pivotArea>
    </format>
    <format dxfId="2573">
      <pivotArea field="0" dataOnly="0" labelOnly="1" grandRow="1" outline="0" axis="axisRow" fieldPosition="0">
        <references count="1">
          <reference field="4294967294" count="1" selected="0">
            <x v="25"/>
          </reference>
        </references>
      </pivotArea>
    </format>
    <format dxfId="2572">
      <pivotArea field="0" dataOnly="0" labelOnly="1" grandRow="1" outline="0" axis="axisRow" fieldPosition="0">
        <references count="1">
          <reference field="4294967294" count="1" selected="0">
            <x v="26"/>
          </reference>
        </references>
      </pivotArea>
    </format>
    <format dxfId="2571">
      <pivotArea field="0" dataOnly="0" labelOnly="1" grandRow="1" outline="0" axis="axisRow" fieldPosition="0">
        <references count="1">
          <reference field="4294967294" count="1" selected="0">
            <x v="27"/>
          </reference>
        </references>
      </pivotArea>
    </format>
    <format dxfId="2570">
      <pivotArea field="0" dataOnly="0" labelOnly="1" grandRow="1" outline="0" axis="axisRow" fieldPosition="0">
        <references count="1">
          <reference field="4294967294" count="1" selected="0">
            <x v="28"/>
          </reference>
        </references>
      </pivotArea>
    </format>
    <format dxfId="2569">
      <pivotArea field="0" dataOnly="0" labelOnly="1" grandRow="1" outline="0" axis="axisRow" fieldPosition="0">
        <references count="1">
          <reference field="4294967294" count="1" selected="0">
            <x v="29"/>
          </reference>
        </references>
      </pivotArea>
    </format>
    <format dxfId="2568">
      <pivotArea field="0" dataOnly="0" labelOnly="1" grandRow="1" outline="0" axis="axisRow" fieldPosition="0">
        <references count="1">
          <reference field="4294967294" count="1" selected="0">
            <x v="30"/>
          </reference>
        </references>
      </pivotArea>
    </format>
    <format dxfId="2567">
      <pivotArea field="0" dataOnly="0" labelOnly="1" grandRow="1" outline="0" axis="axisRow" fieldPosition="0">
        <references count="1">
          <reference field="4294967294" count="1" selected="0">
            <x v="31"/>
          </reference>
        </references>
      </pivotArea>
    </format>
    <format dxfId="2566">
      <pivotArea field="0" dataOnly="0" labelOnly="1" grandRow="1" outline="0" axis="axisRow" fieldPosition="0">
        <references count="1">
          <reference field="4294967294" count="1" selected="0">
            <x v="32"/>
          </reference>
        </references>
      </pivotArea>
    </format>
    <format dxfId="2565">
      <pivotArea field="0" dataOnly="0" labelOnly="1" grandRow="1" outline="0" axis="axisRow" fieldPosition="0">
        <references count="1">
          <reference field="4294967294" count="1" selected="0">
            <x v="33"/>
          </reference>
        </references>
      </pivotArea>
    </format>
    <format dxfId="2564">
      <pivotArea field="0" dataOnly="0" labelOnly="1" grandRow="1" outline="0" axis="axisRow" fieldPosition="0">
        <references count="1">
          <reference field="4294967294" count="1" selected="0">
            <x v="34"/>
          </reference>
        </references>
      </pivotArea>
    </format>
    <format dxfId="2563">
      <pivotArea field="0" dataOnly="0" labelOnly="1" grandRow="1" outline="0" axis="axisRow" fieldPosition="0">
        <references count="1">
          <reference field="4294967294" count="1" selected="0">
            <x v="35"/>
          </reference>
        </references>
      </pivotArea>
    </format>
    <format dxfId="2562">
      <pivotArea field="0" dataOnly="0" labelOnly="1" grandRow="1" outline="0" axis="axisRow" fieldPosition="0">
        <references count="1">
          <reference field="4294967294" count="1" selected="0">
            <x v="0"/>
          </reference>
        </references>
      </pivotArea>
    </format>
    <format dxfId="2561">
      <pivotArea field="0" dataOnly="0" labelOnly="1" grandRow="1" outline="0" axis="axisRow" fieldPosition="0">
        <references count="1">
          <reference field="4294967294" count="1" selected="0">
            <x v="1"/>
          </reference>
        </references>
      </pivotArea>
    </format>
    <format dxfId="2560">
      <pivotArea field="0" dataOnly="0" labelOnly="1" grandRow="1" outline="0" axis="axisRow" fieldPosition="0">
        <references count="1">
          <reference field="4294967294" count="1" selected="0">
            <x v="2"/>
          </reference>
        </references>
      </pivotArea>
    </format>
    <format dxfId="2559">
      <pivotArea field="0" dataOnly="0" labelOnly="1" grandRow="1" outline="0" axis="axisRow" fieldPosition="0">
        <references count="1">
          <reference field="4294967294" count="1" selected="0">
            <x v="3"/>
          </reference>
        </references>
      </pivotArea>
    </format>
    <format dxfId="2558">
      <pivotArea field="0" dataOnly="0" labelOnly="1" grandRow="1" outline="0" axis="axisRow" fieldPosition="0">
        <references count="1">
          <reference field="4294967294" count="1" selected="0">
            <x v="4"/>
          </reference>
        </references>
      </pivotArea>
    </format>
    <format dxfId="2557">
      <pivotArea field="0" dataOnly="0" labelOnly="1" grandRow="1" outline="0" axis="axisRow" fieldPosition="0">
        <references count="1">
          <reference field="4294967294" count="1" selected="0">
            <x v="5"/>
          </reference>
        </references>
      </pivotArea>
    </format>
    <format dxfId="2556">
      <pivotArea field="0" dataOnly="0" labelOnly="1" grandRow="1" outline="0" axis="axisRow" fieldPosition="0">
        <references count="1">
          <reference field="4294967294" count="1" selected="0">
            <x v="6"/>
          </reference>
        </references>
      </pivotArea>
    </format>
    <format dxfId="2555">
      <pivotArea field="0" dataOnly="0" labelOnly="1" grandRow="1" outline="0" axis="axisRow" fieldPosition="0">
        <references count="1">
          <reference field="4294967294" count="1" selected="0">
            <x v="7"/>
          </reference>
        </references>
      </pivotArea>
    </format>
    <format dxfId="2554">
      <pivotArea field="0" dataOnly="0" labelOnly="1" grandRow="1" outline="0" axis="axisRow" fieldPosition="0">
        <references count="1">
          <reference field="4294967294" count="1" selected="0">
            <x v="8"/>
          </reference>
        </references>
      </pivotArea>
    </format>
    <format dxfId="2553">
      <pivotArea field="0" dataOnly="0" labelOnly="1" grandRow="1" outline="0" axis="axisRow" fieldPosition="0">
        <references count="1">
          <reference field="4294967294" count="1" selected="0">
            <x v="9"/>
          </reference>
        </references>
      </pivotArea>
    </format>
    <format dxfId="2552">
      <pivotArea field="0" dataOnly="0" labelOnly="1" grandRow="1" outline="0" axis="axisRow" fieldPosition="0">
        <references count="1">
          <reference field="4294967294" count="1" selected="0">
            <x v="10"/>
          </reference>
        </references>
      </pivotArea>
    </format>
    <format dxfId="2551">
      <pivotArea field="0" dataOnly="0" labelOnly="1" grandRow="1" outline="0" axis="axisRow" fieldPosition="0">
        <references count="1">
          <reference field="4294967294" count="1" selected="0">
            <x v="11"/>
          </reference>
        </references>
      </pivotArea>
    </format>
    <format dxfId="2550">
      <pivotArea field="0" dataOnly="0" labelOnly="1" grandRow="1" outline="0" axis="axisRow" fieldPosition="0">
        <references count="1">
          <reference field="4294967294" count="1" selected="0">
            <x v="12"/>
          </reference>
        </references>
      </pivotArea>
    </format>
    <format dxfId="2549">
      <pivotArea field="0" dataOnly="0" labelOnly="1" grandRow="1" outline="0" axis="axisRow" fieldPosition="0">
        <references count="1">
          <reference field="4294967294" count="1" selected="0">
            <x v="13"/>
          </reference>
        </references>
      </pivotArea>
    </format>
    <format dxfId="2548">
      <pivotArea field="0" dataOnly="0" labelOnly="1" grandRow="1" outline="0" axis="axisRow" fieldPosition="0">
        <references count="1">
          <reference field="4294967294" count="1" selected="0">
            <x v="14"/>
          </reference>
        </references>
      </pivotArea>
    </format>
    <format dxfId="2547">
      <pivotArea field="0" dataOnly="0" labelOnly="1" grandRow="1" outline="0" axis="axisRow" fieldPosition="0">
        <references count="1">
          <reference field="4294967294" count="1" selected="0">
            <x v="15"/>
          </reference>
        </references>
      </pivotArea>
    </format>
    <format dxfId="2546">
      <pivotArea field="0" dataOnly="0" labelOnly="1" grandRow="1" outline="0" axis="axisRow" fieldPosition="0">
        <references count="1">
          <reference field="4294967294" count="1" selected="0">
            <x v="16"/>
          </reference>
        </references>
      </pivotArea>
    </format>
    <format dxfId="2545">
      <pivotArea field="0" dataOnly="0" labelOnly="1" grandRow="1" outline="0" axis="axisRow" fieldPosition="0">
        <references count="1">
          <reference field="4294967294" count="1" selected="0">
            <x v="17"/>
          </reference>
        </references>
      </pivotArea>
    </format>
    <format dxfId="2544">
      <pivotArea field="0" dataOnly="0" labelOnly="1" grandRow="1" outline="0" axis="axisRow" fieldPosition="0">
        <references count="1">
          <reference field="4294967294" count="1" selected="0">
            <x v="18"/>
          </reference>
        </references>
      </pivotArea>
    </format>
    <format dxfId="2543">
      <pivotArea field="0" dataOnly="0" labelOnly="1" grandRow="1" outline="0" axis="axisRow" fieldPosition="0">
        <references count="1">
          <reference field="4294967294" count="1" selected="0">
            <x v="19"/>
          </reference>
        </references>
      </pivotArea>
    </format>
    <format dxfId="2542">
      <pivotArea field="0" dataOnly="0" labelOnly="1" grandRow="1" outline="0" axis="axisRow" fieldPosition="0">
        <references count="1">
          <reference field="4294967294" count="1" selected="0">
            <x v="20"/>
          </reference>
        </references>
      </pivotArea>
    </format>
    <format dxfId="2541">
      <pivotArea field="0" dataOnly="0" labelOnly="1" grandRow="1" outline="0" axis="axisRow" fieldPosition="0">
        <references count="1">
          <reference field="4294967294" count="1" selected="0">
            <x v="21"/>
          </reference>
        </references>
      </pivotArea>
    </format>
    <format dxfId="2540">
      <pivotArea field="0" dataOnly="0" labelOnly="1" grandRow="1" outline="0" axis="axisRow" fieldPosition="0">
        <references count="1">
          <reference field="4294967294" count="1" selected="0">
            <x v="22"/>
          </reference>
        </references>
      </pivotArea>
    </format>
    <format dxfId="2539">
      <pivotArea field="0" dataOnly="0" labelOnly="1" grandRow="1" outline="0" axis="axisRow" fieldPosition="0">
        <references count="1">
          <reference field="4294967294" count="1" selected="0">
            <x v="23"/>
          </reference>
        </references>
      </pivotArea>
    </format>
    <format dxfId="2538">
      <pivotArea field="0" dataOnly="0" labelOnly="1" grandRow="1" outline="0" axis="axisRow" fieldPosition="0">
        <references count="1">
          <reference field="4294967294" count="1" selected="0">
            <x v="24"/>
          </reference>
        </references>
      </pivotArea>
    </format>
    <format dxfId="2537">
      <pivotArea field="0" dataOnly="0" labelOnly="1" grandRow="1" outline="0" axis="axisRow" fieldPosition="0">
        <references count="1">
          <reference field="4294967294" count="1" selected="0">
            <x v="25"/>
          </reference>
        </references>
      </pivotArea>
    </format>
    <format dxfId="2536">
      <pivotArea field="0" dataOnly="0" labelOnly="1" grandRow="1" outline="0" axis="axisRow" fieldPosition="0">
        <references count="1">
          <reference field="4294967294" count="1" selected="0">
            <x v="26"/>
          </reference>
        </references>
      </pivotArea>
    </format>
    <format dxfId="2535">
      <pivotArea field="0" dataOnly="0" labelOnly="1" grandRow="1" outline="0" axis="axisRow" fieldPosition="0">
        <references count="1">
          <reference field="4294967294" count="1" selected="0">
            <x v="27"/>
          </reference>
        </references>
      </pivotArea>
    </format>
    <format dxfId="2534">
      <pivotArea field="0" dataOnly="0" labelOnly="1" grandRow="1" outline="0" axis="axisRow" fieldPosition="0">
        <references count="1">
          <reference field="4294967294" count="1" selected="0">
            <x v="28"/>
          </reference>
        </references>
      </pivotArea>
    </format>
    <format dxfId="2533">
      <pivotArea field="0" dataOnly="0" labelOnly="1" grandRow="1" outline="0" axis="axisRow" fieldPosition="0">
        <references count="1">
          <reference field="4294967294" count="1" selected="0">
            <x v="29"/>
          </reference>
        </references>
      </pivotArea>
    </format>
    <format dxfId="2532">
      <pivotArea field="0" dataOnly="0" labelOnly="1" grandRow="1" outline="0" axis="axisRow" fieldPosition="0">
        <references count="1">
          <reference field="4294967294" count="1" selected="0">
            <x v="30"/>
          </reference>
        </references>
      </pivotArea>
    </format>
    <format dxfId="2531">
      <pivotArea field="0" dataOnly="0" labelOnly="1" grandRow="1" outline="0" axis="axisRow" fieldPosition="0">
        <references count="1">
          <reference field="4294967294" count="1" selected="0">
            <x v="31"/>
          </reference>
        </references>
      </pivotArea>
    </format>
    <format dxfId="2530">
      <pivotArea field="0" dataOnly="0" labelOnly="1" grandRow="1" outline="0" axis="axisRow" fieldPosition="0">
        <references count="1">
          <reference field="4294967294" count="1" selected="0">
            <x v="32"/>
          </reference>
        </references>
      </pivotArea>
    </format>
    <format dxfId="2529">
      <pivotArea field="0" dataOnly="0" labelOnly="1" grandRow="1" outline="0" axis="axisRow" fieldPosition="0">
        <references count="1">
          <reference field="4294967294" count="1" selected="0">
            <x v="33"/>
          </reference>
        </references>
      </pivotArea>
    </format>
    <format dxfId="2528">
      <pivotArea field="0" dataOnly="0" labelOnly="1" grandRow="1" outline="0" axis="axisRow" fieldPosition="0">
        <references count="1">
          <reference field="4294967294" count="1" selected="0">
            <x v="34"/>
          </reference>
        </references>
      </pivotArea>
    </format>
    <format dxfId="2527">
      <pivotArea field="0" dataOnly="0" labelOnly="1" grandRow="1" outline="0" axis="axisRow" fieldPosition="0">
        <references count="1">
          <reference field="4294967294" count="1" selected="0">
            <x v="35"/>
          </reference>
        </references>
      </pivotArea>
    </format>
    <format dxfId="2526">
      <pivotArea field="0" dataOnly="0" labelOnly="1" grandRow="1" outline="0" axis="axisRow" fieldPosition="0">
        <references count="1">
          <reference field="4294967294" count="1" selected="0">
            <x v="0"/>
          </reference>
        </references>
      </pivotArea>
    </format>
    <format dxfId="2525">
      <pivotArea field="0" dataOnly="0" labelOnly="1" grandRow="1" outline="0" axis="axisRow" fieldPosition="0">
        <references count="1">
          <reference field="4294967294" count="1" selected="0">
            <x v="1"/>
          </reference>
        </references>
      </pivotArea>
    </format>
    <format dxfId="2524">
      <pivotArea field="0" dataOnly="0" labelOnly="1" grandRow="1" outline="0" axis="axisRow" fieldPosition="0">
        <references count="1">
          <reference field="4294967294" count="1" selected="0">
            <x v="2"/>
          </reference>
        </references>
      </pivotArea>
    </format>
    <format dxfId="2523">
      <pivotArea field="0" dataOnly="0" labelOnly="1" grandRow="1" outline="0" axis="axisRow" fieldPosition="0">
        <references count="1">
          <reference field="4294967294" count="1" selected="0">
            <x v="3"/>
          </reference>
        </references>
      </pivotArea>
    </format>
    <format dxfId="2522">
      <pivotArea field="0" dataOnly="0" labelOnly="1" grandRow="1" outline="0" axis="axisRow" fieldPosition="0">
        <references count="1">
          <reference field="4294967294" count="1" selected="0">
            <x v="4"/>
          </reference>
        </references>
      </pivotArea>
    </format>
    <format dxfId="2521">
      <pivotArea field="0" dataOnly="0" labelOnly="1" grandRow="1" outline="0" axis="axisRow" fieldPosition="0">
        <references count="1">
          <reference field="4294967294" count="1" selected="0">
            <x v="5"/>
          </reference>
        </references>
      </pivotArea>
    </format>
    <format dxfId="2520">
      <pivotArea field="0" dataOnly="0" labelOnly="1" grandRow="1" outline="0" axis="axisRow" fieldPosition="0">
        <references count="1">
          <reference field="4294967294" count="1" selected="0">
            <x v="6"/>
          </reference>
        </references>
      </pivotArea>
    </format>
    <format dxfId="2519">
      <pivotArea field="0" dataOnly="0" labelOnly="1" grandRow="1" outline="0" axis="axisRow" fieldPosition="0">
        <references count="1">
          <reference field="4294967294" count="1" selected="0">
            <x v="7"/>
          </reference>
        </references>
      </pivotArea>
    </format>
    <format dxfId="2518">
      <pivotArea field="0" dataOnly="0" labelOnly="1" grandRow="1" outline="0" axis="axisRow" fieldPosition="0">
        <references count="1">
          <reference field="4294967294" count="1" selected="0">
            <x v="8"/>
          </reference>
        </references>
      </pivotArea>
    </format>
    <format dxfId="2517">
      <pivotArea field="0" dataOnly="0" labelOnly="1" grandRow="1" outline="0" axis="axisRow" fieldPosition="0">
        <references count="1">
          <reference field="4294967294" count="1" selected="0">
            <x v="9"/>
          </reference>
        </references>
      </pivotArea>
    </format>
    <format dxfId="2516">
      <pivotArea field="0" dataOnly="0" labelOnly="1" grandRow="1" outline="0" axis="axisRow" fieldPosition="0">
        <references count="1">
          <reference field="4294967294" count="1" selected="0">
            <x v="10"/>
          </reference>
        </references>
      </pivotArea>
    </format>
    <format dxfId="2515">
      <pivotArea field="0" dataOnly="0" labelOnly="1" grandRow="1" outline="0" axis="axisRow" fieldPosition="0">
        <references count="1">
          <reference field="4294967294" count="1" selected="0">
            <x v="11"/>
          </reference>
        </references>
      </pivotArea>
    </format>
    <format dxfId="2514">
      <pivotArea field="0" dataOnly="0" labelOnly="1" grandRow="1" outline="0" axis="axisRow" fieldPosition="0">
        <references count="1">
          <reference field="4294967294" count="1" selected="0">
            <x v="12"/>
          </reference>
        </references>
      </pivotArea>
    </format>
    <format dxfId="2513">
      <pivotArea field="0" dataOnly="0" labelOnly="1" grandRow="1" outline="0" axis="axisRow" fieldPosition="0">
        <references count="1">
          <reference field="4294967294" count="1" selected="0">
            <x v="13"/>
          </reference>
        </references>
      </pivotArea>
    </format>
    <format dxfId="2512">
      <pivotArea field="0" dataOnly="0" labelOnly="1" grandRow="1" outline="0" axis="axisRow" fieldPosition="0">
        <references count="1">
          <reference field="4294967294" count="1" selected="0">
            <x v="14"/>
          </reference>
        </references>
      </pivotArea>
    </format>
    <format dxfId="2511">
      <pivotArea field="0" dataOnly="0" labelOnly="1" grandRow="1" outline="0" axis="axisRow" fieldPosition="0">
        <references count="1">
          <reference field="4294967294" count="1" selected="0">
            <x v="15"/>
          </reference>
        </references>
      </pivotArea>
    </format>
    <format dxfId="2510">
      <pivotArea field="0" dataOnly="0" labelOnly="1" grandRow="1" outline="0" axis="axisRow" fieldPosition="0">
        <references count="1">
          <reference field="4294967294" count="1" selected="0">
            <x v="16"/>
          </reference>
        </references>
      </pivotArea>
    </format>
    <format dxfId="2509">
      <pivotArea field="0" dataOnly="0" labelOnly="1" grandRow="1" outline="0" axis="axisRow" fieldPosition="0">
        <references count="1">
          <reference field="4294967294" count="1" selected="0">
            <x v="17"/>
          </reference>
        </references>
      </pivotArea>
    </format>
    <format dxfId="2508">
      <pivotArea field="0" dataOnly="0" labelOnly="1" grandRow="1" outline="0" axis="axisRow" fieldPosition="0">
        <references count="1">
          <reference field="4294967294" count="1" selected="0">
            <x v="18"/>
          </reference>
        </references>
      </pivotArea>
    </format>
    <format dxfId="2507">
      <pivotArea field="0" dataOnly="0" labelOnly="1" grandRow="1" outline="0" axis="axisRow" fieldPosition="0">
        <references count="1">
          <reference field="4294967294" count="1" selected="0">
            <x v="19"/>
          </reference>
        </references>
      </pivotArea>
    </format>
    <format dxfId="2506">
      <pivotArea field="0" dataOnly="0" labelOnly="1" grandRow="1" outline="0" axis="axisRow" fieldPosition="0">
        <references count="1">
          <reference field="4294967294" count="1" selected="0">
            <x v="20"/>
          </reference>
        </references>
      </pivotArea>
    </format>
    <format dxfId="2505">
      <pivotArea field="0" dataOnly="0" labelOnly="1" grandRow="1" outline="0" axis="axisRow" fieldPosition="0">
        <references count="1">
          <reference field="4294967294" count="1" selected="0">
            <x v="21"/>
          </reference>
        </references>
      </pivotArea>
    </format>
    <format dxfId="2504">
      <pivotArea field="0" dataOnly="0" labelOnly="1" grandRow="1" outline="0" axis="axisRow" fieldPosition="0">
        <references count="1">
          <reference field="4294967294" count="1" selected="0">
            <x v="22"/>
          </reference>
        </references>
      </pivotArea>
    </format>
    <format dxfId="2503">
      <pivotArea field="0" dataOnly="0" labelOnly="1" grandRow="1" outline="0" axis="axisRow" fieldPosition="0">
        <references count="1">
          <reference field="4294967294" count="1" selected="0">
            <x v="23"/>
          </reference>
        </references>
      </pivotArea>
    </format>
    <format dxfId="2502">
      <pivotArea field="0" dataOnly="0" labelOnly="1" grandRow="1" outline="0" axis="axisRow" fieldPosition="0">
        <references count="1">
          <reference field="4294967294" count="1" selected="0">
            <x v="24"/>
          </reference>
        </references>
      </pivotArea>
    </format>
    <format dxfId="2501">
      <pivotArea field="0" dataOnly="0" labelOnly="1" grandRow="1" outline="0" axis="axisRow" fieldPosition="0">
        <references count="1">
          <reference field="4294967294" count="1" selected="0">
            <x v="25"/>
          </reference>
        </references>
      </pivotArea>
    </format>
    <format dxfId="2500">
      <pivotArea field="0" dataOnly="0" labelOnly="1" grandRow="1" outline="0" axis="axisRow" fieldPosition="0">
        <references count="1">
          <reference field="4294967294" count="1" selected="0">
            <x v="26"/>
          </reference>
        </references>
      </pivotArea>
    </format>
    <format dxfId="2499">
      <pivotArea field="0" dataOnly="0" labelOnly="1" grandRow="1" outline="0" axis="axisRow" fieldPosition="0">
        <references count="1">
          <reference field="4294967294" count="1" selected="0">
            <x v="27"/>
          </reference>
        </references>
      </pivotArea>
    </format>
    <format dxfId="2498">
      <pivotArea field="0" dataOnly="0" labelOnly="1" grandRow="1" outline="0" axis="axisRow" fieldPosition="0">
        <references count="1">
          <reference field="4294967294" count="1" selected="0">
            <x v="28"/>
          </reference>
        </references>
      </pivotArea>
    </format>
    <format dxfId="2497">
      <pivotArea field="0" dataOnly="0" labelOnly="1" grandRow="1" outline="0" axis="axisRow" fieldPosition="0">
        <references count="1">
          <reference field="4294967294" count="1" selected="0">
            <x v="29"/>
          </reference>
        </references>
      </pivotArea>
    </format>
    <format dxfId="2496">
      <pivotArea field="0" dataOnly="0" labelOnly="1" grandRow="1" outline="0" axis="axisRow" fieldPosition="0">
        <references count="1">
          <reference field="4294967294" count="1" selected="0">
            <x v="30"/>
          </reference>
        </references>
      </pivotArea>
    </format>
    <format dxfId="2495">
      <pivotArea field="0" dataOnly="0" labelOnly="1" grandRow="1" outline="0" axis="axisRow" fieldPosition="0">
        <references count="1">
          <reference field="4294967294" count="1" selected="0">
            <x v="31"/>
          </reference>
        </references>
      </pivotArea>
    </format>
    <format dxfId="2494">
      <pivotArea field="0" dataOnly="0" labelOnly="1" grandRow="1" outline="0" axis="axisRow" fieldPosition="0">
        <references count="1">
          <reference field="4294967294" count="1" selected="0">
            <x v="32"/>
          </reference>
        </references>
      </pivotArea>
    </format>
    <format dxfId="2493">
      <pivotArea field="0" dataOnly="0" labelOnly="1" grandRow="1" outline="0" axis="axisRow" fieldPosition="0">
        <references count="1">
          <reference field="4294967294" count="1" selected="0">
            <x v="33"/>
          </reference>
        </references>
      </pivotArea>
    </format>
    <format dxfId="2492">
      <pivotArea field="0" dataOnly="0" labelOnly="1" grandRow="1" outline="0" axis="axisRow" fieldPosition="0">
        <references count="1">
          <reference field="4294967294" count="1" selected="0">
            <x v="34"/>
          </reference>
        </references>
      </pivotArea>
    </format>
    <format dxfId="2491">
      <pivotArea field="0" dataOnly="0" labelOnly="1" grandRow="1" outline="0" axis="axisRow" fieldPosition="0">
        <references count="1">
          <reference field="4294967294" count="1" selected="0">
            <x v="35"/>
          </reference>
        </references>
      </pivotArea>
    </format>
    <format dxfId="2490">
      <pivotArea field="0" dataOnly="0" labelOnly="1" grandRow="1" outline="0" axis="axisRow" fieldPosition="0">
        <references count="1">
          <reference field="4294967294" count="1" selected="0">
            <x v="0"/>
          </reference>
        </references>
      </pivotArea>
    </format>
    <format dxfId="2489">
      <pivotArea field="0" dataOnly="0" labelOnly="1" grandRow="1" outline="0" axis="axisRow" fieldPosition="0">
        <references count="1">
          <reference field="4294967294" count="1" selected="0">
            <x v="1"/>
          </reference>
        </references>
      </pivotArea>
    </format>
    <format dxfId="2488">
      <pivotArea field="0" dataOnly="0" labelOnly="1" grandRow="1" outline="0" axis="axisRow" fieldPosition="0">
        <references count="1">
          <reference field="4294967294" count="1" selected="0">
            <x v="2"/>
          </reference>
        </references>
      </pivotArea>
    </format>
    <format dxfId="2487">
      <pivotArea field="0" dataOnly="0" labelOnly="1" grandRow="1" outline="0" axis="axisRow" fieldPosition="0">
        <references count="1">
          <reference field="4294967294" count="1" selected="0">
            <x v="3"/>
          </reference>
        </references>
      </pivotArea>
    </format>
    <format dxfId="2486">
      <pivotArea field="0" dataOnly="0" labelOnly="1" grandRow="1" outline="0" axis="axisRow" fieldPosition="0">
        <references count="1">
          <reference field="4294967294" count="1" selected="0">
            <x v="4"/>
          </reference>
        </references>
      </pivotArea>
    </format>
    <format dxfId="2485">
      <pivotArea field="0" dataOnly="0" labelOnly="1" grandRow="1" outline="0" axis="axisRow" fieldPosition="0">
        <references count="1">
          <reference field="4294967294" count="1" selected="0">
            <x v="5"/>
          </reference>
        </references>
      </pivotArea>
    </format>
    <format dxfId="2484">
      <pivotArea field="0" dataOnly="0" labelOnly="1" grandRow="1" outline="0" axis="axisRow" fieldPosition="0">
        <references count="1">
          <reference field="4294967294" count="1" selected="0">
            <x v="6"/>
          </reference>
        </references>
      </pivotArea>
    </format>
    <format dxfId="2483">
      <pivotArea field="0" dataOnly="0" labelOnly="1" grandRow="1" outline="0" axis="axisRow" fieldPosition="0">
        <references count="1">
          <reference field="4294967294" count="1" selected="0">
            <x v="7"/>
          </reference>
        </references>
      </pivotArea>
    </format>
    <format dxfId="2482">
      <pivotArea field="0" dataOnly="0" labelOnly="1" grandRow="1" outline="0" axis="axisRow" fieldPosition="0">
        <references count="1">
          <reference field="4294967294" count="1" selected="0">
            <x v="8"/>
          </reference>
        </references>
      </pivotArea>
    </format>
    <format dxfId="2481">
      <pivotArea field="0" dataOnly="0" labelOnly="1" grandRow="1" outline="0" axis="axisRow" fieldPosition="0">
        <references count="1">
          <reference field="4294967294" count="1" selected="0">
            <x v="9"/>
          </reference>
        </references>
      </pivotArea>
    </format>
    <format dxfId="2480">
      <pivotArea field="0" dataOnly="0" labelOnly="1" grandRow="1" outline="0" axis="axisRow" fieldPosition="0">
        <references count="1">
          <reference field="4294967294" count="1" selected="0">
            <x v="10"/>
          </reference>
        </references>
      </pivotArea>
    </format>
    <format dxfId="2479">
      <pivotArea field="0" dataOnly="0" labelOnly="1" grandRow="1" outline="0" axis="axisRow" fieldPosition="0">
        <references count="1">
          <reference field="4294967294" count="1" selected="0">
            <x v="11"/>
          </reference>
        </references>
      </pivotArea>
    </format>
    <format dxfId="2478">
      <pivotArea field="0" dataOnly="0" labelOnly="1" grandRow="1" outline="0" axis="axisRow" fieldPosition="0">
        <references count="1">
          <reference field="4294967294" count="1" selected="0">
            <x v="12"/>
          </reference>
        </references>
      </pivotArea>
    </format>
    <format dxfId="2477">
      <pivotArea field="0" dataOnly="0" labelOnly="1" grandRow="1" outline="0" axis="axisRow" fieldPosition="0">
        <references count="1">
          <reference field="4294967294" count="1" selected="0">
            <x v="13"/>
          </reference>
        </references>
      </pivotArea>
    </format>
    <format dxfId="2476">
      <pivotArea field="0" dataOnly="0" labelOnly="1" grandRow="1" outline="0" axis="axisRow" fieldPosition="0">
        <references count="1">
          <reference field="4294967294" count="1" selected="0">
            <x v="14"/>
          </reference>
        </references>
      </pivotArea>
    </format>
    <format dxfId="2475">
      <pivotArea field="0" dataOnly="0" labelOnly="1" grandRow="1" outline="0" axis="axisRow" fieldPosition="0">
        <references count="1">
          <reference field="4294967294" count="1" selected="0">
            <x v="15"/>
          </reference>
        </references>
      </pivotArea>
    </format>
    <format dxfId="2474">
      <pivotArea field="0" dataOnly="0" labelOnly="1" grandRow="1" outline="0" axis="axisRow" fieldPosition="0">
        <references count="1">
          <reference field="4294967294" count="1" selected="0">
            <x v="16"/>
          </reference>
        </references>
      </pivotArea>
    </format>
    <format dxfId="2473">
      <pivotArea field="0" dataOnly="0" labelOnly="1" grandRow="1" outline="0" axis="axisRow" fieldPosition="0">
        <references count="1">
          <reference field="4294967294" count="1" selected="0">
            <x v="17"/>
          </reference>
        </references>
      </pivotArea>
    </format>
    <format dxfId="2472">
      <pivotArea field="0" dataOnly="0" labelOnly="1" grandRow="1" outline="0" axis="axisRow" fieldPosition="0">
        <references count="1">
          <reference field="4294967294" count="1" selected="0">
            <x v="18"/>
          </reference>
        </references>
      </pivotArea>
    </format>
    <format dxfId="2471">
      <pivotArea field="0" dataOnly="0" labelOnly="1" grandRow="1" outline="0" axis="axisRow" fieldPosition="0">
        <references count="1">
          <reference field="4294967294" count="1" selected="0">
            <x v="19"/>
          </reference>
        </references>
      </pivotArea>
    </format>
    <format dxfId="2470">
      <pivotArea field="0" dataOnly="0" labelOnly="1" grandRow="1" outline="0" axis="axisRow" fieldPosition="0">
        <references count="1">
          <reference field="4294967294" count="1" selected="0">
            <x v="20"/>
          </reference>
        </references>
      </pivotArea>
    </format>
    <format dxfId="2469">
      <pivotArea field="0" dataOnly="0" labelOnly="1" grandRow="1" outline="0" axis="axisRow" fieldPosition="0">
        <references count="1">
          <reference field="4294967294" count="1" selected="0">
            <x v="21"/>
          </reference>
        </references>
      </pivotArea>
    </format>
    <format dxfId="2468">
      <pivotArea field="0" dataOnly="0" labelOnly="1" grandRow="1" outline="0" axis="axisRow" fieldPosition="0">
        <references count="1">
          <reference field="4294967294" count="1" selected="0">
            <x v="22"/>
          </reference>
        </references>
      </pivotArea>
    </format>
    <format dxfId="2467">
      <pivotArea field="0" dataOnly="0" labelOnly="1" grandRow="1" outline="0" axis="axisRow" fieldPosition="0">
        <references count="1">
          <reference field="4294967294" count="1" selected="0">
            <x v="23"/>
          </reference>
        </references>
      </pivotArea>
    </format>
    <format dxfId="2466">
      <pivotArea field="0" dataOnly="0" labelOnly="1" grandRow="1" outline="0" axis="axisRow" fieldPosition="0">
        <references count="1">
          <reference field="4294967294" count="1" selected="0">
            <x v="24"/>
          </reference>
        </references>
      </pivotArea>
    </format>
    <format dxfId="2465">
      <pivotArea field="0" dataOnly="0" labelOnly="1" grandRow="1" outline="0" axis="axisRow" fieldPosition="0">
        <references count="1">
          <reference field="4294967294" count="1" selected="0">
            <x v="25"/>
          </reference>
        </references>
      </pivotArea>
    </format>
    <format dxfId="2464">
      <pivotArea field="0" dataOnly="0" labelOnly="1" grandRow="1" outline="0" axis="axisRow" fieldPosition="0">
        <references count="1">
          <reference field="4294967294" count="1" selected="0">
            <x v="26"/>
          </reference>
        </references>
      </pivotArea>
    </format>
    <format dxfId="2463">
      <pivotArea field="0" dataOnly="0" labelOnly="1" grandRow="1" outline="0" axis="axisRow" fieldPosition="0">
        <references count="1">
          <reference field="4294967294" count="1" selected="0">
            <x v="27"/>
          </reference>
        </references>
      </pivotArea>
    </format>
    <format dxfId="2462">
      <pivotArea field="0" dataOnly="0" labelOnly="1" grandRow="1" outline="0" axis="axisRow" fieldPosition="0">
        <references count="1">
          <reference field="4294967294" count="1" selected="0">
            <x v="28"/>
          </reference>
        </references>
      </pivotArea>
    </format>
    <format dxfId="2461">
      <pivotArea field="0" dataOnly="0" labelOnly="1" grandRow="1" outline="0" axis="axisRow" fieldPosition="0">
        <references count="1">
          <reference field="4294967294" count="1" selected="0">
            <x v="29"/>
          </reference>
        </references>
      </pivotArea>
    </format>
    <format dxfId="2460">
      <pivotArea field="0" dataOnly="0" labelOnly="1" grandRow="1" outline="0" axis="axisRow" fieldPosition="0">
        <references count="1">
          <reference field="4294967294" count="1" selected="0">
            <x v="30"/>
          </reference>
        </references>
      </pivotArea>
    </format>
    <format dxfId="2459">
      <pivotArea field="0" dataOnly="0" labelOnly="1" grandRow="1" outline="0" axis="axisRow" fieldPosition="0">
        <references count="1">
          <reference field="4294967294" count="1" selected="0">
            <x v="31"/>
          </reference>
        </references>
      </pivotArea>
    </format>
    <format dxfId="2458">
      <pivotArea field="0" dataOnly="0" labelOnly="1" grandRow="1" outline="0" axis="axisRow" fieldPosition="0">
        <references count="1">
          <reference field="4294967294" count="1" selected="0">
            <x v="32"/>
          </reference>
        </references>
      </pivotArea>
    </format>
    <format dxfId="2457">
      <pivotArea field="0" dataOnly="0" labelOnly="1" grandRow="1" outline="0" axis="axisRow" fieldPosition="0">
        <references count="1">
          <reference field="4294967294" count="1" selected="0">
            <x v="33"/>
          </reference>
        </references>
      </pivotArea>
    </format>
    <format dxfId="2456">
      <pivotArea field="0" dataOnly="0" labelOnly="1" grandRow="1" outline="0" axis="axisRow" fieldPosition="0">
        <references count="1">
          <reference field="4294967294" count="1" selected="0">
            <x v="34"/>
          </reference>
        </references>
      </pivotArea>
    </format>
    <format dxfId="2455">
      <pivotArea field="0" dataOnly="0" labelOnly="1" grandRow="1" outline="0" axis="axisRow" fieldPosition="0">
        <references count="1">
          <reference field="4294967294" count="1" selected="0">
            <x v="35"/>
          </reference>
        </references>
      </pivotArea>
    </format>
    <format dxfId="2454">
      <pivotArea field="0" dataOnly="0" labelOnly="1" grandRow="1" outline="0" axis="axisRow" fieldPosition="0">
        <references count="1">
          <reference field="4294967294" count="1" selected="0">
            <x v="0"/>
          </reference>
        </references>
      </pivotArea>
    </format>
    <format dxfId="2453">
      <pivotArea field="0" dataOnly="0" labelOnly="1" grandRow="1" outline="0" axis="axisRow" fieldPosition="0">
        <references count="1">
          <reference field="4294967294" count="1" selected="0">
            <x v="1"/>
          </reference>
        </references>
      </pivotArea>
    </format>
    <format dxfId="2452">
      <pivotArea field="0" dataOnly="0" labelOnly="1" grandRow="1" outline="0" axis="axisRow" fieldPosition="0">
        <references count="1">
          <reference field="4294967294" count="1" selected="0">
            <x v="2"/>
          </reference>
        </references>
      </pivotArea>
    </format>
    <format dxfId="2451">
      <pivotArea field="0" dataOnly="0" labelOnly="1" grandRow="1" outline="0" axis="axisRow" fieldPosition="0">
        <references count="1">
          <reference field="4294967294" count="1" selected="0">
            <x v="3"/>
          </reference>
        </references>
      </pivotArea>
    </format>
    <format dxfId="2450">
      <pivotArea field="0" dataOnly="0" labelOnly="1" grandRow="1" outline="0" axis="axisRow" fieldPosition="0">
        <references count="1">
          <reference field="4294967294" count="1" selected="0">
            <x v="4"/>
          </reference>
        </references>
      </pivotArea>
    </format>
    <format dxfId="2449">
      <pivotArea field="0" dataOnly="0" labelOnly="1" grandRow="1" outline="0" axis="axisRow" fieldPosition="0">
        <references count="1">
          <reference field="4294967294" count="1" selected="0">
            <x v="5"/>
          </reference>
        </references>
      </pivotArea>
    </format>
    <format dxfId="2448">
      <pivotArea field="0" dataOnly="0" labelOnly="1" grandRow="1" outline="0" axis="axisRow" fieldPosition="0">
        <references count="1">
          <reference field="4294967294" count="1" selected="0">
            <x v="6"/>
          </reference>
        </references>
      </pivotArea>
    </format>
    <format dxfId="2447">
      <pivotArea field="0" dataOnly="0" labelOnly="1" grandRow="1" outline="0" axis="axisRow" fieldPosition="0">
        <references count="1">
          <reference field="4294967294" count="1" selected="0">
            <x v="7"/>
          </reference>
        </references>
      </pivotArea>
    </format>
    <format dxfId="2446">
      <pivotArea field="0" dataOnly="0" labelOnly="1" grandRow="1" outline="0" axis="axisRow" fieldPosition="0">
        <references count="1">
          <reference field="4294967294" count="1" selected="0">
            <x v="8"/>
          </reference>
        </references>
      </pivotArea>
    </format>
    <format dxfId="2445">
      <pivotArea field="0" dataOnly="0" labelOnly="1" grandRow="1" outline="0" axis="axisRow" fieldPosition="0">
        <references count="1">
          <reference field="4294967294" count="1" selected="0">
            <x v="9"/>
          </reference>
        </references>
      </pivotArea>
    </format>
    <format dxfId="2444">
      <pivotArea field="0" dataOnly="0" labelOnly="1" grandRow="1" outline="0" axis="axisRow" fieldPosition="0">
        <references count="1">
          <reference field="4294967294" count="1" selected="0">
            <x v="10"/>
          </reference>
        </references>
      </pivotArea>
    </format>
    <format dxfId="2443">
      <pivotArea field="0" dataOnly="0" labelOnly="1" grandRow="1" outline="0" axis="axisRow" fieldPosition="0">
        <references count="1">
          <reference field="4294967294" count="1" selected="0">
            <x v="11"/>
          </reference>
        </references>
      </pivotArea>
    </format>
    <format dxfId="2442">
      <pivotArea field="0" dataOnly="0" labelOnly="1" grandRow="1" outline="0" axis="axisRow" fieldPosition="0">
        <references count="1">
          <reference field="4294967294" count="1" selected="0">
            <x v="12"/>
          </reference>
        </references>
      </pivotArea>
    </format>
    <format dxfId="2441">
      <pivotArea field="0" dataOnly="0" labelOnly="1" grandRow="1" outline="0" axis="axisRow" fieldPosition="0">
        <references count="1">
          <reference field="4294967294" count="1" selected="0">
            <x v="13"/>
          </reference>
        </references>
      </pivotArea>
    </format>
    <format dxfId="2440">
      <pivotArea field="0" dataOnly="0" labelOnly="1" grandRow="1" outline="0" axis="axisRow" fieldPosition="0">
        <references count="1">
          <reference field="4294967294" count="1" selected="0">
            <x v="14"/>
          </reference>
        </references>
      </pivotArea>
    </format>
    <format dxfId="2439">
      <pivotArea field="0" dataOnly="0" labelOnly="1" grandRow="1" outline="0" axis="axisRow" fieldPosition="0">
        <references count="1">
          <reference field="4294967294" count="1" selected="0">
            <x v="15"/>
          </reference>
        </references>
      </pivotArea>
    </format>
    <format dxfId="2438">
      <pivotArea field="0" dataOnly="0" labelOnly="1" grandRow="1" outline="0" axis="axisRow" fieldPosition="0">
        <references count="1">
          <reference field="4294967294" count="1" selected="0">
            <x v="16"/>
          </reference>
        </references>
      </pivotArea>
    </format>
    <format dxfId="2437">
      <pivotArea field="0" dataOnly="0" labelOnly="1" grandRow="1" outline="0" axis="axisRow" fieldPosition="0">
        <references count="1">
          <reference field="4294967294" count="1" selected="0">
            <x v="17"/>
          </reference>
        </references>
      </pivotArea>
    </format>
    <format dxfId="2436">
      <pivotArea field="0" dataOnly="0" labelOnly="1" grandRow="1" outline="0" axis="axisRow" fieldPosition="0">
        <references count="1">
          <reference field="4294967294" count="1" selected="0">
            <x v="18"/>
          </reference>
        </references>
      </pivotArea>
    </format>
    <format dxfId="2435">
      <pivotArea field="0" dataOnly="0" labelOnly="1" grandRow="1" outline="0" axis="axisRow" fieldPosition="0">
        <references count="1">
          <reference field="4294967294" count="1" selected="0">
            <x v="19"/>
          </reference>
        </references>
      </pivotArea>
    </format>
    <format dxfId="2434">
      <pivotArea field="0" dataOnly="0" labelOnly="1" grandRow="1" outline="0" axis="axisRow" fieldPosition="0">
        <references count="1">
          <reference field="4294967294" count="1" selected="0">
            <x v="20"/>
          </reference>
        </references>
      </pivotArea>
    </format>
    <format dxfId="2433">
      <pivotArea field="0" dataOnly="0" labelOnly="1" grandRow="1" outline="0" axis="axisRow" fieldPosition="0">
        <references count="1">
          <reference field="4294967294" count="1" selected="0">
            <x v="21"/>
          </reference>
        </references>
      </pivotArea>
    </format>
    <format dxfId="2432">
      <pivotArea field="0" dataOnly="0" labelOnly="1" grandRow="1" outline="0" axis="axisRow" fieldPosition="0">
        <references count="1">
          <reference field="4294967294" count="1" selected="0">
            <x v="22"/>
          </reference>
        </references>
      </pivotArea>
    </format>
    <format dxfId="2431">
      <pivotArea field="0" dataOnly="0" labelOnly="1" grandRow="1" outline="0" axis="axisRow" fieldPosition="0">
        <references count="1">
          <reference field="4294967294" count="1" selected="0">
            <x v="23"/>
          </reference>
        </references>
      </pivotArea>
    </format>
    <format dxfId="2430">
      <pivotArea field="0" dataOnly="0" labelOnly="1" grandRow="1" outline="0" axis="axisRow" fieldPosition="0">
        <references count="1">
          <reference field="4294967294" count="1" selected="0">
            <x v="24"/>
          </reference>
        </references>
      </pivotArea>
    </format>
    <format dxfId="2429">
      <pivotArea field="0" dataOnly="0" labelOnly="1" grandRow="1" outline="0" axis="axisRow" fieldPosition="0">
        <references count="1">
          <reference field="4294967294" count="1" selected="0">
            <x v="25"/>
          </reference>
        </references>
      </pivotArea>
    </format>
    <format dxfId="2428">
      <pivotArea field="0" dataOnly="0" labelOnly="1" grandRow="1" outline="0" axis="axisRow" fieldPosition="0">
        <references count="1">
          <reference field="4294967294" count="1" selected="0">
            <x v="26"/>
          </reference>
        </references>
      </pivotArea>
    </format>
    <format dxfId="2427">
      <pivotArea field="0" dataOnly="0" labelOnly="1" grandRow="1" outline="0" axis="axisRow" fieldPosition="0">
        <references count="1">
          <reference field="4294967294" count="1" selected="0">
            <x v="27"/>
          </reference>
        </references>
      </pivotArea>
    </format>
    <format dxfId="2426">
      <pivotArea field="0" dataOnly="0" labelOnly="1" grandRow="1" outline="0" axis="axisRow" fieldPosition="0">
        <references count="1">
          <reference field="4294967294" count="1" selected="0">
            <x v="28"/>
          </reference>
        </references>
      </pivotArea>
    </format>
    <format dxfId="2425">
      <pivotArea field="0" dataOnly="0" labelOnly="1" grandRow="1" outline="0" axis="axisRow" fieldPosition="0">
        <references count="1">
          <reference field="4294967294" count="1" selected="0">
            <x v="29"/>
          </reference>
        </references>
      </pivotArea>
    </format>
    <format dxfId="2424">
      <pivotArea field="0" dataOnly="0" labelOnly="1" grandRow="1" outline="0" axis="axisRow" fieldPosition="0">
        <references count="1">
          <reference field="4294967294" count="1" selected="0">
            <x v="30"/>
          </reference>
        </references>
      </pivotArea>
    </format>
    <format dxfId="2423">
      <pivotArea field="0" dataOnly="0" labelOnly="1" grandRow="1" outline="0" axis="axisRow" fieldPosition="0">
        <references count="1">
          <reference field="4294967294" count="1" selected="0">
            <x v="31"/>
          </reference>
        </references>
      </pivotArea>
    </format>
    <format dxfId="2422">
      <pivotArea field="0" dataOnly="0" labelOnly="1" grandRow="1" outline="0" axis="axisRow" fieldPosition="0">
        <references count="1">
          <reference field="4294967294" count="1" selected="0">
            <x v="32"/>
          </reference>
        </references>
      </pivotArea>
    </format>
    <format dxfId="2421">
      <pivotArea field="0" dataOnly="0" labelOnly="1" grandRow="1" outline="0" axis="axisRow" fieldPosition="0">
        <references count="1">
          <reference field="4294967294" count="1" selected="0">
            <x v="33"/>
          </reference>
        </references>
      </pivotArea>
    </format>
    <format dxfId="2420">
      <pivotArea field="0" dataOnly="0" labelOnly="1" grandRow="1" outline="0" axis="axisRow" fieldPosition="0">
        <references count="1">
          <reference field="4294967294" count="1" selected="0">
            <x v="34"/>
          </reference>
        </references>
      </pivotArea>
    </format>
    <format dxfId="2419">
      <pivotArea field="0" dataOnly="0" labelOnly="1" grandRow="1" outline="0" axis="axisRow" fieldPosition="0">
        <references count="1">
          <reference field="4294967294" count="1" selected="0">
            <x v="35"/>
          </reference>
        </references>
      </pivotArea>
    </format>
    <format dxfId="2418">
      <pivotArea field="0" dataOnly="0" labelOnly="1" grandRow="1" outline="0" axis="axisRow" fieldPosition="0">
        <references count="1">
          <reference field="4294967294" count="1" selected="0">
            <x v="0"/>
          </reference>
        </references>
      </pivotArea>
    </format>
    <format dxfId="2417">
      <pivotArea field="0" dataOnly="0" labelOnly="1" grandRow="1" outline="0" axis="axisRow" fieldPosition="0">
        <references count="1">
          <reference field="4294967294" count="1" selected="0">
            <x v="1"/>
          </reference>
        </references>
      </pivotArea>
    </format>
    <format dxfId="2416">
      <pivotArea field="0" dataOnly="0" labelOnly="1" grandRow="1" outline="0" axis="axisRow" fieldPosition="0">
        <references count="1">
          <reference field="4294967294" count="1" selected="0">
            <x v="2"/>
          </reference>
        </references>
      </pivotArea>
    </format>
    <format dxfId="2415">
      <pivotArea field="0" dataOnly="0" labelOnly="1" grandRow="1" outline="0" axis="axisRow" fieldPosition="0">
        <references count="1">
          <reference field="4294967294" count="1" selected="0">
            <x v="3"/>
          </reference>
        </references>
      </pivotArea>
    </format>
    <format dxfId="2414">
      <pivotArea field="0" dataOnly="0" labelOnly="1" grandRow="1" outline="0" axis="axisRow" fieldPosition="0">
        <references count="1">
          <reference field="4294967294" count="1" selected="0">
            <x v="4"/>
          </reference>
        </references>
      </pivotArea>
    </format>
    <format dxfId="2413">
      <pivotArea field="0" dataOnly="0" labelOnly="1" grandRow="1" outline="0" axis="axisRow" fieldPosition="0">
        <references count="1">
          <reference field="4294967294" count="1" selected="0">
            <x v="5"/>
          </reference>
        </references>
      </pivotArea>
    </format>
    <format dxfId="2412">
      <pivotArea field="0" dataOnly="0" labelOnly="1" grandRow="1" outline="0" axis="axisRow" fieldPosition="0">
        <references count="1">
          <reference field="4294967294" count="1" selected="0">
            <x v="6"/>
          </reference>
        </references>
      </pivotArea>
    </format>
    <format dxfId="2411">
      <pivotArea field="0" dataOnly="0" labelOnly="1" grandRow="1" outline="0" axis="axisRow" fieldPosition="0">
        <references count="1">
          <reference field="4294967294" count="1" selected="0">
            <x v="7"/>
          </reference>
        </references>
      </pivotArea>
    </format>
    <format dxfId="2410">
      <pivotArea field="0" dataOnly="0" labelOnly="1" grandRow="1" outline="0" axis="axisRow" fieldPosition="0">
        <references count="1">
          <reference field="4294967294" count="1" selected="0">
            <x v="8"/>
          </reference>
        </references>
      </pivotArea>
    </format>
    <format dxfId="2409">
      <pivotArea field="0" dataOnly="0" labelOnly="1" grandRow="1" outline="0" axis="axisRow" fieldPosition="0">
        <references count="1">
          <reference field="4294967294" count="1" selected="0">
            <x v="9"/>
          </reference>
        </references>
      </pivotArea>
    </format>
    <format dxfId="2408">
      <pivotArea field="0" dataOnly="0" labelOnly="1" grandRow="1" outline="0" axis="axisRow" fieldPosition="0">
        <references count="1">
          <reference field="4294967294" count="1" selected="0">
            <x v="10"/>
          </reference>
        </references>
      </pivotArea>
    </format>
    <format dxfId="2407">
      <pivotArea field="0" dataOnly="0" labelOnly="1" grandRow="1" outline="0" axis="axisRow" fieldPosition="0">
        <references count="1">
          <reference field="4294967294" count="1" selected="0">
            <x v="11"/>
          </reference>
        </references>
      </pivotArea>
    </format>
    <format dxfId="2406">
      <pivotArea field="0" dataOnly="0" labelOnly="1" grandRow="1" outline="0" axis="axisRow" fieldPosition="0">
        <references count="1">
          <reference field="4294967294" count="1" selected="0">
            <x v="12"/>
          </reference>
        </references>
      </pivotArea>
    </format>
    <format dxfId="2405">
      <pivotArea field="0" dataOnly="0" labelOnly="1" grandRow="1" outline="0" axis="axisRow" fieldPosition="0">
        <references count="1">
          <reference field="4294967294" count="1" selected="0">
            <x v="13"/>
          </reference>
        </references>
      </pivotArea>
    </format>
    <format dxfId="2404">
      <pivotArea field="0" dataOnly="0" labelOnly="1" grandRow="1" outline="0" axis="axisRow" fieldPosition="0">
        <references count="1">
          <reference field="4294967294" count="1" selected="0">
            <x v="14"/>
          </reference>
        </references>
      </pivotArea>
    </format>
    <format dxfId="2403">
      <pivotArea field="0" dataOnly="0" labelOnly="1" grandRow="1" outline="0" axis="axisRow" fieldPosition="0">
        <references count="1">
          <reference field="4294967294" count="1" selected="0">
            <x v="15"/>
          </reference>
        </references>
      </pivotArea>
    </format>
    <format dxfId="2402">
      <pivotArea field="0" dataOnly="0" labelOnly="1" grandRow="1" outline="0" axis="axisRow" fieldPosition="0">
        <references count="1">
          <reference field="4294967294" count="1" selected="0">
            <x v="16"/>
          </reference>
        </references>
      </pivotArea>
    </format>
    <format dxfId="2401">
      <pivotArea field="0" dataOnly="0" labelOnly="1" grandRow="1" outline="0" axis="axisRow" fieldPosition="0">
        <references count="1">
          <reference field="4294967294" count="1" selected="0">
            <x v="17"/>
          </reference>
        </references>
      </pivotArea>
    </format>
    <format dxfId="2400">
      <pivotArea field="0" dataOnly="0" labelOnly="1" grandRow="1" outline="0" axis="axisRow" fieldPosition="0">
        <references count="1">
          <reference field="4294967294" count="1" selected="0">
            <x v="18"/>
          </reference>
        </references>
      </pivotArea>
    </format>
    <format dxfId="2399">
      <pivotArea field="0" dataOnly="0" labelOnly="1" grandRow="1" outline="0" axis="axisRow" fieldPosition="0">
        <references count="1">
          <reference field="4294967294" count="1" selected="0">
            <x v="19"/>
          </reference>
        </references>
      </pivotArea>
    </format>
    <format dxfId="2398">
      <pivotArea field="0" dataOnly="0" labelOnly="1" grandRow="1" outline="0" axis="axisRow" fieldPosition="0">
        <references count="1">
          <reference field="4294967294" count="1" selected="0">
            <x v="20"/>
          </reference>
        </references>
      </pivotArea>
    </format>
    <format dxfId="2397">
      <pivotArea field="0" dataOnly="0" labelOnly="1" grandRow="1" outline="0" axis="axisRow" fieldPosition="0">
        <references count="1">
          <reference field="4294967294" count="1" selected="0">
            <x v="21"/>
          </reference>
        </references>
      </pivotArea>
    </format>
    <format dxfId="2396">
      <pivotArea field="0" dataOnly="0" labelOnly="1" grandRow="1" outline="0" axis="axisRow" fieldPosition="0">
        <references count="1">
          <reference field="4294967294" count="1" selected="0">
            <x v="22"/>
          </reference>
        </references>
      </pivotArea>
    </format>
    <format dxfId="2395">
      <pivotArea field="0" dataOnly="0" labelOnly="1" grandRow="1" outline="0" axis="axisRow" fieldPosition="0">
        <references count="1">
          <reference field="4294967294" count="1" selected="0">
            <x v="23"/>
          </reference>
        </references>
      </pivotArea>
    </format>
    <format dxfId="2394">
      <pivotArea field="0" dataOnly="0" labelOnly="1" grandRow="1" outline="0" axis="axisRow" fieldPosition="0">
        <references count="1">
          <reference field="4294967294" count="1" selected="0">
            <x v="24"/>
          </reference>
        </references>
      </pivotArea>
    </format>
    <format dxfId="2393">
      <pivotArea field="0" dataOnly="0" labelOnly="1" grandRow="1" outline="0" axis="axisRow" fieldPosition="0">
        <references count="1">
          <reference field="4294967294" count="1" selected="0">
            <x v="25"/>
          </reference>
        </references>
      </pivotArea>
    </format>
    <format dxfId="2392">
      <pivotArea field="0" dataOnly="0" labelOnly="1" grandRow="1" outline="0" axis="axisRow" fieldPosition="0">
        <references count="1">
          <reference field="4294967294" count="1" selected="0">
            <x v="26"/>
          </reference>
        </references>
      </pivotArea>
    </format>
    <format dxfId="2391">
      <pivotArea field="0" dataOnly="0" labelOnly="1" grandRow="1" outline="0" axis="axisRow" fieldPosition="0">
        <references count="1">
          <reference field="4294967294" count="1" selected="0">
            <x v="27"/>
          </reference>
        </references>
      </pivotArea>
    </format>
    <format dxfId="2390">
      <pivotArea field="0" dataOnly="0" labelOnly="1" grandRow="1" outline="0" axis="axisRow" fieldPosition="0">
        <references count="1">
          <reference field="4294967294" count="1" selected="0">
            <x v="28"/>
          </reference>
        </references>
      </pivotArea>
    </format>
    <format dxfId="2389">
      <pivotArea field="0" dataOnly="0" labelOnly="1" grandRow="1" outline="0" axis="axisRow" fieldPosition="0">
        <references count="1">
          <reference field="4294967294" count="1" selected="0">
            <x v="29"/>
          </reference>
        </references>
      </pivotArea>
    </format>
    <format dxfId="2388">
      <pivotArea field="0" dataOnly="0" labelOnly="1" grandRow="1" outline="0" axis="axisRow" fieldPosition="0">
        <references count="1">
          <reference field="4294967294" count="1" selected="0">
            <x v="30"/>
          </reference>
        </references>
      </pivotArea>
    </format>
    <format dxfId="2387">
      <pivotArea field="0" dataOnly="0" labelOnly="1" grandRow="1" outline="0" axis="axisRow" fieldPosition="0">
        <references count="1">
          <reference field="4294967294" count="1" selected="0">
            <x v="31"/>
          </reference>
        </references>
      </pivotArea>
    </format>
    <format dxfId="2386">
      <pivotArea field="0" dataOnly="0" labelOnly="1" grandRow="1" outline="0" axis="axisRow" fieldPosition="0">
        <references count="1">
          <reference field="4294967294" count="1" selected="0">
            <x v="32"/>
          </reference>
        </references>
      </pivotArea>
    </format>
    <format dxfId="2385">
      <pivotArea field="0" dataOnly="0" labelOnly="1" grandRow="1" outline="0" axis="axisRow" fieldPosition="0">
        <references count="1">
          <reference field="4294967294" count="1" selected="0">
            <x v="33"/>
          </reference>
        </references>
      </pivotArea>
    </format>
    <format dxfId="2384">
      <pivotArea field="0" dataOnly="0" labelOnly="1" grandRow="1" outline="0" axis="axisRow" fieldPosition="0">
        <references count="1">
          <reference field="4294967294" count="1" selected="0">
            <x v="34"/>
          </reference>
        </references>
      </pivotArea>
    </format>
    <format dxfId="2383">
      <pivotArea field="0" dataOnly="0" labelOnly="1" grandRow="1" outline="0" axis="axisRow" fieldPosition="0">
        <references count="1">
          <reference field="4294967294" count="1" selected="0">
            <x v="35"/>
          </reference>
        </references>
      </pivotArea>
    </format>
    <format dxfId="2382">
      <pivotArea field="0" dataOnly="0" labelOnly="1" grandRow="1" outline="0" axis="axisRow" fieldPosition="0">
        <references count="1">
          <reference field="4294967294" count="1" selected="0">
            <x v="0"/>
          </reference>
        </references>
      </pivotArea>
    </format>
    <format dxfId="2381">
      <pivotArea field="0" dataOnly="0" labelOnly="1" grandRow="1" outline="0" axis="axisRow" fieldPosition="0">
        <references count="1">
          <reference field="4294967294" count="1" selected="0">
            <x v="1"/>
          </reference>
        </references>
      </pivotArea>
    </format>
    <format dxfId="2380">
      <pivotArea field="0" dataOnly="0" labelOnly="1" grandRow="1" outline="0" axis="axisRow" fieldPosition="0">
        <references count="1">
          <reference field="4294967294" count="1" selected="0">
            <x v="2"/>
          </reference>
        </references>
      </pivotArea>
    </format>
    <format dxfId="2379">
      <pivotArea field="0" dataOnly="0" labelOnly="1" grandRow="1" outline="0" axis="axisRow" fieldPosition="0">
        <references count="1">
          <reference field="4294967294" count="1" selected="0">
            <x v="3"/>
          </reference>
        </references>
      </pivotArea>
    </format>
    <format dxfId="2378">
      <pivotArea field="0" dataOnly="0" labelOnly="1" grandRow="1" outline="0" axis="axisRow" fieldPosition="0">
        <references count="1">
          <reference field="4294967294" count="1" selected="0">
            <x v="4"/>
          </reference>
        </references>
      </pivotArea>
    </format>
    <format dxfId="2377">
      <pivotArea field="0" dataOnly="0" labelOnly="1" grandRow="1" outline="0" axis="axisRow" fieldPosition="0">
        <references count="1">
          <reference field="4294967294" count="1" selected="0">
            <x v="5"/>
          </reference>
        </references>
      </pivotArea>
    </format>
    <format dxfId="2376">
      <pivotArea field="0" dataOnly="0" labelOnly="1" grandRow="1" outline="0" axis="axisRow" fieldPosition="0">
        <references count="1">
          <reference field="4294967294" count="1" selected="0">
            <x v="6"/>
          </reference>
        </references>
      </pivotArea>
    </format>
    <format dxfId="2375">
      <pivotArea field="0" dataOnly="0" labelOnly="1" grandRow="1" outline="0" axis="axisRow" fieldPosition="0">
        <references count="1">
          <reference field="4294967294" count="1" selected="0">
            <x v="7"/>
          </reference>
        </references>
      </pivotArea>
    </format>
    <format dxfId="2374">
      <pivotArea field="0" dataOnly="0" labelOnly="1" grandRow="1" outline="0" axis="axisRow" fieldPosition="0">
        <references count="1">
          <reference field="4294967294" count="1" selected="0">
            <x v="8"/>
          </reference>
        </references>
      </pivotArea>
    </format>
    <format dxfId="2373">
      <pivotArea field="0" dataOnly="0" labelOnly="1" grandRow="1" outline="0" axis="axisRow" fieldPosition="0">
        <references count="1">
          <reference field="4294967294" count="1" selected="0">
            <x v="9"/>
          </reference>
        </references>
      </pivotArea>
    </format>
    <format dxfId="2372">
      <pivotArea field="0" dataOnly="0" labelOnly="1" grandRow="1" outline="0" axis="axisRow" fieldPosition="0">
        <references count="1">
          <reference field="4294967294" count="1" selected="0">
            <x v="10"/>
          </reference>
        </references>
      </pivotArea>
    </format>
    <format dxfId="2371">
      <pivotArea field="0" dataOnly="0" labelOnly="1" grandRow="1" outline="0" axis="axisRow" fieldPosition="0">
        <references count="1">
          <reference field="4294967294" count="1" selected="0">
            <x v="11"/>
          </reference>
        </references>
      </pivotArea>
    </format>
    <format dxfId="2370">
      <pivotArea field="0" dataOnly="0" labelOnly="1" grandRow="1" outline="0" axis="axisRow" fieldPosition="0">
        <references count="1">
          <reference field="4294967294" count="1" selected="0">
            <x v="12"/>
          </reference>
        </references>
      </pivotArea>
    </format>
    <format dxfId="2369">
      <pivotArea field="0" dataOnly="0" labelOnly="1" grandRow="1" outline="0" axis="axisRow" fieldPosition="0">
        <references count="1">
          <reference field="4294967294" count="1" selected="0">
            <x v="13"/>
          </reference>
        </references>
      </pivotArea>
    </format>
    <format dxfId="2368">
      <pivotArea field="0" dataOnly="0" labelOnly="1" grandRow="1" outline="0" axis="axisRow" fieldPosition="0">
        <references count="1">
          <reference field="4294967294" count="1" selected="0">
            <x v="14"/>
          </reference>
        </references>
      </pivotArea>
    </format>
    <format dxfId="2367">
      <pivotArea field="0" dataOnly="0" labelOnly="1" grandRow="1" outline="0" axis="axisRow" fieldPosition="0">
        <references count="1">
          <reference field="4294967294" count="1" selected="0">
            <x v="15"/>
          </reference>
        </references>
      </pivotArea>
    </format>
    <format dxfId="2366">
      <pivotArea field="0" dataOnly="0" labelOnly="1" grandRow="1" outline="0" axis="axisRow" fieldPosition="0">
        <references count="1">
          <reference field="4294967294" count="1" selected="0">
            <x v="16"/>
          </reference>
        </references>
      </pivotArea>
    </format>
    <format dxfId="2365">
      <pivotArea field="0" dataOnly="0" labelOnly="1" grandRow="1" outline="0" axis="axisRow" fieldPosition="0">
        <references count="1">
          <reference field="4294967294" count="1" selected="0">
            <x v="17"/>
          </reference>
        </references>
      </pivotArea>
    </format>
    <format dxfId="2364">
      <pivotArea field="0" dataOnly="0" labelOnly="1" grandRow="1" outline="0" axis="axisRow" fieldPosition="0">
        <references count="1">
          <reference field="4294967294" count="1" selected="0">
            <x v="18"/>
          </reference>
        </references>
      </pivotArea>
    </format>
    <format dxfId="2363">
      <pivotArea field="0" dataOnly="0" labelOnly="1" grandRow="1" outline="0" axis="axisRow" fieldPosition="0">
        <references count="1">
          <reference field="4294967294" count="1" selected="0">
            <x v="19"/>
          </reference>
        </references>
      </pivotArea>
    </format>
    <format dxfId="2362">
      <pivotArea field="0" dataOnly="0" labelOnly="1" grandRow="1" outline="0" axis="axisRow" fieldPosition="0">
        <references count="1">
          <reference field="4294967294" count="1" selected="0">
            <x v="20"/>
          </reference>
        </references>
      </pivotArea>
    </format>
    <format dxfId="2361">
      <pivotArea field="0" dataOnly="0" labelOnly="1" grandRow="1" outline="0" axis="axisRow" fieldPosition="0">
        <references count="1">
          <reference field="4294967294" count="1" selected="0">
            <x v="21"/>
          </reference>
        </references>
      </pivotArea>
    </format>
    <format dxfId="2360">
      <pivotArea field="0" dataOnly="0" labelOnly="1" grandRow="1" outline="0" axis="axisRow" fieldPosition="0">
        <references count="1">
          <reference field="4294967294" count="1" selected="0">
            <x v="22"/>
          </reference>
        </references>
      </pivotArea>
    </format>
    <format dxfId="2359">
      <pivotArea field="0" dataOnly="0" labelOnly="1" grandRow="1" outline="0" axis="axisRow" fieldPosition="0">
        <references count="1">
          <reference field="4294967294" count="1" selected="0">
            <x v="23"/>
          </reference>
        </references>
      </pivotArea>
    </format>
    <format dxfId="2358">
      <pivotArea field="0" dataOnly="0" labelOnly="1" grandRow="1" outline="0" axis="axisRow" fieldPosition="0">
        <references count="1">
          <reference field="4294967294" count="1" selected="0">
            <x v="24"/>
          </reference>
        </references>
      </pivotArea>
    </format>
    <format dxfId="2357">
      <pivotArea field="0" dataOnly="0" labelOnly="1" grandRow="1" outline="0" axis="axisRow" fieldPosition="0">
        <references count="1">
          <reference field="4294967294" count="1" selected="0">
            <x v="25"/>
          </reference>
        </references>
      </pivotArea>
    </format>
    <format dxfId="2356">
      <pivotArea field="0" dataOnly="0" labelOnly="1" grandRow="1" outline="0" axis="axisRow" fieldPosition="0">
        <references count="1">
          <reference field="4294967294" count="1" selected="0">
            <x v="26"/>
          </reference>
        </references>
      </pivotArea>
    </format>
    <format dxfId="2355">
      <pivotArea field="0" dataOnly="0" labelOnly="1" grandRow="1" outline="0" axis="axisRow" fieldPosition="0">
        <references count="1">
          <reference field="4294967294" count="1" selected="0">
            <x v="27"/>
          </reference>
        </references>
      </pivotArea>
    </format>
    <format dxfId="2354">
      <pivotArea field="0" dataOnly="0" labelOnly="1" grandRow="1" outline="0" axis="axisRow" fieldPosition="0">
        <references count="1">
          <reference field="4294967294" count="1" selected="0">
            <x v="28"/>
          </reference>
        </references>
      </pivotArea>
    </format>
    <format dxfId="2353">
      <pivotArea field="0" dataOnly="0" labelOnly="1" grandRow="1" outline="0" axis="axisRow" fieldPosition="0">
        <references count="1">
          <reference field="4294967294" count="1" selected="0">
            <x v="29"/>
          </reference>
        </references>
      </pivotArea>
    </format>
    <format dxfId="2352">
      <pivotArea field="0" dataOnly="0" labelOnly="1" grandRow="1" outline="0" axis="axisRow" fieldPosition="0">
        <references count="1">
          <reference field="4294967294" count="1" selected="0">
            <x v="30"/>
          </reference>
        </references>
      </pivotArea>
    </format>
    <format dxfId="2351">
      <pivotArea field="0" dataOnly="0" labelOnly="1" grandRow="1" outline="0" axis="axisRow" fieldPosition="0">
        <references count="1">
          <reference field="4294967294" count="1" selected="0">
            <x v="31"/>
          </reference>
        </references>
      </pivotArea>
    </format>
    <format dxfId="2350">
      <pivotArea field="0" dataOnly="0" labelOnly="1" grandRow="1" outline="0" axis="axisRow" fieldPosition="0">
        <references count="1">
          <reference field="4294967294" count="1" selected="0">
            <x v="32"/>
          </reference>
        </references>
      </pivotArea>
    </format>
    <format dxfId="2349">
      <pivotArea field="0" dataOnly="0" labelOnly="1" grandRow="1" outline="0" axis="axisRow" fieldPosition="0">
        <references count="1">
          <reference field="4294967294" count="1" selected="0">
            <x v="33"/>
          </reference>
        </references>
      </pivotArea>
    </format>
    <format dxfId="2348">
      <pivotArea field="0" dataOnly="0" labelOnly="1" grandRow="1" outline="0" axis="axisRow" fieldPosition="0">
        <references count="1">
          <reference field="4294967294" count="1" selected="0">
            <x v="34"/>
          </reference>
        </references>
      </pivotArea>
    </format>
    <format dxfId="2347">
      <pivotArea field="0" dataOnly="0" labelOnly="1" grandRow="1" outline="0" axis="axisRow" fieldPosition="0">
        <references count="1">
          <reference field="4294967294" count="1" selected="0">
            <x v="35"/>
          </reference>
        </references>
      </pivotArea>
    </format>
    <format dxfId="2346">
      <pivotArea field="0" dataOnly="0" labelOnly="1" grandRow="1" outline="0" axis="axisRow" fieldPosition="0">
        <references count="1">
          <reference field="4294967294" count="1" selected="0">
            <x v="0"/>
          </reference>
        </references>
      </pivotArea>
    </format>
    <format dxfId="2345">
      <pivotArea field="0" dataOnly="0" labelOnly="1" grandRow="1" outline="0" axis="axisRow" fieldPosition="0">
        <references count="1">
          <reference field="4294967294" count="1" selected="0">
            <x v="1"/>
          </reference>
        </references>
      </pivotArea>
    </format>
    <format dxfId="2344">
      <pivotArea field="0" dataOnly="0" labelOnly="1" grandRow="1" outline="0" axis="axisRow" fieldPosition="0">
        <references count="1">
          <reference field="4294967294" count="1" selected="0">
            <x v="2"/>
          </reference>
        </references>
      </pivotArea>
    </format>
    <format dxfId="2343">
      <pivotArea field="0" dataOnly="0" labelOnly="1" grandRow="1" outline="0" axis="axisRow" fieldPosition="0">
        <references count="1">
          <reference field="4294967294" count="1" selected="0">
            <x v="3"/>
          </reference>
        </references>
      </pivotArea>
    </format>
    <format dxfId="2342">
      <pivotArea field="0" dataOnly="0" labelOnly="1" grandRow="1" outline="0" axis="axisRow" fieldPosition="0">
        <references count="1">
          <reference field="4294967294" count="1" selected="0">
            <x v="4"/>
          </reference>
        </references>
      </pivotArea>
    </format>
    <format dxfId="2341">
      <pivotArea field="0" dataOnly="0" labelOnly="1" grandRow="1" outline="0" axis="axisRow" fieldPosition="0">
        <references count="1">
          <reference field="4294967294" count="1" selected="0">
            <x v="5"/>
          </reference>
        </references>
      </pivotArea>
    </format>
    <format dxfId="2340">
      <pivotArea field="0" dataOnly="0" labelOnly="1" grandRow="1" outline="0" axis="axisRow" fieldPosition="0">
        <references count="1">
          <reference field="4294967294" count="1" selected="0">
            <x v="6"/>
          </reference>
        </references>
      </pivotArea>
    </format>
    <format dxfId="2339">
      <pivotArea field="0" dataOnly="0" labelOnly="1" grandRow="1" outline="0" axis="axisRow" fieldPosition="0">
        <references count="1">
          <reference field="4294967294" count="1" selected="0">
            <x v="7"/>
          </reference>
        </references>
      </pivotArea>
    </format>
    <format dxfId="2338">
      <pivotArea field="0" dataOnly="0" labelOnly="1" grandRow="1" outline="0" axis="axisRow" fieldPosition="0">
        <references count="1">
          <reference field="4294967294" count="1" selected="0">
            <x v="8"/>
          </reference>
        </references>
      </pivotArea>
    </format>
    <format dxfId="2337">
      <pivotArea field="0" dataOnly="0" labelOnly="1" grandRow="1" outline="0" axis="axisRow" fieldPosition="0">
        <references count="1">
          <reference field="4294967294" count="1" selected="0">
            <x v="9"/>
          </reference>
        </references>
      </pivotArea>
    </format>
    <format dxfId="2336">
      <pivotArea field="0" dataOnly="0" labelOnly="1" grandRow="1" outline="0" axis="axisRow" fieldPosition="0">
        <references count="1">
          <reference field="4294967294" count="1" selected="0">
            <x v="10"/>
          </reference>
        </references>
      </pivotArea>
    </format>
    <format dxfId="2335">
      <pivotArea field="0" dataOnly="0" labelOnly="1" grandRow="1" outline="0" axis="axisRow" fieldPosition="0">
        <references count="1">
          <reference field="4294967294" count="1" selected="0">
            <x v="11"/>
          </reference>
        </references>
      </pivotArea>
    </format>
    <format dxfId="2334">
      <pivotArea field="0" dataOnly="0" labelOnly="1" grandRow="1" outline="0" axis="axisRow" fieldPosition="0">
        <references count="1">
          <reference field="4294967294" count="1" selected="0">
            <x v="12"/>
          </reference>
        </references>
      </pivotArea>
    </format>
    <format dxfId="2333">
      <pivotArea field="0" dataOnly="0" labelOnly="1" grandRow="1" outline="0" axis="axisRow" fieldPosition="0">
        <references count="1">
          <reference field="4294967294" count="1" selected="0">
            <x v="13"/>
          </reference>
        </references>
      </pivotArea>
    </format>
    <format dxfId="2332">
      <pivotArea field="0" dataOnly="0" labelOnly="1" grandRow="1" outline="0" axis="axisRow" fieldPosition="0">
        <references count="1">
          <reference field="4294967294" count="1" selected="0">
            <x v="14"/>
          </reference>
        </references>
      </pivotArea>
    </format>
    <format dxfId="2331">
      <pivotArea field="0" dataOnly="0" labelOnly="1" grandRow="1" outline="0" axis="axisRow" fieldPosition="0">
        <references count="1">
          <reference field="4294967294" count="1" selected="0">
            <x v="15"/>
          </reference>
        </references>
      </pivotArea>
    </format>
    <format dxfId="2330">
      <pivotArea field="0" dataOnly="0" labelOnly="1" grandRow="1" outline="0" axis="axisRow" fieldPosition="0">
        <references count="1">
          <reference field="4294967294" count="1" selected="0">
            <x v="16"/>
          </reference>
        </references>
      </pivotArea>
    </format>
    <format dxfId="2329">
      <pivotArea field="0" dataOnly="0" labelOnly="1" grandRow="1" outline="0" axis="axisRow" fieldPosition="0">
        <references count="1">
          <reference field="4294967294" count="1" selected="0">
            <x v="17"/>
          </reference>
        </references>
      </pivotArea>
    </format>
    <format dxfId="2328">
      <pivotArea field="0" dataOnly="0" labelOnly="1" grandRow="1" outline="0" axis="axisRow" fieldPosition="0">
        <references count="1">
          <reference field="4294967294" count="1" selected="0">
            <x v="18"/>
          </reference>
        </references>
      </pivotArea>
    </format>
    <format dxfId="2327">
      <pivotArea field="0" dataOnly="0" labelOnly="1" grandRow="1" outline="0" axis="axisRow" fieldPosition="0">
        <references count="1">
          <reference field="4294967294" count="1" selected="0">
            <x v="19"/>
          </reference>
        </references>
      </pivotArea>
    </format>
    <format dxfId="2326">
      <pivotArea field="0" dataOnly="0" labelOnly="1" grandRow="1" outline="0" axis="axisRow" fieldPosition="0">
        <references count="1">
          <reference field="4294967294" count="1" selected="0">
            <x v="20"/>
          </reference>
        </references>
      </pivotArea>
    </format>
    <format dxfId="2325">
      <pivotArea field="0" dataOnly="0" labelOnly="1" grandRow="1" outline="0" axis="axisRow" fieldPosition="0">
        <references count="1">
          <reference field="4294967294" count="1" selected="0">
            <x v="21"/>
          </reference>
        </references>
      </pivotArea>
    </format>
    <format dxfId="2324">
      <pivotArea field="0" dataOnly="0" labelOnly="1" grandRow="1" outline="0" axis="axisRow" fieldPosition="0">
        <references count="1">
          <reference field="4294967294" count="1" selected="0">
            <x v="22"/>
          </reference>
        </references>
      </pivotArea>
    </format>
    <format dxfId="2323">
      <pivotArea field="0" dataOnly="0" labelOnly="1" grandRow="1" outline="0" axis="axisRow" fieldPosition="0">
        <references count="1">
          <reference field="4294967294" count="1" selected="0">
            <x v="23"/>
          </reference>
        </references>
      </pivotArea>
    </format>
    <format dxfId="2322">
      <pivotArea field="0" dataOnly="0" labelOnly="1" grandRow="1" outline="0" axis="axisRow" fieldPosition="0">
        <references count="1">
          <reference field="4294967294" count="1" selected="0">
            <x v="24"/>
          </reference>
        </references>
      </pivotArea>
    </format>
    <format dxfId="2321">
      <pivotArea field="0" dataOnly="0" labelOnly="1" grandRow="1" outline="0" axis="axisRow" fieldPosition="0">
        <references count="1">
          <reference field="4294967294" count="1" selected="0">
            <x v="25"/>
          </reference>
        </references>
      </pivotArea>
    </format>
    <format dxfId="2320">
      <pivotArea field="0" dataOnly="0" labelOnly="1" grandRow="1" outline="0" axis="axisRow" fieldPosition="0">
        <references count="1">
          <reference field="4294967294" count="1" selected="0">
            <x v="26"/>
          </reference>
        </references>
      </pivotArea>
    </format>
    <format dxfId="2319">
      <pivotArea field="0" dataOnly="0" labelOnly="1" grandRow="1" outline="0" axis="axisRow" fieldPosition="0">
        <references count="1">
          <reference field="4294967294" count="1" selected="0">
            <x v="27"/>
          </reference>
        </references>
      </pivotArea>
    </format>
    <format dxfId="2318">
      <pivotArea field="0" dataOnly="0" labelOnly="1" grandRow="1" outline="0" axis="axisRow" fieldPosition="0">
        <references count="1">
          <reference field="4294967294" count="1" selected="0">
            <x v="28"/>
          </reference>
        </references>
      </pivotArea>
    </format>
    <format dxfId="2317">
      <pivotArea field="0" dataOnly="0" labelOnly="1" grandRow="1" outline="0" axis="axisRow" fieldPosition="0">
        <references count="1">
          <reference field="4294967294" count="1" selected="0">
            <x v="29"/>
          </reference>
        </references>
      </pivotArea>
    </format>
    <format dxfId="2316">
      <pivotArea field="0" dataOnly="0" labelOnly="1" grandRow="1" outline="0" axis="axisRow" fieldPosition="0">
        <references count="1">
          <reference field="4294967294" count="1" selected="0">
            <x v="30"/>
          </reference>
        </references>
      </pivotArea>
    </format>
    <format dxfId="2315">
      <pivotArea field="0" dataOnly="0" labelOnly="1" grandRow="1" outline="0" axis="axisRow" fieldPosition="0">
        <references count="1">
          <reference field="4294967294" count="1" selected="0">
            <x v="31"/>
          </reference>
        </references>
      </pivotArea>
    </format>
    <format dxfId="2314">
      <pivotArea field="0" dataOnly="0" labelOnly="1" grandRow="1" outline="0" axis="axisRow" fieldPosition="0">
        <references count="1">
          <reference field="4294967294" count="1" selected="0">
            <x v="32"/>
          </reference>
        </references>
      </pivotArea>
    </format>
    <format dxfId="2313">
      <pivotArea field="0" dataOnly="0" labelOnly="1" grandRow="1" outline="0" axis="axisRow" fieldPosition="0">
        <references count="1">
          <reference field="4294967294" count="1" selected="0">
            <x v="33"/>
          </reference>
        </references>
      </pivotArea>
    </format>
    <format dxfId="2312">
      <pivotArea field="0" dataOnly="0" labelOnly="1" grandRow="1" outline="0" axis="axisRow" fieldPosition="0">
        <references count="1">
          <reference field="4294967294" count="1" selected="0">
            <x v="34"/>
          </reference>
        </references>
      </pivotArea>
    </format>
    <format dxfId="2311">
      <pivotArea field="0" dataOnly="0" labelOnly="1" grandRow="1" outline="0" axis="axisRow" fieldPosition="0">
        <references count="1">
          <reference field="4294967294" count="1" selected="0">
            <x v="35"/>
          </reference>
        </references>
      </pivotArea>
    </format>
    <format dxfId="2310">
      <pivotArea field="0" dataOnly="0" labelOnly="1" grandRow="1" outline="0" axis="axisRow" fieldPosition="0">
        <references count="1">
          <reference field="4294967294" count="1" selected="0">
            <x v="0"/>
          </reference>
        </references>
      </pivotArea>
    </format>
    <format dxfId="2309">
      <pivotArea field="0" dataOnly="0" labelOnly="1" grandRow="1" outline="0" axis="axisRow" fieldPosition="0">
        <references count="1">
          <reference field="4294967294" count="1" selected="0">
            <x v="1"/>
          </reference>
        </references>
      </pivotArea>
    </format>
    <format dxfId="2308">
      <pivotArea field="0" dataOnly="0" labelOnly="1" grandRow="1" outline="0" axis="axisRow" fieldPosition="0">
        <references count="1">
          <reference field="4294967294" count="1" selected="0">
            <x v="2"/>
          </reference>
        </references>
      </pivotArea>
    </format>
    <format dxfId="2307">
      <pivotArea field="0" dataOnly="0" labelOnly="1" grandRow="1" outline="0" axis="axisRow" fieldPosition="0">
        <references count="1">
          <reference field="4294967294" count="1" selected="0">
            <x v="3"/>
          </reference>
        </references>
      </pivotArea>
    </format>
    <format dxfId="2306">
      <pivotArea field="0" dataOnly="0" labelOnly="1" grandRow="1" outline="0" axis="axisRow" fieldPosition="0">
        <references count="1">
          <reference field="4294967294" count="1" selected="0">
            <x v="4"/>
          </reference>
        </references>
      </pivotArea>
    </format>
    <format dxfId="2305">
      <pivotArea field="0" dataOnly="0" labelOnly="1" grandRow="1" outline="0" axis="axisRow" fieldPosition="0">
        <references count="1">
          <reference field="4294967294" count="1" selected="0">
            <x v="5"/>
          </reference>
        </references>
      </pivotArea>
    </format>
    <format dxfId="2304">
      <pivotArea field="0" dataOnly="0" labelOnly="1" grandRow="1" outline="0" axis="axisRow" fieldPosition="0">
        <references count="1">
          <reference field="4294967294" count="1" selected="0">
            <x v="6"/>
          </reference>
        </references>
      </pivotArea>
    </format>
    <format dxfId="2303">
      <pivotArea field="0" dataOnly="0" labelOnly="1" grandRow="1" outline="0" axis="axisRow" fieldPosition="0">
        <references count="1">
          <reference field="4294967294" count="1" selected="0">
            <x v="7"/>
          </reference>
        </references>
      </pivotArea>
    </format>
    <format dxfId="2302">
      <pivotArea field="0" dataOnly="0" labelOnly="1" grandRow="1" outline="0" axis="axisRow" fieldPosition="0">
        <references count="1">
          <reference field="4294967294" count="1" selected="0">
            <x v="8"/>
          </reference>
        </references>
      </pivotArea>
    </format>
    <format dxfId="2301">
      <pivotArea field="0" dataOnly="0" labelOnly="1" grandRow="1" outline="0" axis="axisRow" fieldPosition="0">
        <references count="1">
          <reference field="4294967294" count="1" selected="0">
            <x v="9"/>
          </reference>
        </references>
      </pivotArea>
    </format>
    <format dxfId="2300">
      <pivotArea field="0" dataOnly="0" labelOnly="1" grandRow="1" outline="0" axis="axisRow" fieldPosition="0">
        <references count="1">
          <reference field="4294967294" count="1" selected="0">
            <x v="10"/>
          </reference>
        </references>
      </pivotArea>
    </format>
    <format dxfId="2299">
      <pivotArea field="0" dataOnly="0" labelOnly="1" grandRow="1" outline="0" axis="axisRow" fieldPosition="0">
        <references count="1">
          <reference field="4294967294" count="1" selected="0">
            <x v="11"/>
          </reference>
        </references>
      </pivotArea>
    </format>
    <format dxfId="2298">
      <pivotArea field="0" dataOnly="0" labelOnly="1" grandRow="1" outline="0" axis="axisRow" fieldPosition="0">
        <references count="1">
          <reference field="4294967294" count="1" selected="0">
            <x v="12"/>
          </reference>
        </references>
      </pivotArea>
    </format>
    <format dxfId="2297">
      <pivotArea field="0" dataOnly="0" labelOnly="1" grandRow="1" outline="0" axis="axisRow" fieldPosition="0">
        <references count="1">
          <reference field="4294967294" count="1" selected="0">
            <x v="13"/>
          </reference>
        </references>
      </pivotArea>
    </format>
    <format dxfId="2296">
      <pivotArea field="0" dataOnly="0" labelOnly="1" grandRow="1" outline="0" axis="axisRow" fieldPosition="0">
        <references count="1">
          <reference field="4294967294" count="1" selected="0">
            <x v="14"/>
          </reference>
        </references>
      </pivotArea>
    </format>
    <format dxfId="2295">
      <pivotArea field="0" dataOnly="0" labelOnly="1" grandRow="1" outline="0" axis="axisRow" fieldPosition="0">
        <references count="1">
          <reference field="4294967294" count="1" selected="0">
            <x v="15"/>
          </reference>
        </references>
      </pivotArea>
    </format>
    <format dxfId="2294">
      <pivotArea field="0" dataOnly="0" labelOnly="1" grandRow="1" outline="0" axis="axisRow" fieldPosition="0">
        <references count="1">
          <reference field="4294967294" count="1" selected="0">
            <x v="16"/>
          </reference>
        </references>
      </pivotArea>
    </format>
    <format dxfId="2293">
      <pivotArea field="0" dataOnly="0" labelOnly="1" grandRow="1" outline="0" axis="axisRow" fieldPosition="0">
        <references count="1">
          <reference field="4294967294" count="1" selected="0">
            <x v="17"/>
          </reference>
        </references>
      </pivotArea>
    </format>
    <format dxfId="2292">
      <pivotArea field="0" dataOnly="0" labelOnly="1" grandRow="1" outline="0" axis="axisRow" fieldPosition="0">
        <references count="1">
          <reference field="4294967294" count="1" selected="0">
            <x v="18"/>
          </reference>
        </references>
      </pivotArea>
    </format>
    <format dxfId="2291">
      <pivotArea field="0" dataOnly="0" labelOnly="1" grandRow="1" outline="0" axis="axisRow" fieldPosition="0">
        <references count="1">
          <reference field="4294967294" count="1" selected="0">
            <x v="19"/>
          </reference>
        </references>
      </pivotArea>
    </format>
    <format dxfId="2290">
      <pivotArea field="0" dataOnly="0" labelOnly="1" grandRow="1" outline="0" axis="axisRow" fieldPosition="0">
        <references count="1">
          <reference field="4294967294" count="1" selected="0">
            <x v="20"/>
          </reference>
        </references>
      </pivotArea>
    </format>
    <format dxfId="2289">
      <pivotArea field="0" dataOnly="0" labelOnly="1" grandRow="1" outline="0" axis="axisRow" fieldPosition="0">
        <references count="1">
          <reference field="4294967294" count="1" selected="0">
            <x v="21"/>
          </reference>
        </references>
      </pivotArea>
    </format>
    <format dxfId="2288">
      <pivotArea field="0" dataOnly="0" labelOnly="1" grandRow="1" outline="0" axis="axisRow" fieldPosition="0">
        <references count="1">
          <reference field="4294967294" count="1" selected="0">
            <x v="22"/>
          </reference>
        </references>
      </pivotArea>
    </format>
    <format dxfId="2287">
      <pivotArea field="0" dataOnly="0" labelOnly="1" grandRow="1" outline="0" axis="axisRow" fieldPosition="0">
        <references count="1">
          <reference field="4294967294" count="1" selected="0">
            <x v="23"/>
          </reference>
        </references>
      </pivotArea>
    </format>
    <format dxfId="2286">
      <pivotArea field="0" dataOnly="0" labelOnly="1" grandRow="1" outline="0" axis="axisRow" fieldPosition="0">
        <references count="1">
          <reference field="4294967294" count="1" selected="0">
            <x v="24"/>
          </reference>
        </references>
      </pivotArea>
    </format>
    <format dxfId="2285">
      <pivotArea field="0" dataOnly="0" labelOnly="1" grandRow="1" outline="0" axis="axisRow" fieldPosition="0">
        <references count="1">
          <reference field="4294967294" count="1" selected="0">
            <x v="25"/>
          </reference>
        </references>
      </pivotArea>
    </format>
    <format dxfId="2284">
      <pivotArea field="0" dataOnly="0" labelOnly="1" grandRow="1" outline="0" axis="axisRow" fieldPosition="0">
        <references count="1">
          <reference field="4294967294" count="1" selected="0">
            <x v="26"/>
          </reference>
        </references>
      </pivotArea>
    </format>
    <format dxfId="2283">
      <pivotArea field="0" dataOnly="0" labelOnly="1" grandRow="1" outline="0" axis="axisRow" fieldPosition="0">
        <references count="1">
          <reference field="4294967294" count="1" selected="0">
            <x v="27"/>
          </reference>
        </references>
      </pivotArea>
    </format>
    <format dxfId="2282">
      <pivotArea field="0" dataOnly="0" labelOnly="1" grandRow="1" outline="0" axis="axisRow" fieldPosition="0">
        <references count="1">
          <reference field="4294967294" count="1" selected="0">
            <x v="28"/>
          </reference>
        </references>
      </pivotArea>
    </format>
    <format dxfId="2281">
      <pivotArea field="0" dataOnly="0" labelOnly="1" grandRow="1" outline="0" axis="axisRow" fieldPosition="0">
        <references count="1">
          <reference field="4294967294" count="1" selected="0">
            <x v="29"/>
          </reference>
        </references>
      </pivotArea>
    </format>
    <format dxfId="2280">
      <pivotArea field="0" dataOnly="0" labelOnly="1" grandRow="1" outline="0" axis="axisRow" fieldPosition="0">
        <references count="1">
          <reference field="4294967294" count="1" selected="0">
            <x v="30"/>
          </reference>
        </references>
      </pivotArea>
    </format>
    <format dxfId="2279">
      <pivotArea field="0" dataOnly="0" labelOnly="1" grandRow="1" outline="0" axis="axisRow" fieldPosition="0">
        <references count="1">
          <reference field="4294967294" count="1" selected="0">
            <x v="31"/>
          </reference>
        </references>
      </pivotArea>
    </format>
    <format dxfId="2278">
      <pivotArea field="0" dataOnly="0" labelOnly="1" grandRow="1" outline="0" axis="axisRow" fieldPosition="0">
        <references count="1">
          <reference field="4294967294" count="1" selected="0">
            <x v="32"/>
          </reference>
        </references>
      </pivotArea>
    </format>
    <format dxfId="2277">
      <pivotArea field="0" dataOnly="0" labelOnly="1" grandRow="1" outline="0" axis="axisRow" fieldPosition="0">
        <references count="1">
          <reference field="4294967294" count="1" selected="0">
            <x v="33"/>
          </reference>
        </references>
      </pivotArea>
    </format>
    <format dxfId="2276">
      <pivotArea field="0" dataOnly="0" labelOnly="1" grandRow="1" outline="0" axis="axisRow" fieldPosition="0">
        <references count="1">
          <reference field="4294967294" count="1" selected="0">
            <x v="34"/>
          </reference>
        </references>
      </pivotArea>
    </format>
    <format dxfId="2275">
      <pivotArea field="0" dataOnly="0" labelOnly="1" grandRow="1" outline="0" axis="axisRow" fieldPosition="0">
        <references count="1">
          <reference field="4294967294" count="1" selected="0">
            <x v="35"/>
          </reference>
        </references>
      </pivotArea>
    </format>
    <format dxfId="2274">
      <pivotArea field="0" dataOnly="0" labelOnly="1" grandRow="1" outline="0" axis="axisRow" fieldPosition="0">
        <references count="1">
          <reference field="4294967294" count="1" selected="0">
            <x v="0"/>
          </reference>
        </references>
      </pivotArea>
    </format>
    <format dxfId="2273">
      <pivotArea field="0" dataOnly="0" labelOnly="1" grandRow="1" outline="0" axis="axisRow" fieldPosition="0">
        <references count="1">
          <reference field="4294967294" count="1" selected="0">
            <x v="1"/>
          </reference>
        </references>
      </pivotArea>
    </format>
    <format dxfId="2272">
      <pivotArea field="0" dataOnly="0" labelOnly="1" grandRow="1" outline="0" axis="axisRow" fieldPosition="0">
        <references count="1">
          <reference field="4294967294" count="1" selected="0">
            <x v="2"/>
          </reference>
        </references>
      </pivotArea>
    </format>
    <format dxfId="2271">
      <pivotArea field="0" dataOnly="0" labelOnly="1" grandRow="1" outline="0" axis="axisRow" fieldPosition="0">
        <references count="1">
          <reference field="4294967294" count="1" selected="0">
            <x v="3"/>
          </reference>
        </references>
      </pivotArea>
    </format>
    <format dxfId="2270">
      <pivotArea field="0" dataOnly="0" labelOnly="1" grandRow="1" outline="0" axis="axisRow" fieldPosition="0">
        <references count="1">
          <reference field="4294967294" count="1" selected="0">
            <x v="4"/>
          </reference>
        </references>
      </pivotArea>
    </format>
    <format dxfId="2269">
      <pivotArea field="0" dataOnly="0" labelOnly="1" grandRow="1" outline="0" axis="axisRow" fieldPosition="0">
        <references count="1">
          <reference field="4294967294" count="1" selected="0">
            <x v="5"/>
          </reference>
        </references>
      </pivotArea>
    </format>
    <format dxfId="2268">
      <pivotArea field="0" dataOnly="0" labelOnly="1" grandRow="1" outline="0" axis="axisRow" fieldPosition="0">
        <references count="1">
          <reference field="4294967294" count="1" selected="0">
            <x v="6"/>
          </reference>
        </references>
      </pivotArea>
    </format>
    <format dxfId="2267">
      <pivotArea field="0" dataOnly="0" labelOnly="1" grandRow="1" outline="0" axis="axisRow" fieldPosition="0">
        <references count="1">
          <reference field="4294967294" count="1" selected="0">
            <x v="7"/>
          </reference>
        </references>
      </pivotArea>
    </format>
    <format dxfId="2266">
      <pivotArea field="0" dataOnly="0" labelOnly="1" grandRow="1" outline="0" axis="axisRow" fieldPosition="0">
        <references count="1">
          <reference field="4294967294" count="1" selected="0">
            <x v="8"/>
          </reference>
        </references>
      </pivotArea>
    </format>
    <format dxfId="2265">
      <pivotArea field="0" dataOnly="0" labelOnly="1" grandRow="1" outline="0" axis="axisRow" fieldPosition="0">
        <references count="1">
          <reference field="4294967294" count="1" selected="0">
            <x v="9"/>
          </reference>
        </references>
      </pivotArea>
    </format>
    <format dxfId="2264">
      <pivotArea field="0" dataOnly="0" labelOnly="1" grandRow="1" outline="0" axis="axisRow" fieldPosition="0">
        <references count="1">
          <reference field="4294967294" count="1" selected="0">
            <x v="10"/>
          </reference>
        </references>
      </pivotArea>
    </format>
    <format dxfId="2263">
      <pivotArea field="0" dataOnly="0" labelOnly="1" grandRow="1" outline="0" axis="axisRow" fieldPosition="0">
        <references count="1">
          <reference field="4294967294" count="1" selected="0">
            <x v="11"/>
          </reference>
        </references>
      </pivotArea>
    </format>
    <format dxfId="2262">
      <pivotArea field="0" dataOnly="0" labelOnly="1" grandRow="1" outline="0" axis="axisRow" fieldPosition="0">
        <references count="1">
          <reference field="4294967294" count="1" selected="0">
            <x v="12"/>
          </reference>
        </references>
      </pivotArea>
    </format>
    <format dxfId="2261">
      <pivotArea field="0" dataOnly="0" labelOnly="1" grandRow="1" outline="0" axis="axisRow" fieldPosition="0">
        <references count="1">
          <reference field="4294967294" count="1" selected="0">
            <x v="13"/>
          </reference>
        </references>
      </pivotArea>
    </format>
    <format dxfId="2260">
      <pivotArea field="0" dataOnly="0" labelOnly="1" grandRow="1" outline="0" axis="axisRow" fieldPosition="0">
        <references count="1">
          <reference field="4294967294" count="1" selected="0">
            <x v="14"/>
          </reference>
        </references>
      </pivotArea>
    </format>
    <format dxfId="2259">
      <pivotArea field="0" dataOnly="0" labelOnly="1" grandRow="1" outline="0" axis="axisRow" fieldPosition="0">
        <references count="1">
          <reference field="4294967294" count="1" selected="0">
            <x v="15"/>
          </reference>
        </references>
      </pivotArea>
    </format>
    <format dxfId="2258">
      <pivotArea field="0" dataOnly="0" labelOnly="1" grandRow="1" outline="0" axis="axisRow" fieldPosition="0">
        <references count="1">
          <reference field="4294967294" count="1" selected="0">
            <x v="16"/>
          </reference>
        </references>
      </pivotArea>
    </format>
    <format dxfId="2257">
      <pivotArea field="0" dataOnly="0" labelOnly="1" grandRow="1" outline="0" axis="axisRow" fieldPosition="0">
        <references count="1">
          <reference field="4294967294" count="1" selected="0">
            <x v="17"/>
          </reference>
        </references>
      </pivotArea>
    </format>
    <format dxfId="2256">
      <pivotArea field="0" dataOnly="0" labelOnly="1" grandRow="1" outline="0" axis="axisRow" fieldPosition="0">
        <references count="1">
          <reference field="4294967294" count="1" selected="0">
            <x v="18"/>
          </reference>
        </references>
      </pivotArea>
    </format>
    <format dxfId="2255">
      <pivotArea field="0" dataOnly="0" labelOnly="1" grandRow="1" outline="0" axis="axisRow" fieldPosition="0">
        <references count="1">
          <reference field="4294967294" count="1" selected="0">
            <x v="19"/>
          </reference>
        </references>
      </pivotArea>
    </format>
    <format dxfId="2254">
      <pivotArea field="0" dataOnly="0" labelOnly="1" grandRow="1" outline="0" axis="axisRow" fieldPosition="0">
        <references count="1">
          <reference field="4294967294" count="1" selected="0">
            <x v="20"/>
          </reference>
        </references>
      </pivotArea>
    </format>
    <format dxfId="2253">
      <pivotArea field="0" dataOnly="0" labelOnly="1" grandRow="1" outline="0" axis="axisRow" fieldPosition="0">
        <references count="1">
          <reference field="4294967294" count="1" selected="0">
            <x v="21"/>
          </reference>
        </references>
      </pivotArea>
    </format>
    <format dxfId="2252">
      <pivotArea field="0" dataOnly="0" labelOnly="1" grandRow="1" outline="0" axis="axisRow" fieldPosition="0">
        <references count="1">
          <reference field="4294967294" count="1" selected="0">
            <x v="22"/>
          </reference>
        </references>
      </pivotArea>
    </format>
    <format dxfId="2251">
      <pivotArea field="0" dataOnly="0" labelOnly="1" grandRow="1" outline="0" axis="axisRow" fieldPosition="0">
        <references count="1">
          <reference field="4294967294" count="1" selected="0">
            <x v="23"/>
          </reference>
        </references>
      </pivotArea>
    </format>
    <format dxfId="2250">
      <pivotArea field="0" dataOnly="0" labelOnly="1" grandRow="1" outline="0" axis="axisRow" fieldPosition="0">
        <references count="1">
          <reference field="4294967294" count="1" selected="0">
            <x v="24"/>
          </reference>
        </references>
      </pivotArea>
    </format>
    <format dxfId="2249">
      <pivotArea field="0" dataOnly="0" labelOnly="1" grandRow="1" outline="0" axis="axisRow" fieldPosition="0">
        <references count="1">
          <reference field="4294967294" count="1" selected="0">
            <x v="25"/>
          </reference>
        </references>
      </pivotArea>
    </format>
    <format dxfId="2248">
      <pivotArea field="0" dataOnly="0" labelOnly="1" grandRow="1" outline="0" axis="axisRow" fieldPosition="0">
        <references count="1">
          <reference field="4294967294" count="1" selected="0">
            <x v="26"/>
          </reference>
        </references>
      </pivotArea>
    </format>
    <format dxfId="2247">
      <pivotArea field="0" dataOnly="0" labelOnly="1" grandRow="1" outline="0" axis="axisRow" fieldPosition="0">
        <references count="1">
          <reference field="4294967294" count="1" selected="0">
            <x v="27"/>
          </reference>
        </references>
      </pivotArea>
    </format>
    <format dxfId="2246">
      <pivotArea field="0" dataOnly="0" labelOnly="1" grandRow="1" outline="0" axis="axisRow" fieldPosition="0">
        <references count="1">
          <reference field="4294967294" count="1" selected="0">
            <x v="28"/>
          </reference>
        </references>
      </pivotArea>
    </format>
    <format dxfId="2245">
      <pivotArea field="0" dataOnly="0" labelOnly="1" grandRow="1" outline="0" axis="axisRow" fieldPosition="0">
        <references count="1">
          <reference field="4294967294" count="1" selected="0">
            <x v="29"/>
          </reference>
        </references>
      </pivotArea>
    </format>
    <format dxfId="2244">
      <pivotArea field="0" dataOnly="0" labelOnly="1" grandRow="1" outline="0" axis="axisRow" fieldPosition="0">
        <references count="1">
          <reference field="4294967294" count="1" selected="0">
            <x v="30"/>
          </reference>
        </references>
      </pivotArea>
    </format>
    <format dxfId="2243">
      <pivotArea field="0" dataOnly="0" labelOnly="1" grandRow="1" outline="0" axis="axisRow" fieldPosition="0">
        <references count="1">
          <reference field="4294967294" count="1" selected="0">
            <x v="31"/>
          </reference>
        </references>
      </pivotArea>
    </format>
    <format dxfId="2242">
      <pivotArea field="0" dataOnly="0" labelOnly="1" grandRow="1" outline="0" axis="axisRow" fieldPosition="0">
        <references count="1">
          <reference field="4294967294" count="1" selected="0">
            <x v="32"/>
          </reference>
        </references>
      </pivotArea>
    </format>
    <format dxfId="2241">
      <pivotArea field="0" dataOnly="0" labelOnly="1" grandRow="1" outline="0" axis="axisRow" fieldPosition="0">
        <references count="1">
          <reference field="4294967294" count="1" selected="0">
            <x v="33"/>
          </reference>
        </references>
      </pivotArea>
    </format>
    <format dxfId="2240">
      <pivotArea field="0" dataOnly="0" labelOnly="1" grandRow="1" outline="0" axis="axisRow" fieldPosition="0">
        <references count="1">
          <reference field="4294967294" count="1" selected="0">
            <x v="34"/>
          </reference>
        </references>
      </pivotArea>
    </format>
    <format dxfId="2239">
      <pivotArea field="0" dataOnly="0" labelOnly="1" grandRow="1" outline="0" axis="axisRow" fieldPosition="0">
        <references count="1">
          <reference field="4294967294" count="1" selected="0">
            <x v="35"/>
          </reference>
        </references>
      </pivotArea>
    </format>
    <format dxfId="2238">
      <pivotArea field="0" dataOnly="0" labelOnly="1" grandRow="1" outline="0" axis="axisRow" fieldPosition="0">
        <references count="1">
          <reference field="4294967294" count="1" selected="0">
            <x v="0"/>
          </reference>
        </references>
      </pivotArea>
    </format>
    <format dxfId="2237">
      <pivotArea field="0" dataOnly="0" labelOnly="1" grandRow="1" outline="0" axis="axisRow" fieldPosition="0">
        <references count="1">
          <reference field="4294967294" count="1" selected="0">
            <x v="1"/>
          </reference>
        </references>
      </pivotArea>
    </format>
    <format dxfId="2236">
      <pivotArea field="0" dataOnly="0" labelOnly="1" grandRow="1" outline="0" axis="axisRow" fieldPosition="0">
        <references count="1">
          <reference field="4294967294" count="1" selected="0">
            <x v="2"/>
          </reference>
        </references>
      </pivotArea>
    </format>
    <format dxfId="2235">
      <pivotArea field="0" dataOnly="0" labelOnly="1" grandRow="1" outline="0" axis="axisRow" fieldPosition="0">
        <references count="1">
          <reference field="4294967294" count="1" selected="0">
            <x v="3"/>
          </reference>
        </references>
      </pivotArea>
    </format>
    <format dxfId="2234">
      <pivotArea field="0" dataOnly="0" labelOnly="1" grandRow="1" outline="0" axis="axisRow" fieldPosition="0">
        <references count="1">
          <reference field="4294967294" count="1" selected="0">
            <x v="4"/>
          </reference>
        </references>
      </pivotArea>
    </format>
    <format dxfId="2233">
      <pivotArea field="0" dataOnly="0" labelOnly="1" grandRow="1" outline="0" axis="axisRow" fieldPosition="0">
        <references count="1">
          <reference field="4294967294" count="1" selected="0">
            <x v="5"/>
          </reference>
        </references>
      </pivotArea>
    </format>
    <format dxfId="2232">
      <pivotArea field="0" dataOnly="0" labelOnly="1" grandRow="1" outline="0" axis="axisRow" fieldPosition="0">
        <references count="1">
          <reference field="4294967294" count="1" selected="0">
            <x v="6"/>
          </reference>
        </references>
      </pivotArea>
    </format>
    <format dxfId="2231">
      <pivotArea field="0" dataOnly="0" labelOnly="1" grandRow="1" outline="0" axis="axisRow" fieldPosition="0">
        <references count="1">
          <reference field="4294967294" count="1" selected="0">
            <x v="7"/>
          </reference>
        </references>
      </pivotArea>
    </format>
    <format dxfId="2230">
      <pivotArea field="0" dataOnly="0" labelOnly="1" grandRow="1" outline="0" axis="axisRow" fieldPosition="0">
        <references count="1">
          <reference field="4294967294" count="1" selected="0">
            <x v="8"/>
          </reference>
        </references>
      </pivotArea>
    </format>
    <format dxfId="2229">
      <pivotArea field="0" dataOnly="0" labelOnly="1" grandRow="1" outline="0" axis="axisRow" fieldPosition="0">
        <references count="1">
          <reference field="4294967294" count="1" selected="0">
            <x v="9"/>
          </reference>
        </references>
      </pivotArea>
    </format>
    <format dxfId="2228">
      <pivotArea field="0" dataOnly="0" labelOnly="1" grandRow="1" outline="0" axis="axisRow" fieldPosition="0">
        <references count="1">
          <reference field="4294967294" count="1" selected="0">
            <x v="10"/>
          </reference>
        </references>
      </pivotArea>
    </format>
    <format dxfId="2227">
      <pivotArea field="0" dataOnly="0" labelOnly="1" grandRow="1" outline="0" axis="axisRow" fieldPosition="0">
        <references count="1">
          <reference field="4294967294" count="1" selected="0">
            <x v="11"/>
          </reference>
        </references>
      </pivotArea>
    </format>
    <format dxfId="2226">
      <pivotArea field="0" dataOnly="0" labelOnly="1" grandRow="1" outline="0" axis="axisRow" fieldPosition="0">
        <references count="1">
          <reference field="4294967294" count="1" selected="0">
            <x v="12"/>
          </reference>
        </references>
      </pivotArea>
    </format>
    <format dxfId="2225">
      <pivotArea field="0" dataOnly="0" labelOnly="1" grandRow="1" outline="0" axis="axisRow" fieldPosition="0">
        <references count="1">
          <reference field="4294967294" count="1" selected="0">
            <x v="13"/>
          </reference>
        </references>
      </pivotArea>
    </format>
    <format dxfId="2224">
      <pivotArea field="0" dataOnly="0" labelOnly="1" grandRow="1" outline="0" axis="axisRow" fieldPosition="0">
        <references count="1">
          <reference field="4294967294" count="1" selected="0">
            <x v="14"/>
          </reference>
        </references>
      </pivotArea>
    </format>
    <format dxfId="2223">
      <pivotArea field="0" dataOnly="0" labelOnly="1" grandRow="1" outline="0" axis="axisRow" fieldPosition="0">
        <references count="1">
          <reference field="4294967294" count="1" selected="0">
            <x v="15"/>
          </reference>
        </references>
      </pivotArea>
    </format>
    <format dxfId="2222">
      <pivotArea field="0" dataOnly="0" labelOnly="1" grandRow="1" outline="0" axis="axisRow" fieldPosition="0">
        <references count="1">
          <reference field="4294967294" count="1" selected="0">
            <x v="16"/>
          </reference>
        </references>
      </pivotArea>
    </format>
    <format dxfId="2221">
      <pivotArea field="0" dataOnly="0" labelOnly="1" grandRow="1" outline="0" axis="axisRow" fieldPosition="0">
        <references count="1">
          <reference field="4294967294" count="1" selected="0">
            <x v="17"/>
          </reference>
        </references>
      </pivotArea>
    </format>
    <format dxfId="2220">
      <pivotArea field="0" dataOnly="0" labelOnly="1" grandRow="1" outline="0" axis="axisRow" fieldPosition="0">
        <references count="1">
          <reference field="4294967294" count="1" selected="0">
            <x v="18"/>
          </reference>
        </references>
      </pivotArea>
    </format>
    <format dxfId="2219">
      <pivotArea field="0" dataOnly="0" labelOnly="1" grandRow="1" outline="0" axis="axisRow" fieldPosition="0">
        <references count="1">
          <reference field="4294967294" count="1" selected="0">
            <x v="19"/>
          </reference>
        </references>
      </pivotArea>
    </format>
    <format dxfId="2218">
      <pivotArea field="0" dataOnly="0" labelOnly="1" grandRow="1" outline="0" axis="axisRow" fieldPosition="0">
        <references count="1">
          <reference field="4294967294" count="1" selected="0">
            <x v="20"/>
          </reference>
        </references>
      </pivotArea>
    </format>
    <format dxfId="2217">
      <pivotArea field="0" dataOnly="0" labelOnly="1" grandRow="1" outline="0" axis="axisRow" fieldPosition="0">
        <references count="1">
          <reference field="4294967294" count="1" selected="0">
            <x v="21"/>
          </reference>
        </references>
      </pivotArea>
    </format>
    <format dxfId="2216">
      <pivotArea field="0" dataOnly="0" labelOnly="1" grandRow="1" outline="0" axis="axisRow" fieldPosition="0">
        <references count="1">
          <reference field="4294967294" count="1" selected="0">
            <x v="22"/>
          </reference>
        </references>
      </pivotArea>
    </format>
    <format dxfId="2215">
      <pivotArea field="0" dataOnly="0" labelOnly="1" grandRow="1" outline="0" axis="axisRow" fieldPosition="0">
        <references count="1">
          <reference field="4294967294" count="1" selected="0">
            <x v="23"/>
          </reference>
        </references>
      </pivotArea>
    </format>
    <format dxfId="2214">
      <pivotArea field="0" dataOnly="0" labelOnly="1" grandRow="1" outline="0" axis="axisRow" fieldPosition="0">
        <references count="1">
          <reference field="4294967294" count="1" selected="0">
            <x v="24"/>
          </reference>
        </references>
      </pivotArea>
    </format>
    <format dxfId="2213">
      <pivotArea field="0" dataOnly="0" labelOnly="1" grandRow="1" outline="0" axis="axisRow" fieldPosition="0">
        <references count="1">
          <reference field="4294967294" count="1" selected="0">
            <x v="25"/>
          </reference>
        </references>
      </pivotArea>
    </format>
    <format dxfId="2212">
      <pivotArea field="0" dataOnly="0" labelOnly="1" grandRow="1" outline="0" axis="axisRow" fieldPosition="0">
        <references count="1">
          <reference field="4294967294" count="1" selected="0">
            <x v="26"/>
          </reference>
        </references>
      </pivotArea>
    </format>
    <format dxfId="2211">
      <pivotArea field="0" dataOnly="0" labelOnly="1" grandRow="1" outline="0" axis="axisRow" fieldPosition="0">
        <references count="1">
          <reference field="4294967294" count="1" selected="0">
            <x v="27"/>
          </reference>
        </references>
      </pivotArea>
    </format>
    <format dxfId="2210">
      <pivotArea field="0" dataOnly="0" labelOnly="1" grandRow="1" outline="0" axis="axisRow" fieldPosition="0">
        <references count="1">
          <reference field="4294967294" count="1" selected="0">
            <x v="28"/>
          </reference>
        </references>
      </pivotArea>
    </format>
    <format dxfId="2209">
      <pivotArea field="0" dataOnly="0" labelOnly="1" grandRow="1" outline="0" axis="axisRow" fieldPosition="0">
        <references count="1">
          <reference field="4294967294" count="1" selected="0">
            <x v="29"/>
          </reference>
        </references>
      </pivotArea>
    </format>
    <format dxfId="2208">
      <pivotArea field="0" dataOnly="0" labelOnly="1" grandRow="1" outline="0" axis="axisRow" fieldPosition="0">
        <references count="1">
          <reference field="4294967294" count="1" selected="0">
            <x v="30"/>
          </reference>
        </references>
      </pivotArea>
    </format>
    <format dxfId="2207">
      <pivotArea field="0" dataOnly="0" labelOnly="1" grandRow="1" outline="0" axis="axisRow" fieldPosition="0">
        <references count="1">
          <reference field="4294967294" count="1" selected="0">
            <x v="31"/>
          </reference>
        </references>
      </pivotArea>
    </format>
    <format dxfId="2206">
      <pivotArea field="0" dataOnly="0" labelOnly="1" grandRow="1" outline="0" axis="axisRow" fieldPosition="0">
        <references count="1">
          <reference field="4294967294" count="1" selected="0">
            <x v="32"/>
          </reference>
        </references>
      </pivotArea>
    </format>
    <format dxfId="2205">
      <pivotArea field="0" dataOnly="0" labelOnly="1" grandRow="1" outline="0" axis="axisRow" fieldPosition="0">
        <references count="1">
          <reference field="4294967294" count="1" selected="0">
            <x v="33"/>
          </reference>
        </references>
      </pivotArea>
    </format>
    <format dxfId="2204">
      <pivotArea field="0" dataOnly="0" labelOnly="1" grandRow="1" outline="0" axis="axisRow" fieldPosition="0">
        <references count="1">
          <reference field="4294967294" count="1" selected="0">
            <x v="34"/>
          </reference>
        </references>
      </pivotArea>
    </format>
    <format dxfId="2203">
      <pivotArea field="0" dataOnly="0" labelOnly="1" grandRow="1" outline="0" axis="axisRow" fieldPosition="0">
        <references count="1">
          <reference field="4294967294" count="1" selected="0">
            <x v="35"/>
          </reference>
        </references>
      </pivotArea>
    </format>
    <format dxfId="2202">
      <pivotArea field="0" dataOnly="0" labelOnly="1" grandRow="1" outline="0" axis="axisRow" fieldPosition="0">
        <references count="1">
          <reference field="4294967294" count="1" selected="0">
            <x v="0"/>
          </reference>
        </references>
      </pivotArea>
    </format>
    <format dxfId="2201">
      <pivotArea field="0" dataOnly="0" labelOnly="1" grandRow="1" outline="0" axis="axisRow" fieldPosition="0">
        <references count="1">
          <reference field="4294967294" count="1" selected="0">
            <x v="1"/>
          </reference>
        </references>
      </pivotArea>
    </format>
    <format dxfId="2200">
      <pivotArea field="0" dataOnly="0" labelOnly="1" grandRow="1" outline="0" axis="axisRow" fieldPosition="0">
        <references count="1">
          <reference field="4294967294" count="1" selected="0">
            <x v="2"/>
          </reference>
        </references>
      </pivotArea>
    </format>
    <format dxfId="2199">
      <pivotArea field="0" dataOnly="0" labelOnly="1" grandRow="1" outline="0" axis="axisRow" fieldPosition="0">
        <references count="1">
          <reference field="4294967294" count="1" selected="0">
            <x v="3"/>
          </reference>
        </references>
      </pivotArea>
    </format>
    <format dxfId="2198">
      <pivotArea field="0" dataOnly="0" labelOnly="1" grandRow="1" outline="0" axis="axisRow" fieldPosition="0">
        <references count="1">
          <reference field="4294967294" count="1" selected="0">
            <x v="4"/>
          </reference>
        </references>
      </pivotArea>
    </format>
    <format dxfId="2197">
      <pivotArea field="0" dataOnly="0" labelOnly="1" grandRow="1" outline="0" axis="axisRow" fieldPosition="0">
        <references count="1">
          <reference field="4294967294" count="1" selected="0">
            <x v="5"/>
          </reference>
        </references>
      </pivotArea>
    </format>
    <format dxfId="2196">
      <pivotArea field="0" dataOnly="0" labelOnly="1" grandRow="1" outline="0" axis="axisRow" fieldPosition="0">
        <references count="1">
          <reference field="4294967294" count="1" selected="0">
            <x v="6"/>
          </reference>
        </references>
      </pivotArea>
    </format>
    <format dxfId="2195">
      <pivotArea field="0" dataOnly="0" labelOnly="1" grandRow="1" outline="0" axis="axisRow" fieldPosition="0">
        <references count="1">
          <reference field="4294967294" count="1" selected="0">
            <x v="7"/>
          </reference>
        </references>
      </pivotArea>
    </format>
    <format dxfId="2194">
      <pivotArea field="0" dataOnly="0" labelOnly="1" grandRow="1" outline="0" axis="axisRow" fieldPosition="0">
        <references count="1">
          <reference field="4294967294" count="1" selected="0">
            <x v="8"/>
          </reference>
        </references>
      </pivotArea>
    </format>
    <format dxfId="2193">
      <pivotArea field="0" dataOnly="0" labelOnly="1" grandRow="1" outline="0" axis="axisRow" fieldPosition="0">
        <references count="1">
          <reference field="4294967294" count="1" selected="0">
            <x v="9"/>
          </reference>
        </references>
      </pivotArea>
    </format>
    <format dxfId="2192">
      <pivotArea field="0" dataOnly="0" labelOnly="1" grandRow="1" outline="0" axis="axisRow" fieldPosition="0">
        <references count="1">
          <reference field="4294967294" count="1" selected="0">
            <x v="10"/>
          </reference>
        </references>
      </pivotArea>
    </format>
    <format dxfId="2191">
      <pivotArea field="0" dataOnly="0" labelOnly="1" grandRow="1" outline="0" axis="axisRow" fieldPosition="0">
        <references count="1">
          <reference field="4294967294" count="1" selected="0">
            <x v="11"/>
          </reference>
        </references>
      </pivotArea>
    </format>
    <format dxfId="2190">
      <pivotArea field="0" dataOnly="0" labelOnly="1" grandRow="1" outline="0" axis="axisRow" fieldPosition="0">
        <references count="1">
          <reference field="4294967294" count="1" selected="0">
            <x v="12"/>
          </reference>
        </references>
      </pivotArea>
    </format>
    <format dxfId="2189">
      <pivotArea field="0" dataOnly="0" labelOnly="1" grandRow="1" outline="0" axis="axisRow" fieldPosition="0">
        <references count="1">
          <reference field="4294967294" count="1" selected="0">
            <x v="13"/>
          </reference>
        </references>
      </pivotArea>
    </format>
    <format dxfId="2188">
      <pivotArea field="0" dataOnly="0" labelOnly="1" grandRow="1" outline="0" axis="axisRow" fieldPosition="0">
        <references count="1">
          <reference field="4294967294" count="1" selected="0">
            <x v="14"/>
          </reference>
        </references>
      </pivotArea>
    </format>
    <format dxfId="2187">
      <pivotArea field="0" dataOnly="0" labelOnly="1" grandRow="1" outline="0" axis="axisRow" fieldPosition="0">
        <references count="1">
          <reference field="4294967294" count="1" selected="0">
            <x v="15"/>
          </reference>
        </references>
      </pivotArea>
    </format>
    <format dxfId="2186">
      <pivotArea field="0" dataOnly="0" labelOnly="1" grandRow="1" outline="0" axis="axisRow" fieldPosition="0">
        <references count="1">
          <reference field="4294967294" count="1" selected="0">
            <x v="16"/>
          </reference>
        </references>
      </pivotArea>
    </format>
    <format dxfId="2185">
      <pivotArea field="0" dataOnly="0" labelOnly="1" grandRow="1" outline="0" axis="axisRow" fieldPosition="0">
        <references count="1">
          <reference field="4294967294" count="1" selected="0">
            <x v="17"/>
          </reference>
        </references>
      </pivotArea>
    </format>
    <format dxfId="2184">
      <pivotArea field="0" dataOnly="0" labelOnly="1" grandRow="1" outline="0" axis="axisRow" fieldPosition="0">
        <references count="1">
          <reference field="4294967294" count="1" selected="0">
            <x v="18"/>
          </reference>
        </references>
      </pivotArea>
    </format>
    <format dxfId="2183">
      <pivotArea field="0" dataOnly="0" labelOnly="1" grandRow="1" outline="0" axis="axisRow" fieldPosition="0">
        <references count="1">
          <reference field="4294967294" count="1" selected="0">
            <x v="19"/>
          </reference>
        </references>
      </pivotArea>
    </format>
    <format dxfId="2182">
      <pivotArea field="0" dataOnly="0" labelOnly="1" grandRow="1" outline="0" axis="axisRow" fieldPosition="0">
        <references count="1">
          <reference field="4294967294" count="1" selected="0">
            <x v="20"/>
          </reference>
        </references>
      </pivotArea>
    </format>
    <format dxfId="2181">
      <pivotArea field="0" dataOnly="0" labelOnly="1" grandRow="1" outline="0" axis="axisRow" fieldPosition="0">
        <references count="1">
          <reference field="4294967294" count="1" selected="0">
            <x v="21"/>
          </reference>
        </references>
      </pivotArea>
    </format>
    <format dxfId="2180">
      <pivotArea field="0" dataOnly="0" labelOnly="1" grandRow="1" outline="0" axis="axisRow" fieldPosition="0">
        <references count="1">
          <reference field="4294967294" count="1" selected="0">
            <x v="22"/>
          </reference>
        </references>
      </pivotArea>
    </format>
    <format dxfId="2179">
      <pivotArea field="0" dataOnly="0" labelOnly="1" grandRow="1" outline="0" axis="axisRow" fieldPosition="0">
        <references count="1">
          <reference field="4294967294" count="1" selected="0">
            <x v="23"/>
          </reference>
        </references>
      </pivotArea>
    </format>
    <format dxfId="2178">
      <pivotArea field="0" dataOnly="0" labelOnly="1" grandRow="1" outline="0" axis="axisRow" fieldPosition="0">
        <references count="1">
          <reference field="4294967294" count="1" selected="0">
            <x v="24"/>
          </reference>
        </references>
      </pivotArea>
    </format>
    <format dxfId="2177">
      <pivotArea field="0" dataOnly="0" labelOnly="1" grandRow="1" outline="0" axis="axisRow" fieldPosition="0">
        <references count="1">
          <reference field="4294967294" count="1" selected="0">
            <x v="25"/>
          </reference>
        </references>
      </pivotArea>
    </format>
    <format dxfId="2176">
      <pivotArea field="0" dataOnly="0" labelOnly="1" grandRow="1" outline="0" axis="axisRow" fieldPosition="0">
        <references count="1">
          <reference field="4294967294" count="1" selected="0">
            <x v="26"/>
          </reference>
        </references>
      </pivotArea>
    </format>
    <format dxfId="2175">
      <pivotArea field="0" dataOnly="0" labelOnly="1" grandRow="1" outline="0" axis="axisRow" fieldPosition="0">
        <references count="1">
          <reference field="4294967294" count="1" selected="0">
            <x v="27"/>
          </reference>
        </references>
      </pivotArea>
    </format>
    <format dxfId="2174">
      <pivotArea field="0" dataOnly="0" labelOnly="1" grandRow="1" outline="0" axis="axisRow" fieldPosition="0">
        <references count="1">
          <reference field="4294967294" count="1" selected="0">
            <x v="28"/>
          </reference>
        </references>
      </pivotArea>
    </format>
    <format dxfId="2173">
      <pivotArea field="0" dataOnly="0" labelOnly="1" grandRow="1" outline="0" axis="axisRow" fieldPosition="0">
        <references count="1">
          <reference field="4294967294" count="1" selected="0">
            <x v="29"/>
          </reference>
        </references>
      </pivotArea>
    </format>
    <format dxfId="2172">
      <pivotArea field="0" dataOnly="0" labelOnly="1" grandRow="1" outline="0" axis="axisRow" fieldPosition="0">
        <references count="1">
          <reference field="4294967294" count="1" selected="0">
            <x v="30"/>
          </reference>
        </references>
      </pivotArea>
    </format>
    <format dxfId="2171">
      <pivotArea field="0" dataOnly="0" labelOnly="1" grandRow="1" outline="0" axis="axisRow" fieldPosition="0">
        <references count="1">
          <reference field="4294967294" count="1" selected="0">
            <x v="31"/>
          </reference>
        </references>
      </pivotArea>
    </format>
    <format dxfId="2170">
      <pivotArea field="0" dataOnly="0" labelOnly="1" grandRow="1" outline="0" axis="axisRow" fieldPosition="0">
        <references count="1">
          <reference field="4294967294" count="1" selected="0">
            <x v="32"/>
          </reference>
        </references>
      </pivotArea>
    </format>
    <format dxfId="2169">
      <pivotArea field="0" dataOnly="0" labelOnly="1" grandRow="1" outline="0" axis="axisRow" fieldPosition="0">
        <references count="1">
          <reference field="4294967294" count="1" selected="0">
            <x v="33"/>
          </reference>
        </references>
      </pivotArea>
    </format>
    <format dxfId="2168">
      <pivotArea field="0" dataOnly="0" labelOnly="1" grandRow="1" outline="0" axis="axisRow" fieldPosition="0">
        <references count="1">
          <reference field="4294967294" count="1" selected="0">
            <x v="34"/>
          </reference>
        </references>
      </pivotArea>
    </format>
    <format dxfId="2167">
      <pivotArea field="0" dataOnly="0" labelOnly="1" grandRow="1" outline="0" axis="axisRow" fieldPosition="0">
        <references count="1">
          <reference field="4294967294" count="1" selected="0">
            <x v="35"/>
          </reference>
        </references>
      </pivotArea>
    </format>
    <format dxfId="2166">
      <pivotArea field="0" dataOnly="0" labelOnly="1" grandRow="1" outline="0" axis="axisRow" fieldPosition="0">
        <references count="1">
          <reference field="4294967294" count="1" selected="0">
            <x v="0"/>
          </reference>
        </references>
      </pivotArea>
    </format>
    <format dxfId="2165">
      <pivotArea field="0" dataOnly="0" labelOnly="1" grandRow="1" outline="0" axis="axisRow" fieldPosition="0">
        <references count="1">
          <reference field="4294967294" count="1" selected="0">
            <x v="1"/>
          </reference>
        </references>
      </pivotArea>
    </format>
    <format dxfId="2164">
      <pivotArea field="0" dataOnly="0" labelOnly="1" grandRow="1" outline="0" axis="axisRow" fieldPosition="0">
        <references count="1">
          <reference field="4294967294" count="1" selected="0">
            <x v="2"/>
          </reference>
        </references>
      </pivotArea>
    </format>
    <format dxfId="2163">
      <pivotArea field="0" dataOnly="0" labelOnly="1" grandRow="1" outline="0" axis="axisRow" fieldPosition="0">
        <references count="1">
          <reference field="4294967294" count="1" selected="0">
            <x v="3"/>
          </reference>
        </references>
      </pivotArea>
    </format>
    <format dxfId="2162">
      <pivotArea field="0" dataOnly="0" labelOnly="1" grandRow="1" outline="0" axis="axisRow" fieldPosition="0">
        <references count="1">
          <reference field="4294967294" count="1" selected="0">
            <x v="4"/>
          </reference>
        </references>
      </pivotArea>
    </format>
    <format dxfId="2161">
      <pivotArea field="0" dataOnly="0" labelOnly="1" grandRow="1" outline="0" axis="axisRow" fieldPosition="0">
        <references count="1">
          <reference field="4294967294" count="1" selected="0">
            <x v="5"/>
          </reference>
        </references>
      </pivotArea>
    </format>
    <format dxfId="2160">
      <pivotArea field="0" dataOnly="0" labelOnly="1" grandRow="1" outline="0" axis="axisRow" fieldPosition="0">
        <references count="1">
          <reference field="4294967294" count="1" selected="0">
            <x v="6"/>
          </reference>
        </references>
      </pivotArea>
    </format>
    <format dxfId="2159">
      <pivotArea field="0" dataOnly="0" labelOnly="1" grandRow="1" outline="0" axis="axisRow" fieldPosition="0">
        <references count="1">
          <reference field="4294967294" count="1" selected="0">
            <x v="7"/>
          </reference>
        </references>
      </pivotArea>
    </format>
    <format dxfId="2158">
      <pivotArea field="0" dataOnly="0" labelOnly="1" grandRow="1" outline="0" axis="axisRow" fieldPosition="0">
        <references count="1">
          <reference field="4294967294" count="1" selected="0">
            <x v="8"/>
          </reference>
        </references>
      </pivotArea>
    </format>
    <format dxfId="2157">
      <pivotArea field="0" dataOnly="0" labelOnly="1" grandRow="1" outline="0" axis="axisRow" fieldPosition="0">
        <references count="1">
          <reference field="4294967294" count="1" selected="0">
            <x v="9"/>
          </reference>
        </references>
      </pivotArea>
    </format>
    <format dxfId="2156">
      <pivotArea field="0" dataOnly="0" labelOnly="1" grandRow="1" outline="0" axis="axisRow" fieldPosition="0">
        <references count="1">
          <reference field="4294967294" count="1" selected="0">
            <x v="10"/>
          </reference>
        </references>
      </pivotArea>
    </format>
    <format dxfId="2155">
      <pivotArea field="0" dataOnly="0" labelOnly="1" grandRow="1" outline="0" axis="axisRow" fieldPosition="0">
        <references count="1">
          <reference field="4294967294" count="1" selected="0">
            <x v="11"/>
          </reference>
        </references>
      </pivotArea>
    </format>
    <format dxfId="2154">
      <pivotArea field="0" dataOnly="0" labelOnly="1" grandRow="1" outline="0" axis="axisRow" fieldPosition="0">
        <references count="1">
          <reference field="4294967294" count="1" selected="0">
            <x v="12"/>
          </reference>
        </references>
      </pivotArea>
    </format>
    <format dxfId="2153">
      <pivotArea field="0" dataOnly="0" labelOnly="1" grandRow="1" outline="0" axis="axisRow" fieldPosition="0">
        <references count="1">
          <reference field="4294967294" count="1" selected="0">
            <x v="13"/>
          </reference>
        </references>
      </pivotArea>
    </format>
    <format dxfId="2152">
      <pivotArea field="0" dataOnly="0" labelOnly="1" grandRow="1" outline="0" axis="axisRow" fieldPosition="0">
        <references count="1">
          <reference field="4294967294" count="1" selected="0">
            <x v="14"/>
          </reference>
        </references>
      </pivotArea>
    </format>
    <format dxfId="2151">
      <pivotArea field="0" dataOnly="0" labelOnly="1" grandRow="1" outline="0" axis="axisRow" fieldPosition="0">
        <references count="1">
          <reference field="4294967294" count="1" selected="0">
            <x v="15"/>
          </reference>
        </references>
      </pivotArea>
    </format>
    <format dxfId="2150">
      <pivotArea field="0" dataOnly="0" labelOnly="1" grandRow="1" outline="0" axis="axisRow" fieldPosition="0">
        <references count="1">
          <reference field="4294967294" count="1" selected="0">
            <x v="16"/>
          </reference>
        </references>
      </pivotArea>
    </format>
    <format dxfId="2149">
      <pivotArea field="0" dataOnly="0" labelOnly="1" grandRow="1" outline="0" axis="axisRow" fieldPosition="0">
        <references count="1">
          <reference field="4294967294" count="1" selected="0">
            <x v="17"/>
          </reference>
        </references>
      </pivotArea>
    </format>
    <format dxfId="2148">
      <pivotArea field="0" dataOnly="0" labelOnly="1" grandRow="1" outline="0" axis="axisRow" fieldPosition="0">
        <references count="1">
          <reference field="4294967294" count="1" selected="0">
            <x v="18"/>
          </reference>
        </references>
      </pivotArea>
    </format>
    <format dxfId="2147">
      <pivotArea field="0" dataOnly="0" labelOnly="1" grandRow="1" outline="0" axis="axisRow" fieldPosition="0">
        <references count="1">
          <reference field="4294967294" count="1" selected="0">
            <x v="19"/>
          </reference>
        </references>
      </pivotArea>
    </format>
    <format dxfId="2146">
      <pivotArea field="0" dataOnly="0" labelOnly="1" grandRow="1" outline="0" axis="axisRow" fieldPosition="0">
        <references count="1">
          <reference field="4294967294" count="1" selected="0">
            <x v="20"/>
          </reference>
        </references>
      </pivotArea>
    </format>
    <format dxfId="2145">
      <pivotArea field="0" dataOnly="0" labelOnly="1" grandRow="1" outline="0" axis="axisRow" fieldPosition="0">
        <references count="1">
          <reference field="4294967294" count="1" selected="0">
            <x v="21"/>
          </reference>
        </references>
      </pivotArea>
    </format>
    <format dxfId="2144">
      <pivotArea field="0" dataOnly="0" labelOnly="1" grandRow="1" outline="0" axis="axisRow" fieldPosition="0">
        <references count="1">
          <reference field="4294967294" count="1" selected="0">
            <x v="22"/>
          </reference>
        </references>
      </pivotArea>
    </format>
    <format dxfId="2143">
      <pivotArea field="0" dataOnly="0" labelOnly="1" grandRow="1" outline="0" axis="axisRow" fieldPosition="0">
        <references count="1">
          <reference field="4294967294" count="1" selected="0">
            <x v="23"/>
          </reference>
        </references>
      </pivotArea>
    </format>
    <format dxfId="2142">
      <pivotArea field="0" dataOnly="0" labelOnly="1" grandRow="1" outline="0" axis="axisRow" fieldPosition="0">
        <references count="1">
          <reference field="4294967294" count="1" selected="0">
            <x v="24"/>
          </reference>
        </references>
      </pivotArea>
    </format>
    <format dxfId="2141">
      <pivotArea field="0" dataOnly="0" labelOnly="1" grandRow="1" outline="0" axis="axisRow" fieldPosition="0">
        <references count="1">
          <reference field="4294967294" count="1" selected="0">
            <x v="25"/>
          </reference>
        </references>
      </pivotArea>
    </format>
    <format dxfId="2140">
      <pivotArea field="0" dataOnly="0" labelOnly="1" grandRow="1" outline="0" axis="axisRow" fieldPosition="0">
        <references count="1">
          <reference field="4294967294" count="1" selected="0">
            <x v="26"/>
          </reference>
        </references>
      </pivotArea>
    </format>
    <format dxfId="2139">
      <pivotArea field="0" dataOnly="0" labelOnly="1" grandRow="1" outline="0" axis="axisRow" fieldPosition="0">
        <references count="1">
          <reference field="4294967294" count="1" selected="0">
            <x v="27"/>
          </reference>
        </references>
      </pivotArea>
    </format>
    <format dxfId="2138">
      <pivotArea field="0" dataOnly="0" labelOnly="1" grandRow="1" outline="0" axis="axisRow" fieldPosition="0">
        <references count="1">
          <reference field="4294967294" count="1" selected="0">
            <x v="28"/>
          </reference>
        </references>
      </pivotArea>
    </format>
    <format dxfId="2137">
      <pivotArea field="0" dataOnly="0" labelOnly="1" grandRow="1" outline="0" axis="axisRow" fieldPosition="0">
        <references count="1">
          <reference field="4294967294" count="1" selected="0">
            <x v="29"/>
          </reference>
        </references>
      </pivotArea>
    </format>
    <format dxfId="2136">
      <pivotArea field="0" dataOnly="0" labelOnly="1" grandRow="1" outline="0" axis="axisRow" fieldPosition="0">
        <references count="1">
          <reference field="4294967294" count="1" selected="0">
            <x v="30"/>
          </reference>
        </references>
      </pivotArea>
    </format>
    <format dxfId="2135">
      <pivotArea field="0" dataOnly="0" labelOnly="1" grandRow="1" outline="0" axis="axisRow" fieldPosition="0">
        <references count="1">
          <reference field="4294967294" count="1" selected="0">
            <x v="31"/>
          </reference>
        </references>
      </pivotArea>
    </format>
    <format dxfId="2134">
      <pivotArea field="0" dataOnly="0" labelOnly="1" grandRow="1" outline="0" axis="axisRow" fieldPosition="0">
        <references count="1">
          <reference field="4294967294" count="1" selected="0">
            <x v="32"/>
          </reference>
        </references>
      </pivotArea>
    </format>
    <format dxfId="2133">
      <pivotArea field="0" dataOnly="0" labelOnly="1" grandRow="1" outline="0" axis="axisRow" fieldPosition="0">
        <references count="1">
          <reference field="4294967294" count="1" selected="0">
            <x v="33"/>
          </reference>
        </references>
      </pivotArea>
    </format>
    <format dxfId="2132">
      <pivotArea field="0" dataOnly="0" labelOnly="1" grandRow="1" outline="0" axis="axisRow" fieldPosition="0">
        <references count="1">
          <reference field="4294967294" count="1" selected="0">
            <x v="34"/>
          </reference>
        </references>
      </pivotArea>
    </format>
    <format dxfId="2131">
      <pivotArea field="0" dataOnly="0" labelOnly="1" grandRow="1" outline="0" axis="axisRow" fieldPosition="0">
        <references count="1">
          <reference field="4294967294" count="1" selected="0">
            <x v="35"/>
          </reference>
        </references>
      </pivotArea>
    </format>
    <format dxfId="2130">
      <pivotArea field="0" dataOnly="0" labelOnly="1" grandRow="1" outline="0" axis="axisRow" fieldPosition="0">
        <references count="1">
          <reference field="4294967294" count="1" selected="0">
            <x v="0"/>
          </reference>
        </references>
      </pivotArea>
    </format>
    <format dxfId="2129">
      <pivotArea field="0" dataOnly="0" labelOnly="1" grandRow="1" outline="0" axis="axisRow" fieldPosition="0">
        <references count="1">
          <reference field="4294967294" count="1" selected="0">
            <x v="1"/>
          </reference>
        </references>
      </pivotArea>
    </format>
    <format dxfId="2128">
      <pivotArea field="0" dataOnly="0" labelOnly="1" grandRow="1" outline="0" axis="axisRow" fieldPosition="0">
        <references count="1">
          <reference field="4294967294" count="1" selected="0">
            <x v="2"/>
          </reference>
        </references>
      </pivotArea>
    </format>
    <format dxfId="2127">
      <pivotArea field="0" dataOnly="0" labelOnly="1" grandRow="1" outline="0" axis="axisRow" fieldPosition="0">
        <references count="1">
          <reference field="4294967294" count="1" selected="0">
            <x v="3"/>
          </reference>
        </references>
      </pivotArea>
    </format>
    <format dxfId="2126">
      <pivotArea field="0" dataOnly="0" labelOnly="1" grandRow="1" outline="0" axis="axisRow" fieldPosition="0">
        <references count="1">
          <reference field="4294967294" count="1" selected="0">
            <x v="4"/>
          </reference>
        </references>
      </pivotArea>
    </format>
    <format dxfId="2125">
      <pivotArea field="0" dataOnly="0" labelOnly="1" grandRow="1" outline="0" axis="axisRow" fieldPosition="0">
        <references count="1">
          <reference field="4294967294" count="1" selected="0">
            <x v="5"/>
          </reference>
        </references>
      </pivotArea>
    </format>
    <format dxfId="2124">
      <pivotArea field="0" dataOnly="0" labelOnly="1" grandRow="1" outline="0" axis="axisRow" fieldPosition="0">
        <references count="1">
          <reference field="4294967294" count="1" selected="0">
            <x v="6"/>
          </reference>
        </references>
      </pivotArea>
    </format>
    <format dxfId="2123">
      <pivotArea field="0" dataOnly="0" labelOnly="1" grandRow="1" outline="0" axis="axisRow" fieldPosition="0">
        <references count="1">
          <reference field="4294967294" count="1" selected="0">
            <x v="7"/>
          </reference>
        </references>
      </pivotArea>
    </format>
    <format dxfId="2122">
      <pivotArea field="0" dataOnly="0" labelOnly="1" grandRow="1" outline="0" axis="axisRow" fieldPosition="0">
        <references count="1">
          <reference field="4294967294" count="1" selected="0">
            <x v="8"/>
          </reference>
        </references>
      </pivotArea>
    </format>
    <format dxfId="2121">
      <pivotArea field="0" dataOnly="0" labelOnly="1" grandRow="1" outline="0" axis="axisRow" fieldPosition="0">
        <references count="1">
          <reference field="4294967294" count="1" selected="0">
            <x v="9"/>
          </reference>
        </references>
      </pivotArea>
    </format>
    <format dxfId="2120">
      <pivotArea field="0" dataOnly="0" labelOnly="1" grandRow="1" outline="0" axis="axisRow" fieldPosition="0">
        <references count="1">
          <reference field="4294967294" count="1" selected="0">
            <x v="10"/>
          </reference>
        </references>
      </pivotArea>
    </format>
    <format dxfId="2119">
      <pivotArea field="0" dataOnly="0" labelOnly="1" grandRow="1" outline="0" axis="axisRow" fieldPosition="0">
        <references count="1">
          <reference field="4294967294" count="1" selected="0">
            <x v="11"/>
          </reference>
        </references>
      </pivotArea>
    </format>
    <format dxfId="2118">
      <pivotArea field="0" dataOnly="0" labelOnly="1" grandRow="1" outline="0" axis="axisRow" fieldPosition="0">
        <references count="1">
          <reference field="4294967294" count="1" selected="0">
            <x v="12"/>
          </reference>
        </references>
      </pivotArea>
    </format>
    <format dxfId="2117">
      <pivotArea field="0" dataOnly="0" labelOnly="1" grandRow="1" outline="0" axis="axisRow" fieldPosition="0">
        <references count="1">
          <reference field="4294967294" count="1" selected="0">
            <x v="13"/>
          </reference>
        </references>
      </pivotArea>
    </format>
    <format dxfId="2116">
      <pivotArea field="0" dataOnly="0" labelOnly="1" grandRow="1" outline="0" axis="axisRow" fieldPosition="0">
        <references count="1">
          <reference field="4294967294" count="1" selected="0">
            <x v="14"/>
          </reference>
        </references>
      </pivotArea>
    </format>
    <format dxfId="2115">
      <pivotArea field="0" dataOnly="0" labelOnly="1" grandRow="1" outline="0" axis="axisRow" fieldPosition="0">
        <references count="1">
          <reference field="4294967294" count="1" selected="0">
            <x v="15"/>
          </reference>
        </references>
      </pivotArea>
    </format>
    <format dxfId="2114">
      <pivotArea field="0" dataOnly="0" labelOnly="1" grandRow="1" outline="0" axis="axisRow" fieldPosition="0">
        <references count="1">
          <reference field="4294967294" count="1" selected="0">
            <x v="16"/>
          </reference>
        </references>
      </pivotArea>
    </format>
    <format dxfId="2113">
      <pivotArea field="0" dataOnly="0" labelOnly="1" grandRow="1" outline="0" axis="axisRow" fieldPosition="0">
        <references count="1">
          <reference field="4294967294" count="1" selected="0">
            <x v="17"/>
          </reference>
        </references>
      </pivotArea>
    </format>
    <format dxfId="2112">
      <pivotArea field="0" dataOnly="0" labelOnly="1" grandRow="1" outline="0" axis="axisRow" fieldPosition="0">
        <references count="1">
          <reference field="4294967294" count="1" selected="0">
            <x v="18"/>
          </reference>
        </references>
      </pivotArea>
    </format>
    <format dxfId="2111">
      <pivotArea field="0" dataOnly="0" labelOnly="1" grandRow="1" outline="0" axis="axisRow" fieldPosition="0">
        <references count="1">
          <reference field="4294967294" count="1" selected="0">
            <x v="19"/>
          </reference>
        </references>
      </pivotArea>
    </format>
    <format dxfId="2110">
      <pivotArea field="0" dataOnly="0" labelOnly="1" grandRow="1" outline="0" axis="axisRow" fieldPosition="0">
        <references count="1">
          <reference field="4294967294" count="1" selected="0">
            <x v="20"/>
          </reference>
        </references>
      </pivotArea>
    </format>
    <format dxfId="2109">
      <pivotArea field="0" dataOnly="0" labelOnly="1" grandRow="1" outline="0" axis="axisRow" fieldPosition="0">
        <references count="1">
          <reference field="4294967294" count="1" selected="0">
            <x v="21"/>
          </reference>
        </references>
      </pivotArea>
    </format>
    <format dxfId="2108">
      <pivotArea field="0" dataOnly="0" labelOnly="1" grandRow="1" outline="0" axis="axisRow" fieldPosition="0">
        <references count="1">
          <reference field="4294967294" count="1" selected="0">
            <x v="22"/>
          </reference>
        </references>
      </pivotArea>
    </format>
    <format dxfId="2107">
      <pivotArea field="0" dataOnly="0" labelOnly="1" grandRow="1" outline="0" axis="axisRow" fieldPosition="0">
        <references count="1">
          <reference field="4294967294" count="1" selected="0">
            <x v="23"/>
          </reference>
        </references>
      </pivotArea>
    </format>
    <format dxfId="2106">
      <pivotArea field="0" dataOnly="0" labelOnly="1" grandRow="1" outline="0" axis="axisRow" fieldPosition="0">
        <references count="1">
          <reference field="4294967294" count="1" selected="0">
            <x v="24"/>
          </reference>
        </references>
      </pivotArea>
    </format>
    <format dxfId="2105">
      <pivotArea field="0" dataOnly="0" labelOnly="1" grandRow="1" outline="0" axis="axisRow" fieldPosition="0">
        <references count="1">
          <reference field="4294967294" count="1" selected="0">
            <x v="25"/>
          </reference>
        </references>
      </pivotArea>
    </format>
    <format dxfId="2104">
      <pivotArea field="0" dataOnly="0" labelOnly="1" grandRow="1" outline="0" axis="axisRow" fieldPosition="0">
        <references count="1">
          <reference field="4294967294" count="1" selected="0">
            <x v="26"/>
          </reference>
        </references>
      </pivotArea>
    </format>
    <format dxfId="2103">
      <pivotArea field="0" dataOnly="0" labelOnly="1" grandRow="1" outline="0" axis="axisRow" fieldPosition="0">
        <references count="1">
          <reference field="4294967294" count="1" selected="0">
            <x v="27"/>
          </reference>
        </references>
      </pivotArea>
    </format>
    <format dxfId="2102">
      <pivotArea field="0" dataOnly="0" labelOnly="1" grandRow="1" outline="0" axis="axisRow" fieldPosition="0">
        <references count="1">
          <reference field="4294967294" count="1" selected="0">
            <x v="28"/>
          </reference>
        </references>
      </pivotArea>
    </format>
    <format dxfId="2101">
      <pivotArea field="0" dataOnly="0" labelOnly="1" grandRow="1" outline="0" axis="axisRow" fieldPosition="0">
        <references count="1">
          <reference field="4294967294" count="1" selected="0">
            <x v="29"/>
          </reference>
        </references>
      </pivotArea>
    </format>
    <format dxfId="2100">
      <pivotArea field="0" dataOnly="0" labelOnly="1" grandRow="1" outline="0" axis="axisRow" fieldPosition="0">
        <references count="1">
          <reference field="4294967294" count="1" selected="0">
            <x v="30"/>
          </reference>
        </references>
      </pivotArea>
    </format>
    <format dxfId="2099">
      <pivotArea field="0" dataOnly="0" labelOnly="1" grandRow="1" outline="0" axis="axisRow" fieldPosition="0">
        <references count="1">
          <reference field="4294967294" count="1" selected="0">
            <x v="31"/>
          </reference>
        </references>
      </pivotArea>
    </format>
    <format dxfId="2098">
      <pivotArea field="0" dataOnly="0" labelOnly="1" grandRow="1" outline="0" axis="axisRow" fieldPosition="0">
        <references count="1">
          <reference field="4294967294" count="1" selected="0">
            <x v="32"/>
          </reference>
        </references>
      </pivotArea>
    </format>
    <format dxfId="2097">
      <pivotArea field="0" dataOnly="0" labelOnly="1" grandRow="1" outline="0" axis="axisRow" fieldPosition="0">
        <references count="1">
          <reference field="4294967294" count="1" selected="0">
            <x v="33"/>
          </reference>
        </references>
      </pivotArea>
    </format>
    <format dxfId="2096">
      <pivotArea field="0" dataOnly="0" labelOnly="1" grandRow="1" outline="0" axis="axisRow" fieldPosition="0">
        <references count="1">
          <reference field="4294967294" count="1" selected="0">
            <x v="34"/>
          </reference>
        </references>
      </pivotArea>
    </format>
    <format dxfId="2095">
      <pivotArea field="0" dataOnly="0" labelOnly="1" grandRow="1" outline="0" axis="axisRow" fieldPosition="0">
        <references count="1">
          <reference field="4294967294" count="1" selected="0">
            <x v="35"/>
          </reference>
        </references>
      </pivotArea>
    </format>
    <format dxfId="2094">
      <pivotArea field="0" dataOnly="0" labelOnly="1" grandRow="1" outline="0" axis="axisRow" fieldPosition="0">
        <references count="1">
          <reference field="4294967294" count="1" selected="0">
            <x v="0"/>
          </reference>
        </references>
      </pivotArea>
    </format>
    <format dxfId="2093">
      <pivotArea field="0" dataOnly="0" labelOnly="1" grandRow="1" outline="0" axis="axisRow" fieldPosition="0">
        <references count="1">
          <reference field="4294967294" count="1" selected="0">
            <x v="1"/>
          </reference>
        </references>
      </pivotArea>
    </format>
    <format dxfId="2092">
      <pivotArea field="0" dataOnly="0" labelOnly="1" grandRow="1" outline="0" axis="axisRow" fieldPosition="0">
        <references count="1">
          <reference field="4294967294" count="1" selected="0">
            <x v="2"/>
          </reference>
        </references>
      </pivotArea>
    </format>
    <format dxfId="2091">
      <pivotArea field="0" dataOnly="0" labelOnly="1" grandRow="1" outline="0" axis="axisRow" fieldPosition="0">
        <references count="1">
          <reference field="4294967294" count="1" selected="0">
            <x v="3"/>
          </reference>
        </references>
      </pivotArea>
    </format>
    <format dxfId="2090">
      <pivotArea field="0" dataOnly="0" labelOnly="1" grandRow="1" outline="0" axis="axisRow" fieldPosition="0">
        <references count="1">
          <reference field="4294967294" count="1" selected="0">
            <x v="4"/>
          </reference>
        </references>
      </pivotArea>
    </format>
    <format dxfId="2089">
      <pivotArea field="0" dataOnly="0" labelOnly="1" grandRow="1" outline="0" axis="axisRow" fieldPosition="0">
        <references count="1">
          <reference field="4294967294" count="1" selected="0">
            <x v="5"/>
          </reference>
        </references>
      </pivotArea>
    </format>
    <format dxfId="2088">
      <pivotArea field="0" dataOnly="0" labelOnly="1" grandRow="1" outline="0" axis="axisRow" fieldPosition="0">
        <references count="1">
          <reference field="4294967294" count="1" selected="0">
            <x v="6"/>
          </reference>
        </references>
      </pivotArea>
    </format>
    <format dxfId="2087">
      <pivotArea field="0" dataOnly="0" labelOnly="1" grandRow="1" outline="0" axis="axisRow" fieldPosition="0">
        <references count="1">
          <reference field="4294967294" count="1" selected="0">
            <x v="7"/>
          </reference>
        </references>
      </pivotArea>
    </format>
    <format dxfId="2086">
      <pivotArea field="0" dataOnly="0" labelOnly="1" grandRow="1" outline="0" axis="axisRow" fieldPosition="0">
        <references count="1">
          <reference field="4294967294" count="1" selected="0">
            <x v="8"/>
          </reference>
        </references>
      </pivotArea>
    </format>
    <format dxfId="2085">
      <pivotArea field="0" dataOnly="0" labelOnly="1" grandRow="1" outline="0" axis="axisRow" fieldPosition="0">
        <references count="1">
          <reference field="4294967294" count="1" selected="0">
            <x v="9"/>
          </reference>
        </references>
      </pivotArea>
    </format>
    <format dxfId="2084">
      <pivotArea field="0" dataOnly="0" labelOnly="1" grandRow="1" outline="0" axis="axisRow" fieldPosition="0">
        <references count="1">
          <reference field="4294967294" count="1" selected="0">
            <x v="10"/>
          </reference>
        </references>
      </pivotArea>
    </format>
    <format dxfId="2083">
      <pivotArea field="0" dataOnly="0" labelOnly="1" grandRow="1" outline="0" axis="axisRow" fieldPosition="0">
        <references count="1">
          <reference field="4294967294" count="1" selected="0">
            <x v="11"/>
          </reference>
        </references>
      </pivotArea>
    </format>
    <format dxfId="2082">
      <pivotArea field="0" dataOnly="0" labelOnly="1" grandRow="1" outline="0" axis="axisRow" fieldPosition="0">
        <references count="1">
          <reference field="4294967294" count="1" selected="0">
            <x v="12"/>
          </reference>
        </references>
      </pivotArea>
    </format>
    <format dxfId="2081">
      <pivotArea field="0" dataOnly="0" labelOnly="1" grandRow="1" outline="0" axis="axisRow" fieldPosition="0">
        <references count="1">
          <reference field="4294967294" count="1" selected="0">
            <x v="13"/>
          </reference>
        </references>
      </pivotArea>
    </format>
    <format dxfId="2080">
      <pivotArea field="0" dataOnly="0" labelOnly="1" grandRow="1" outline="0" axis="axisRow" fieldPosition="0">
        <references count="1">
          <reference field="4294967294" count="1" selected="0">
            <x v="14"/>
          </reference>
        </references>
      </pivotArea>
    </format>
    <format dxfId="2079">
      <pivotArea field="0" dataOnly="0" labelOnly="1" grandRow="1" outline="0" axis="axisRow" fieldPosition="0">
        <references count="1">
          <reference field="4294967294" count="1" selected="0">
            <x v="15"/>
          </reference>
        </references>
      </pivotArea>
    </format>
    <format dxfId="2078">
      <pivotArea field="0" dataOnly="0" labelOnly="1" grandRow="1" outline="0" axis="axisRow" fieldPosition="0">
        <references count="1">
          <reference field="4294967294" count="1" selected="0">
            <x v="16"/>
          </reference>
        </references>
      </pivotArea>
    </format>
    <format dxfId="2077">
      <pivotArea field="0" dataOnly="0" labelOnly="1" grandRow="1" outline="0" axis="axisRow" fieldPosition="0">
        <references count="1">
          <reference field="4294967294" count="1" selected="0">
            <x v="17"/>
          </reference>
        </references>
      </pivotArea>
    </format>
    <format dxfId="2076">
      <pivotArea field="0" dataOnly="0" labelOnly="1" grandRow="1" outline="0" axis="axisRow" fieldPosition="0">
        <references count="1">
          <reference field="4294967294" count="1" selected="0">
            <x v="18"/>
          </reference>
        </references>
      </pivotArea>
    </format>
    <format dxfId="2075">
      <pivotArea field="0" dataOnly="0" labelOnly="1" grandRow="1" outline="0" axis="axisRow" fieldPosition="0">
        <references count="1">
          <reference field="4294967294" count="1" selected="0">
            <x v="19"/>
          </reference>
        </references>
      </pivotArea>
    </format>
    <format dxfId="2074">
      <pivotArea field="0" dataOnly="0" labelOnly="1" grandRow="1" outline="0" axis="axisRow" fieldPosition="0">
        <references count="1">
          <reference field="4294967294" count="1" selected="0">
            <x v="20"/>
          </reference>
        </references>
      </pivotArea>
    </format>
    <format dxfId="2073">
      <pivotArea field="0" dataOnly="0" labelOnly="1" grandRow="1" outline="0" axis="axisRow" fieldPosition="0">
        <references count="1">
          <reference field="4294967294" count="1" selected="0">
            <x v="21"/>
          </reference>
        </references>
      </pivotArea>
    </format>
    <format dxfId="2072">
      <pivotArea field="0" dataOnly="0" labelOnly="1" grandRow="1" outline="0" axis="axisRow" fieldPosition="0">
        <references count="1">
          <reference field="4294967294" count="1" selected="0">
            <x v="22"/>
          </reference>
        </references>
      </pivotArea>
    </format>
    <format dxfId="2071">
      <pivotArea field="0" dataOnly="0" labelOnly="1" grandRow="1" outline="0" axis="axisRow" fieldPosition="0">
        <references count="1">
          <reference field="4294967294" count="1" selected="0">
            <x v="23"/>
          </reference>
        </references>
      </pivotArea>
    </format>
    <format dxfId="2070">
      <pivotArea field="0" dataOnly="0" labelOnly="1" grandRow="1" outline="0" axis="axisRow" fieldPosition="0">
        <references count="1">
          <reference field="4294967294" count="1" selected="0">
            <x v="24"/>
          </reference>
        </references>
      </pivotArea>
    </format>
    <format dxfId="2069">
      <pivotArea field="0" dataOnly="0" labelOnly="1" grandRow="1" outline="0" axis="axisRow" fieldPosition="0">
        <references count="1">
          <reference field="4294967294" count="1" selected="0">
            <x v="25"/>
          </reference>
        </references>
      </pivotArea>
    </format>
    <format dxfId="2068">
      <pivotArea field="0" dataOnly="0" labelOnly="1" grandRow="1" outline="0" axis="axisRow" fieldPosition="0">
        <references count="1">
          <reference field="4294967294" count="1" selected="0">
            <x v="26"/>
          </reference>
        </references>
      </pivotArea>
    </format>
    <format dxfId="2067">
      <pivotArea field="0" dataOnly="0" labelOnly="1" grandRow="1" outline="0" axis="axisRow" fieldPosition="0">
        <references count="1">
          <reference field="4294967294" count="1" selected="0">
            <x v="27"/>
          </reference>
        </references>
      </pivotArea>
    </format>
    <format dxfId="2066">
      <pivotArea field="0" dataOnly="0" labelOnly="1" grandRow="1" outline="0" axis="axisRow" fieldPosition="0">
        <references count="1">
          <reference field="4294967294" count="1" selected="0">
            <x v="28"/>
          </reference>
        </references>
      </pivotArea>
    </format>
    <format dxfId="2065">
      <pivotArea field="0" dataOnly="0" labelOnly="1" grandRow="1" outline="0" axis="axisRow" fieldPosition="0">
        <references count="1">
          <reference field="4294967294" count="1" selected="0">
            <x v="29"/>
          </reference>
        </references>
      </pivotArea>
    </format>
    <format dxfId="2064">
      <pivotArea field="0" dataOnly="0" labelOnly="1" grandRow="1" outline="0" axis="axisRow" fieldPosition="0">
        <references count="1">
          <reference field="4294967294" count="1" selected="0">
            <x v="30"/>
          </reference>
        </references>
      </pivotArea>
    </format>
    <format dxfId="2063">
      <pivotArea field="0" dataOnly="0" labelOnly="1" grandRow="1" outline="0" axis="axisRow" fieldPosition="0">
        <references count="1">
          <reference field="4294967294" count="1" selected="0">
            <x v="31"/>
          </reference>
        </references>
      </pivotArea>
    </format>
    <format dxfId="2062">
      <pivotArea field="0" dataOnly="0" labelOnly="1" grandRow="1" outline="0" axis="axisRow" fieldPosition="0">
        <references count="1">
          <reference field="4294967294" count="1" selected="0">
            <x v="32"/>
          </reference>
        </references>
      </pivotArea>
    </format>
    <format dxfId="2061">
      <pivotArea field="0" dataOnly="0" labelOnly="1" grandRow="1" outline="0" axis="axisRow" fieldPosition="0">
        <references count="1">
          <reference field="4294967294" count="1" selected="0">
            <x v="33"/>
          </reference>
        </references>
      </pivotArea>
    </format>
    <format dxfId="2060">
      <pivotArea field="0" dataOnly="0" labelOnly="1" grandRow="1" outline="0" axis="axisRow" fieldPosition="0">
        <references count="1">
          <reference field="4294967294" count="1" selected="0">
            <x v="34"/>
          </reference>
        </references>
      </pivotArea>
    </format>
    <format dxfId="2059">
      <pivotArea field="0" dataOnly="0" labelOnly="1" grandRow="1" outline="0" axis="axisRow" fieldPosition="0">
        <references count="1">
          <reference field="4294967294" count="1" selected="0">
            <x v="35"/>
          </reference>
        </references>
      </pivotArea>
    </format>
    <format dxfId="2058">
      <pivotArea field="0" dataOnly="0" labelOnly="1" grandRow="1" outline="0" axis="axisRow" fieldPosition="0">
        <references count="1">
          <reference field="4294967294" count="1" selected="0">
            <x v="0"/>
          </reference>
        </references>
      </pivotArea>
    </format>
    <format dxfId="2057">
      <pivotArea field="0" dataOnly="0" labelOnly="1" grandRow="1" outline="0" axis="axisRow" fieldPosition="0">
        <references count="1">
          <reference field="4294967294" count="1" selected="0">
            <x v="1"/>
          </reference>
        </references>
      </pivotArea>
    </format>
    <format dxfId="2056">
      <pivotArea field="0" dataOnly="0" labelOnly="1" grandRow="1" outline="0" axis="axisRow" fieldPosition="0">
        <references count="1">
          <reference field="4294967294" count="1" selected="0">
            <x v="2"/>
          </reference>
        </references>
      </pivotArea>
    </format>
    <format dxfId="2055">
      <pivotArea field="0" dataOnly="0" labelOnly="1" grandRow="1" outline="0" axis="axisRow" fieldPosition="0">
        <references count="1">
          <reference field="4294967294" count="1" selected="0">
            <x v="3"/>
          </reference>
        </references>
      </pivotArea>
    </format>
    <format dxfId="2054">
      <pivotArea field="0" dataOnly="0" labelOnly="1" grandRow="1" outline="0" axis="axisRow" fieldPosition="0">
        <references count="1">
          <reference field="4294967294" count="1" selected="0">
            <x v="4"/>
          </reference>
        </references>
      </pivotArea>
    </format>
    <format dxfId="2053">
      <pivotArea field="0" dataOnly="0" labelOnly="1" grandRow="1" outline="0" axis="axisRow" fieldPosition="0">
        <references count="1">
          <reference field="4294967294" count="1" selected="0">
            <x v="5"/>
          </reference>
        </references>
      </pivotArea>
    </format>
    <format dxfId="2052">
      <pivotArea field="0" dataOnly="0" labelOnly="1" grandRow="1" outline="0" axis="axisRow" fieldPosition="0">
        <references count="1">
          <reference field="4294967294" count="1" selected="0">
            <x v="6"/>
          </reference>
        </references>
      </pivotArea>
    </format>
    <format dxfId="2051">
      <pivotArea field="0" dataOnly="0" labelOnly="1" grandRow="1" outline="0" axis="axisRow" fieldPosition="0">
        <references count="1">
          <reference field="4294967294" count="1" selected="0">
            <x v="7"/>
          </reference>
        </references>
      </pivotArea>
    </format>
    <format dxfId="2050">
      <pivotArea field="0" dataOnly="0" labelOnly="1" grandRow="1" outline="0" axis="axisRow" fieldPosition="0">
        <references count="1">
          <reference field="4294967294" count="1" selected="0">
            <x v="8"/>
          </reference>
        </references>
      </pivotArea>
    </format>
    <format dxfId="2049">
      <pivotArea field="0" dataOnly="0" labelOnly="1" grandRow="1" outline="0" axis="axisRow" fieldPosition="0">
        <references count="1">
          <reference field="4294967294" count="1" selected="0">
            <x v="9"/>
          </reference>
        </references>
      </pivotArea>
    </format>
    <format dxfId="2048">
      <pivotArea field="0" dataOnly="0" labelOnly="1" grandRow="1" outline="0" axis="axisRow" fieldPosition="0">
        <references count="1">
          <reference field="4294967294" count="1" selected="0">
            <x v="10"/>
          </reference>
        </references>
      </pivotArea>
    </format>
    <format dxfId="2047">
      <pivotArea field="0" dataOnly="0" labelOnly="1" grandRow="1" outline="0" axis="axisRow" fieldPosition="0">
        <references count="1">
          <reference field="4294967294" count="1" selected="0">
            <x v="11"/>
          </reference>
        </references>
      </pivotArea>
    </format>
    <format dxfId="2046">
      <pivotArea field="0" dataOnly="0" labelOnly="1" grandRow="1" outline="0" axis="axisRow" fieldPosition="0">
        <references count="1">
          <reference field="4294967294" count="1" selected="0">
            <x v="12"/>
          </reference>
        </references>
      </pivotArea>
    </format>
    <format dxfId="2045">
      <pivotArea field="0" dataOnly="0" labelOnly="1" grandRow="1" outline="0" axis="axisRow" fieldPosition="0">
        <references count="1">
          <reference field="4294967294" count="1" selected="0">
            <x v="13"/>
          </reference>
        </references>
      </pivotArea>
    </format>
    <format dxfId="2044">
      <pivotArea field="0" dataOnly="0" labelOnly="1" grandRow="1" outline="0" axis="axisRow" fieldPosition="0">
        <references count="1">
          <reference field="4294967294" count="1" selected="0">
            <x v="14"/>
          </reference>
        </references>
      </pivotArea>
    </format>
    <format dxfId="2043">
      <pivotArea field="0" dataOnly="0" labelOnly="1" grandRow="1" outline="0" axis="axisRow" fieldPosition="0">
        <references count="1">
          <reference field="4294967294" count="1" selected="0">
            <x v="15"/>
          </reference>
        </references>
      </pivotArea>
    </format>
    <format dxfId="2042">
      <pivotArea field="0" dataOnly="0" labelOnly="1" grandRow="1" outline="0" axis="axisRow" fieldPosition="0">
        <references count="1">
          <reference field="4294967294" count="1" selected="0">
            <x v="16"/>
          </reference>
        </references>
      </pivotArea>
    </format>
    <format dxfId="2041">
      <pivotArea field="0" dataOnly="0" labelOnly="1" grandRow="1" outline="0" axis="axisRow" fieldPosition="0">
        <references count="1">
          <reference field="4294967294" count="1" selected="0">
            <x v="17"/>
          </reference>
        </references>
      </pivotArea>
    </format>
    <format dxfId="2040">
      <pivotArea field="0" dataOnly="0" labelOnly="1" grandRow="1" outline="0" axis="axisRow" fieldPosition="0">
        <references count="1">
          <reference field="4294967294" count="1" selected="0">
            <x v="18"/>
          </reference>
        </references>
      </pivotArea>
    </format>
    <format dxfId="2039">
      <pivotArea field="0" dataOnly="0" labelOnly="1" grandRow="1" outline="0" axis="axisRow" fieldPosition="0">
        <references count="1">
          <reference field="4294967294" count="1" selected="0">
            <x v="19"/>
          </reference>
        </references>
      </pivotArea>
    </format>
    <format dxfId="2038">
      <pivotArea field="0" dataOnly="0" labelOnly="1" grandRow="1" outline="0" axis="axisRow" fieldPosition="0">
        <references count="1">
          <reference field="4294967294" count="1" selected="0">
            <x v="20"/>
          </reference>
        </references>
      </pivotArea>
    </format>
    <format dxfId="2037">
      <pivotArea field="0" dataOnly="0" labelOnly="1" grandRow="1" outline="0" axis="axisRow" fieldPosition="0">
        <references count="1">
          <reference field="4294967294" count="1" selected="0">
            <x v="21"/>
          </reference>
        </references>
      </pivotArea>
    </format>
    <format dxfId="2036">
      <pivotArea field="0" dataOnly="0" labelOnly="1" grandRow="1" outline="0" axis="axisRow" fieldPosition="0">
        <references count="1">
          <reference field="4294967294" count="1" selected="0">
            <x v="22"/>
          </reference>
        </references>
      </pivotArea>
    </format>
    <format dxfId="2035">
      <pivotArea field="0" dataOnly="0" labelOnly="1" grandRow="1" outline="0" axis="axisRow" fieldPosition="0">
        <references count="1">
          <reference field="4294967294" count="1" selected="0">
            <x v="23"/>
          </reference>
        </references>
      </pivotArea>
    </format>
    <format dxfId="2034">
      <pivotArea field="0" dataOnly="0" labelOnly="1" grandRow="1" outline="0" axis="axisRow" fieldPosition="0">
        <references count="1">
          <reference field="4294967294" count="1" selected="0">
            <x v="24"/>
          </reference>
        </references>
      </pivotArea>
    </format>
    <format dxfId="2033">
      <pivotArea field="0" dataOnly="0" labelOnly="1" grandRow="1" outline="0" axis="axisRow" fieldPosition="0">
        <references count="1">
          <reference field="4294967294" count="1" selected="0">
            <x v="25"/>
          </reference>
        </references>
      </pivotArea>
    </format>
    <format dxfId="2032">
      <pivotArea field="0" dataOnly="0" labelOnly="1" grandRow="1" outline="0" axis="axisRow" fieldPosition="0">
        <references count="1">
          <reference field="4294967294" count="1" selected="0">
            <x v="26"/>
          </reference>
        </references>
      </pivotArea>
    </format>
    <format dxfId="2031">
      <pivotArea field="0" dataOnly="0" labelOnly="1" grandRow="1" outline="0" axis="axisRow" fieldPosition="0">
        <references count="1">
          <reference field="4294967294" count="1" selected="0">
            <x v="27"/>
          </reference>
        </references>
      </pivotArea>
    </format>
    <format dxfId="2030">
      <pivotArea field="0" dataOnly="0" labelOnly="1" grandRow="1" outline="0" axis="axisRow" fieldPosition="0">
        <references count="1">
          <reference field="4294967294" count="1" selected="0">
            <x v="28"/>
          </reference>
        </references>
      </pivotArea>
    </format>
    <format dxfId="2029">
      <pivotArea field="0" dataOnly="0" labelOnly="1" grandRow="1" outline="0" axis="axisRow" fieldPosition="0">
        <references count="1">
          <reference field="4294967294" count="1" selected="0">
            <x v="29"/>
          </reference>
        </references>
      </pivotArea>
    </format>
    <format dxfId="2028">
      <pivotArea field="0" dataOnly="0" labelOnly="1" grandRow="1" outline="0" axis="axisRow" fieldPosition="0">
        <references count="1">
          <reference field="4294967294" count="1" selected="0">
            <x v="30"/>
          </reference>
        </references>
      </pivotArea>
    </format>
    <format dxfId="2027">
      <pivotArea field="0" dataOnly="0" labelOnly="1" grandRow="1" outline="0" axis="axisRow" fieldPosition="0">
        <references count="1">
          <reference field="4294967294" count="1" selected="0">
            <x v="31"/>
          </reference>
        </references>
      </pivotArea>
    </format>
    <format dxfId="2026">
      <pivotArea field="0" dataOnly="0" labelOnly="1" grandRow="1" outline="0" axis="axisRow" fieldPosition="0">
        <references count="1">
          <reference field="4294967294" count="1" selected="0">
            <x v="32"/>
          </reference>
        </references>
      </pivotArea>
    </format>
    <format dxfId="2025">
      <pivotArea field="0" dataOnly="0" labelOnly="1" grandRow="1" outline="0" axis="axisRow" fieldPosition="0">
        <references count="1">
          <reference field="4294967294" count="1" selected="0">
            <x v="33"/>
          </reference>
        </references>
      </pivotArea>
    </format>
    <format dxfId="2024">
      <pivotArea field="0" dataOnly="0" labelOnly="1" grandRow="1" outline="0" axis="axisRow" fieldPosition="0">
        <references count="1">
          <reference field="4294967294" count="1" selected="0">
            <x v="34"/>
          </reference>
        </references>
      </pivotArea>
    </format>
    <format dxfId="2023">
      <pivotArea field="0" dataOnly="0" labelOnly="1" grandRow="1" outline="0" axis="axisRow" fieldPosition="0">
        <references count="1">
          <reference field="4294967294" count="1" selected="0">
            <x v="35"/>
          </reference>
        </references>
      </pivotArea>
    </format>
    <format dxfId="2022">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0"/>
          </reference>
        </references>
      </pivotArea>
    </format>
    <format dxfId="2021">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
          </reference>
        </references>
      </pivotArea>
    </format>
    <format dxfId="2020">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2"/>
          </reference>
        </references>
      </pivotArea>
    </format>
    <format dxfId="2019">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3"/>
          </reference>
        </references>
      </pivotArea>
    </format>
    <format dxfId="2018">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4"/>
          </reference>
        </references>
      </pivotArea>
    </format>
    <format dxfId="2017">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5"/>
          </reference>
        </references>
      </pivotArea>
    </format>
    <format dxfId="2016">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6"/>
          </reference>
        </references>
      </pivotArea>
    </format>
    <format dxfId="2015">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7"/>
          </reference>
        </references>
      </pivotArea>
    </format>
    <format dxfId="2014">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8"/>
          </reference>
        </references>
      </pivotArea>
    </format>
    <format dxfId="2013">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9"/>
          </reference>
        </references>
      </pivotArea>
    </format>
    <format dxfId="2012">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0"/>
          </reference>
        </references>
      </pivotArea>
    </format>
    <format dxfId="2011">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1"/>
          </reference>
        </references>
      </pivotArea>
    </format>
    <format dxfId="2010">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2"/>
          </reference>
        </references>
      </pivotArea>
    </format>
    <format dxfId="2009">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3"/>
          </reference>
        </references>
      </pivotArea>
    </format>
    <format dxfId="2008">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4"/>
          </reference>
        </references>
      </pivotArea>
    </format>
    <format dxfId="2007">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5"/>
          </reference>
        </references>
      </pivotArea>
    </format>
    <format dxfId="2006">
      <pivotArea dataOnly="0" labelOnly="1" outline="0" fieldPosition="0">
        <references count="1">
          <reference field="70" count="0"/>
        </references>
      </pivotArea>
    </format>
    <format dxfId="2005">
      <pivotArea dataOnly="0" labelOnly="1" outline="0" fieldPosition="0">
        <references count="1">
          <reference field="70" count="0" defaultSubtotal="1"/>
        </references>
      </pivotArea>
    </format>
    <format dxfId="2004">
      <pivotArea dataOnly="0" labelOnly="1" grandCol="1" outline="0" fieldPosition="0"/>
    </format>
    <format dxfId="2003">
      <pivotArea dataOnly="0" labelOnly="1" outline="0" fieldPosition="0">
        <references count="2">
          <reference field="4" count="7">
            <x v="0"/>
            <x v="1"/>
            <x v="2"/>
            <x v="3"/>
            <x v="4"/>
            <x v="5"/>
            <x v="6"/>
          </reference>
          <reference field="70" count="1" selected="0">
            <x v="0"/>
          </reference>
        </references>
      </pivotArea>
    </format>
    <format dxfId="2002">
      <pivotArea dataOnly="0" labelOnly="1" outline="0" fieldPosition="0">
        <references count="2">
          <reference field="4" count="4">
            <x v="7"/>
            <x v="8"/>
            <x v="9"/>
            <x v="10"/>
          </reference>
          <reference field="70" count="1" selected="0">
            <x v="1"/>
          </reference>
        </references>
      </pivotArea>
    </format>
    <format dxfId="2001">
      <pivotArea dataOnly="0" labelOnly="1" outline="0" fieldPosition="0">
        <references count="2">
          <reference field="4" count="2">
            <x v="11"/>
            <x v="12"/>
          </reference>
          <reference field="70" count="1" selected="0">
            <x v="2"/>
          </reference>
        </references>
      </pivotArea>
    </format>
    <format dxfId="2000">
      <pivotArea outline="0" fieldPosition="0">
        <references count="4">
          <reference field="4294967294" count="1" selected="0">
            <x v="2"/>
          </reference>
          <reference field="0" count="1" selected="0">
            <x v="0"/>
          </reference>
          <reference field="4" count="1" selected="0">
            <x v="5"/>
          </reference>
          <reference field="70" count="1" selected="0">
            <x v="0"/>
          </reference>
        </references>
      </pivotArea>
    </format>
    <format dxfId="1999">
      <pivotArea outline="0" fieldPosition="0">
        <references count="4">
          <reference field="4294967294" count="1" selected="0">
            <x v="8"/>
          </reference>
          <reference field="0" count="1" selected="0">
            <x v="0"/>
          </reference>
          <reference field="4" count="1" selected="0">
            <x v="5"/>
          </reference>
          <reference field="70" count="1" selected="0">
            <x v="0"/>
          </reference>
        </references>
      </pivotArea>
    </format>
    <format dxfId="1998">
      <pivotArea outline="0" fieldPosition="0">
        <references count="4">
          <reference field="4294967294" count="1" selected="0">
            <x v="20"/>
          </reference>
          <reference field="0" count="1" selected="0">
            <x v="0"/>
          </reference>
          <reference field="4" count="1" selected="0">
            <x v="1"/>
          </reference>
          <reference field="70" count="1" selected="0">
            <x v="0"/>
          </reference>
        </references>
      </pivotArea>
    </format>
    <format dxfId="1997">
      <pivotArea outline="0" fieldPosition="0">
        <references count="4">
          <reference field="4294967294" count="1" selected="0">
            <x v="26"/>
          </reference>
          <reference field="0" count="1" selected="0">
            <x v="0"/>
          </reference>
          <reference field="4" count="1" selected="0">
            <x v="1"/>
          </reference>
          <reference field="70" count="1" selected="0">
            <x v="0"/>
          </reference>
        </references>
      </pivotArea>
    </format>
    <format dxfId="1996">
      <pivotArea outline="0" fieldPosition="0">
        <references count="4">
          <reference field="4294967294" count="1" selected="0">
            <x v="26"/>
          </reference>
          <reference field="0" count="1" selected="0">
            <x v="0"/>
          </reference>
          <reference field="4" count="1" selected="0">
            <x v="3"/>
          </reference>
          <reference field="70" count="1" selected="0">
            <x v="0"/>
          </reference>
        </references>
      </pivotArea>
    </format>
    <format dxfId="1995">
      <pivotArea outline="0" fieldPosition="0">
        <references count="4">
          <reference field="4294967294" count="1" selected="0">
            <x v="14"/>
          </reference>
          <reference field="0" count="1" selected="0">
            <x v="0"/>
          </reference>
          <reference field="4" count="1" selected="0">
            <x v="10"/>
          </reference>
          <reference field="70" count="1" selected="0">
            <x v="1"/>
          </reference>
        </references>
      </pivotArea>
    </format>
    <format dxfId="1994">
      <pivotArea outline="0" fieldPosition="0">
        <references count="4">
          <reference field="4294967294" count="1" selected="0">
            <x v="2"/>
          </reference>
          <reference field="0" count="1" selected="0">
            <x v="0"/>
          </reference>
          <reference field="4" count="1" selected="0">
            <x v="11"/>
          </reference>
          <reference field="70" count="1" selected="0">
            <x v="2"/>
          </reference>
        </references>
      </pivotArea>
    </format>
    <format dxfId="1993">
      <pivotArea outline="0" fieldPosition="0">
        <references count="4">
          <reference field="4294967294" count="1" selected="0">
            <x v="5"/>
          </reference>
          <reference field="0" count="1" selected="0">
            <x v="0"/>
          </reference>
          <reference field="4" count="1" selected="0">
            <x v="11"/>
          </reference>
          <reference field="70" count="1" selected="0">
            <x v="2"/>
          </reference>
        </references>
      </pivotArea>
    </format>
    <format dxfId="1992">
      <pivotArea outline="0" fieldPosition="0">
        <references count="4">
          <reference field="4294967294" count="1" selected="0">
            <x v="20"/>
          </reference>
          <reference field="0" count="1" selected="0">
            <x v="1"/>
          </reference>
          <reference field="4" count="1" selected="0">
            <x v="4"/>
          </reference>
          <reference field="70" count="1" selected="0">
            <x v="0"/>
          </reference>
        </references>
      </pivotArea>
    </format>
    <format dxfId="1991">
      <pivotArea outline="0" fieldPosition="0">
        <references count="4">
          <reference field="4294967294" count="1" selected="0">
            <x v="20"/>
          </reference>
          <reference field="0" count="1" selected="0">
            <x v="1"/>
          </reference>
          <reference field="4" count="1" selected="0">
            <x v="3"/>
          </reference>
          <reference field="70" count="1" selected="0">
            <x v="0"/>
          </reference>
        </references>
      </pivotArea>
    </format>
    <format dxfId="1990">
      <pivotArea outline="0" fieldPosition="0">
        <references count="4">
          <reference field="4294967294" count="1" selected="0">
            <x v="26"/>
          </reference>
          <reference field="0" count="1" selected="0">
            <x v="1"/>
          </reference>
          <reference field="4" count="1" selected="0">
            <x v="4"/>
          </reference>
          <reference field="70" count="1" selected="0">
            <x v="0"/>
          </reference>
        </references>
      </pivotArea>
    </format>
    <format dxfId="1989">
      <pivotArea outline="0" fieldPosition="0">
        <references count="4">
          <reference field="4294967294" count="1" selected="0">
            <x v="20"/>
          </reference>
          <reference field="0" count="1" selected="0">
            <x v="1"/>
          </reference>
          <reference field="4" count="1" selected="0">
            <x v="5"/>
          </reference>
          <reference field="70" count="1" selected="0">
            <x v="0"/>
          </reference>
        </references>
      </pivotArea>
    </format>
    <format dxfId="1988">
      <pivotArea outline="0" fieldPosition="0">
        <references count="4">
          <reference field="4294967294" count="1" selected="0">
            <x v="26"/>
          </reference>
          <reference field="0" count="1" selected="0">
            <x v="1"/>
          </reference>
          <reference field="4" count="1" selected="0">
            <x v="5"/>
          </reference>
          <reference field="70" count="1" selected="0">
            <x v="0"/>
          </reference>
        </references>
      </pivotArea>
    </format>
    <format dxfId="1987">
      <pivotArea outline="0" fieldPosition="0">
        <references count="4">
          <reference field="4294967294" count="1" selected="0">
            <x v="2"/>
          </reference>
          <reference field="0" count="1" selected="0">
            <x v="2"/>
          </reference>
          <reference field="4" count="1" selected="0">
            <x v="2"/>
          </reference>
          <reference field="70" count="1" selected="0">
            <x v="0"/>
          </reference>
        </references>
      </pivotArea>
    </format>
    <format dxfId="1986">
      <pivotArea outline="0" fieldPosition="0">
        <references count="4">
          <reference field="4294967294" count="1" selected="0">
            <x v="8"/>
          </reference>
          <reference field="0" count="1" selected="0">
            <x v="2"/>
          </reference>
          <reference field="4" count="1" selected="0">
            <x v="2"/>
          </reference>
          <reference field="70" count="1" selected="0">
            <x v="0"/>
          </reference>
        </references>
      </pivotArea>
    </format>
    <format dxfId="1985">
      <pivotArea outline="0" fieldPosition="0">
        <references count="4">
          <reference field="4294967294" count="1" selected="0">
            <x v="20"/>
          </reference>
          <reference field="0" count="1" selected="0">
            <x v="2"/>
          </reference>
          <reference field="4" count="1" selected="0">
            <x v="2"/>
          </reference>
          <reference field="70" count="1" selected="0">
            <x v="0"/>
          </reference>
        </references>
      </pivotArea>
    </format>
    <format dxfId="1984">
      <pivotArea outline="0" fieldPosition="0">
        <references count="4">
          <reference field="4294967294" count="1" selected="0">
            <x v="26"/>
          </reference>
          <reference field="0" count="1" selected="0">
            <x v="2"/>
          </reference>
          <reference field="4" count="1" selected="0">
            <x v="2"/>
          </reference>
          <reference field="70" count="1" selected="0">
            <x v="0"/>
          </reference>
        </references>
      </pivotArea>
    </format>
    <format dxfId="1983">
      <pivotArea outline="0" fieldPosition="0">
        <references count="4">
          <reference field="4294967294" count="1" selected="0">
            <x v="2"/>
          </reference>
          <reference field="0" count="1" selected="0">
            <x v="3"/>
          </reference>
          <reference field="4" count="1" selected="0">
            <x v="0"/>
          </reference>
          <reference field="70" count="1" selected="0">
            <x v="0"/>
          </reference>
        </references>
      </pivotArea>
    </format>
    <format dxfId="1982">
      <pivotArea outline="0" fieldPosition="0">
        <references count="4">
          <reference field="4294967294" count="1" selected="0">
            <x v="8"/>
          </reference>
          <reference field="0" count="1" selected="0">
            <x v="3"/>
          </reference>
          <reference field="4" count="1" selected="0">
            <x v="0"/>
          </reference>
          <reference field="70" count="1" selected="0">
            <x v="0"/>
          </reference>
        </references>
      </pivotArea>
    </format>
    <format dxfId="1981">
      <pivotArea outline="0" fieldPosition="0">
        <references count="4">
          <reference field="4294967294" count="1" selected="0">
            <x v="20"/>
          </reference>
          <reference field="0" count="1" selected="0">
            <x v="3"/>
          </reference>
          <reference field="4" count="1" selected="0">
            <x v="0"/>
          </reference>
          <reference field="70" count="1" selected="0">
            <x v="0"/>
          </reference>
        </references>
      </pivotArea>
    </format>
    <format dxfId="1980">
      <pivotArea outline="0" fieldPosition="0">
        <references count="4">
          <reference field="4294967294" count="1" selected="0">
            <x v="26"/>
          </reference>
          <reference field="0" count="1" selected="0">
            <x v="3"/>
          </reference>
          <reference field="4" count="1" selected="0">
            <x v="0"/>
          </reference>
          <reference field="70" count="1" selected="0">
            <x v="0"/>
          </reference>
        </references>
      </pivotArea>
    </format>
    <format dxfId="1979">
      <pivotArea outline="0" fieldPosition="0">
        <references count="4">
          <reference field="4294967294" count="1" selected="0">
            <x v="20"/>
          </reference>
          <reference field="0" count="1" selected="0">
            <x v="3"/>
          </reference>
          <reference field="4" count="1" selected="0">
            <x v="3"/>
          </reference>
          <reference field="70" count="1" selected="0">
            <x v="0"/>
          </reference>
        </references>
      </pivotArea>
    </format>
    <format dxfId="1978">
      <pivotArea outline="0" fieldPosition="0">
        <references count="4">
          <reference field="4294967294" count="1" selected="0">
            <x v="10"/>
          </reference>
          <reference field="0" count="1" selected="0">
            <x v="3"/>
          </reference>
          <reference field="4" count="1" selected="0">
            <x v="10"/>
          </reference>
          <reference field="70" count="1" selected="0">
            <x v="1"/>
          </reference>
        </references>
      </pivotArea>
    </format>
    <format dxfId="1977">
      <pivotArea outline="0" fieldPosition="0">
        <references count="4">
          <reference field="4294967294" count="1" selected="0">
            <x v="13"/>
          </reference>
          <reference field="0" count="1" selected="0">
            <x v="3"/>
          </reference>
          <reference field="4" count="1" selected="0">
            <x v="8"/>
          </reference>
          <reference field="70" count="1" selected="0">
            <x v="1"/>
          </reference>
        </references>
      </pivotArea>
    </format>
    <format dxfId="1976">
      <pivotArea outline="0" fieldPosition="0">
        <references count="4">
          <reference field="4294967294" count="1" selected="0">
            <x v="13"/>
          </reference>
          <reference field="0" count="1" selected="0">
            <x v="3"/>
          </reference>
          <reference field="4" count="1" selected="0">
            <x v="8"/>
          </reference>
          <reference field="70" count="1" selected="0">
            <x v="1"/>
          </reference>
        </references>
      </pivotArea>
    </format>
    <format dxfId="1975">
      <pivotArea outline="0" fieldPosition="0">
        <references count="4">
          <reference field="4294967294" count="1" selected="0">
            <x v="8"/>
          </reference>
          <reference field="0" count="1" selected="0">
            <x v="5"/>
          </reference>
          <reference field="4" count="1" selected="0">
            <x v="3"/>
          </reference>
          <reference field="70" count="1" selected="0">
            <x v="0"/>
          </reference>
        </references>
      </pivotArea>
    </format>
    <format dxfId="1974">
      <pivotArea outline="0" fieldPosition="0">
        <references count="4">
          <reference field="4294967294" count="1" selected="0">
            <x v="11"/>
          </reference>
          <reference field="0" count="1" selected="0">
            <x v="5"/>
          </reference>
          <reference field="4" count="1" selected="0">
            <x v="3"/>
          </reference>
          <reference field="70" count="1" selected="0">
            <x v="0"/>
          </reference>
        </references>
      </pivotArea>
    </format>
    <format dxfId="1973">
      <pivotArea outline="0" fieldPosition="0">
        <references count="4">
          <reference field="4294967294" count="1" selected="0">
            <x v="2"/>
          </reference>
          <reference field="0" count="1" selected="0">
            <x v="5"/>
          </reference>
          <reference field="4" count="1" selected="0">
            <x v="3"/>
          </reference>
          <reference field="70" count="1" selected="0">
            <x v="0"/>
          </reference>
        </references>
      </pivotArea>
    </format>
    <format dxfId="1972">
      <pivotArea outline="0" fieldPosition="0">
        <references count="4">
          <reference field="4294967294" count="1" selected="0">
            <x v="26"/>
          </reference>
          <reference field="0" count="1" selected="0">
            <x v="5"/>
          </reference>
          <reference field="4" count="1" selected="0">
            <x v="3"/>
          </reference>
          <reference field="70" count="1" selected="0">
            <x v="0"/>
          </reference>
        </references>
      </pivotArea>
    </format>
    <format dxfId="1971">
      <pivotArea outline="0" fieldPosition="0">
        <references count="4">
          <reference field="4294967294" count="1" selected="0">
            <x v="20"/>
          </reference>
          <reference field="0" count="1" selected="0">
            <x v="5"/>
          </reference>
          <reference field="4" count="1" selected="0">
            <x v="3"/>
          </reference>
          <reference field="70" count="1" selected="0">
            <x v="0"/>
          </reference>
        </references>
      </pivotArea>
    </format>
    <format dxfId="1970">
      <pivotArea outline="0" fieldPosition="0">
        <references count="4">
          <reference field="4294967294" count="1" selected="0">
            <x v="2"/>
          </reference>
          <reference field="0" count="1" selected="0">
            <x v="5"/>
          </reference>
          <reference field="4" count="1" selected="0">
            <x v="8"/>
          </reference>
          <reference field="70" count="1" selected="0">
            <x v="1"/>
          </reference>
        </references>
      </pivotArea>
    </format>
    <format dxfId="1969">
      <pivotArea outline="0" fieldPosition="0">
        <references count="4">
          <reference field="4294967294" count="1" selected="0">
            <x v="8"/>
          </reference>
          <reference field="0" count="1" selected="0">
            <x v="5"/>
          </reference>
          <reference field="4" count="1" selected="0">
            <x v="10"/>
          </reference>
          <reference field="70" count="1" selected="0">
            <x v="1"/>
          </reference>
        </references>
      </pivotArea>
    </format>
    <format dxfId="1968">
      <pivotArea outline="0" fieldPosition="0">
        <references count="4">
          <reference field="4294967294" count="1" selected="0">
            <x v="5"/>
          </reference>
          <reference field="0" count="1" selected="0">
            <x v="5"/>
          </reference>
          <reference field="4" count="1" selected="0">
            <x v="11"/>
          </reference>
          <reference field="70" count="1" selected="0">
            <x v="2"/>
          </reference>
        </references>
      </pivotArea>
    </format>
    <format dxfId="1967">
      <pivotArea outline="0" fieldPosition="0">
        <references count="4">
          <reference field="4294967294" count="1" selected="0">
            <x v="20"/>
          </reference>
          <reference field="0" count="1" selected="0">
            <x v="7"/>
          </reference>
          <reference field="4" count="1" selected="0">
            <x v="4"/>
          </reference>
          <reference field="70" count="1" selected="0">
            <x v="0"/>
          </reference>
        </references>
      </pivotArea>
    </format>
    <format dxfId="1966">
      <pivotArea outline="0" fieldPosition="0">
        <references count="4">
          <reference field="4294967294" count="1" selected="0">
            <x v="23"/>
          </reference>
          <reference field="0" count="1" selected="0">
            <x v="7"/>
          </reference>
          <reference field="4" count="1" selected="0">
            <x v="4"/>
          </reference>
          <reference field="70" count="1" selected="0">
            <x v="0"/>
          </reference>
        </references>
      </pivotArea>
    </format>
    <format dxfId="1965">
      <pivotArea outline="0" fieldPosition="0">
        <references count="4">
          <reference field="4294967294" count="1" selected="0">
            <x v="20"/>
          </reference>
          <reference field="0" count="1" selected="0">
            <x v="8"/>
          </reference>
          <reference field="4" count="1" selected="0">
            <x v="3"/>
          </reference>
          <reference field="70" count="1" selected="0">
            <x v="0"/>
          </reference>
        </references>
      </pivotArea>
    </format>
    <format dxfId="1964">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1963">
      <pivotArea outline="0" fieldPosition="0">
        <references count="4">
          <reference field="4294967294" count="1" selected="0">
            <x v="4"/>
          </reference>
          <reference field="0" count="1" selected="0">
            <x v="8"/>
          </reference>
          <reference field="4" count="1" selected="0">
            <x v="4"/>
          </reference>
          <reference field="70" count="1" selected="0">
            <x v="0"/>
          </reference>
        </references>
      </pivotArea>
    </format>
    <format dxfId="1962">
      <pivotArea outline="0" fieldPosition="0">
        <references count="4">
          <reference field="4294967294" count="1" selected="0">
            <x v="16"/>
          </reference>
          <reference field="0" count="1" selected="0">
            <x v="8"/>
          </reference>
          <reference field="4" count="1" selected="0">
            <x v="3"/>
          </reference>
          <reference field="70" count="1" selected="0">
            <x v="0"/>
          </reference>
        </references>
      </pivotArea>
    </format>
    <format dxfId="1961">
      <pivotArea outline="0" fieldPosition="0">
        <references count="4">
          <reference field="4294967294" count="1" selected="0">
            <x v="34"/>
          </reference>
          <reference field="0" count="1" selected="0">
            <x v="8"/>
          </reference>
          <reference field="4" count="1" selected="0">
            <x v="3"/>
          </reference>
          <reference field="70" count="1" selected="0">
            <x v="0"/>
          </reference>
        </references>
      </pivotArea>
    </format>
    <format dxfId="1960">
      <pivotArea outline="0" fieldPosition="0">
        <references count="4">
          <reference field="4294967294" count="1" selected="0">
            <x v="10"/>
          </reference>
          <reference field="0" count="1" selected="0">
            <x v="9"/>
          </reference>
          <reference field="4" count="1" selected="0">
            <x v="3"/>
          </reference>
          <reference field="70" count="1" selected="0">
            <x v="0"/>
          </reference>
        </references>
      </pivotArea>
    </format>
    <format dxfId="1959">
      <pivotArea outline="0" fieldPosition="0">
        <references count="4">
          <reference field="4294967294" count="1" selected="0">
            <x v="20"/>
          </reference>
          <reference field="0" count="1" selected="0">
            <x v="9"/>
          </reference>
          <reference field="4" count="1" selected="0">
            <x v="5"/>
          </reference>
          <reference field="70" count="1" selected="0">
            <x v="0"/>
          </reference>
        </references>
      </pivotArea>
    </format>
    <format dxfId="1958">
      <pivotArea outline="0" fieldPosition="0">
        <references count="4">
          <reference field="4294967294" count="1" selected="0">
            <x v="23"/>
          </reference>
          <reference field="0" count="1" selected="0">
            <x v="9"/>
          </reference>
          <reference field="4" count="1" selected="0">
            <x v="5"/>
          </reference>
          <reference field="70" count="1" selected="0">
            <x v="0"/>
          </reference>
        </references>
      </pivotArea>
    </format>
    <format dxfId="1957">
      <pivotArea outline="0" fieldPosition="0">
        <references count="4">
          <reference field="4294967294" count="1" selected="0">
            <x v="26"/>
          </reference>
          <reference field="0" count="1" selected="0">
            <x v="9"/>
          </reference>
          <reference field="4" count="1" selected="0">
            <x v="5"/>
          </reference>
          <reference field="70" count="1" selected="0">
            <x v="0"/>
          </reference>
        </references>
      </pivotArea>
    </format>
    <format dxfId="1956">
      <pivotArea outline="0" fieldPosition="0">
        <references count="4">
          <reference field="4294967294" count="1" selected="0">
            <x v="26"/>
          </reference>
          <reference field="0" count="1" selected="0">
            <x v="9"/>
          </reference>
          <reference field="4" count="1" selected="0">
            <x v="3"/>
          </reference>
          <reference field="70" count="1" selected="0">
            <x v="0"/>
          </reference>
        </references>
      </pivotArea>
    </format>
    <format dxfId="1955">
      <pivotArea outline="0" fieldPosition="0">
        <references count="4">
          <reference field="4294967294" count="1" selected="0">
            <x v="23"/>
          </reference>
          <reference field="0" count="1" selected="0">
            <x v="9"/>
          </reference>
          <reference field="4" count="1" selected="0">
            <x v="3"/>
          </reference>
          <reference field="70" count="1" selected="0">
            <x v="0"/>
          </reference>
        </references>
      </pivotArea>
    </format>
    <format dxfId="1954">
      <pivotArea outline="0" fieldPosition="0">
        <references count="4">
          <reference field="4294967294" count="1" selected="0">
            <x v="22"/>
          </reference>
          <reference field="0" count="1" selected="0">
            <x v="9"/>
          </reference>
          <reference field="4" count="1" selected="0">
            <x v="5"/>
          </reference>
          <reference field="70" count="1" selected="0">
            <x v="0"/>
          </reference>
        </references>
      </pivotArea>
    </format>
    <format dxfId="1953">
      <pivotArea outline="0" fieldPosition="0">
        <references count="4">
          <reference field="4294967294" count="1" selected="0">
            <x v="13"/>
          </reference>
          <reference field="0" count="1" selected="0">
            <x v="10"/>
          </reference>
          <reference field="4" count="1" selected="0">
            <x v="3"/>
          </reference>
          <reference field="70" count="1" selected="0">
            <x v="0"/>
          </reference>
        </references>
      </pivotArea>
    </format>
    <format dxfId="1952">
      <pivotArea outline="0" fieldPosition="0">
        <references count="4">
          <reference field="4294967294" count="1" selected="0">
            <x v="20"/>
          </reference>
          <reference field="0" count="1" selected="0">
            <x v="10"/>
          </reference>
          <reference field="4" count="1" selected="0">
            <x v="0"/>
          </reference>
          <reference field="70" count="1" selected="0">
            <x v="0"/>
          </reference>
        </references>
      </pivotArea>
    </format>
    <format dxfId="1951">
      <pivotArea outline="0" fieldPosition="0">
        <references count="4">
          <reference field="4294967294" count="1" selected="0">
            <x v="26"/>
          </reference>
          <reference field="0" count="1" selected="0">
            <x v="10"/>
          </reference>
          <reference field="4" count="1" selected="0">
            <x v="0"/>
          </reference>
          <reference field="70" count="1" selected="0">
            <x v="0"/>
          </reference>
        </references>
      </pivotArea>
    </format>
    <format dxfId="1950">
      <pivotArea outline="0" fieldPosition="0">
        <references count="4">
          <reference field="4294967294" count="1" selected="0">
            <x v="23"/>
          </reference>
          <reference field="0" count="1" selected="0">
            <x v="10"/>
          </reference>
          <reference field="4" count="1" selected="0">
            <x v="0"/>
          </reference>
          <reference field="70" count="1" selected="0">
            <x v="0"/>
          </reference>
        </references>
      </pivotArea>
    </format>
    <format dxfId="1949">
      <pivotArea outline="0" fieldPosition="0">
        <references count="4">
          <reference field="4294967294" count="1" selected="0">
            <x v="29"/>
          </reference>
          <reference field="0" count="1" selected="0">
            <x v="10"/>
          </reference>
          <reference field="4" count="1" selected="0">
            <x v="0"/>
          </reference>
          <reference field="70" count="1" selected="0">
            <x v="0"/>
          </reference>
        </references>
      </pivotArea>
    </format>
    <format dxfId="1948">
      <pivotArea outline="0" fieldPosition="0">
        <references count="4">
          <reference field="4294967294" count="1" selected="0">
            <x v="26"/>
          </reference>
          <reference field="0" count="1" selected="0">
            <x v="10"/>
          </reference>
          <reference field="4" count="1" selected="0">
            <x v="4"/>
          </reference>
          <reference field="70" count="1" selected="0">
            <x v="0"/>
          </reference>
        </references>
      </pivotArea>
    </format>
    <format dxfId="1947">
      <pivotArea outline="0" fieldPosition="0">
        <references count="4">
          <reference field="4294967294" count="1" selected="0">
            <x v="2"/>
          </reference>
          <reference field="0" count="1" selected="0">
            <x v="11"/>
          </reference>
          <reference field="4" count="1" selected="0">
            <x v="0"/>
          </reference>
          <reference field="70" count="1" selected="0">
            <x v="0"/>
          </reference>
        </references>
      </pivotArea>
    </format>
    <format dxfId="1946">
      <pivotArea outline="0" fieldPosition="0">
        <references count="4">
          <reference field="4294967294" count="1" selected="0">
            <x v="2"/>
          </reference>
          <reference field="0" count="1" selected="0">
            <x v="11"/>
          </reference>
          <reference field="4" count="1" selected="0">
            <x v="8"/>
          </reference>
          <reference field="70" count="1" selected="0">
            <x v="1"/>
          </reference>
        </references>
      </pivotArea>
    </format>
    <format dxfId="1945">
      <pivotArea outline="0" fieldPosition="0">
        <references count="4">
          <reference field="4294967294" count="1" selected="0">
            <x v="2"/>
          </reference>
          <reference field="0" count="1" selected="0">
            <x v="11"/>
          </reference>
          <reference field="4" count="2" selected="0">
            <x v="9"/>
            <x v="10"/>
          </reference>
          <reference field="70" count="1" selected="0">
            <x v="1"/>
          </reference>
        </references>
      </pivotArea>
    </format>
    <format dxfId="1944">
      <pivotArea outline="0" fieldPosition="0">
        <references count="4">
          <reference field="4294967294" count="1" selected="0">
            <x v="8"/>
          </reference>
          <reference field="0" count="1" selected="0">
            <x v="11"/>
          </reference>
          <reference field="4" count="1" selected="0">
            <x v="8"/>
          </reference>
          <reference field="70" count="1" selected="0">
            <x v="1"/>
          </reference>
        </references>
      </pivotArea>
    </format>
    <format dxfId="1943">
      <pivotArea outline="0" fieldPosition="0">
        <references count="4">
          <reference field="4294967294" count="1" selected="0">
            <x v="20"/>
          </reference>
          <reference field="0" count="1" selected="0">
            <x v="11"/>
          </reference>
          <reference field="4" count="1" selected="0">
            <x v="2"/>
          </reference>
          <reference field="70" count="1" selected="0">
            <x v="0"/>
          </reference>
        </references>
      </pivotArea>
    </format>
    <format dxfId="1942">
      <pivotArea outline="0" fieldPosition="0">
        <references count="4">
          <reference field="4294967294" count="1" selected="0">
            <x v="23"/>
          </reference>
          <reference field="0" count="1" selected="0">
            <x v="11"/>
          </reference>
          <reference field="4" count="1" selected="0">
            <x v="2"/>
          </reference>
          <reference field="70" count="1" selected="0">
            <x v="0"/>
          </reference>
        </references>
      </pivotArea>
    </format>
    <format dxfId="1941">
      <pivotArea outline="0" fieldPosition="0">
        <references count="4">
          <reference field="4294967294" count="1" selected="0">
            <x v="23"/>
          </reference>
          <reference field="0" count="1" selected="0">
            <x v="11"/>
          </reference>
          <reference field="4" count="1" selected="0">
            <x v="4"/>
          </reference>
          <reference field="70" count="1" selected="0">
            <x v="0"/>
          </reference>
        </references>
      </pivotArea>
    </format>
    <format dxfId="1940">
      <pivotArea outline="0" fieldPosition="0">
        <references count="4">
          <reference field="4294967294" count="1" selected="0">
            <x v="20"/>
          </reference>
          <reference field="0" count="1" selected="0">
            <x v="11"/>
          </reference>
          <reference field="4" count="1" selected="0">
            <x v="5"/>
          </reference>
          <reference field="70" count="1" selected="0">
            <x v="0"/>
          </reference>
        </references>
      </pivotArea>
    </format>
    <format dxfId="1939">
      <pivotArea outline="0" fieldPosition="0">
        <references count="4">
          <reference field="4294967294" count="1" selected="0">
            <x v="23"/>
          </reference>
          <reference field="0" count="1" selected="0">
            <x v="11"/>
          </reference>
          <reference field="4" count="1" selected="0">
            <x v="5"/>
          </reference>
          <reference field="70" count="1" selected="0">
            <x v="0"/>
          </reference>
        </references>
      </pivotArea>
    </format>
    <format dxfId="1938">
      <pivotArea outline="0" fieldPosition="0">
        <references count="4">
          <reference field="4294967294" count="1" selected="0">
            <x v="26"/>
          </reference>
          <reference field="0" count="1" selected="0">
            <x v="11"/>
          </reference>
          <reference field="4" count="1" selected="0">
            <x v="5"/>
          </reference>
          <reference field="70" count="1" selected="0">
            <x v="0"/>
          </reference>
        </references>
      </pivotArea>
    </format>
    <format dxfId="1937">
      <pivotArea outline="0" fieldPosition="0">
        <references count="4">
          <reference field="4294967294" count="1" selected="0">
            <x v="20"/>
          </reference>
          <reference field="0" count="1" selected="0">
            <x v="12"/>
          </reference>
          <reference field="4" count="1" selected="0">
            <x v="4"/>
          </reference>
          <reference field="70" count="1" selected="0">
            <x v="0"/>
          </reference>
        </references>
      </pivotArea>
    </format>
    <format dxfId="1936">
      <pivotArea outline="0" fieldPosition="0">
        <references count="4">
          <reference field="4294967294" count="1" selected="0">
            <x v="26"/>
          </reference>
          <reference field="0" count="1" selected="0">
            <x v="12"/>
          </reference>
          <reference field="4" count="1" selected="0">
            <x v="4"/>
          </reference>
          <reference field="70" count="1" selected="0">
            <x v="0"/>
          </reference>
        </references>
      </pivotArea>
    </format>
    <format dxfId="1935">
      <pivotArea outline="0" fieldPosition="0">
        <references count="4">
          <reference field="4294967294" count="1" selected="0">
            <x v="2"/>
          </reference>
          <reference field="0" count="1" selected="0">
            <x v="13"/>
          </reference>
          <reference field="4" count="1" selected="0">
            <x v="3"/>
          </reference>
          <reference field="70" count="1" selected="0">
            <x v="0"/>
          </reference>
        </references>
      </pivotArea>
    </format>
    <format dxfId="1934">
      <pivotArea outline="0" fieldPosition="0">
        <references count="4">
          <reference field="4294967294" count="1" selected="0">
            <x v="20"/>
          </reference>
          <reference field="0" count="1" selected="0">
            <x v="13"/>
          </reference>
          <reference field="4" count="1" selected="0">
            <x v="4"/>
          </reference>
          <reference field="70" count="1" selected="0">
            <x v="0"/>
          </reference>
        </references>
      </pivotArea>
    </format>
    <format dxfId="1933">
      <pivotArea outline="0" fieldPosition="0">
        <references count="4">
          <reference field="4294967294" count="1" selected="0">
            <x v="26"/>
          </reference>
          <reference field="0" count="1" selected="0">
            <x v="13"/>
          </reference>
          <reference field="4" count="1" selected="0">
            <x v="4"/>
          </reference>
          <reference field="70" count="1" selected="0">
            <x v="0"/>
          </reference>
        </references>
      </pivotArea>
    </format>
    <format dxfId="1932">
      <pivotArea outline="0" fieldPosition="0">
        <references count="4">
          <reference field="4294967294" count="1" selected="0">
            <x v="28"/>
          </reference>
          <reference field="0" count="1" selected="0">
            <x v="13"/>
          </reference>
          <reference field="4" count="1" selected="0">
            <x v="5"/>
          </reference>
          <reference field="70" count="1" selected="0">
            <x v="0"/>
          </reference>
        </references>
      </pivotArea>
    </format>
    <format dxfId="1931">
      <pivotArea outline="0" fieldPosition="0">
        <references count="4">
          <reference field="4294967294" count="1" selected="0">
            <x v="31"/>
          </reference>
          <reference field="0" count="1" selected="0">
            <x v="13"/>
          </reference>
          <reference field="4" count="1" selected="0">
            <x v="4"/>
          </reference>
          <reference field="70" count="1" selected="0">
            <x v="0"/>
          </reference>
        </references>
      </pivotArea>
    </format>
    <format dxfId="1930">
      <pivotArea outline="0" fieldPosition="0">
        <references count="4">
          <reference field="4294967294" count="1" selected="0">
            <x v="2"/>
          </reference>
          <reference field="0" count="1" selected="0">
            <x v="14"/>
          </reference>
          <reference field="4" count="1" selected="0">
            <x v="5"/>
          </reference>
          <reference field="70" count="1" selected="0">
            <x v="0"/>
          </reference>
        </references>
      </pivotArea>
    </format>
    <format dxfId="1929">
      <pivotArea outline="0" fieldPosition="0">
        <references count="4">
          <reference field="4294967294" count="1" selected="0">
            <x v="8"/>
          </reference>
          <reference field="0" count="1" selected="0">
            <x v="14"/>
          </reference>
          <reference field="4" count="1" selected="0">
            <x v="5"/>
          </reference>
          <reference field="70" count="1" selected="0">
            <x v="0"/>
          </reference>
        </references>
      </pivotArea>
    </format>
    <format dxfId="1928">
      <pivotArea outline="0" fieldPosition="0">
        <references count="4">
          <reference field="4294967294" count="1" selected="0">
            <x v="20"/>
          </reference>
          <reference field="0" count="1" selected="0">
            <x v="14"/>
          </reference>
          <reference field="4" count="1" selected="0">
            <x v="2"/>
          </reference>
          <reference field="70" count="1" selected="0">
            <x v="0"/>
          </reference>
        </references>
      </pivotArea>
    </format>
    <format dxfId="1927">
      <pivotArea outline="0" fieldPosition="0">
        <references count="4">
          <reference field="4294967294" count="1" selected="0">
            <x v="26"/>
          </reference>
          <reference field="0" count="1" selected="0">
            <x v="14"/>
          </reference>
          <reference field="4" count="1" selected="0">
            <x v="2"/>
          </reference>
          <reference field="70" count="1" selected="0">
            <x v="0"/>
          </reference>
        </references>
      </pivotArea>
    </format>
    <format dxfId="1926">
      <pivotArea outline="0" fieldPosition="0">
        <references count="4">
          <reference field="4294967294" count="1" selected="0">
            <x v="20"/>
          </reference>
          <reference field="0" count="1" selected="0">
            <x v="14"/>
          </reference>
          <reference field="4" count="1" selected="0">
            <x v="2"/>
          </reference>
          <reference field="70" count="1" selected="0">
            <x v="0"/>
          </reference>
        </references>
      </pivotArea>
    </format>
    <format dxfId="1925">
      <pivotArea outline="0" fieldPosition="0">
        <references count="4">
          <reference field="4294967294" count="1" selected="0">
            <x v="2"/>
          </reference>
          <reference field="0" count="1" selected="0">
            <x v="15"/>
          </reference>
          <reference field="4" count="1" selected="0">
            <x v="7"/>
          </reference>
          <reference field="70" count="1" selected="0">
            <x v="1"/>
          </reference>
        </references>
      </pivotArea>
    </format>
    <format dxfId="1924">
      <pivotArea outline="0" fieldPosition="0">
        <references count="4">
          <reference field="4294967294" count="1" selected="0">
            <x v="8"/>
          </reference>
          <reference field="0" count="1" selected="0">
            <x v="15"/>
          </reference>
          <reference field="4" count="1" selected="0">
            <x v="7"/>
          </reference>
          <reference field="70" count="1" selected="0">
            <x v="1"/>
          </reference>
        </references>
      </pivotArea>
    </format>
    <format dxfId="1923">
      <pivotArea outline="0" fieldPosition="0">
        <references count="4">
          <reference field="4294967294" count="1" selected="0">
            <x v="23"/>
          </reference>
          <reference field="0" count="1" selected="0">
            <x v="15"/>
          </reference>
          <reference field="4" count="1" selected="0">
            <x v="2"/>
          </reference>
          <reference field="70" count="1" selected="0">
            <x v="0"/>
          </reference>
        </references>
      </pivotArea>
    </format>
    <format dxfId="1922">
      <pivotArea outline="0" fieldPosition="0">
        <references count="4">
          <reference field="4294967294" count="1" selected="0">
            <x v="20"/>
          </reference>
          <reference field="0" count="1" selected="0">
            <x v="15"/>
          </reference>
          <reference field="4" count="1" selected="0">
            <x v="5"/>
          </reference>
          <reference field="70" count="1" selected="0">
            <x v="0"/>
          </reference>
        </references>
      </pivotArea>
    </format>
    <format dxfId="1921">
      <pivotArea outline="0" fieldPosition="0">
        <references count="4">
          <reference field="4294967294" count="1" selected="0">
            <x v="20"/>
          </reference>
          <reference field="0" count="1" selected="0">
            <x v="15"/>
          </reference>
          <reference field="4" count="1" selected="0">
            <x v="4"/>
          </reference>
          <reference field="70" count="1" selected="0">
            <x v="0"/>
          </reference>
        </references>
      </pivotArea>
    </format>
    <format dxfId="1920">
      <pivotArea outline="0" fieldPosition="0">
        <references count="4">
          <reference field="4294967294" count="1" selected="0">
            <x v="26"/>
          </reference>
          <reference field="0" count="1" selected="0">
            <x v="15"/>
          </reference>
          <reference field="4" count="1" selected="0">
            <x v="4"/>
          </reference>
          <reference field="70" count="1" selected="0">
            <x v="0"/>
          </reference>
        </references>
      </pivotArea>
    </format>
    <format dxfId="1919">
      <pivotArea outline="0" fieldPosition="0">
        <references count="4">
          <reference field="4294967294" count="1" selected="0">
            <x v="20"/>
          </reference>
          <reference field="0" count="1" selected="0">
            <x v="15"/>
          </reference>
          <reference field="4" count="1" selected="0">
            <x v="2"/>
          </reference>
          <reference field="70" count="1" selected="0">
            <x v="0"/>
          </reference>
        </references>
      </pivotArea>
    </format>
    <format dxfId="1918">
      <pivotArea outline="0" fieldPosition="0">
        <references count="4">
          <reference field="4294967294" count="1" selected="0">
            <x v="2"/>
          </reference>
          <reference field="0" count="1" selected="0">
            <x v="2"/>
          </reference>
          <reference field="4" count="1" selected="0">
            <x v="2"/>
          </reference>
          <reference field="70" count="1" selected="0">
            <x v="0"/>
          </reference>
        </references>
      </pivotArea>
    </format>
    <format dxfId="1917">
      <pivotArea outline="0" fieldPosition="0">
        <references count="4">
          <reference field="4294967294" count="1" selected="0">
            <x v="8"/>
          </reference>
          <reference field="0" count="1" selected="0">
            <x v="2"/>
          </reference>
          <reference field="4" count="1" selected="0">
            <x v="2"/>
          </reference>
          <reference field="70" count="1" selected="0">
            <x v="0"/>
          </reference>
        </references>
      </pivotArea>
    </format>
    <format dxfId="1916">
      <pivotArea outline="0" fieldPosition="0">
        <references count="4">
          <reference field="4294967294" count="7" selected="0">
            <x v="20"/>
            <x v="21"/>
            <x v="22"/>
            <x v="23"/>
            <x v="24"/>
            <x v="25"/>
            <x v="26"/>
          </reference>
          <reference field="0" count="1" selected="0">
            <x v="2"/>
          </reference>
          <reference field="4" count="1" selected="0">
            <x v="2"/>
          </reference>
          <reference field="70" count="1" selected="0">
            <x v="0"/>
          </reference>
        </references>
      </pivotArea>
    </format>
    <format dxfId="1915">
      <pivotArea outline="0" fieldPosition="0">
        <references count="4">
          <reference field="4294967294" count="1" selected="0">
            <x v="16"/>
          </reference>
          <reference field="0" count="1" selected="0">
            <x v="8"/>
          </reference>
          <reference field="4" count="1" selected="0">
            <x v="3"/>
          </reference>
          <reference field="70" count="1" selected="0">
            <x v="0"/>
          </reference>
        </references>
      </pivotArea>
    </format>
    <format dxfId="1914">
      <pivotArea outline="0" fieldPosition="0">
        <references count="4">
          <reference field="4294967294" count="1" selected="0">
            <x v="34"/>
          </reference>
          <reference field="0" count="1" selected="0">
            <x v="8"/>
          </reference>
          <reference field="4" count="1" selected="0">
            <x v="3"/>
          </reference>
          <reference field="70" count="1" selected="0">
            <x v="0"/>
          </reference>
        </references>
      </pivotArea>
    </format>
    <format dxfId="1913">
      <pivotArea outline="0" fieldPosition="0">
        <references count="4">
          <reference field="4294967294" count="1" selected="0">
            <x v="2"/>
          </reference>
          <reference field="0" count="1" selected="0">
            <x v="0"/>
          </reference>
          <reference field="4" count="1" selected="0">
            <x v="12"/>
          </reference>
          <reference field="70" count="1" selected="0">
            <x v="2"/>
          </reference>
        </references>
      </pivotArea>
    </format>
    <format dxfId="1912">
      <pivotArea outline="0" fieldPosition="0">
        <references count="4">
          <reference field="4294967294" count="2" selected="0">
            <x v="7"/>
            <x v="8"/>
          </reference>
          <reference field="0" count="1" selected="0">
            <x v="0"/>
          </reference>
          <reference field="4" count="1" selected="0">
            <x v="12"/>
          </reference>
          <reference field="70" count="1" selected="0">
            <x v="2"/>
          </reference>
        </references>
      </pivotArea>
    </format>
    <format dxfId="1911">
      <pivotArea outline="0" fieldPosition="0">
        <references count="4">
          <reference field="4294967294" count="1" selected="0">
            <x v="10"/>
          </reference>
          <reference field="0" count="1" selected="0">
            <x v="0"/>
          </reference>
          <reference field="4" count="1" selected="0">
            <x v="0"/>
          </reference>
          <reference field="70" count="1" selected="0">
            <x v="0"/>
          </reference>
        </references>
      </pivotArea>
    </format>
    <format dxfId="1910">
      <pivotArea outline="0" fieldPosition="0">
        <references count="4">
          <reference field="4294967294" count="1" selected="0">
            <x v="13"/>
          </reference>
          <reference field="0" count="1" selected="0">
            <x v="0"/>
          </reference>
          <reference field="4" count="1" selected="0">
            <x v="10"/>
          </reference>
          <reference field="70" count="1" selected="0">
            <x v="1"/>
          </reference>
        </references>
      </pivotArea>
    </format>
    <format dxfId="1909">
      <pivotArea outline="0" fieldPosition="0">
        <references count="4">
          <reference field="4294967294" count="2" selected="0">
            <x v="22"/>
            <x v="23"/>
          </reference>
          <reference field="0" count="1" selected="0">
            <x v="0"/>
          </reference>
          <reference field="4" count="1" selected="0">
            <x v="3"/>
          </reference>
          <reference field="70" count="1" selected="0">
            <x v="0"/>
          </reference>
        </references>
      </pivotArea>
    </format>
    <format dxfId="1908">
      <pivotArea outline="0" fieldPosition="0">
        <references count="4">
          <reference field="4294967294" count="2" selected="0">
            <x v="22"/>
            <x v="23"/>
          </reference>
          <reference field="0" count="1" selected="0">
            <x v="0"/>
          </reference>
          <reference field="4" count="1" selected="0">
            <x v="4"/>
          </reference>
          <reference field="70" count="1" selected="0">
            <x v="0"/>
          </reference>
        </references>
      </pivotArea>
    </format>
    <format dxfId="1907">
      <pivotArea outline="0" fieldPosition="0">
        <references count="4">
          <reference field="4294967294" count="1" selected="0">
            <x v="2"/>
          </reference>
          <reference field="0" count="1" selected="0">
            <x v="1"/>
          </reference>
          <reference field="4" count="1" selected="0">
            <x v="9"/>
          </reference>
          <reference field="70" count="1" selected="0">
            <x v="1"/>
          </reference>
        </references>
      </pivotArea>
    </format>
    <format dxfId="1906">
      <pivotArea outline="0" fieldPosition="0">
        <references count="4">
          <reference field="4294967294" count="2" selected="0">
            <x v="10"/>
            <x v="11"/>
          </reference>
          <reference field="0" count="1" selected="0">
            <x v="1"/>
          </reference>
          <reference field="4" count="1" selected="0">
            <x v="4"/>
          </reference>
          <reference field="70" count="1" selected="0">
            <x v="0"/>
          </reference>
        </references>
      </pivotArea>
    </format>
    <format dxfId="1905">
      <pivotArea outline="0" fieldPosition="0">
        <references count="4">
          <reference field="4294967294" count="2" selected="0">
            <x v="10"/>
            <x v="11"/>
          </reference>
          <reference field="0" count="1" selected="0">
            <x v="1"/>
          </reference>
          <reference field="4" count="1" selected="0">
            <x v="5"/>
          </reference>
          <reference field="70" count="1" selected="0">
            <x v="0"/>
          </reference>
        </references>
      </pivotArea>
    </format>
    <format dxfId="1904">
      <pivotArea outline="0" fieldPosition="0">
        <references count="4">
          <reference field="4294967294" count="1" selected="0">
            <x v="23"/>
          </reference>
          <reference field="0" count="1" selected="0">
            <x v="1"/>
          </reference>
          <reference field="4" count="1" selected="0">
            <x v="3"/>
          </reference>
          <reference field="70" count="1" selected="0">
            <x v="0"/>
          </reference>
        </references>
      </pivotArea>
    </format>
    <format dxfId="1903">
      <pivotArea outline="0" fieldPosition="0">
        <references count="4">
          <reference field="4294967294" count="1" selected="0">
            <x v="26"/>
          </reference>
          <reference field="0" count="1" selected="0">
            <x v="1"/>
          </reference>
          <reference field="4" count="1" selected="0">
            <x v="3"/>
          </reference>
          <reference field="70" count="1" selected="0">
            <x v="0"/>
          </reference>
        </references>
      </pivotArea>
    </format>
    <format dxfId="1902">
      <pivotArea outline="0" fieldPosition="0">
        <references count="4">
          <reference field="4294967294" count="1" selected="0">
            <x v="28"/>
          </reference>
          <reference field="0" count="1" selected="0">
            <x v="1"/>
          </reference>
          <reference field="4" count="1" selected="0">
            <x v="3"/>
          </reference>
          <reference field="70" count="1" selected="0">
            <x v="0"/>
          </reference>
        </references>
      </pivotArea>
    </format>
    <format dxfId="1901">
      <pivotArea outline="0" fieldPosition="0">
        <references count="4">
          <reference field="4294967294" count="2" selected="0">
            <x v="4"/>
            <x v="5"/>
          </reference>
          <reference field="0" count="1" selected="0">
            <x v="3"/>
          </reference>
          <reference field="4" count="1" selected="0">
            <x v="3"/>
          </reference>
          <reference field="70" count="1" selected="0">
            <x v="0"/>
          </reference>
        </references>
      </pivotArea>
    </format>
    <format dxfId="1900">
      <pivotArea outline="0" fieldPosition="0">
        <references count="4">
          <reference field="4294967294" count="1" selected="0">
            <x v="8"/>
          </reference>
          <reference field="0" count="1" selected="0">
            <x v="3"/>
          </reference>
          <reference field="4" count="1" selected="0">
            <x v="3"/>
          </reference>
          <reference field="70" count="1" selected="0">
            <x v="0"/>
          </reference>
        </references>
      </pivotArea>
    </format>
    <format dxfId="1899">
      <pivotArea outline="0" fieldPosition="0">
        <references count="4">
          <reference field="4294967294" count="2" selected="0">
            <x v="10"/>
            <x v="11"/>
          </reference>
          <reference field="0" count="1" selected="0">
            <x v="3"/>
          </reference>
          <reference field="4" count="1" selected="0">
            <x v="2"/>
          </reference>
          <reference field="70" count="1" selected="0">
            <x v="0"/>
          </reference>
        </references>
      </pivotArea>
    </format>
    <format dxfId="1898">
      <pivotArea outline="0" fieldPosition="0">
        <references count="4">
          <reference field="4294967294" count="1" selected="0">
            <x v="20"/>
          </reference>
          <reference field="0" count="1" selected="0">
            <x v="3"/>
          </reference>
          <reference field="4" count="1" selected="0">
            <x v="3"/>
          </reference>
          <reference field="70" count="1" selected="0">
            <x v="0"/>
          </reference>
        </references>
      </pivotArea>
    </format>
    <format dxfId="1897">
      <pivotArea outline="0" fieldPosition="0">
        <references count="4">
          <reference field="4294967294" count="1" selected="0">
            <x v="26"/>
          </reference>
          <reference field="0" count="1" selected="0">
            <x v="3"/>
          </reference>
          <reference field="4" count="1" selected="0">
            <x v="2"/>
          </reference>
          <reference field="70" count="1" selected="0">
            <x v="0"/>
          </reference>
        </references>
      </pivotArea>
    </format>
    <format dxfId="1896">
      <pivotArea outline="0" fieldPosition="0">
        <references count="4">
          <reference field="4294967294" count="1" selected="0">
            <x v="26"/>
          </reference>
          <reference field="0" count="1" selected="0">
            <x v="3"/>
          </reference>
          <reference field="4" count="1" selected="0">
            <x v="3"/>
          </reference>
          <reference field="70" count="1" selected="0">
            <x v="0"/>
          </reference>
        </references>
      </pivotArea>
    </format>
    <format dxfId="1895">
      <pivotArea outline="0" fieldPosition="0">
        <references count="4">
          <reference field="4294967294" count="2" selected="0">
            <x v="28"/>
            <x v="29"/>
          </reference>
          <reference field="0" count="1" selected="0">
            <x v="3"/>
          </reference>
          <reference field="4" count="1" selected="0">
            <x v="2"/>
          </reference>
          <reference field="70" count="1" selected="0">
            <x v="0"/>
          </reference>
        </references>
      </pivotArea>
    </format>
    <format dxfId="1894">
      <pivotArea outline="0" fieldPosition="0">
        <references count="4">
          <reference field="4294967294" count="1" selected="0">
            <x v="10"/>
          </reference>
          <reference field="0" count="1" selected="0">
            <x v="4"/>
          </reference>
          <reference field="4" count="1" selected="0">
            <x v="5"/>
          </reference>
          <reference field="70" count="1" selected="0">
            <x v="0"/>
          </reference>
        </references>
      </pivotArea>
    </format>
    <format dxfId="1893">
      <pivotArea outline="0" fieldPosition="0">
        <references count="4">
          <reference field="4294967294" count="1" selected="0">
            <x v="8"/>
          </reference>
          <reference field="0" count="1" selected="0">
            <x v="4"/>
          </reference>
          <reference field="4" count="2" selected="0">
            <x v="7"/>
            <x v="8"/>
          </reference>
          <reference field="70" count="1" selected="0">
            <x v="1"/>
          </reference>
        </references>
      </pivotArea>
    </format>
    <format dxfId="1892">
      <pivotArea outline="0" fieldPosition="0">
        <references count="4">
          <reference field="4294967294" count="2" selected="0">
            <x v="13"/>
            <x v="14"/>
          </reference>
          <reference field="0" count="1" selected="0">
            <x v="4"/>
          </reference>
          <reference field="4" count="1" selected="0">
            <x v="8"/>
          </reference>
          <reference field="70" count="1" selected="0">
            <x v="1"/>
          </reference>
        </references>
      </pivotArea>
    </format>
    <format dxfId="1891">
      <pivotArea outline="0" fieldPosition="0">
        <references count="4">
          <reference field="4294967294" count="2" selected="0">
            <x v="10"/>
            <x v="11"/>
          </reference>
          <reference field="0" count="1" selected="0">
            <x v="4"/>
          </reference>
          <reference field="4" count="1" selected="0">
            <x v="9"/>
          </reference>
          <reference field="70" count="1" selected="0">
            <x v="1"/>
          </reference>
        </references>
      </pivotArea>
    </format>
    <format dxfId="1890">
      <pivotArea outline="0" fieldPosition="0">
        <references count="4">
          <reference field="4294967294" count="1" selected="0">
            <x v="20"/>
          </reference>
          <reference field="0" count="1" selected="0">
            <x v="4"/>
          </reference>
          <reference field="4" count="1" selected="0">
            <x v="1"/>
          </reference>
          <reference field="70" count="1" selected="0">
            <x v="0"/>
          </reference>
        </references>
      </pivotArea>
    </format>
    <format dxfId="1889">
      <pivotArea outline="0" fieldPosition="0">
        <references count="4">
          <reference field="4294967294" count="1" selected="0">
            <x v="26"/>
          </reference>
          <reference field="0" count="1" selected="0">
            <x v="4"/>
          </reference>
          <reference field="4" count="1" selected="0">
            <x v="1"/>
          </reference>
          <reference field="70" count="1" selected="0">
            <x v="0"/>
          </reference>
        </references>
      </pivotArea>
    </format>
    <format dxfId="1888">
      <pivotArea outline="0" fieldPosition="0">
        <references count="4">
          <reference field="4294967294" count="1" selected="0">
            <x v="23"/>
          </reference>
          <reference field="0" count="1" selected="0">
            <x v="4"/>
          </reference>
          <reference field="4" count="1" selected="0">
            <x v="4"/>
          </reference>
          <reference field="70" count="1" selected="0">
            <x v="0"/>
          </reference>
        </references>
      </pivotArea>
    </format>
    <format dxfId="1887">
      <pivotArea outline="0" fieldPosition="0">
        <references count="4">
          <reference field="4294967294" count="1" selected="0">
            <x v="26"/>
          </reference>
          <reference field="0" count="1" selected="0">
            <x v="4"/>
          </reference>
          <reference field="4" count="1" selected="0">
            <x v="4"/>
          </reference>
          <reference field="70" count="1" selected="0">
            <x v="0"/>
          </reference>
        </references>
      </pivotArea>
    </format>
    <format dxfId="1886">
      <pivotArea outline="0" fieldPosition="0">
        <references count="4">
          <reference field="4294967294" count="1" selected="0">
            <x v="2"/>
          </reference>
          <reference field="0" count="1" selected="0">
            <x v="5"/>
          </reference>
          <reference field="4" count="3" selected="0">
            <x v="8"/>
            <x v="9"/>
            <x v="10"/>
          </reference>
          <reference field="70" count="1" selected="0">
            <x v="1"/>
          </reference>
        </references>
      </pivotArea>
    </format>
    <format dxfId="1885">
      <pivotArea outline="0" fieldPosition="0">
        <references count="4">
          <reference field="4294967294" count="1" selected="0">
            <x v="5"/>
          </reference>
          <reference field="0" count="1" selected="0">
            <x v="5"/>
          </reference>
          <reference field="4" count="3" selected="0">
            <x v="8"/>
            <x v="9"/>
            <x v="10"/>
          </reference>
          <reference field="70" count="1" selected="0">
            <x v="1"/>
          </reference>
        </references>
      </pivotArea>
    </format>
    <format dxfId="1884">
      <pivotArea outline="0" fieldPosition="0">
        <references count="4">
          <reference field="4294967294" count="1" selected="0">
            <x v="8"/>
          </reference>
          <reference field="0" count="1" selected="0">
            <x v="5"/>
          </reference>
          <reference field="4" count="3" selected="0">
            <x v="8"/>
            <x v="9"/>
            <x v="10"/>
          </reference>
          <reference field="70" count="1" selected="0">
            <x v="1"/>
          </reference>
        </references>
      </pivotArea>
    </format>
    <format dxfId="1883">
      <pivotArea outline="0" fieldPosition="0">
        <references count="4">
          <reference field="4294967294" count="1" selected="0">
            <x v="2"/>
          </reference>
          <reference field="0" count="1" selected="0">
            <x v="5"/>
          </reference>
          <reference field="4" count="1" selected="0">
            <x v="11"/>
          </reference>
          <reference field="70" count="1" selected="0">
            <x v="2"/>
          </reference>
        </references>
      </pivotArea>
    </format>
    <format dxfId="1882">
      <pivotArea outline="0" fieldPosition="0">
        <references count="4">
          <reference field="4294967294" count="1" selected="0">
            <x v="5"/>
          </reference>
          <reference field="0" count="1" selected="0">
            <x v="5"/>
          </reference>
          <reference field="4" count="1" selected="0">
            <x v="11"/>
          </reference>
          <reference field="70" count="1" selected="0">
            <x v="2"/>
          </reference>
        </references>
      </pivotArea>
    </format>
    <format dxfId="1881">
      <pivotArea outline="0" fieldPosition="0">
        <references count="4">
          <reference field="4294967294" count="1" selected="0">
            <x v="8"/>
          </reference>
          <reference field="0" count="1" selected="0">
            <x v="5"/>
          </reference>
          <reference field="4" count="1" selected="0">
            <x v="11"/>
          </reference>
          <reference field="70" count="1" selected="0">
            <x v="2"/>
          </reference>
        </references>
      </pivotArea>
    </format>
    <format dxfId="1880">
      <pivotArea outline="0" fieldPosition="0">
        <references count="4">
          <reference field="4294967294" count="1" selected="0">
            <x v="20"/>
          </reference>
          <reference field="0" count="1" selected="0">
            <x v="5"/>
          </reference>
          <reference field="4" count="1" selected="0">
            <x v="0"/>
          </reference>
          <reference field="70" count="1" selected="0">
            <x v="0"/>
          </reference>
        </references>
      </pivotArea>
    </format>
    <format dxfId="1879">
      <pivotArea outline="0" fieldPosition="0">
        <references count="4">
          <reference field="4294967294" count="1" selected="0">
            <x v="20"/>
          </reference>
          <reference field="0" count="1" selected="0">
            <x v="5"/>
          </reference>
          <reference field="4" count="1" selected="0">
            <x v="3"/>
          </reference>
          <reference field="70" count="1" selected="0">
            <x v="0"/>
          </reference>
        </references>
      </pivotArea>
    </format>
    <format dxfId="1878">
      <pivotArea outline="0" fieldPosition="0">
        <references count="4">
          <reference field="4294967294" count="1" selected="0">
            <x v="26"/>
          </reference>
          <reference field="0" count="1" selected="0">
            <x v="5"/>
          </reference>
          <reference field="4" count="1" selected="0">
            <x v="3"/>
          </reference>
          <reference field="70" count="1" selected="0">
            <x v="0"/>
          </reference>
        </references>
      </pivotArea>
    </format>
    <format dxfId="1877">
      <pivotArea outline="0" fieldPosition="0">
        <references count="4">
          <reference field="4294967294" count="1" selected="0">
            <x v="26"/>
          </reference>
          <reference field="0" count="1" selected="0">
            <x v="7"/>
          </reference>
          <reference field="4" count="1" selected="0">
            <x v="2"/>
          </reference>
          <reference field="70" count="1" selected="0">
            <x v="0"/>
          </reference>
        </references>
      </pivotArea>
    </format>
    <format dxfId="1876">
      <pivotArea outline="0" fieldPosition="0">
        <references count="4">
          <reference field="4294967294" count="1" selected="0">
            <x v="20"/>
          </reference>
          <reference field="0" count="1" selected="0">
            <x v="8"/>
          </reference>
          <reference field="4" count="2" selected="0">
            <x v="3"/>
            <x v="4"/>
          </reference>
          <reference field="70" count="1" selected="0">
            <x v="0"/>
          </reference>
        </references>
      </pivotArea>
    </format>
    <format dxfId="1875">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1874">
      <pivotArea outline="0" fieldPosition="0">
        <references count="4">
          <reference field="4294967294" count="1" selected="0">
            <x v="34"/>
          </reference>
          <reference field="0" count="1" selected="0">
            <x v="8"/>
          </reference>
          <reference field="4" count="1" selected="0">
            <x v="0"/>
          </reference>
          <reference field="70" count="1" selected="0">
            <x v="0"/>
          </reference>
        </references>
      </pivotArea>
    </format>
    <format dxfId="1873">
      <pivotArea outline="0" fieldPosition="0">
        <references count="4">
          <reference field="4294967294" count="1" selected="0">
            <x v="2"/>
          </reference>
          <reference field="0" count="1" selected="0">
            <x v="9"/>
          </reference>
          <reference field="4" count="1" selected="0">
            <x v="3"/>
          </reference>
          <reference field="70" count="1" selected="0">
            <x v="0"/>
          </reference>
        </references>
      </pivotArea>
    </format>
    <format dxfId="1872">
      <pivotArea outline="0" fieldPosition="0">
        <references count="4">
          <reference field="4294967294" count="1" selected="0">
            <x v="8"/>
          </reference>
          <reference field="0" count="1" selected="0">
            <x v="9"/>
          </reference>
          <reference field="4" count="1" selected="0">
            <x v="3"/>
          </reference>
          <reference field="70" count="1" selected="0">
            <x v="0"/>
          </reference>
        </references>
      </pivotArea>
    </format>
    <format dxfId="1871">
      <pivotArea outline="0" fieldPosition="0">
        <references count="4">
          <reference field="4294967294" count="1" selected="0">
            <x v="2"/>
          </reference>
          <reference field="0" count="1" selected="0">
            <x v="9"/>
          </reference>
          <reference field="4" count="1" selected="0">
            <x v="8"/>
          </reference>
          <reference field="70" count="1" selected="0">
            <x v="1"/>
          </reference>
        </references>
      </pivotArea>
    </format>
    <format dxfId="1870">
      <pivotArea outline="0" fieldPosition="0">
        <references count="4">
          <reference field="4294967294" count="1" selected="0">
            <x v="8"/>
          </reference>
          <reference field="0" count="1" selected="0">
            <x v="9"/>
          </reference>
          <reference field="4" count="1" selected="0">
            <x v="8"/>
          </reference>
          <reference field="70" count="1" selected="0">
            <x v="1"/>
          </reference>
        </references>
      </pivotArea>
    </format>
    <format dxfId="1869">
      <pivotArea outline="0" fieldPosition="0">
        <references count="4">
          <reference field="4294967294" count="1" selected="0">
            <x v="23"/>
          </reference>
          <reference field="0" count="1" selected="0">
            <x v="9"/>
          </reference>
          <reference field="4" count="1" selected="0">
            <x v="3"/>
          </reference>
          <reference field="70" count="1" selected="0">
            <x v="0"/>
          </reference>
        </references>
      </pivotArea>
    </format>
    <format dxfId="1868">
      <pivotArea outline="0" fieldPosition="0">
        <references count="4">
          <reference field="4294967294" count="1" selected="0">
            <x v="26"/>
          </reference>
          <reference field="0" count="1" selected="0">
            <x v="9"/>
          </reference>
          <reference field="4" count="1" selected="0">
            <x v="3"/>
          </reference>
          <reference field="70" count="1" selected="0">
            <x v="0"/>
          </reference>
        </references>
      </pivotArea>
    </format>
    <format dxfId="1867">
      <pivotArea outline="0" fieldPosition="0">
        <references count="4">
          <reference field="4294967294" count="1" selected="0">
            <x v="2"/>
          </reference>
          <reference field="0" count="1" selected="0">
            <x v="10"/>
          </reference>
          <reference field="4" count="1" selected="0">
            <x v="2"/>
          </reference>
          <reference field="70" count="1" selected="0">
            <x v="0"/>
          </reference>
        </references>
      </pivotArea>
    </format>
    <format dxfId="1866">
      <pivotArea outline="0" fieldPosition="0">
        <references count="4">
          <reference field="4294967294" count="1" selected="0">
            <x v="5"/>
          </reference>
          <reference field="0" count="1" selected="0">
            <x v="10"/>
          </reference>
          <reference field="4" count="1" selected="0">
            <x v="2"/>
          </reference>
          <reference field="70" count="1" selected="0">
            <x v="0"/>
          </reference>
        </references>
      </pivotArea>
    </format>
    <format dxfId="1865">
      <pivotArea outline="0" fieldPosition="0">
        <references count="4">
          <reference field="4294967294" count="1" selected="0">
            <x v="20"/>
          </reference>
          <reference field="0" count="1" selected="0">
            <x v="10"/>
          </reference>
          <reference field="4" count="1" selected="0">
            <x v="0"/>
          </reference>
          <reference field="70" count="1" selected="0">
            <x v="0"/>
          </reference>
        </references>
      </pivotArea>
    </format>
    <format dxfId="1864">
      <pivotArea outline="0" fieldPosition="0">
        <references count="4">
          <reference field="4294967294" count="1" selected="0">
            <x v="20"/>
          </reference>
          <reference field="0" count="1" selected="0">
            <x v="10"/>
          </reference>
          <reference field="4" count="1" selected="0">
            <x v="2"/>
          </reference>
          <reference field="70" count="1" selected="0">
            <x v="0"/>
          </reference>
        </references>
      </pivotArea>
    </format>
    <format dxfId="1863">
      <pivotArea outline="0" fieldPosition="0">
        <references count="4">
          <reference field="4294967294" count="1" selected="0">
            <x v="20"/>
          </reference>
          <reference field="0" count="1" selected="0">
            <x v="10"/>
          </reference>
          <reference field="4" count="1" selected="0">
            <x v="3"/>
          </reference>
          <reference field="70" count="1" selected="0">
            <x v="0"/>
          </reference>
        </references>
      </pivotArea>
    </format>
    <format dxfId="1862">
      <pivotArea outline="0" fieldPosition="0">
        <references count="4">
          <reference field="4294967294" count="1" selected="0">
            <x v="23"/>
          </reference>
          <reference field="0" count="1" selected="0">
            <x v="10"/>
          </reference>
          <reference field="4" count="1" selected="0">
            <x v="0"/>
          </reference>
          <reference field="70" count="1" selected="0">
            <x v="0"/>
          </reference>
        </references>
      </pivotArea>
    </format>
    <format dxfId="1861">
      <pivotArea outline="0" fieldPosition="0">
        <references count="4">
          <reference field="4294967294" count="1" selected="0">
            <x v="23"/>
          </reference>
          <reference field="0" count="1" selected="0">
            <x v="10"/>
          </reference>
          <reference field="4" count="1" selected="0">
            <x v="2"/>
          </reference>
          <reference field="70" count="1" selected="0">
            <x v="0"/>
          </reference>
        </references>
      </pivotArea>
    </format>
    <format dxfId="1860">
      <pivotArea outline="0" fieldPosition="0">
        <references count="4">
          <reference field="4294967294" count="1" selected="0">
            <x v="26"/>
          </reference>
          <reference field="0" count="1" selected="0">
            <x v="10"/>
          </reference>
          <reference field="4" count="1" selected="0">
            <x v="0"/>
          </reference>
          <reference field="70" count="1" selected="0">
            <x v="0"/>
          </reference>
        </references>
      </pivotArea>
    </format>
    <format dxfId="1859">
      <pivotArea outline="0" fieldPosition="0">
        <references count="4">
          <reference field="4294967294" count="1" selected="0">
            <x v="26"/>
          </reference>
          <reference field="0" count="1" selected="0">
            <x v="10"/>
          </reference>
          <reference field="4" count="1" selected="0">
            <x v="3"/>
          </reference>
          <reference field="70" count="1" selected="0">
            <x v="0"/>
          </reference>
        </references>
      </pivotArea>
    </format>
    <format dxfId="1858">
      <pivotArea outline="0" fieldPosition="0">
        <references count="4">
          <reference field="4294967294" count="2" selected="0">
            <x v="10"/>
            <x v="11"/>
          </reference>
          <reference field="0" count="1" selected="0">
            <x v="11"/>
          </reference>
          <reference field="4" count="1" selected="0">
            <x v="0"/>
          </reference>
          <reference field="70" count="1" selected="0">
            <x v="0"/>
          </reference>
        </references>
      </pivotArea>
    </format>
    <format dxfId="1857">
      <pivotArea outline="0" fieldPosition="0">
        <references count="4">
          <reference field="4294967294" count="2" selected="0">
            <x v="10"/>
            <x v="11"/>
          </reference>
          <reference field="0" count="1" selected="0">
            <x v="11"/>
          </reference>
          <reference field="4" count="1" selected="0">
            <x v="5"/>
          </reference>
          <reference field="70" count="1" selected="0">
            <x v="0"/>
          </reference>
        </references>
      </pivotArea>
    </format>
    <format dxfId="1856">
      <pivotArea outline="0" fieldPosition="0">
        <references count="4">
          <reference field="4294967294" count="2" selected="0">
            <x v="13"/>
            <x v="14"/>
          </reference>
          <reference field="0" count="1" selected="0">
            <x v="11"/>
          </reference>
          <reference field="4" count="1" selected="0">
            <x v="0"/>
          </reference>
          <reference field="70" count="1" selected="0">
            <x v="0"/>
          </reference>
        </references>
      </pivotArea>
    </format>
    <format dxfId="1855">
      <pivotArea outline="0" fieldPosition="0">
        <references count="4">
          <reference field="4294967294" count="1" selected="0">
            <x v="2"/>
          </reference>
          <reference field="0" count="1" selected="0">
            <x v="11"/>
          </reference>
          <reference field="4" count="1" selected="0">
            <x v="10"/>
          </reference>
          <reference field="70" count="1" selected="0">
            <x v="1"/>
          </reference>
        </references>
      </pivotArea>
    </format>
    <format dxfId="1854">
      <pivotArea outline="0" fieldPosition="0">
        <references count="4">
          <reference field="4294967294" count="1" selected="0">
            <x v="8"/>
          </reference>
          <reference field="0" count="1" selected="0">
            <x v="11"/>
          </reference>
          <reference field="4" count="1" selected="0">
            <x v="10"/>
          </reference>
          <reference field="70" count="1" selected="0">
            <x v="1"/>
          </reference>
        </references>
      </pivotArea>
    </format>
    <format dxfId="1853">
      <pivotArea outline="0" fieldPosition="0">
        <references count="4">
          <reference field="4294967294" count="1" selected="0">
            <x v="20"/>
          </reference>
          <reference field="0" count="1" selected="0">
            <x v="11"/>
          </reference>
          <reference field="4" count="1" selected="0">
            <x v="5"/>
          </reference>
          <reference field="70" count="1" selected="0">
            <x v="0"/>
          </reference>
        </references>
      </pivotArea>
    </format>
    <format dxfId="1852">
      <pivotArea outline="0" fieldPosition="0">
        <references count="4">
          <reference field="4294967294" count="1" selected="0">
            <x v="26"/>
          </reference>
          <reference field="0" count="1" selected="0">
            <x v="11"/>
          </reference>
          <reference field="4" count="1" selected="0">
            <x v="5"/>
          </reference>
          <reference field="70" count="1" selected="0">
            <x v="0"/>
          </reference>
        </references>
      </pivotArea>
    </format>
    <format dxfId="1851">
      <pivotArea outline="0" fieldPosition="0">
        <references count="4">
          <reference field="4294967294" count="2" selected="0">
            <x v="28"/>
            <x v="29"/>
          </reference>
          <reference field="0" count="1" selected="0">
            <x v="11"/>
          </reference>
          <reference field="4" count="1" selected="0">
            <x v="5"/>
          </reference>
          <reference field="70" count="1" selected="0">
            <x v="0"/>
          </reference>
        </references>
      </pivotArea>
    </format>
    <format dxfId="1850">
      <pivotArea outline="0" fieldPosition="0">
        <references count="4">
          <reference field="4294967294" count="1" selected="0">
            <x v="31"/>
          </reference>
          <reference field="0" count="1" selected="0">
            <x v="11"/>
          </reference>
          <reference field="4" count="1" selected="0">
            <x v="5"/>
          </reference>
          <reference field="70" count="1" selected="0">
            <x v="0"/>
          </reference>
        </references>
      </pivotArea>
    </format>
    <format dxfId="1849">
      <pivotArea outline="0" fieldPosition="0">
        <references count="4">
          <reference field="4294967294" count="2" selected="0">
            <x v="10"/>
            <x v="11"/>
          </reference>
          <reference field="0" count="1" selected="0">
            <x v="12"/>
          </reference>
          <reference field="4" count="1" selected="0">
            <x v="9"/>
          </reference>
          <reference field="70" count="1" selected="0">
            <x v="1"/>
          </reference>
        </references>
      </pivotArea>
    </format>
    <format dxfId="1848">
      <pivotArea outline="0" fieldPosition="0">
        <references count="4">
          <reference field="4294967294" count="1" selected="0">
            <x v="22"/>
          </reference>
          <reference field="0" count="1" selected="0">
            <x v="12"/>
          </reference>
          <reference field="4" count="1" selected="0">
            <x v="4"/>
          </reference>
          <reference field="70" count="1" selected="0">
            <x v="0"/>
          </reference>
        </references>
      </pivotArea>
    </format>
    <format dxfId="1847">
      <pivotArea outline="0" fieldPosition="0">
        <references count="4">
          <reference field="4294967294" count="1" selected="0">
            <x v="2"/>
          </reference>
          <reference field="0" count="1" selected="0">
            <x v="13"/>
          </reference>
          <reference field="4" count="1" selected="0">
            <x v="3"/>
          </reference>
          <reference field="70" count="1" selected="0">
            <x v="0"/>
          </reference>
        </references>
      </pivotArea>
    </format>
    <format dxfId="1846">
      <pivotArea outline="0" fieldPosition="0">
        <references count="4">
          <reference field="4294967294" count="1" selected="0">
            <x v="20"/>
          </reference>
          <reference field="0" count="1" selected="0">
            <x v="13"/>
          </reference>
          <reference field="4" count="3" selected="0">
            <x v="3"/>
            <x v="4"/>
            <x v="5"/>
          </reference>
          <reference field="70" count="1" selected="0">
            <x v="0"/>
          </reference>
        </references>
      </pivotArea>
    </format>
    <format dxfId="1845">
      <pivotArea outline="0" fieldPosition="0">
        <references count="4">
          <reference field="4294967294" count="1" selected="0">
            <x v="23"/>
          </reference>
          <reference field="0" count="1" selected="0">
            <x v="13"/>
          </reference>
          <reference field="4" count="2" selected="0">
            <x v="2"/>
            <x v="3"/>
          </reference>
          <reference field="70" count="1" selected="0">
            <x v="0"/>
          </reference>
        </references>
      </pivotArea>
    </format>
    <format dxfId="1844">
      <pivotArea outline="0" fieldPosition="0">
        <references count="4">
          <reference field="4294967294" count="1" selected="0">
            <x v="26"/>
          </reference>
          <reference field="0" count="1" selected="0">
            <x v="13"/>
          </reference>
          <reference field="4" count="2" selected="0">
            <x v="4"/>
            <x v="5"/>
          </reference>
          <reference field="70" count="1" selected="0">
            <x v="0"/>
          </reference>
        </references>
      </pivotArea>
    </format>
    <format dxfId="1843">
      <pivotArea outline="0" fieldPosition="0">
        <references count="4">
          <reference field="4294967294" count="1" selected="0">
            <x v="26"/>
          </reference>
          <reference field="0" count="1" selected="0">
            <x v="13"/>
          </reference>
          <reference field="4" count="1" selected="0">
            <x v="2"/>
          </reference>
          <reference field="70" count="1" selected="0">
            <x v="0"/>
          </reference>
        </references>
      </pivotArea>
    </format>
    <format dxfId="1842">
      <pivotArea outline="0" fieldPosition="0">
        <references count="4">
          <reference field="4294967294" count="2" selected="0">
            <x v="28"/>
            <x v="29"/>
          </reference>
          <reference field="0" count="1" selected="0">
            <x v="13"/>
          </reference>
          <reference field="4" count="1" selected="0">
            <x v="5"/>
          </reference>
          <reference field="70" count="1" selected="0">
            <x v="0"/>
          </reference>
        </references>
      </pivotArea>
    </format>
    <format dxfId="1841">
      <pivotArea outline="0" fieldPosition="0">
        <references count="4">
          <reference field="4294967294" count="1" selected="0">
            <x v="25"/>
          </reference>
          <reference field="0" count="1" selected="0">
            <x v="14"/>
          </reference>
          <reference field="4" count="1" selected="0">
            <x v="1"/>
          </reference>
          <reference field="70" count="1" selected="0">
            <x v="0"/>
          </reference>
        </references>
      </pivotArea>
    </format>
    <format dxfId="1840">
      <pivotArea outline="0" fieldPosition="0">
        <references count="4">
          <reference field="4294967294" count="1" selected="0">
            <x v="31"/>
          </reference>
          <reference field="0" count="1" selected="0">
            <x v="14"/>
          </reference>
          <reference field="4" count="1" selected="0">
            <x v="0"/>
          </reference>
          <reference field="70" count="1" selected="0">
            <x v="0"/>
          </reference>
        </references>
      </pivotArea>
    </format>
    <format dxfId="1839">
      <pivotArea outline="0" fieldPosition="0">
        <references count="4">
          <reference field="4294967294" count="1" selected="0">
            <x v="2"/>
          </reference>
          <reference field="0" count="1" selected="0">
            <x v="15"/>
          </reference>
          <reference field="4" count="1" selected="0">
            <x v="5"/>
          </reference>
          <reference field="70" count="1" selected="0">
            <x v="0"/>
          </reference>
        </references>
      </pivotArea>
    </format>
    <format dxfId="1838">
      <pivotArea outline="0" fieldPosition="0">
        <references count="4">
          <reference field="4294967294" count="1" selected="0">
            <x v="20"/>
          </reference>
          <reference field="0" count="1" selected="0">
            <x v="15"/>
          </reference>
          <reference field="4" count="1" selected="0">
            <x v="2"/>
          </reference>
          <reference field="70" count="1" selected="0">
            <x v="0"/>
          </reference>
        </references>
      </pivotArea>
    </format>
    <format dxfId="1837">
      <pivotArea outline="0" fieldPosition="0">
        <references count="4">
          <reference field="4294967294" count="1" selected="0">
            <x v="26"/>
          </reference>
          <reference field="0" count="1" selected="0">
            <x v="15"/>
          </reference>
          <reference field="4" count="1" selected="0">
            <x v="2"/>
          </reference>
          <reference field="70" count="1" selected="0">
            <x v="0"/>
          </reference>
        </references>
      </pivotArea>
    </format>
    <format dxfId="1836">
      <pivotArea outline="0" fieldPosition="0">
        <references count="4">
          <reference field="4294967294" count="1" selected="0">
            <x v="20"/>
          </reference>
          <reference field="0" count="1" selected="0">
            <x v="15"/>
          </reference>
          <reference field="4" count="1" selected="0">
            <x v="5"/>
          </reference>
          <reference field="70" count="1" selected="0">
            <x v="0"/>
          </reference>
        </references>
      </pivotArea>
    </format>
    <format dxfId="1835">
      <pivotArea outline="0" fieldPosition="0">
        <references count="4">
          <reference field="4294967294" count="1" selected="0">
            <x v="26"/>
          </reference>
          <reference field="0" count="1" selected="0">
            <x v="15"/>
          </reference>
          <reference field="4" count="1" selected="0">
            <x v="5"/>
          </reference>
          <reference field="70"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dataOnRows="1" applyNumberFormats="0" applyBorderFormats="0" applyFontFormats="0" applyPatternFormats="0" applyAlignmentFormats="0" applyWidthHeightFormats="1" dataCaption="Data" updatedVersion="6" showMemberPropertyTips="0" useAutoFormatting="1" itemPrintTitles="1" createdVersion="1" indent="0" compact="0" compactData="0" gridDropZones="1">
  <location ref="A3:S617" firstHeaderRow="1" firstDataRow="3" firstDataCol="2"/>
  <pivotFields count="74">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17">
        <item x="0"/>
        <item x="1"/>
        <item x="2"/>
        <item x="3"/>
        <item x="4"/>
        <item x="5"/>
        <item x="11"/>
        <item x="12"/>
        <item x="7"/>
        <item x="6"/>
        <item x="8"/>
        <item x="9"/>
        <item x="10"/>
        <item h="1" m="1" x="15"/>
        <item h="1" m="1" x="14"/>
        <item h="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axis="axisCol" compact="0" outline="0" subtotalTop="0" showAll="0" includeNewItemsInFilter="1">
      <items count="7">
        <item n="Four-Year +" x="3"/>
        <item n="Two-Year" x="4"/>
        <item n="Technical" x="5"/>
        <item h="1" x="2"/>
        <item h="1" x="1"/>
        <item h="1" x="0"/>
        <item t="default"/>
      </items>
    </pivotField>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s>
  <rowFields count="2">
    <field x="0"/>
    <field x="-2"/>
  </rowFields>
  <rowItems count="612">
    <i>
      <x/>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6"/>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7"/>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8"/>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9"/>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0"/>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2"/>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3"/>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4"/>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x v="15"/>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r="1" i="28">
      <x v="28"/>
    </i>
    <i r="1" i="29">
      <x v="29"/>
    </i>
    <i r="1" i="30">
      <x v="30"/>
    </i>
    <i r="1" i="31">
      <x v="31"/>
    </i>
    <i r="1" i="32">
      <x v="32"/>
    </i>
    <i r="1" i="33">
      <x v="33"/>
    </i>
    <i r="1" i="34">
      <x v="34"/>
    </i>
    <i r="1" i="35">
      <x v="35"/>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i t="grand" i="28">
      <x/>
    </i>
    <i t="grand" i="29">
      <x/>
    </i>
    <i t="grand" i="30">
      <x/>
    </i>
    <i t="grand" i="31">
      <x/>
    </i>
    <i t="grand" i="32">
      <x/>
    </i>
    <i t="grand" i="33">
      <x/>
    </i>
    <i t="grand" i="34">
      <x/>
    </i>
    <i t="grand" i="35">
      <x/>
    </i>
  </rowItems>
  <colFields count="2">
    <field x="70"/>
    <field x="4"/>
  </colFields>
  <colItems count="17">
    <i>
      <x/>
      <x/>
    </i>
    <i r="1">
      <x v="1"/>
    </i>
    <i r="1">
      <x v="2"/>
    </i>
    <i r="1">
      <x v="3"/>
    </i>
    <i r="1">
      <x v="4"/>
    </i>
    <i r="1">
      <x v="5"/>
    </i>
    <i r="1">
      <x v="6"/>
    </i>
    <i t="default">
      <x/>
    </i>
    <i>
      <x v="1"/>
      <x v="7"/>
    </i>
    <i r="1">
      <x v="8"/>
    </i>
    <i r="1">
      <x v="9"/>
    </i>
    <i r="1">
      <x v="10"/>
    </i>
    <i t="default">
      <x v="1"/>
    </i>
    <i>
      <x v="2"/>
      <x v="11"/>
    </i>
    <i r="1">
      <x v="12"/>
    </i>
    <i t="default">
      <x v="2"/>
    </i>
    <i t="grand">
      <x/>
    </i>
  </colItems>
  <dataFields count="36">
    <dataField name=" Old %UG OnC Trad" fld="69" baseField="0" baseItem="0"/>
    <dataField name=" New %UG OnC Trad" fld="68" baseField="0" baseItem="0"/>
    <dataField name=" Change %UG OnC Trad" fld="51" baseField="0" baseItem="0"/>
    <dataField name=" Old %UG OffC Trad" fld="73" baseField="0" baseItem="0"/>
    <dataField name=" New %UG OffC Trad" fld="67" baseField="0" baseItem="0"/>
    <dataField name=" Change %UG OffC Trad" fld="54" baseField="0" baseItem="5"/>
    <dataField name=" Old %UG EL Web" fld="35" baseField="0" baseItem="0"/>
    <dataField name=" New %UG EL Web" fld="36" baseField="0" baseItem="0"/>
    <dataField name=" Change %UG EL Web" fld="55" baseField="0" baseItem="0"/>
    <dataField name=" Old %UG EL CV" fld="42" baseField="0" baseItem="0"/>
    <dataField name=" New %UG EL CV" fld="41" baseField="0" baseItem="0"/>
    <dataField name=" Change %UG EL CV" fld="58" baseField="0" baseItem="0"/>
    <dataField name=" Old %UG EL O" fld="43" baseField="0" baseItem="0"/>
    <dataField name=" New %UG EL O" fld="44" baseField="0" baseItem="0"/>
    <dataField name=" Change %UG EL O" fld="59" baseField="0" baseItem="0"/>
    <dataField name=" Old %UG Cor" fld="50" baseField="0" baseItem="0"/>
    <dataField name=" New %UG Cor" fld="49" baseField="0" baseItem="0"/>
    <dataField name=" Change %UG Cor" fld="62" baseField="0" baseItem="0"/>
    <dataField name=" Old %G OnC Trad" fld="71" baseField="0" baseItem="0"/>
    <dataField name=" New %G OnC Trad" fld="33" baseField="0" baseItem="0"/>
    <dataField name=" Change %G OnC Trad" fld="52" baseField="0" baseItem="0"/>
    <dataField name=" Old %G OffC Trad" fld="72" baseField="0" baseItem="0"/>
    <dataField name=" New %G OffC Trad" fld="34" baseField="0" baseItem="0"/>
    <dataField name=" Change %G OffC Trad" fld="53" baseField="0" baseItem="0"/>
    <dataField name=" Old %G EL Web" fld="38" baseField="0" baseItem="0"/>
    <dataField name=" New %G EL Web" fld="37" baseField="0" baseItem="0"/>
    <dataField name=" Change %G EL Web" fld="56" baseField="0" baseItem="0"/>
    <dataField name=" Old %G EL CV" fld="39" baseField="0" baseItem="0"/>
    <dataField name=" New %G EL CV" fld="40" baseField="0" baseItem="0"/>
    <dataField name=" Change %G EL CV" fld="57" baseField="0" baseItem="0"/>
    <dataField name=" Old %G EL O" fld="46" baseField="0" baseItem="0"/>
    <dataField name=" New %G EL O" fld="45" baseField="0" baseItem="0"/>
    <dataField name=" Change %G EL O" fld="60" baseField="0" baseItem="0"/>
    <dataField name=" Old %G Cor" fld="47" baseField="0" baseItem="0"/>
    <dataField name=" New %G Cor" fld="48" baseField="0" baseItem="0"/>
    <dataField name=" Change %G Cor" fld="61" baseField="0" baseItem="0"/>
  </dataFields>
  <formats count="1688">
    <format dxfId="1834">
      <pivotArea field="4" type="button" dataOnly="0" labelOnly="1" outline="0" axis="axisCol" fieldPosition="1"/>
    </format>
    <format dxfId="1833">
      <pivotArea type="topRight" dataOnly="0" labelOnly="1" outline="0" fieldPosition="0"/>
    </format>
    <format dxfId="1832">
      <pivotArea dataOnly="0" labelOnly="1" grandCol="1" outline="0" fieldPosition="0"/>
    </format>
    <format dxfId="1831">
      <pivotArea outline="0" fieldPosition="0"/>
    </format>
    <format dxfId="1830">
      <pivotArea dataOnly="0" labelOnly="1" outline="0" offset="IV256" fieldPosition="0">
        <references count="1">
          <reference field="0" count="1">
            <x v="9"/>
          </reference>
        </references>
      </pivotArea>
    </format>
    <format dxfId="1829">
      <pivotArea dataOnly="0" labelOnly="1" outline="0" fieldPosition="0">
        <references count="1">
          <reference field="0" count="0"/>
        </references>
      </pivotArea>
    </format>
    <format dxfId="1828">
      <pivotArea type="origin" dataOnly="0" labelOnly="1" outline="0" fieldPosition="0"/>
    </format>
    <format dxfId="1827">
      <pivotArea field="0" type="button" dataOnly="0" labelOnly="1" outline="0" axis="axisRow" fieldPosition="0"/>
    </format>
    <format dxfId="1826">
      <pivotArea field="-2" type="button" dataOnly="0" labelOnly="1" outline="0" axis="axisRow" fieldPosition="1"/>
    </format>
    <format dxfId="1825">
      <pivotArea field="4" type="button" dataOnly="0" labelOnly="1" outline="0" axis="axisCol" fieldPosition="1"/>
    </format>
    <format dxfId="1824">
      <pivotArea type="topRight" dataOnly="0" labelOnly="1" outline="0" fieldPosition="0"/>
    </format>
    <format dxfId="1823">
      <pivotArea dataOnly="0" labelOnly="1" grandCol="1" outline="0" offset="IV256" fieldPosition="0"/>
    </format>
    <format dxfId="1822">
      <pivotArea field="0" grandRow="1" outline="0" axis="axisRow" fieldPosition="0">
        <references count="1">
          <reference field="4294967294" count="1" selected="0">
            <x v="35"/>
          </reference>
        </references>
      </pivotArea>
    </format>
    <format dxfId="1821">
      <pivotArea field="0" dataOnly="0" labelOnly="1" grandRow="1" outline="0" axis="axisRow" fieldPosition="0">
        <references count="1">
          <reference field="4294967294" count="1" selected="0">
            <x v="0"/>
          </reference>
        </references>
      </pivotArea>
    </format>
    <format dxfId="1820">
      <pivotArea field="0" dataOnly="0" labelOnly="1" grandRow="1" outline="0" axis="axisRow" fieldPosition="0">
        <references count="1">
          <reference field="4294967294" count="1" selected="0">
            <x v="1"/>
          </reference>
        </references>
      </pivotArea>
    </format>
    <format dxfId="1819">
      <pivotArea field="0" dataOnly="0" labelOnly="1" grandRow="1" outline="0" axis="axisRow" fieldPosition="0">
        <references count="1">
          <reference field="4294967294" count="1" selected="0">
            <x v="3"/>
          </reference>
        </references>
      </pivotArea>
    </format>
    <format dxfId="1818">
      <pivotArea field="0" dataOnly="0" labelOnly="1" grandRow="1" outline="0" axis="axisRow" fieldPosition="0">
        <references count="1">
          <reference field="4294967294" count="1" selected="0">
            <x v="4"/>
          </reference>
        </references>
      </pivotArea>
    </format>
    <format dxfId="1817">
      <pivotArea field="0" dataOnly="0" labelOnly="1" grandRow="1" outline="0" axis="axisRow" fieldPosition="0">
        <references count="1">
          <reference field="4294967294" count="1" selected="0">
            <x v="5"/>
          </reference>
        </references>
      </pivotArea>
    </format>
    <format dxfId="1816">
      <pivotArea field="0" dataOnly="0" labelOnly="1" grandRow="1" outline="0" axis="axisRow" fieldPosition="0">
        <references count="1">
          <reference field="4294967294" count="1" selected="0">
            <x v="6"/>
          </reference>
        </references>
      </pivotArea>
    </format>
    <format dxfId="1815">
      <pivotArea field="0" dataOnly="0" labelOnly="1" grandRow="1" outline="0" axis="axisRow" fieldPosition="0">
        <references count="1">
          <reference field="4294967294" count="1" selected="0">
            <x v="7"/>
          </reference>
        </references>
      </pivotArea>
    </format>
    <format dxfId="1814">
      <pivotArea field="0" dataOnly="0" labelOnly="1" grandRow="1" outline="0" axis="axisRow" fieldPosition="0">
        <references count="1">
          <reference field="4294967294" count="1" selected="0">
            <x v="8"/>
          </reference>
        </references>
      </pivotArea>
    </format>
    <format dxfId="1813">
      <pivotArea field="0" dataOnly="0" labelOnly="1" grandRow="1" outline="0" axis="axisRow" fieldPosition="0">
        <references count="1">
          <reference field="4294967294" count="1" selected="0">
            <x v="9"/>
          </reference>
        </references>
      </pivotArea>
    </format>
    <format dxfId="1812">
      <pivotArea field="0" dataOnly="0" labelOnly="1" grandRow="1" outline="0" axis="axisRow" fieldPosition="0">
        <references count="1">
          <reference field="4294967294" count="1" selected="0">
            <x v="10"/>
          </reference>
        </references>
      </pivotArea>
    </format>
    <format dxfId="1811">
      <pivotArea field="0" dataOnly="0" labelOnly="1" grandRow="1" outline="0" axis="axisRow" fieldPosition="0">
        <references count="1">
          <reference field="4294967294" count="1" selected="0">
            <x v="11"/>
          </reference>
        </references>
      </pivotArea>
    </format>
    <format dxfId="1810">
      <pivotArea field="0" dataOnly="0" labelOnly="1" grandRow="1" outline="0" axis="axisRow" fieldPosition="0">
        <references count="1">
          <reference field="4294967294" count="1" selected="0">
            <x v="12"/>
          </reference>
        </references>
      </pivotArea>
    </format>
    <format dxfId="1809">
      <pivotArea field="0" dataOnly="0" labelOnly="1" grandRow="1" outline="0" axis="axisRow" fieldPosition="0">
        <references count="1">
          <reference field="4294967294" count="1" selected="0">
            <x v="13"/>
          </reference>
        </references>
      </pivotArea>
    </format>
    <format dxfId="1808">
      <pivotArea field="0" dataOnly="0" labelOnly="1" grandRow="1" outline="0" axis="axisRow" fieldPosition="0">
        <references count="1">
          <reference field="4294967294" count="1" selected="0">
            <x v="14"/>
          </reference>
        </references>
      </pivotArea>
    </format>
    <format dxfId="1807">
      <pivotArea field="0" dataOnly="0" labelOnly="1" grandRow="1" outline="0" axis="axisRow" fieldPosition="0">
        <references count="1">
          <reference field="4294967294" count="1" selected="0">
            <x v="15"/>
          </reference>
        </references>
      </pivotArea>
    </format>
    <format dxfId="1806">
      <pivotArea field="0" dataOnly="0" labelOnly="1" grandRow="1" outline="0" axis="axisRow" fieldPosition="0">
        <references count="1">
          <reference field="4294967294" count="1" selected="0">
            <x v="16"/>
          </reference>
        </references>
      </pivotArea>
    </format>
    <format dxfId="1805">
      <pivotArea field="0" dataOnly="0" labelOnly="1" grandRow="1" outline="0" axis="axisRow" fieldPosition="0">
        <references count="1">
          <reference field="4294967294" count="1" selected="0">
            <x v="17"/>
          </reference>
        </references>
      </pivotArea>
    </format>
    <format dxfId="1804">
      <pivotArea field="0" dataOnly="0" labelOnly="1" grandRow="1" outline="0" axis="axisRow" fieldPosition="0">
        <references count="1">
          <reference field="4294967294" count="1" selected="0">
            <x v="18"/>
          </reference>
        </references>
      </pivotArea>
    </format>
    <format dxfId="1803">
      <pivotArea field="0" dataOnly="0" labelOnly="1" grandRow="1" outline="0" axis="axisRow" fieldPosition="0">
        <references count="1">
          <reference field="4294967294" count="1" selected="0">
            <x v="19"/>
          </reference>
        </references>
      </pivotArea>
    </format>
    <format dxfId="1802">
      <pivotArea field="0" dataOnly="0" labelOnly="1" grandRow="1" outline="0" axis="axisRow" fieldPosition="0">
        <references count="1">
          <reference field="4294967294" count="1" selected="0">
            <x v="20"/>
          </reference>
        </references>
      </pivotArea>
    </format>
    <format dxfId="1801">
      <pivotArea field="0" dataOnly="0" labelOnly="1" grandRow="1" outline="0" axis="axisRow" fieldPosition="0">
        <references count="1">
          <reference field="4294967294" count="1" selected="0">
            <x v="21"/>
          </reference>
        </references>
      </pivotArea>
    </format>
    <format dxfId="1800">
      <pivotArea field="0" dataOnly="0" labelOnly="1" grandRow="1" outline="0" axis="axisRow" fieldPosition="0">
        <references count="1">
          <reference field="4294967294" count="1" selected="0">
            <x v="22"/>
          </reference>
        </references>
      </pivotArea>
    </format>
    <format dxfId="1799">
      <pivotArea field="0" dataOnly="0" labelOnly="1" grandRow="1" outline="0" axis="axisRow" fieldPosition="0">
        <references count="1">
          <reference field="4294967294" count="1" selected="0">
            <x v="23"/>
          </reference>
        </references>
      </pivotArea>
    </format>
    <format dxfId="1798">
      <pivotArea field="0" dataOnly="0" labelOnly="1" grandRow="1" outline="0" axis="axisRow" fieldPosition="0">
        <references count="1">
          <reference field="4294967294" count="1" selected="0">
            <x v="24"/>
          </reference>
        </references>
      </pivotArea>
    </format>
    <format dxfId="1797">
      <pivotArea field="0" dataOnly="0" labelOnly="1" grandRow="1" outline="0" axis="axisRow" fieldPosition="0">
        <references count="1">
          <reference field="4294967294" count="1" selected="0">
            <x v="25"/>
          </reference>
        </references>
      </pivotArea>
    </format>
    <format dxfId="1796">
      <pivotArea field="0" dataOnly="0" labelOnly="1" grandRow="1" outline="0" axis="axisRow" fieldPosition="0">
        <references count="1">
          <reference field="4294967294" count="1" selected="0">
            <x v="26"/>
          </reference>
        </references>
      </pivotArea>
    </format>
    <format dxfId="1795">
      <pivotArea field="0" dataOnly="0" labelOnly="1" grandRow="1" outline="0" axis="axisRow" fieldPosition="0">
        <references count="1">
          <reference field="4294967294" count="1" selected="0">
            <x v="27"/>
          </reference>
        </references>
      </pivotArea>
    </format>
    <format dxfId="1794">
      <pivotArea field="0" dataOnly="0" labelOnly="1" grandRow="1" outline="0" axis="axisRow" fieldPosition="0">
        <references count="1">
          <reference field="4294967294" count="1" selected="0">
            <x v="28"/>
          </reference>
        </references>
      </pivotArea>
    </format>
    <format dxfId="1793">
      <pivotArea field="0" dataOnly="0" labelOnly="1" grandRow="1" outline="0" axis="axisRow" fieldPosition="0">
        <references count="1">
          <reference field="4294967294" count="1" selected="0">
            <x v="29"/>
          </reference>
        </references>
      </pivotArea>
    </format>
    <format dxfId="1792">
      <pivotArea field="0" dataOnly="0" labelOnly="1" grandRow="1" outline="0" axis="axisRow" fieldPosition="0">
        <references count="1">
          <reference field="4294967294" count="1" selected="0">
            <x v="30"/>
          </reference>
        </references>
      </pivotArea>
    </format>
    <format dxfId="1791">
      <pivotArea field="0" dataOnly="0" labelOnly="1" grandRow="1" outline="0" axis="axisRow" fieldPosition="0">
        <references count="1">
          <reference field="4294967294" count="1" selected="0">
            <x v="31"/>
          </reference>
        </references>
      </pivotArea>
    </format>
    <format dxfId="1790">
      <pivotArea field="0" dataOnly="0" labelOnly="1" grandRow="1" outline="0" axis="axisRow" fieldPosition="0">
        <references count="1">
          <reference field="4294967294" count="1" selected="0">
            <x v="32"/>
          </reference>
        </references>
      </pivotArea>
    </format>
    <format dxfId="1789">
      <pivotArea field="0" dataOnly="0" labelOnly="1" grandRow="1" outline="0" axis="axisRow" fieldPosition="0">
        <references count="1">
          <reference field="4294967294" count="1" selected="0">
            <x v="33"/>
          </reference>
        </references>
      </pivotArea>
    </format>
    <format dxfId="1788">
      <pivotArea field="0" dataOnly="0" labelOnly="1" grandRow="1" outline="0" axis="axisRow" fieldPosition="0">
        <references count="1">
          <reference field="4294967294" count="1" selected="0">
            <x v="34"/>
          </reference>
        </references>
      </pivotArea>
    </format>
    <format dxfId="1787">
      <pivotArea field="0" dataOnly="0" labelOnly="1" grandRow="1" outline="0" axis="axisRow" fieldPosition="0">
        <references count="1">
          <reference field="4294967294" count="1" selected="0">
            <x v="35"/>
          </reference>
        </references>
      </pivotArea>
    </format>
    <format dxfId="1786">
      <pivotArea field="0" grandRow="1" outline="0" axis="axisRow" fieldPosition="0">
        <references count="1">
          <reference field="4294967294" count="1" selected="0">
            <x v="5"/>
          </reference>
        </references>
      </pivotArea>
    </format>
    <format dxfId="1785">
      <pivotArea field="0" grandRow="1" outline="0" axis="axisRow" fieldPosition="0">
        <references count="1">
          <reference field="4294967294" count="1" selected="0">
            <x v="8"/>
          </reference>
        </references>
      </pivotArea>
    </format>
    <format dxfId="1784">
      <pivotArea field="0" grandRow="1" outline="0" axis="axisRow" fieldPosition="0">
        <references count="1">
          <reference field="4294967294" count="1" selected="0">
            <x v="11"/>
          </reference>
        </references>
      </pivotArea>
    </format>
    <format dxfId="1783">
      <pivotArea field="0" grandRow="1" outline="0" axis="axisRow" fieldPosition="0">
        <references count="1">
          <reference field="4294967294" count="1" selected="0">
            <x v="14"/>
          </reference>
        </references>
      </pivotArea>
    </format>
    <format dxfId="1782">
      <pivotArea field="0" grandRow="1" outline="0" axis="axisRow" fieldPosition="0">
        <references count="1">
          <reference field="4294967294" count="1" selected="0">
            <x v="17"/>
          </reference>
        </references>
      </pivotArea>
    </format>
    <format dxfId="1781">
      <pivotArea field="0" grandRow="1" outline="0" axis="axisRow" fieldPosition="0">
        <references count="1">
          <reference field="4294967294" count="1" selected="0">
            <x v="20"/>
          </reference>
        </references>
      </pivotArea>
    </format>
    <format dxfId="1780">
      <pivotArea field="0" grandRow="1" outline="0" axis="axisRow" fieldPosition="0">
        <references count="1">
          <reference field="4294967294" count="1" selected="0">
            <x v="23"/>
          </reference>
        </references>
      </pivotArea>
    </format>
    <format dxfId="1779">
      <pivotArea field="0" grandRow="1" outline="0" axis="axisRow" fieldPosition="0">
        <references count="1">
          <reference field="4294967294" count="1" selected="0">
            <x v="26"/>
          </reference>
        </references>
      </pivotArea>
    </format>
    <format dxfId="1778">
      <pivotArea field="0" grandRow="1" outline="0" axis="axisRow" fieldPosition="0">
        <references count="1">
          <reference field="4294967294" count="1" selected="0">
            <x v="29"/>
          </reference>
        </references>
      </pivotArea>
    </format>
    <format dxfId="1777">
      <pivotArea field="0" grandRow="1" outline="0" axis="axisRow" fieldPosition="0">
        <references count="1">
          <reference field="4294967294" count="1" selected="0">
            <x v="32"/>
          </reference>
        </references>
      </pivotArea>
    </format>
    <format dxfId="1776">
      <pivotArea field="0" grandRow="1" outline="0" axis="axisRow" fieldPosition="0">
        <references count="1">
          <reference field="4294967294" count="1" selected="0">
            <x v="35"/>
          </reference>
        </references>
      </pivotArea>
    </format>
    <format dxfId="1775">
      <pivotArea field="4" type="button" dataOnly="0" labelOnly="1" outline="0" axis="axisCol" fieldPosition="1"/>
    </format>
    <format dxfId="1774">
      <pivotArea type="topRight" dataOnly="0" labelOnly="1" outline="0" fieldPosition="0"/>
    </format>
    <format dxfId="1773">
      <pivotArea type="topRight" dataOnly="0" labelOnly="1" outline="0" offset="O1" fieldPosition="0"/>
    </format>
    <format dxfId="1772">
      <pivotArea type="origin" dataOnly="0" labelOnly="1" outline="0" offset="A2:B2" fieldPosition="0"/>
    </format>
    <format dxfId="1771">
      <pivotArea field="0" dataOnly="0" labelOnly="1" grandRow="1" outline="0" axis="axisRow" fieldPosition="0">
        <references count="1">
          <reference field="4294967294" count="1" selected="0">
            <x v="0"/>
          </reference>
        </references>
      </pivotArea>
    </format>
    <format dxfId="1770">
      <pivotArea field="0" dataOnly="0" labelOnly="1" grandRow="1" outline="0" axis="axisRow" fieldPosition="0">
        <references count="1">
          <reference field="4294967294" count="1" selected="0">
            <x v="1"/>
          </reference>
        </references>
      </pivotArea>
    </format>
    <format dxfId="1769">
      <pivotArea field="0" dataOnly="0" labelOnly="1" grandRow="1" outline="0" axis="axisRow" fieldPosition="0">
        <references count="1">
          <reference field="4294967294" count="1" selected="0">
            <x v="3"/>
          </reference>
        </references>
      </pivotArea>
    </format>
    <format dxfId="1768">
      <pivotArea field="0" dataOnly="0" labelOnly="1" grandRow="1" outline="0" axis="axisRow" fieldPosition="0">
        <references count="1">
          <reference field="4294967294" count="1" selected="0">
            <x v="4"/>
          </reference>
        </references>
      </pivotArea>
    </format>
    <format dxfId="1767">
      <pivotArea field="0" dataOnly="0" labelOnly="1" grandRow="1" outline="0" axis="axisRow" fieldPosition="0">
        <references count="1">
          <reference field="4294967294" count="1" selected="0">
            <x v="5"/>
          </reference>
        </references>
      </pivotArea>
    </format>
    <format dxfId="1766">
      <pivotArea field="0" dataOnly="0" labelOnly="1" grandRow="1" outline="0" axis="axisRow" fieldPosition="0">
        <references count="1">
          <reference field="4294967294" count="1" selected="0">
            <x v="6"/>
          </reference>
        </references>
      </pivotArea>
    </format>
    <format dxfId="1765">
      <pivotArea field="0" dataOnly="0" labelOnly="1" grandRow="1" outline="0" axis="axisRow" fieldPosition="0">
        <references count="1">
          <reference field="4294967294" count="1" selected="0">
            <x v="7"/>
          </reference>
        </references>
      </pivotArea>
    </format>
    <format dxfId="1764">
      <pivotArea field="0" dataOnly="0" labelOnly="1" grandRow="1" outline="0" axis="axisRow" fieldPosition="0">
        <references count="1">
          <reference field="4294967294" count="1" selected="0">
            <x v="8"/>
          </reference>
        </references>
      </pivotArea>
    </format>
    <format dxfId="1763">
      <pivotArea field="0" dataOnly="0" labelOnly="1" grandRow="1" outline="0" axis="axisRow" fieldPosition="0">
        <references count="1">
          <reference field="4294967294" count="1" selected="0">
            <x v="9"/>
          </reference>
        </references>
      </pivotArea>
    </format>
    <format dxfId="1762">
      <pivotArea field="0" dataOnly="0" labelOnly="1" grandRow="1" outline="0" axis="axisRow" fieldPosition="0">
        <references count="1">
          <reference field="4294967294" count="1" selected="0">
            <x v="10"/>
          </reference>
        </references>
      </pivotArea>
    </format>
    <format dxfId="1761">
      <pivotArea field="0" dataOnly="0" labelOnly="1" grandRow="1" outline="0" axis="axisRow" fieldPosition="0">
        <references count="1">
          <reference field="4294967294" count="1" selected="0">
            <x v="11"/>
          </reference>
        </references>
      </pivotArea>
    </format>
    <format dxfId="1760">
      <pivotArea field="0" dataOnly="0" labelOnly="1" grandRow="1" outline="0" axis="axisRow" fieldPosition="0">
        <references count="1">
          <reference field="4294967294" count="1" selected="0">
            <x v="12"/>
          </reference>
        </references>
      </pivotArea>
    </format>
    <format dxfId="1759">
      <pivotArea field="0" dataOnly="0" labelOnly="1" grandRow="1" outline="0" axis="axisRow" fieldPosition="0">
        <references count="1">
          <reference field="4294967294" count="1" selected="0">
            <x v="13"/>
          </reference>
        </references>
      </pivotArea>
    </format>
    <format dxfId="1758">
      <pivotArea field="0" dataOnly="0" labelOnly="1" grandRow="1" outline="0" axis="axisRow" fieldPosition="0">
        <references count="1">
          <reference field="4294967294" count="1" selected="0">
            <x v="14"/>
          </reference>
        </references>
      </pivotArea>
    </format>
    <format dxfId="1757">
      <pivotArea field="0" dataOnly="0" labelOnly="1" grandRow="1" outline="0" axis="axisRow" fieldPosition="0">
        <references count="1">
          <reference field="4294967294" count="1" selected="0">
            <x v="15"/>
          </reference>
        </references>
      </pivotArea>
    </format>
    <format dxfId="1756">
      <pivotArea field="0" dataOnly="0" labelOnly="1" grandRow="1" outline="0" axis="axisRow" fieldPosition="0">
        <references count="1">
          <reference field="4294967294" count="1" selected="0">
            <x v="16"/>
          </reference>
        </references>
      </pivotArea>
    </format>
    <format dxfId="1755">
      <pivotArea field="0" dataOnly="0" labelOnly="1" grandRow="1" outline="0" axis="axisRow" fieldPosition="0">
        <references count="1">
          <reference field="4294967294" count="1" selected="0">
            <x v="17"/>
          </reference>
        </references>
      </pivotArea>
    </format>
    <format dxfId="1754">
      <pivotArea field="0" dataOnly="0" labelOnly="1" grandRow="1" outline="0" axis="axisRow" fieldPosition="0">
        <references count="1">
          <reference field="4294967294" count="1" selected="0">
            <x v="18"/>
          </reference>
        </references>
      </pivotArea>
    </format>
    <format dxfId="1753">
      <pivotArea field="0" dataOnly="0" labelOnly="1" grandRow="1" outline="0" axis="axisRow" fieldPosition="0">
        <references count="1">
          <reference field="4294967294" count="1" selected="0">
            <x v="19"/>
          </reference>
        </references>
      </pivotArea>
    </format>
    <format dxfId="1752">
      <pivotArea field="0" dataOnly="0" labelOnly="1" grandRow="1" outline="0" axis="axisRow" fieldPosition="0">
        <references count="1">
          <reference field="4294967294" count="1" selected="0">
            <x v="20"/>
          </reference>
        </references>
      </pivotArea>
    </format>
    <format dxfId="1751">
      <pivotArea field="0" dataOnly="0" labelOnly="1" grandRow="1" outline="0" axis="axisRow" fieldPosition="0">
        <references count="1">
          <reference field="4294967294" count="1" selected="0">
            <x v="21"/>
          </reference>
        </references>
      </pivotArea>
    </format>
    <format dxfId="1750">
      <pivotArea field="0" dataOnly="0" labelOnly="1" grandRow="1" outline="0" axis="axisRow" fieldPosition="0">
        <references count="1">
          <reference field="4294967294" count="1" selected="0">
            <x v="22"/>
          </reference>
        </references>
      </pivotArea>
    </format>
    <format dxfId="1749">
      <pivotArea field="0" dataOnly="0" labelOnly="1" grandRow="1" outline="0" axis="axisRow" fieldPosition="0">
        <references count="1">
          <reference field="4294967294" count="1" selected="0">
            <x v="23"/>
          </reference>
        </references>
      </pivotArea>
    </format>
    <format dxfId="1748">
      <pivotArea field="0" dataOnly="0" labelOnly="1" grandRow="1" outline="0" axis="axisRow" fieldPosition="0">
        <references count="1">
          <reference field="4294967294" count="1" selected="0">
            <x v="24"/>
          </reference>
        </references>
      </pivotArea>
    </format>
    <format dxfId="1747">
      <pivotArea field="0" dataOnly="0" labelOnly="1" grandRow="1" outline="0" axis="axisRow" fieldPosition="0">
        <references count="1">
          <reference field="4294967294" count="1" selected="0">
            <x v="25"/>
          </reference>
        </references>
      </pivotArea>
    </format>
    <format dxfId="1746">
      <pivotArea field="0" dataOnly="0" labelOnly="1" grandRow="1" outline="0" axis="axisRow" fieldPosition="0">
        <references count="1">
          <reference field="4294967294" count="1" selected="0">
            <x v="26"/>
          </reference>
        </references>
      </pivotArea>
    </format>
    <format dxfId="1745">
      <pivotArea field="0" dataOnly="0" labelOnly="1" grandRow="1" outline="0" axis="axisRow" fieldPosition="0">
        <references count="1">
          <reference field="4294967294" count="1" selected="0">
            <x v="27"/>
          </reference>
        </references>
      </pivotArea>
    </format>
    <format dxfId="1744">
      <pivotArea field="0" dataOnly="0" labelOnly="1" grandRow="1" outline="0" axis="axisRow" fieldPosition="0">
        <references count="1">
          <reference field="4294967294" count="1" selected="0">
            <x v="28"/>
          </reference>
        </references>
      </pivotArea>
    </format>
    <format dxfId="1743">
      <pivotArea field="0" dataOnly="0" labelOnly="1" grandRow="1" outline="0" axis="axisRow" fieldPosition="0">
        <references count="1">
          <reference field="4294967294" count="1" selected="0">
            <x v="29"/>
          </reference>
        </references>
      </pivotArea>
    </format>
    <format dxfId="1742">
      <pivotArea field="0" dataOnly="0" labelOnly="1" grandRow="1" outline="0" axis="axisRow" fieldPosition="0">
        <references count="1">
          <reference field="4294967294" count="1" selected="0">
            <x v="30"/>
          </reference>
        </references>
      </pivotArea>
    </format>
    <format dxfId="1741">
      <pivotArea field="0" dataOnly="0" labelOnly="1" grandRow="1" outline="0" axis="axisRow" fieldPosition="0">
        <references count="1">
          <reference field="4294967294" count="1" selected="0">
            <x v="31"/>
          </reference>
        </references>
      </pivotArea>
    </format>
    <format dxfId="1740">
      <pivotArea field="0" dataOnly="0" labelOnly="1" grandRow="1" outline="0" axis="axisRow" fieldPosition="0">
        <references count="1">
          <reference field="4294967294" count="1" selected="0">
            <x v="32"/>
          </reference>
        </references>
      </pivotArea>
    </format>
    <format dxfId="1739">
      <pivotArea field="0" dataOnly="0" labelOnly="1" grandRow="1" outline="0" axis="axisRow" fieldPosition="0">
        <references count="1">
          <reference field="4294967294" count="1" selected="0">
            <x v="33"/>
          </reference>
        </references>
      </pivotArea>
    </format>
    <format dxfId="1738">
      <pivotArea field="0" dataOnly="0" labelOnly="1" grandRow="1" outline="0" axis="axisRow" fieldPosition="0">
        <references count="1">
          <reference field="4294967294" count="1" selected="0">
            <x v="34"/>
          </reference>
        </references>
      </pivotArea>
    </format>
    <format dxfId="1737">
      <pivotArea field="0" dataOnly="0" labelOnly="1" grandRow="1" outline="0" axis="axisRow" fieldPosition="0">
        <references count="1">
          <reference field="4294967294" count="1" selected="0">
            <x v="35"/>
          </reference>
        </references>
      </pivotArea>
    </format>
    <format dxfId="1736">
      <pivotArea field="0" grandRow="1" outline="0" axis="axisRow" fieldPosition="0">
        <references count="1">
          <reference field="4294967294" count="1" selected="0">
            <x v="35"/>
          </reference>
        </references>
      </pivotArea>
    </format>
    <format dxfId="1735">
      <pivotArea field="0" dataOnly="0" labelOnly="1" grandRow="1" outline="0" offset="IV256" axis="axisRow" fieldPosition="0">
        <references count="1">
          <reference field="4294967294" count="1" selected="0">
            <x v="0"/>
          </reference>
        </references>
      </pivotArea>
    </format>
    <format dxfId="1734">
      <pivotArea field="0" dataOnly="0" labelOnly="1" grandRow="1" outline="0" offset="IV256" axis="axisRow" fieldPosition="0">
        <references count="1">
          <reference field="4294967294" count="1" selected="0">
            <x v="1"/>
          </reference>
        </references>
      </pivotArea>
    </format>
    <format dxfId="1733">
      <pivotArea field="0" dataOnly="0" labelOnly="1" grandRow="1" outline="0" offset="IV256" axis="axisRow" fieldPosition="0">
        <references count="1">
          <reference field="4294967294" count="1" selected="0">
            <x v="3"/>
          </reference>
        </references>
      </pivotArea>
    </format>
    <format dxfId="1732">
      <pivotArea field="0" dataOnly="0" labelOnly="1" grandRow="1" outline="0" offset="IV256" axis="axisRow" fieldPosition="0">
        <references count="1">
          <reference field="4294967294" count="1" selected="0">
            <x v="4"/>
          </reference>
        </references>
      </pivotArea>
    </format>
    <format dxfId="1731">
      <pivotArea field="0" dataOnly="0" labelOnly="1" grandRow="1" outline="0" offset="IV256" axis="axisRow" fieldPosition="0">
        <references count="1">
          <reference field="4294967294" count="1" selected="0">
            <x v="5"/>
          </reference>
        </references>
      </pivotArea>
    </format>
    <format dxfId="1730">
      <pivotArea field="0" dataOnly="0" labelOnly="1" grandRow="1" outline="0" offset="IV256" axis="axisRow" fieldPosition="0">
        <references count="1">
          <reference field="4294967294" count="1" selected="0">
            <x v="6"/>
          </reference>
        </references>
      </pivotArea>
    </format>
    <format dxfId="1729">
      <pivotArea field="0" dataOnly="0" labelOnly="1" grandRow="1" outline="0" offset="IV256" axis="axisRow" fieldPosition="0">
        <references count="1">
          <reference field="4294967294" count="1" selected="0">
            <x v="7"/>
          </reference>
        </references>
      </pivotArea>
    </format>
    <format dxfId="1728">
      <pivotArea field="0" dataOnly="0" labelOnly="1" grandRow="1" outline="0" offset="IV256" axis="axisRow" fieldPosition="0">
        <references count="1">
          <reference field="4294967294" count="1" selected="0">
            <x v="8"/>
          </reference>
        </references>
      </pivotArea>
    </format>
    <format dxfId="1727">
      <pivotArea field="0" dataOnly="0" labelOnly="1" grandRow="1" outline="0" offset="IV256" axis="axisRow" fieldPosition="0">
        <references count="1">
          <reference field="4294967294" count="1" selected="0">
            <x v="9"/>
          </reference>
        </references>
      </pivotArea>
    </format>
    <format dxfId="1726">
      <pivotArea field="0" dataOnly="0" labelOnly="1" grandRow="1" outline="0" offset="IV256" axis="axisRow" fieldPosition="0">
        <references count="1">
          <reference field="4294967294" count="1" selected="0">
            <x v="10"/>
          </reference>
        </references>
      </pivotArea>
    </format>
    <format dxfId="1725">
      <pivotArea field="0" dataOnly="0" labelOnly="1" grandRow="1" outline="0" offset="IV256" axis="axisRow" fieldPosition="0">
        <references count="1">
          <reference field="4294967294" count="1" selected="0">
            <x v="11"/>
          </reference>
        </references>
      </pivotArea>
    </format>
    <format dxfId="1724">
      <pivotArea field="0" dataOnly="0" labelOnly="1" grandRow="1" outline="0" offset="IV256" axis="axisRow" fieldPosition="0">
        <references count="1">
          <reference field="4294967294" count="1" selected="0">
            <x v="12"/>
          </reference>
        </references>
      </pivotArea>
    </format>
    <format dxfId="1723">
      <pivotArea field="0" dataOnly="0" labelOnly="1" grandRow="1" outline="0" offset="IV256" axis="axisRow" fieldPosition="0">
        <references count="1">
          <reference field="4294967294" count="1" selected="0">
            <x v="13"/>
          </reference>
        </references>
      </pivotArea>
    </format>
    <format dxfId="1722">
      <pivotArea field="0" dataOnly="0" labelOnly="1" grandRow="1" outline="0" offset="IV256" axis="axisRow" fieldPosition="0">
        <references count="1">
          <reference field="4294967294" count="1" selected="0">
            <x v="14"/>
          </reference>
        </references>
      </pivotArea>
    </format>
    <format dxfId="1721">
      <pivotArea field="0" dataOnly="0" labelOnly="1" grandRow="1" outline="0" offset="IV256" axis="axisRow" fieldPosition="0">
        <references count="1">
          <reference field="4294967294" count="1" selected="0">
            <x v="15"/>
          </reference>
        </references>
      </pivotArea>
    </format>
    <format dxfId="1720">
      <pivotArea field="0" dataOnly="0" labelOnly="1" grandRow="1" outline="0" offset="IV256" axis="axisRow" fieldPosition="0">
        <references count="1">
          <reference field="4294967294" count="1" selected="0">
            <x v="16"/>
          </reference>
        </references>
      </pivotArea>
    </format>
    <format dxfId="1719">
      <pivotArea field="0" dataOnly="0" labelOnly="1" grandRow="1" outline="0" offset="IV256" axis="axisRow" fieldPosition="0">
        <references count="1">
          <reference field="4294967294" count="1" selected="0">
            <x v="17"/>
          </reference>
        </references>
      </pivotArea>
    </format>
    <format dxfId="1718">
      <pivotArea field="0" dataOnly="0" labelOnly="1" grandRow="1" outline="0" offset="IV256" axis="axisRow" fieldPosition="0">
        <references count="1">
          <reference field="4294967294" count="1" selected="0">
            <x v="18"/>
          </reference>
        </references>
      </pivotArea>
    </format>
    <format dxfId="1717">
      <pivotArea field="0" dataOnly="0" labelOnly="1" grandRow="1" outline="0" offset="IV256" axis="axisRow" fieldPosition="0">
        <references count="1">
          <reference field="4294967294" count="1" selected="0">
            <x v="19"/>
          </reference>
        </references>
      </pivotArea>
    </format>
    <format dxfId="1716">
      <pivotArea field="0" dataOnly="0" labelOnly="1" grandRow="1" outline="0" offset="IV256" axis="axisRow" fieldPosition="0">
        <references count="1">
          <reference field="4294967294" count="1" selected="0">
            <x v="20"/>
          </reference>
        </references>
      </pivotArea>
    </format>
    <format dxfId="1715">
      <pivotArea field="0" dataOnly="0" labelOnly="1" grandRow="1" outline="0" offset="IV256" axis="axisRow" fieldPosition="0">
        <references count="1">
          <reference field="4294967294" count="1" selected="0">
            <x v="21"/>
          </reference>
        </references>
      </pivotArea>
    </format>
    <format dxfId="1714">
      <pivotArea field="0" dataOnly="0" labelOnly="1" grandRow="1" outline="0" offset="IV256" axis="axisRow" fieldPosition="0">
        <references count="1">
          <reference field="4294967294" count="1" selected="0">
            <x v="22"/>
          </reference>
        </references>
      </pivotArea>
    </format>
    <format dxfId="1713">
      <pivotArea field="0" dataOnly="0" labelOnly="1" grandRow="1" outline="0" offset="IV256" axis="axisRow" fieldPosition="0">
        <references count="1">
          <reference field="4294967294" count="1" selected="0">
            <x v="23"/>
          </reference>
        </references>
      </pivotArea>
    </format>
    <format dxfId="1712">
      <pivotArea field="0" dataOnly="0" labelOnly="1" grandRow="1" outline="0" offset="IV256" axis="axisRow" fieldPosition="0">
        <references count="1">
          <reference field="4294967294" count="1" selected="0">
            <x v="24"/>
          </reference>
        </references>
      </pivotArea>
    </format>
    <format dxfId="1711">
      <pivotArea field="0" dataOnly="0" labelOnly="1" grandRow="1" outline="0" offset="IV256" axis="axisRow" fieldPosition="0">
        <references count="1">
          <reference field="4294967294" count="1" selected="0">
            <x v="25"/>
          </reference>
        </references>
      </pivotArea>
    </format>
    <format dxfId="1710">
      <pivotArea field="0" dataOnly="0" labelOnly="1" grandRow="1" outline="0" offset="IV256" axis="axisRow" fieldPosition="0">
        <references count="1">
          <reference field="4294967294" count="1" selected="0">
            <x v="26"/>
          </reference>
        </references>
      </pivotArea>
    </format>
    <format dxfId="1709">
      <pivotArea field="0" dataOnly="0" labelOnly="1" grandRow="1" outline="0" offset="IV256" axis="axisRow" fieldPosition="0">
        <references count="1">
          <reference field="4294967294" count="1" selected="0">
            <x v="27"/>
          </reference>
        </references>
      </pivotArea>
    </format>
    <format dxfId="1708">
      <pivotArea field="0" dataOnly="0" labelOnly="1" grandRow="1" outline="0" offset="IV256" axis="axisRow" fieldPosition="0">
        <references count="1">
          <reference field="4294967294" count="1" selected="0">
            <x v="28"/>
          </reference>
        </references>
      </pivotArea>
    </format>
    <format dxfId="1707">
      <pivotArea field="0" dataOnly="0" labelOnly="1" grandRow="1" outline="0" offset="IV256" axis="axisRow" fieldPosition="0">
        <references count="1">
          <reference field="4294967294" count="1" selected="0">
            <x v="29"/>
          </reference>
        </references>
      </pivotArea>
    </format>
    <format dxfId="1706">
      <pivotArea field="0" dataOnly="0" labelOnly="1" grandRow="1" outline="0" offset="IV256" axis="axisRow" fieldPosition="0">
        <references count="1">
          <reference field="4294967294" count="1" selected="0">
            <x v="30"/>
          </reference>
        </references>
      </pivotArea>
    </format>
    <format dxfId="1705">
      <pivotArea field="0" dataOnly="0" labelOnly="1" grandRow="1" outline="0" offset="IV256" axis="axisRow" fieldPosition="0">
        <references count="1">
          <reference field="4294967294" count="1" selected="0">
            <x v="31"/>
          </reference>
        </references>
      </pivotArea>
    </format>
    <format dxfId="1704">
      <pivotArea field="0" dataOnly="0" labelOnly="1" grandRow="1" outline="0" offset="IV256" axis="axisRow" fieldPosition="0">
        <references count="1">
          <reference field="4294967294" count="1" selected="0">
            <x v="32"/>
          </reference>
        </references>
      </pivotArea>
    </format>
    <format dxfId="1703">
      <pivotArea field="0" dataOnly="0" labelOnly="1" grandRow="1" outline="0" offset="IV256" axis="axisRow" fieldPosition="0">
        <references count="1">
          <reference field="4294967294" count="1" selected="0">
            <x v="33"/>
          </reference>
        </references>
      </pivotArea>
    </format>
    <format dxfId="1702">
      <pivotArea field="0" dataOnly="0" labelOnly="1" grandRow="1" outline="0" offset="IV256" axis="axisRow" fieldPosition="0">
        <references count="1">
          <reference field="4294967294" count="1" selected="0">
            <x v="34"/>
          </reference>
        </references>
      </pivotArea>
    </format>
    <format dxfId="1701">
      <pivotArea field="0" dataOnly="0" labelOnly="1" grandRow="1" outline="0" offset="IV256" axis="axisRow" fieldPosition="0">
        <references count="1">
          <reference field="4294967294" count="1" selected="0">
            <x v="35"/>
          </reference>
        </references>
      </pivotArea>
    </format>
    <format dxfId="1700">
      <pivotArea type="all" dataOnly="0" outline="0" fieldPosition="0"/>
    </format>
    <format dxfId="1699">
      <pivotArea type="all" dataOnly="0" outline="0" fieldPosition="0"/>
    </format>
    <format dxfId="1698">
      <pivotArea outline="0" fieldPosition="0">
        <references count="2">
          <reference field="4" count="1" selected="0">
            <x v="8"/>
          </reference>
          <reference field="70" count="1" selected="0">
            <x v="1"/>
          </reference>
        </references>
      </pivotArea>
    </format>
    <format dxfId="1697">
      <pivotArea dataOnly="0" labelOnly="1" outline="0" offset="B256" fieldPosition="0">
        <references count="1">
          <reference field="70" count="1">
            <x v="1"/>
          </reference>
        </references>
      </pivotArea>
    </format>
    <format dxfId="1696">
      <pivotArea dataOnly="0" labelOnly="1" outline="0" fieldPosition="0">
        <references count="2">
          <reference field="4" count="1">
            <x v="8"/>
          </reference>
          <reference field="70" count="1" selected="0">
            <x v="1"/>
          </reference>
        </references>
      </pivotArea>
    </format>
    <format dxfId="1695">
      <pivotArea outline="0" fieldPosition="0">
        <references count="2">
          <reference field="4" count="1" selected="0">
            <x v="7"/>
          </reference>
          <reference field="70" count="1" selected="0">
            <x v="1"/>
          </reference>
        </references>
      </pivotArea>
    </format>
    <format dxfId="1694">
      <pivotArea dataOnly="0" labelOnly="1" outline="0" fieldPosition="0">
        <references count="2">
          <reference field="4" count="1">
            <x v="7"/>
          </reference>
          <reference field="70" count="1" selected="0">
            <x v="1"/>
          </reference>
        </references>
      </pivotArea>
    </format>
    <format dxfId="1693">
      <pivotArea dataOnly="0" labelOnly="1" outline="0" offset="A256" fieldPosition="0">
        <references count="1">
          <reference field="70" count="1">
            <x v="1"/>
          </reference>
        </references>
      </pivotArea>
    </format>
    <format dxfId="1692">
      <pivotArea outline="0" fieldPosition="0">
        <references count="2">
          <reference field="4" count="1" selected="0">
            <x v="11"/>
          </reference>
          <reference field="70" count="1" selected="0">
            <x v="2"/>
          </reference>
        </references>
      </pivotArea>
    </format>
    <format dxfId="1691">
      <pivotArea dataOnly="0" labelOnly="1" outline="0" fieldPosition="0">
        <references count="2">
          <reference field="4" count="1">
            <x v="11"/>
          </reference>
          <reference field="70" count="1" selected="0">
            <x v="2"/>
          </reference>
        </references>
      </pivotArea>
    </format>
    <format dxfId="1690">
      <pivotArea outline="0" fieldPosition="0">
        <references count="2">
          <reference field="4294967294" count="1" selected="0">
            <x v="35"/>
          </reference>
          <reference field="0" count="1" selected="0">
            <x v="0"/>
          </reference>
        </references>
      </pivotArea>
    </format>
    <format dxfId="1689">
      <pivotArea dataOnly="0" labelOnly="1" outline="0" offset="IV256" fieldPosition="0">
        <references count="1">
          <reference field="0" count="1">
            <x v="0"/>
          </reference>
        </references>
      </pivotArea>
    </format>
    <format dxfId="1688">
      <pivotArea dataOnly="0" labelOnly="1" outline="0" fieldPosition="0">
        <references count="2">
          <reference field="4294967294" count="1">
            <x v="35"/>
          </reference>
          <reference field="0" count="1" selected="0">
            <x v="0"/>
          </reference>
        </references>
      </pivotArea>
    </format>
    <format dxfId="1687">
      <pivotArea outline="0" fieldPosition="0">
        <references count="1">
          <reference field="70" count="3" selected="0" defaultSubtotal="1">
            <x v="0"/>
            <x v="1"/>
            <x v="2"/>
          </reference>
        </references>
      </pivotArea>
    </format>
    <format dxfId="1686">
      <pivotArea dataOnly="0" labelOnly="1" outline="0" offset="IV256" fieldPosition="0">
        <references count="1">
          <reference field="70" count="1" defaultSubtotal="1">
            <x v="0"/>
          </reference>
        </references>
      </pivotArea>
    </format>
    <format dxfId="1685">
      <pivotArea dataOnly="0" labelOnly="1" outline="0" offset="IV256" fieldPosition="0">
        <references count="1">
          <reference field="70" count="1" defaultSubtotal="1">
            <x v="1"/>
          </reference>
        </references>
      </pivotArea>
    </format>
    <format dxfId="1684">
      <pivotArea dataOnly="0" labelOnly="1" outline="0" offset="IV256" fieldPosition="0">
        <references count="1">
          <reference field="70" count="1" defaultSubtotal="1">
            <x v="2"/>
          </reference>
        </references>
      </pivotArea>
    </format>
    <format dxfId="1683">
      <pivotArea dataOnly="0" labelOnly="1" outline="0" fieldPosition="0">
        <references count="2">
          <reference field="4" count="7">
            <x v="0"/>
            <x v="1"/>
            <x v="2"/>
            <x v="3"/>
            <x v="4"/>
            <x v="5"/>
            <x v="6"/>
          </reference>
          <reference field="70" count="1" selected="0">
            <x v="0"/>
          </reference>
        </references>
      </pivotArea>
    </format>
    <format dxfId="1682">
      <pivotArea dataOnly="0" labelOnly="1" outline="0" fieldPosition="0">
        <references count="2">
          <reference field="4" count="4">
            <x v="7"/>
            <x v="8"/>
            <x v="9"/>
            <x v="10"/>
          </reference>
          <reference field="70" count="1" selected="0">
            <x v="1"/>
          </reference>
        </references>
      </pivotArea>
    </format>
    <format dxfId="1681">
      <pivotArea dataOnly="0" labelOnly="1" outline="0" fieldPosition="0">
        <references count="2">
          <reference field="4" count="2">
            <x v="11"/>
            <x v="12"/>
          </reference>
          <reference field="70" count="1" selected="0">
            <x v="2"/>
          </reference>
        </references>
      </pivotArea>
    </format>
    <format dxfId="1680">
      <pivotArea outline="0" fieldPosition="0">
        <references count="4">
          <reference field="4294967294" count="1" selected="0">
            <x v="20"/>
          </reference>
          <reference field="0" count="1" selected="0">
            <x v="1"/>
          </reference>
          <reference field="4" count="1" selected="0">
            <x v="3"/>
          </reference>
          <reference field="70" count="1" selected="0">
            <x v="0"/>
          </reference>
        </references>
      </pivotArea>
    </format>
    <format dxfId="1679">
      <pivotArea outline="0" fieldPosition="0">
        <references count="4">
          <reference field="4294967294" count="1" selected="0">
            <x v="20"/>
          </reference>
          <reference field="0" count="1" selected="0">
            <x v="1"/>
          </reference>
          <reference field="4" count="1" selected="0">
            <x v="5"/>
          </reference>
          <reference field="70" count="1" selected="0">
            <x v="0"/>
          </reference>
        </references>
      </pivotArea>
    </format>
    <format dxfId="1678">
      <pivotArea outline="0" fieldPosition="0">
        <references count="4">
          <reference field="4294967294" count="1" selected="0">
            <x v="26"/>
          </reference>
          <reference field="0" count="1" selected="0">
            <x v="1"/>
          </reference>
          <reference field="4" count="1" selected="0">
            <x v="3"/>
          </reference>
          <reference field="70" count="1" selected="0">
            <x v="0"/>
          </reference>
        </references>
      </pivotArea>
    </format>
    <format dxfId="1677">
      <pivotArea outline="0" fieldPosition="0">
        <references count="4">
          <reference field="4294967294" count="1" selected="0">
            <x v="26"/>
          </reference>
          <reference field="0" count="1" selected="0">
            <x v="1"/>
          </reference>
          <reference field="4" count="1" selected="0">
            <x v="5"/>
          </reference>
          <reference field="70" count="1" selected="0">
            <x v="0"/>
          </reference>
        </references>
      </pivotArea>
    </format>
    <format dxfId="1676">
      <pivotArea outline="0" fieldPosition="0">
        <references count="4">
          <reference field="4294967294" count="1" selected="0">
            <x v="2"/>
          </reference>
          <reference field="0" count="1" selected="0">
            <x v="3"/>
          </reference>
          <reference field="4" count="1" selected="0">
            <x v="0"/>
          </reference>
          <reference field="70" count="1" selected="0">
            <x v="0"/>
          </reference>
        </references>
      </pivotArea>
    </format>
    <format dxfId="1675">
      <pivotArea outline="0" fieldPosition="0">
        <references count="4">
          <reference field="4294967294" count="1" selected="0">
            <x v="8"/>
          </reference>
          <reference field="0" count="1" selected="0">
            <x v="3"/>
          </reference>
          <reference field="4" count="1" selected="0">
            <x v="0"/>
          </reference>
          <reference field="70" count="1" selected="0">
            <x v="0"/>
          </reference>
        </references>
      </pivotArea>
    </format>
    <format dxfId="1674">
      <pivotArea outline="0" fieldPosition="0">
        <references count="4">
          <reference field="4294967294" count="1" selected="0">
            <x v="20"/>
          </reference>
          <reference field="0" count="1" selected="0">
            <x v="3"/>
          </reference>
          <reference field="4" count="2" selected="0">
            <x v="0"/>
            <x v="1"/>
          </reference>
          <reference field="70" count="1" selected="0">
            <x v="0"/>
          </reference>
        </references>
      </pivotArea>
    </format>
    <format dxfId="1673">
      <pivotArea outline="0" fieldPosition="0">
        <references count="4">
          <reference field="4294967294" count="1" selected="0">
            <x v="26"/>
          </reference>
          <reference field="0" count="1" selected="0">
            <x v="3"/>
          </reference>
          <reference field="4" count="2" selected="0">
            <x v="0"/>
            <x v="1"/>
          </reference>
          <reference field="70" count="1" selected="0">
            <x v="0"/>
          </reference>
        </references>
      </pivotArea>
    </format>
    <format dxfId="1672">
      <pivotArea outline="0" fieldPosition="0">
        <references count="4">
          <reference field="4294967294" count="1" selected="0">
            <x v="32"/>
          </reference>
          <reference field="0" count="1" selected="0">
            <x v="3"/>
          </reference>
          <reference field="4" count="1" selected="0">
            <x v="2"/>
          </reference>
          <reference field="70" count="1" selected="0">
            <x v="0"/>
          </reference>
        </references>
      </pivotArea>
    </format>
    <format dxfId="1671">
      <pivotArea outline="0" fieldPosition="0">
        <references count="4">
          <reference field="4294967294" count="1" selected="0">
            <x v="20"/>
          </reference>
          <reference field="0" count="1" selected="0">
            <x v="8"/>
          </reference>
          <reference field="4" count="1" selected="0">
            <x v="3"/>
          </reference>
          <reference field="70" count="1" selected="0">
            <x v="0"/>
          </reference>
        </references>
      </pivotArea>
    </format>
    <format dxfId="1670">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1669">
      <pivotArea outline="0" fieldPosition="0">
        <references count="4">
          <reference field="4294967294" count="1" selected="0">
            <x v="20"/>
          </reference>
          <reference field="0" count="1" selected="0">
            <x v="10"/>
          </reference>
          <reference field="4" count="1" selected="0">
            <x v="3"/>
          </reference>
          <reference field="70" count="1" selected="0">
            <x v="0"/>
          </reference>
        </references>
      </pivotArea>
    </format>
    <format dxfId="1668">
      <pivotArea outline="0" fieldPosition="0">
        <references count="4">
          <reference field="4294967294" count="1" selected="0">
            <x v="20"/>
          </reference>
          <reference field="0" count="1" selected="0">
            <x v="10"/>
          </reference>
          <reference field="4" count="1" selected="0">
            <x v="4"/>
          </reference>
          <reference field="70" count="1" selected="0">
            <x v="0"/>
          </reference>
        </references>
      </pivotArea>
    </format>
    <format dxfId="1667">
      <pivotArea outline="0" fieldPosition="0">
        <references count="4">
          <reference field="4294967294" count="1" selected="0">
            <x v="29"/>
          </reference>
          <reference field="0" count="1" selected="0">
            <x v="10"/>
          </reference>
          <reference field="4" count="1" selected="0">
            <x v="4"/>
          </reference>
          <reference field="70" count="1" selected="0">
            <x v="0"/>
          </reference>
        </references>
      </pivotArea>
    </format>
    <format dxfId="1666">
      <pivotArea outline="0" fieldPosition="0">
        <references count="4">
          <reference field="4294967294" count="1" selected="0">
            <x v="26"/>
          </reference>
          <reference field="0" count="1" selected="0">
            <x v="11"/>
          </reference>
          <reference field="4" count="1" selected="0">
            <x v="4"/>
          </reference>
          <reference field="70" count="1" selected="0">
            <x v="0"/>
          </reference>
        </references>
      </pivotArea>
    </format>
    <format dxfId="1665">
      <pivotArea outline="0" fieldPosition="0">
        <references count="4">
          <reference field="4294967294" count="1" selected="0">
            <x v="20"/>
          </reference>
          <reference field="0" count="1" selected="0">
            <x v="11"/>
          </reference>
          <reference field="4" count="1" selected="0">
            <x v="4"/>
          </reference>
          <reference field="70" count="1" selected="0">
            <x v="0"/>
          </reference>
        </references>
      </pivotArea>
    </format>
    <format dxfId="1664">
      <pivotArea outline="0" fieldPosition="0">
        <references count="4">
          <reference field="4294967294" count="1" selected="0">
            <x v="26"/>
          </reference>
          <reference field="0" count="1" selected="0">
            <x v="12"/>
          </reference>
          <reference field="4" count="1" selected="0">
            <x v="2"/>
          </reference>
          <reference field="70" count="1" selected="0">
            <x v="0"/>
          </reference>
        </references>
      </pivotArea>
    </format>
    <format dxfId="1663">
      <pivotArea outline="0" fieldPosition="0">
        <references count="4">
          <reference field="4294967294" count="1" selected="0">
            <x v="20"/>
          </reference>
          <reference field="0" count="1" selected="0">
            <x v="13"/>
          </reference>
          <reference field="4" count="1" selected="0">
            <x v="5"/>
          </reference>
          <reference field="70" count="1" selected="0">
            <x v="0"/>
          </reference>
        </references>
      </pivotArea>
    </format>
    <format dxfId="1662">
      <pivotArea outline="0" fieldPosition="0">
        <references count="4">
          <reference field="4294967294" count="1" selected="0">
            <x v="26"/>
          </reference>
          <reference field="0" count="1" selected="0">
            <x v="13"/>
          </reference>
          <reference field="4" count="1" selected="0">
            <x v="5"/>
          </reference>
          <reference field="70" count="1" selected="0">
            <x v="0"/>
          </reference>
        </references>
      </pivotArea>
    </format>
    <format dxfId="1661">
      <pivotArea outline="0" fieldPosition="0">
        <references count="4">
          <reference field="4294967294" count="1" selected="0">
            <x v="8"/>
          </reference>
          <reference field="0" count="1" selected="0">
            <x v="14"/>
          </reference>
          <reference field="4" count="1" selected="0">
            <x v="5"/>
          </reference>
          <reference field="70" count="1" selected="0">
            <x v="0"/>
          </reference>
        </references>
      </pivotArea>
    </format>
    <format dxfId="1660">
      <pivotArea outline="0" fieldPosition="0">
        <references count="4">
          <reference field="4294967294" count="1" selected="0">
            <x v="11"/>
          </reference>
          <reference field="0" count="1" selected="0">
            <x v="14"/>
          </reference>
          <reference field="4" count="1" selected="0">
            <x v="5"/>
          </reference>
          <reference field="70" count="1" selected="0">
            <x v="0"/>
          </reference>
        </references>
      </pivotArea>
    </format>
    <format dxfId="1659">
      <pivotArea outline="0" fieldPosition="0">
        <references count="4">
          <reference field="4294967294" count="1" selected="0">
            <x v="23"/>
          </reference>
          <reference field="0" count="1" selected="0">
            <x v="15"/>
          </reference>
          <reference field="4" count="1" selected="0">
            <x v="5"/>
          </reference>
          <reference field="70" count="1" selected="0">
            <x v="0"/>
          </reference>
        </references>
      </pivotArea>
    </format>
    <format dxfId="1658">
      <pivotArea outline="0" fieldPosition="0">
        <references count="4">
          <reference field="4294967294" count="1" selected="0">
            <x v="26"/>
          </reference>
          <reference field="0" count="1" selected="0">
            <x v="15"/>
          </reference>
          <reference field="4" count="1" selected="0">
            <x v="5"/>
          </reference>
          <reference field="70" count="1" selected="0">
            <x v="0"/>
          </reference>
        </references>
      </pivotArea>
    </format>
    <format dxfId="1657">
      <pivotArea outline="0" fieldPosition="0">
        <references count="4">
          <reference field="4294967294" count="1" selected="0">
            <x v="5"/>
          </reference>
          <reference field="0" count="1" selected="0">
            <x v="1"/>
          </reference>
          <reference field="4" count="1" selected="0">
            <x v="8"/>
          </reference>
          <reference field="70" count="1" selected="0">
            <x v="1"/>
          </reference>
        </references>
      </pivotArea>
    </format>
    <format dxfId="1656">
      <pivotArea outline="0" fieldPosition="0">
        <references count="4">
          <reference field="4294967294" count="1" selected="0">
            <x v="2"/>
          </reference>
          <reference field="0" count="1" selected="0">
            <x v="1"/>
          </reference>
          <reference field="4" count="1" selected="0">
            <x v="8"/>
          </reference>
          <reference field="70" count="1" selected="0">
            <x v="1"/>
          </reference>
        </references>
      </pivotArea>
    </format>
    <format dxfId="1655">
      <pivotArea outline="0" fieldPosition="0">
        <references count="4">
          <reference field="4294967294" count="1" selected="0">
            <x v="2"/>
          </reference>
          <reference field="0" count="1" selected="0">
            <x v="2"/>
          </reference>
          <reference field="4" count="1" selected="0">
            <x v="9"/>
          </reference>
          <reference field="70" count="1" selected="0">
            <x v="1"/>
          </reference>
        </references>
      </pivotArea>
    </format>
    <format dxfId="1654">
      <pivotArea outline="0" fieldPosition="0">
        <references count="4">
          <reference field="4294967294" count="1" selected="0">
            <x v="8"/>
          </reference>
          <reference field="0" count="1" selected="0">
            <x v="2"/>
          </reference>
          <reference field="4" count="1" selected="0">
            <x v="9"/>
          </reference>
          <reference field="70" count="1" selected="0">
            <x v="1"/>
          </reference>
        </references>
      </pivotArea>
    </format>
    <format dxfId="1653">
      <pivotArea outline="0" fieldPosition="0">
        <references count="4">
          <reference field="4294967294" count="1" selected="0">
            <x v="2"/>
          </reference>
          <reference field="0" count="1" selected="0">
            <x v="3"/>
          </reference>
          <reference field="4" count="1" selected="0">
            <x v="10"/>
          </reference>
          <reference field="70" count="1" selected="0">
            <x v="1"/>
          </reference>
        </references>
      </pivotArea>
    </format>
    <format dxfId="1652">
      <pivotArea outline="0" fieldPosition="0">
        <references count="4">
          <reference field="4294967294" count="1" selected="0">
            <x v="14"/>
          </reference>
          <reference field="0" count="1" selected="0">
            <x v="3"/>
          </reference>
          <reference field="4" count="1" selected="0">
            <x v="10"/>
          </reference>
          <reference field="70" count="1" selected="0">
            <x v="1"/>
          </reference>
        </references>
      </pivotArea>
    </format>
    <format dxfId="1651">
      <pivotArea outline="0" fieldPosition="0">
        <references count="4">
          <reference field="4294967294" count="1" selected="0">
            <x v="2"/>
          </reference>
          <reference field="0" count="1" selected="0">
            <x v="5"/>
          </reference>
          <reference field="4" count="1" selected="0">
            <x v="10"/>
          </reference>
          <reference field="70" count="1" selected="0">
            <x v="1"/>
          </reference>
        </references>
      </pivotArea>
    </format>
    <format dxfId="1650">
      <pivotArea outline="0" fieldPosition="0">
        <references count="4">
          <reference field="4294967294" count="1" selected="0">
            <x v="8"/>
          </reference>
          <reference field="0" count="1" selected="0">
            <x v="5"/>
          </reference>
          <reference field="4" count="1" selected="0">
            <x v="10"/>
          </reference>
          <reference field="70" count="1" selected="0">
            <x v="1"/>
          </reference>
        </references>
      </pivotArea>
    </format>
    <format dxfId="1649">
      <pivotArea outline="0" fieldPosition="0">
        <references count="4">
          <reference field="4294967294" count="1" selected="0">
            <x v="5"/>
          </reference>
          <reference field="0" count="1" selected="0">
            <x v="5"/>
          </reference>
          <reference field="4" count="1" selected="0">
            <x v="10"/>
          </reference>
          <reference field="70" count="1" selected="0">
            <x v="1"/>
          </reference>
        </references>
      </pivotArea>
    </format>
    <format dxfId="1648">
      <pivotArea outline="0" fieldPosition="0">
        <references count="4">
          <reference field="4294967294" count="1" selected="0">
            <x v="2"/>
          </reference>
          <reference field="0" count="1" selected="0">
            <x v="5"/>
          </reference>
          <reference field="4" count="1" selected="0">
            <x v="11"/>
          </reference>
          <reference field="70" count="1" selected="0">
            <x v="2"/>
          </reference>
        </references>
      </pivotArea>
    </format>
    <format dxfId="1647">
      <pivotArea outline="0" fieldPosition="0">
        <references count="4">
          <reference field="4294967294" count="1" selected="0">
            <x v="8"/>
          </reference>
          <reference field="0" count="1" selected="0">
            <x v="5"/>
          </reference>
          <reference field="4" count="1" selected="0">
            <x v="11"/>
          </reference>
          <reference field="70" count="1" selected="0">
            <x v="2"/>
          </reference>
        </references>
      </pivotArea>
    </format>
    <format dxfId="1646">
      <pivotArea outline="0" fieldPosition="0">
        <references count="4">
          <reference field="4294967294" count="1" selected="0">
            <x v="26"/>
          </reference>
          <reference field="0" count="1" selected="0">
            <x v="15"/>
          </reference>
          <reference field="4" count="1" selected="0">
            <x v="9"/>
          </reference>
          <reference field="70" count="1" selected="0">
            <x v="1"/>
          </reference>
        </references>
      </pivotArea>
    </format>
    <format dxfId="1645">
      <pivotArea outline="0" fieldPosition="0">
        <references count="4">
          <reference field="4294967294" count="1" selected="0">
            <x v="14"/>
          </reference>
          <reference field="0" count="1" selected="0">
            <x v="0"/>
          </reference>
          <reference field="4" count="1" selected="0">
            <x v="8"/>
          </reference>
          <reference field="70" count="1" selected="0">
            <x v="1"/>
          </reference>
        </references>
      </pivotArea>
    </format>
    <format dxfId="1644">
      <pivotArea outline="0" fieldPosition="0">
        <references count="4">
          <reference field="4294967294" count="1" selected="0">
            <x v="32"/>
          </reference>
          <reference field="0" count="1" selected="0">
            <x v="9"/>
          </reference>
          <reference field="4" count="1" selected="0">
            <x v="2"/>
          </reference>
          <reference field="70" count="1" selected="0">
            <x v="0"/>
          </reference>
        </references>
      </pivotArea>
    </format>
    <format dxfId="1643">
      <pivotArea outline="0" fieldPosition="0">
        <references count="4">
          <reference field="4294967294" count="1" selected="0">
            <x v="26"/>
          </reference>
          <reference field="0" count="1" selected="0">
            <x v="10"/>
          </reference>
          <reference field="4" count="1" selected="0">
            <x v="3"/>
          </reference>
          <reference field="70" count="1" selected="0">
            <x v="0"/>
          </reference>
        </references>
      </pivotArea>
    </format>
    <format dxfId="1642">
      <pivotArea outline="0" fieldPosition="0">
        <references count="4">
          <reference field="4294967294" count="1" selected="0">
            <x v="29"/>
          </reference>
          <reference field="0" count="1" selected="0">
            <x v="11"/>
          </reference>
          <reference field="4" count="1" selected="0">
            <x v="2"/>
          </reference>
          <reference field="70" count="1" selected="0">
            <x v="0"/>
          </reference>
        </references>
      </pivotArea>
    </format>
    <format dxfId="1641">
      <pivotArea outline="0" fieldPosition="0">
        <references count="4">
          <reference field="4294967294" count="1" selected="0">
            <x v="20"/>
          </reference>
          <reference field="0" count="1" selected="0">
            <x v="5"/>
          </reference>
          <reference field="4" count="1" selected="0">
            <x v="0"/>
          </reference>
          <reference field="70" count="1" selected="0">
            <x v="0"/>
          </reference>
        </references>
      </pivotArea>
    </format>
    <format dxfId="1640">
      <pivotArea outline="0" fieldPosition="0">
        <references count="4">
          <reference field="4294967294" count="1" selected="0">
            <x v="26"/>
          </reference>
          <reference field="0" count="1" selected="0">
            <x v="5"/>
          </reference>
          <reference field="4" count="1" selected="0">
            <x v="0"/>
          </reference>
          <reference field="70" count="1" selected="0">
            <x v="0"/>
          </reference>
        </references>
      </pivotArea>
    </format>
    <format dxfId="1639">
      <pivotArea type="all" dataOnly="0" outline="0" fieldPosition="0"/>
    </format>
    <format dxfId="1638">
      <pivotArea outline="0" fieldPosition="0"/>
    </format>
    <format dxfId="1637">
      <pivotArea type="origin" dataOnly="0" labelOnly="1" outline="0" fieldPosition="0"/>
    </format>
    <format dxfId="1636">
      <pivotArea field="70" type="button" dataOnly="0" labelOnly="1" outline="0" axis="axisCol" fieldPosition="0"/>
    </format>
    <format dxfId="1635">
      <pivotArea field="4" type="button" dataOnly="0" labelOnly="1" outline="0" axis="axisCol" fieldPosition="1"/>
    </format>
    <format dxfId="1634">
      <pivotArea type="topRight" dataOnly="0" labelOnly="1" outline="0" fieldPosition="0"/>
    </format>
    <format dxfId="1633">
      <pivotArea field="0" type="button" dataOnly="0" labelOnly="1" outline="0" axis="axisRow" fieldPosition="0"/>
    </format>
    <format dxfId="1632">
      <pivotArea field="-2" type="button" dataOnly="0" labelOnly="1" outline="0" axis="axisRow" fieldPosition="1"/>
    </format>
    <format dxfId="1631">
      <pivotArea dataOnly="0" labelOnly="1" outline="0" fieldPosition="0">
        <references count="1">
          <reference field="0" count="0"/>
        </references>
      </pivotArea>
    </format>
    <format dxfId="1630">
      <pivotArea field="0" dataOnly="0" labelOnly="1" grandRow="1" outline="0" axis="axisRow" fieldPosition="0">
        <references count="1">
          <reference field="4294967294" count="1" selected="0">
            <x v="0"/>
          </reference>
        </references>
      </pivotArea>
    </format>
    <format dxfId="1629">
      <pivotArea field="0" dataOnly="0" labelOnly="1" grandRow="1" outline="0" axis="axisRow" fieldPosition="0">
        <references count="1">
          <reference field="4294967294" count="1" selected="0">
            <x v="1"/>
          </reference>
        </references>
      </pivotArea>
    </format>
    <format dxfId="1628">
      <pivotArea field="0" dataOnly="0" labelOnly="1" grandRow="1" outline="0" axis="axisRow" fieldPosition="0">
        <references count="1">
          <reference field="4294967294" count="1" selected="0">
            <x v="2"/>
          </reference>
        </references>
      </pivotArea>
    </format>
    <format dxfId="1627">
      <pivotArea field="0" dataOnly="0" labelOnly="1" grandRow="1" outline="0" axis="axisRow" fieldPosition="0">
        <references count="1">
          <reference field="4294967294" count="1" selected="0">
            <x v="3"/>
          </reference>
        </references>
      </pivotArea>
    </format>
    <format dxfId="1626">
      <pivotArea field="0" dataOnly="0" labelOnly="1" grandRow="1" outline="0" axis="axisRow" fieldPosition="0">
        <references count="1">
          <reference field="4294967294" count="1" selected="0">
            <x v="4"/>
          </reference>
        </references>
      </pivotArea>
    </format>
    <format dxfId="1625">
      <pivotArea field="0" dataOnly="0" labelOnly="1" grandRow="1" outline="0" axis="axisRow" fieldPosition="0">
        <references count="1">
          <reference field="4294967294" count="1" selected="0">
            <x v="5"/>
          </reference>
        </references>
      </pivotArea>
    </format>
    <format dxfId="1624">
      <pivotArea field="0" dataOnly="0" labelOnly="1" grandRow="1" outline="0" axis="axisRow" fieldPosition="0">
        <references count="1">
          <reference field="4294967294" count="1" selected="0">
            <x v="6"/>
          </reference>
        </references>
      </pivotArea>
    </format>
    <format dxfId="1623">
      <pivotArea field="0" dataOnly="0" labelOnly="1" grandRow="1" outline="0" axis="axisRow" fieldPosition="0">
        <references count="1">
          <reference field="4294967294" count="1" selected="0">
            <x v="7"/>
          </reference>
        </references>
      </pivotArea>
    </format>
    <format dxfId="1622">
      <pivotArea field="0" dataOnly="0" labelOnly="1" grandRow="1" outline="0" axis="axisRow" fieldPosition="0">
        <references count="1">
          <reference field="4294967294" count="1" selected="0">
            <x v="8"/>
          </reference>
        </references>
      </pivotArea>
    </format>
    <format dxfId="1621">
      <pivotArea field="0" dataOnly="0" labelOnly="1" grandRow="1" outline="0" axis="axisRow" fieldPosition="0">
        <references count="1">
          <reference field="4294967294" count="1" selected="0">
            <x v="9"/>
          </reference>
        </references>
      </pivotArea>
    </format>
    <format dxfId="1620">
      <pivotArea field="0" dataOnly="0" labelOnly="1" grandRow="1" outline="0" axis="axisRow" fieldPosition="0">
        <references count="1">
          <reference field="4294967294" count="1" selected="0">
            <x v="10"/>
          </reference>
        </references>
      </pivotArea>
    </format>
    <format dxfId="1619">
      <pivotArea field="0" dataOnly="0" labelOnly="1" grandRow="1" outline="0" axis="axisRow" fieldPosition="0">
        <references count="1">
          <reference field="4294967294" count="1" selected="0">
            <x v="11"/>
          </reference>
        </references>
      </pivotArea>
    </format>
    <format dxfId="1618">
      <pivotArea field="0" dataOnly="0" labelOnly="1" grandRow="1" outline="0" axis="axisRow" fieldPosition="0">
        <references count="1">
          <reference field="4294967294" count="1" selected="0">
            <x v="12"/>
          </reference>
        </references>
      </pivotArea>
    </format>
    <format dxfId="1617">
      <pivotArea field="0" dataOnly="0" labelOnly="1" grandRow="1" outline="0" axis="axisRow" fieldPosition="0">
        <references count="1">
          <reference field="4294967294" count="1" selected="0">
            <x v="13"/>
          </reference>
        </references>
      </pivotArea>
    </format>
    <format dxfId="1616">
      <pivotArea field="0" dataOnly="0" labelOnly="1" grandRow="1" outline="0" axis="axisRow" fieldPosition="0">
        <references count="1">
          <reference field="4294967294" count="1" selected="0">
            <x v="14"/>
          </reference>
        </references>
      </pivotArea>
    </format>
    <format dxfId="1615">
      <pivotArea field="0" dataOnly="0" labelOnly="1" grandRow="1" outline="0" axis="axisRow" fieldPosition="0">
        <references count="1">
          <reference field="4294967294" count="1" selected="0">
            <x v="15"/>
          </reference>
        </references>
      </pivotArea>
    </format>
    <format dxfId="1614">
      <pivotArea field="0" dataOnly="0" labelOnly="1" grandRow="1" outline="0" axis="axisRow" fieldPosition="0">
        <references count="1">
          <reference field="4294967294" count="1" selected="0">
            <x v="16"/>
          </reference>
        </references>
      </pivotArea>
    </format>
    <format dxfId="1613">
      <pivotArea field="0" dataOnly="0" labelOnly="1" grandRow="1" outline="0" axis="axisRow" fieldPosition="0">
        <references count="1">
          <reference field="4294967294" count="1" selected="0">
            <x v="17"/>
          </reference>
        </references>
      </pivotArea>
    </format>
    <format dxfId="1612">
      <pivotArea field="0" dataOnly="0" labelOnly="1" grandRow="1" outline="0" axis="axisRow" fieldPosition="0">
        <references count="1">
          <reference field="4294967294" count="1" selected="0">
            <x v="18"/>
          </reference>
        </references>
      </pivotArea>
    </format>
    <format dxfId="1611">
      <pivotArea field="0" dataOnly="0" labelOnly="1" grandRow="1" outline="0" axis="axisRow" fieldPosition="0">
        <references count="1">
          <reference field="4294967294" count="1" selected="0">
            <x v="19"/>
          </reference>
        </references>
      </pivotArea>
    </format>
    <format dxfId="1610">
      <pivotArea field="0" dataOnly="0" labelOnly="1" grandRow="1" outline="0" axis="axisRow" fieldPosition="0">
        <references count="1">
          <reference field="4294967294" count="1" selected="0">
            <x v="20"/>
          </reference>
        </references>
      </pivotArea>
    </format>
    <format dxfId="1609">
      <pivotArea field="0" dataOnly="0" labelOnly="1" grandRow="1" outline="0" axis="axisRow" fieldPosition="0">
        <references count="1">
          <reference field="4294967294" count="1" selected="0">
            <x v="21"/>
          </reference>
        </references>
      </pivotArea>
    </format>
    <format dxfId="1608">
      <pivotArea field="0" dataOnly="0" labelOnly="1" grandRow="1" outline="0" axis="axisRow" fieldPosition="0">
        <references count="1">
          <reference field="4294967294" count="1" selected="0">
            <x v="22"/>
          </reference>
        </references>
      </pivotArea>
    </format>
    <format dxfId="1607">
      <pivotArea field="0" dataOnly="0" labelOnly="1" grandRow="1" outline="0" axis="axisRow" fieldPosition="0">
        <references count="1">
          <reference field="4294967294" count="1" selected="0">
            <x v="23"/>
          </reference>
        </references>
      </pivotArea>
    </format>
    <format dxfId="1606">
      <pivotArea field="0" dataOnly="0" labelOnly="1" grandRow="1" outline="0" axis="axisRow" fieldPosition="0">
        <references count="1">
          <reference field="4294967294" count="1" selected="0">
            <x v="24"/>
          </reference>
        </references>
      </pivotArea>
    </format>
    <format dxfId="1605">
      <pivotArea field="0" dataOnly="0" labelOnly="1" grandRow="1" outline="0" axis="axisRow" fieldPosition="0">
        <references count="1">
          <reference field="4294967294" count="1" selected="0">
            <x v="25"/>
          </reference>
        </references>
      </pivotArea>
    </format>
    <format dxfId="1604">
      <pivotArea field="0" dataOnly="0" labelOnly="1" grandRow="1" outline="0" axis="axisRow" fieldPosition="0">
        <references count="1">
          <reference field="4294967294" count="1" selected="0">
            <x v="26"/>
          </reference>
        </references>
      </pivotArea>
    </format>
    <format dxfId="1603">
      <pivotArea field="0" dataOnly="0" labelOnly="1" grandRow="1" outline="0" axis="axisRow" fieldPosition="0">
        <references count="1">
          <reference field="4294967294" count="1" selected="0">
            <x v="27"/>
          </reference>
        </references>
      </pivotArea>
    </format>
    <format dxfId="1602">
      <pivotArea field="0" dataOnly="0" labelOnly="1" grandRow="1" outline="0" axis="axisRow" fieldPosition="0">
        <references count="1">
          <reference field="4294967294" count="1" selected="0">
            <x v="28"/>
          </reference>
        </references>
      </pivotArea>
    </format>
    <format dxfId="1601">
      <pivotArea field="0" dataOnly="0" labelOnly="1" grandRow="1" outline="0" axis="axisRow" fieldPosition="0">
        <references count="1">
          <reference field="4294967294" count="1" selected="0">
            <x v="29"/>
          </reference>
        </references>
      </pivotArea>
    </format>
    <format dxfId="1600">
      <pivotArea field="0" dataOnly="0" labelOnly="1" grandRow="1" outline="0" axis="axisRow" fieldPosition="0">
        <references count="1">
          <reference field="4294967294" count="1" selected="0">
            <x v="30"/>
          </reference>
        </references>
      </pivotArea>
    </format>
    <format dxfId="1599">
      <pivotArea field="0" dataOnly="0" labelOnly="1" grandRow="1" outline="0" axis="axisRow" fieldPosition="0">
        <references count="1">
          <reference field="4294967294" count="1" selected="0">
            <x v="31"/>
          </reference>
        </references>
      </pivotArea>
    </format>
    <format dxfId="1598">
      <pivotArea field="0" dataOnly="0" labelOnly="1" grandRow="1" outline="0" axis="axisRow" fieldPosition="0">
        <references count="1">
          <reference field="4294967294" count="1" selected="0">
            <x v="32"/>
          </reference>
        </references>
      </pivotArea>
    </format>
    <format dxfId="1597">
      <pivotArea field="0" dataOnly="0" labelOnly="1" grandRow="1" outline="0" axis="axisRow" fieldPosition="0">
        <references count="1">
          <reference field="4294967294" count="1" selected="0">
            <x v="33"/>
          </reference>
        </references>
      </pivotArea>
    </format>
    <format dxfId="1596">
      <pivotArea field="0" dataOnly="0" labelOnly="1" grandRow="1" outline="0" axis="axisRow" fieldPosition="0">
        <references count="1">
          <reference field="4294967294" count="1" selected="0">
            <x v="34"/>
          </reference>
        </references>
      </pivotArea>
    </format>
    <format dxfId="1595">
      <pivotArea field="0" dataOnly="0" labelOnly="1" grandRow="1" outline="0" axis="axisRow" fieldPosition="0">
        <references count="1">
          <reference field="4294967294" count="1" selected="0">
            <x v="35"/>
          </reference>
        </references>
      </pivotArea>
    </format>
    <format dxfId="1594">
      <pivotArea field="0" dataOnly="0" labelOnly="1" grandRow="1" outline="0" axis="axisRow" fieldPosition="0">
        <references count="1">
          <reference field="4294967294" count="1" selected="0">
            <x v="0"/>
          </reference>
        </references>
      </pivotArea>
    </format>
    <format dxfId="1593">
      <pivotArea field="0" dataOnly="0" labelOnly="1" grandRow="1" outline="0" axis="axisRow" fieldPosition="0">
        <references count="1">
          <reference field="4294967294" count="1" selected="0">
            <x v="1"/>
          </reference>
        </references>
      </pivotArea>
    </format>
    <format dxfId="1592">
      <pivotArea field="0" dataOnly="0" labelOnly="1" grandRow="1" outline="0" axis="axisRow" fieldPosition="0">
        <references count="1">
          <reference field="4294967294" count="1" selected="0">
            <x v="2"/>
          </reference>
        </references>
      </pivotArea>
    </format>
    <format dxfId="1591">
      <pivotArea field="0" dataOnly="0" labelOnly="1" grandRow="1" outline="0" axis="axisRow" fieldPosition="0">
        <references count="1">
          <reference field="4294967294" count="1" selected="0">
            <x v="3"/>
          </reference>
        </references>
      </pivotArea>
    </format>
    <format dxfId="1590">
      <pivotArea field="0" dataOnly="0" labelOnly="1" grandRow="1" outline="0" axis="axisRow" fieldPosition="0">
        <references count="1">
          <reference field="4294967294" count="1" selected="0">
            <x v="4"/>
          </reference>
        </references>
      </pivotArea>
    </format>
    <format dxfId="1589">
      <pivotArea field="0" dataOnly="0" labelOnly="1" grandRow="1" outline="0" axis="axisRow" fieldPosition="0">
        <references count="1">
          <reference field="4294967294" count="1" selected="0">
            <x v="5"/>
          </reference>
        </references>
      </pivotArea>
    </format>
    <format dxfId="1588">
      <pivotArea field="0" dataOnly="0" labelOnly="1" grandRow="1" outline="0" axis="axisRow" fieldPosition="0">
        <references count="1">
          <reference field="4294967294" count="1" selected="0">
            <x v="6"/>
          </reference>
        </references>
      </pivotArea>
    </format>
    <format dxfId="1587">
      <pivotArea field="0" dataOnly="0" labelOnly="1" grandRow="1" outline="0" axis="axisRow" fieldPosition="0">
        <references count="1">
          <reference field="4294967294" count="1" selected="0">
            <x v="7"/>
          </reference>
        </references>
      </pivotArea>
    </format>
    <format dxfId="1586">
      <pivotArea field="0" dataOnly="0" labelOnly="1" grandRow="1" outline="0" axis="axisRow" fieldPosition="0">
        <references count="1">
          <reference field="4294967294" count="1" selected="0">
            <x v="8"/>
          </reference>
        </references>
      </pivotArea>
    </format>
    <format dxfId="1585">
      <pivotArea field="0" dataOnly="0" labelOnly="1" grandRow="1" outline="0" axis="axisRow" fieldPosition="0">
        <references count="1">
          <reference field="4294967294" count="1" selected="0">
            <x v="9"/>
          </reference>
        </references>
      </pivotArea>
    </format>
    <format dxfId="1584">
      <pivotArea field="0" dataOnly="0" labelOnly="1" grandRow="1" outline="0" axis="axisRow" fieldPosition="0">
        <references count="1">
          <reference field="4294967294" count="1" selected="0">
            <x v="10"/>
          </reference>
        </references>
      </pivotArea>
    </format>
    <format dxfId="1583">
      <pivotArea field="0" dataOnly="0" labelOnly="1" grandRow="1" outline="0" axis="axisRow" fieldPosition="0">
        <references count="1">
          <reference field="4294967294" count="1" selected="0">
            <x v="11"/>
          </reference>
        </references>
      </pivotArea>
    </format>
    <format dxfId="1582">
      <pivotArea field="0" dataOnly="0" labelOnly="1" grandRow="1" outline="0" axis="axisRow" fieldPosition="0">
        <references count="1">
          <reference field="4294967294" count="1" selected="0">
            <x v="12"/>
          </reference>
        </references>
      </pivotArea>
    </format>
    <format dxfId="1581">
      <pivotArea field="0" dataOnly="0" labelOnly="1" grandRow="1" outline="0" axis="axisRow" fieldPosition="0">
        <references count="1">
          <reference field="4294967294" count="1" selected="0">
            <x v="13"/>
          </reference>
        </references>
      </pivotArea>
    </format>
    <format dxfId="1580">
      <pivotArea field="0" dataOnly="0" labelOnly="1" grandRow="1" outline="0" axis="axisRow" fieldPosition="0">
        <references count="1">
          <reference field="4294967294" count="1" selected="0">
            <x v="14"/>
          </reference>
        </references>
      </pivotArea>
    </format>
    <format dxfId="1579">
      <pivotArea field="0" dataOnly="0" labelOnly="1" grandRow="1" outline="0" axis="axisRow" fieldPosition="0">
        <references count="1">
          <reference field="4294967294" count="1" selected="0">
            <x v="15"/>
          </reference>
        </references>
      </pivotArea>
    </format>
    <format dxfId="1578">
      <pivotArea field="0" dataOnly="0" labelOnly="1" grandRow="1" outline="0" axis="axisRow" fieldPosition="0">
        <references count="1">
          <reference field="4294967294" count="1" selected="0">
            <x v="16"/>
          </reference>
        </references>
      </pivotArea>
    </format>
    <format dxfId="1577">
      <pivotArea field="0" dataOnly="0" labelOnly="1" grandRow="1" outline="0" axis="axisRow" fieldPosition="0">
        <references count="1">
          <reference field="4294967294" count="1" selected="0">
            <x v="17"/>
          </reference>
        </references>
      </pivotArea>
    </format>
    <format dxfId="1576">
      <pivotArea field="0" dataOnly="0" labelOnly="1" grandRow="1" outline="0" axis="axisRow" fieldPosition="0">
        <references count="1">
          <reference field="4294967294" count="1" selected="0">
            <x v="18"/>
          </reference>
        </references>
      </pivotArea>
    </format>
    <format dxfId="1575">
      <pivotArea field="0" dataOnly="0" labelOnly="1" grandRow="1" outline="0" axis="axisRow" fieldPosition="0">
        <references count="1">
          <reference field="4294967294" count="1" selected="0">
            <x v="19"/>
          </reference>
        </references>
      </pivotArea>
    </format>
    <format dxfId="1574">
      <pivotArea field="0" dataOnly="0" labelOnly="1" grandRow="1" outline="0" axis="axisRow" fieldPosition="0">
        <references count="1">
          <reference field="4294967294" count="1" selected="0">
            <x v="20"/>
          </reference>
        </references>
      </pivotArea>
    </format>
    <format dxfId="1573">
      <pivotArea field="0" dataOnly="0" labelOnly="1" grandRow="1" outline="0" axis="axisRow" fieldPosition="0">
        <references count="1">
          <reference field="4294967294" count="1" selected="0">
            <x v="21"/>
          </reference>
        </references>
      </pivotArea>
    </format>
    <format dxfId="1572">
      <pivotArea field="0" dataOnly="0" labelOnly="1" grandRow="1" outline="0" axis="axisRow" fieldPosition="0">
        <references count="1">
          <reference field="4294967294" count="1" selected="0">
            <x v="22"/>
          </reference>
        </references>
      </pivotArea>
    </format>
    <format dxfId="1571">
      <pivotArea field="0" dataOnly="0" labelOnly="1" grandRow="1" outline="0" axis="axisRow" fieldPosition="0">
        <references count="1">
          <reference field="4294967294" count="1" selected="0">
            <x v="23"/>
          </reference>
        </references>
      </pivotArea>
    </format>
    <format dxfId="1570">
      <pivotArea field="0" dataOnly="0" labelOnly="1" grandRow="1" outline="0" axis="axisRow" fieldPosition="0">
        <references count="1">
          <reference field="4294967294" count="1" selected="0">
            <x v="24"/>
          </reference>
        </references>
      </pivotArea>
    </format>
    <format dxfId="1569">
      <pivotArea field="0" dataOnly="0" labelOnly="1" grandRow="1" outline="0" axis="axisRow" fieldPosition="0">
        <references count="1">
          <reference field="4294967294" count="1" selected="0">
            <x v="25"/>
          </reference>
        </references>
      </pivotArea>
    </format>
    <format dxfId="1568">
      <pivotArea field="0" dataOnly="0" labelOnly="1" grandRow="1" outline="0" axis="axisRow" fieldPosition="0">
        <references count="1">
          <reference field="4294967294" count="1" selected="0">
            <x v="26"/>
          </reference>
        </references>
      </pivotArea>
    </format>
    <format dxfId="1567">
      <pivotArea field="0" dataOnly="0" labelOnly="1" grandRow="1" outline="0" axis="axisRow" fieldPosition="0">
        <references count="1">
          <reference field="4294967294" count="1" selected="0">
            <x v="27"/>
          </reference>
        </references>
      </pivotArea>
    </format>
    <format dxfId="1566">
      <pivotArea field="0" dataOnly="0" labelOnly="1" grandRow="1" outline="0" axis="axisRow" fieldPosition="0">
        <references count="1">
          <reference field="4294967294" count="1" selected="0">
            <x v="28"/>
          </reference>
        </references>
      </pivotArea>
    </format>
    <format dxfId="1565">
      <pivotArea field="0" dataOnly="0" labelOnly="1" grandRow="1" outline="0" axis="axisRow" fieldPosition="0">
        <references count="1">
          <reference field="4294967294" count="1" selected="0">
            <x v="29"/>
          </reference>
        </references>
      </pivotArea>
    </format>
    <format dxfId="1564">
      <pivotArea field="0" dataOnly="0" labelOnly="1" grandRow="1" outline="0" axis="axisRow" fieldPosition="0">
        <references count="1">
          <reference field="4294967294" count="1" selected="0">
            <x v="30"/>
          </reference>
        </references>
      </pivotArea>
    </format>
    <format dxfId="1563">
      <pivotArea field="0" dataOnly="0" labelOnly="1" grandRow="1" outline="0" axis="axisRow" fieldPosition="0">
        <references count="1">
          <reference field="4294967294" count="1" selected="0">
            <x v="31"/>
          </reference>
        </references>
      </pivotArea>
    </format>
    <format dxfId="1562">
      <pivotArea field="0" dataOnly="0" labelOnly="1" grandRow="1" outline="0" axis="axisRow" fieldPosition="0">
        <references count="1">
          <reference field="4294967294" count="1" selected="0">
            <x v="32"/>
          </reference>
        </references>
      </pivotArea>
    </format>
    <format dxfId="1561">
      <pivotArea field="0" dataOnly="0" labelOnly="1" grandRow="1" outline="0" axis="axisRow" fieldPosition="0">
        <references count="1">
          <reference field="4294967294" count="1" selected="0">
            <x v="33"/>
          </reference>
        </references>
      </pivotArea>
    </format>
    <format dxfId="1560">
      <pivotArea field="0" dataOnly="0" labelOnly="1" grandRow="1" outline="0" axis="axisRow" fieldPosition="0">
        <references count="1">
          <reference field="4294967294" count="1" selected="0">
            <x v="34"/>
          </reference>
        </references>
      </pivotArea>
    </format>
    <format dxfId="1559">
      <pivotArea field="0" dataOnly="0" labelOnly="1" grandRow="1" outline="0" axis="axisRow" fieldPosition="0">
        <references count="1">
          <reference field="4294967294" count="1" selected="0">
            <x v="35"/>
          </reference>
        </references>
      </pivotArea>
    </format>
    <format dxfId="1558">
      <pivotArea field="0" dataOnly="0" labelOnly="1" grandRow="1" outline="0" axis="axisRow" fieldPosition="0">
        <references count="1">
          <reference field="4294967294" count="1" selected="0">
            <x v="0"/>
          </reference>
        </references>
      </pivotArea>
    </format>
    <format dxfId="1557">
      <pivotArea field="0" dataOnly="0" labelOnly="1" grandRow="1" outline="0" axis="axisRow" fieldPosition="0">
        <references count="1">
          <reference field="4294967294" count="1" selected="0">
            <x v="1"/>
          </reference>
        </references>
      </pivotArea>
    </format>
    <format dxfId="1556">
      <pivotArea field="0" dataOnly="0" labelOnly="1" grandRow="1" outline="0" axis="axisRow" fieldPosition="0">
        <references count="1">
          <reference field="4294967294" count="1" selected="0">
            <x v="2"/>
          </reference>
        </references>
      </pivotArea>
    </format>
    <format dxfId="1555">
      <pivotArea field="0" dataOnly="0" labelOnly="1" grandRow="1" outline="0" axis="axisRow" fieldPosition="0">
        <references count="1">
          <reference field="4294967294" count="1" selected="0">
            <x v="3"/>
          </reference>
        </references>
      </pivotArea>
    </format>
    <format dxfId="1554">
      <pivotArea field="0" dataOnly="0" labelOnly="1" grandRow="1" outline="0" axis="axisRow" fieldPosition="0">
        <references count="1">
          <reference field="4294967294" count="1" selected="0">
            <x v="4"/>
          </reference>
        </references>
      </pivotArea>
    </format>
    <format dxfId="1553">
      <pivotArea field="0" dataOnly="0" labelOnly="1" grandRow="1" outline="0" axis="axisRow" fieldPosition="0">
        <references count="1">
          <reference field="4294967294" count="1" selected="0">
            <x v="5"/>
          </reference>
        </references>
      </pivotArea>
    </format>
    <format dxfId="1552">
      <pivotArea field="0" dataOnly="0" labelOnly="1" grandRow="1" outline="0" axis="axisRow" fieldPosition="0">
        <references count="1">
          <reference field="4294967294" count="1" selected="0">
            <x v="6"/>
          </reference>
        </references>
      </pivotArea>
    </format>
    <format dxfId="1551">
      <pivotArea field="0" dataOnly="0" labelOnly="1" grandRow="1" outline="0" axis="axisRow" fieldPosition="0">
        <references count="1">
          <reference field="4294967294" count="1" selected="0">
            <x v="7"/>
          </reference>
        </references>
      </pivotArea>
    </format>
    <format dxfId="1550">
      <pivotArea field="0" dataOnly="0" labelOnly="1" grandRow="1" outline="0" axis="axisRow" fieldPosition="0">
        <references count="1">
          <reference field="4294967294" count="1" selected="0">
            <x v="8"/>
          </reference>
        </references>
      </pivotArea>
    </format>
    <format dxfId="1549">
      <pivotArea field="0" dataOnly="0" labelOnly="1" grandRow="1" outline="0" axis="axisRow" fieldPosition="0">
        <references count="1">
          <reference field="4294967294" count="1" selected="0">
            <x v="9"/>
          </reference>
        </references>
      </pivotArea>
    </format>
    <format dxfId="1548">
      <pivotArea field="0" dataOnly="0" labelOnly="1" grandRow="1" outline="0" axis="axisRow" fieldPosition="0">
        <references count="1">
          <reference field="4294967294" count="1" selected="0">
            <x v="10"/>
          </reference>
        </references>
      </pivotArea>
    </format>
    <format dxfId="1547">
      <pivotArea field="0" dataOnly="0" labelOnly="1" grandRow="1" outline="0" axis="axisRow" fieldPosition="0">
        <references count="1">
          <reference field="4294967294" count="1" selected="0">
            <x v="11"/>
          </reference>
        </references>
      </pivotArea>
    </format>
    <format dxfId="1546">
      <pivotArea field="0" dataOnly="0" labelOnly="1" grandRow="1" outline="0" axis="axisRow" fieldPosition="0">
        <references count="1">
          <reference field="4294967294" count="1" selected="0">
            <x v="12"/>
          </reference>
        </references>
      </pivotArea>
    </format>
    <format dxfId="1545">
      <pivotArea field="0" dataOnly="0" labelOnly="1" grandRow="1" outline="0" axis="axisRow" fieldPosition="0">
        <references count="1">
          <reference field="4294967294" count="1" selected="0">
            <x v="13"/>
          </reference>
        </references>
      </pivotArea>
    </format>
    <format dxfId="1544">
      <pivotArea field="0" dataOnly="0" labelOnly="1" grandRow="1" outline="0" axis="axisRow" fieldPosition="0">
        <references count="1">
          <reference field="4294967294" count="1" selected="0">
            <x v="14"/>
          </reference>
        </references>
      </pivotArea>
    </format>
    <format dxfId="1543">
      <pivotArea field="0" dataOnly="0" labelOnly="1" grandRow="1" outline="0" axis="axisRow" fieldPosition="0">
        <references count="1">
          <reference field="4294967294" count="1" selected="0">
            <x v="15"/>
          </reference>
        </references>
      </pivotArea>
    </format>
    <format dxfId="1542">
      <pivotArea field="0" dataOnly="0" labelOnly="1" grandRow="1" outline="0" axis="axisRow" fieldPosition="0">
        <references count="1">
          <reference field="4294967294" count="1" selected="0">
            <x v="16"/>
          </reference>
        </references>
      </pivotArea>
    </format>
    <format dxfId="1541">
      <pivotArea field="0" dataOnly="0" labelOnly="1" grandRow="1" outline="0" axis="axisRow" fieldPosition="0">
        <references count="1">
          <reference field="4294967294" count="1" selected="0">
            <x v="17"/>
          </reference>
        </references>
      </pivotArea>
    </format>
    <format dxfId="1540">
      <pivotArea field="0" dataOnly="0" labelOnly="1" grandRow="1" outline="0" axis="axisRow" fieldPosition="0">
        <references count="1">
          <reference field="4294967294" count="1" selected="0">
            <x v="18"/>
          </reference>
        </references>
      </pivotArea>
    </format>
    <format dxfId="1539">
      <pivotArea field="0" dataOnly="0" labelOnly="1" grandRow="1" outline="0" axis="axisRow" fieldPosition="0">
        <references count="1">
          <reference field="4294967294" count="1" selected="0">
            <x v="19"/>
          </reference>
        </references>
      </pivotArea>
    </format>
    <format dxfId="1538">
      <pivotArea field="0" dataOnly="0" labelOnly="1" grandRow="1" outline="0" axis="axisRow" fieldPosition="0">
        <references count="1">
          <reference field="4294967294" count="1" selected="0">
            <x v="20"/>
          </reference>
        </references>
      </pivotArea>
    </format>
    <format dxfId="1537">
      <pivotArea field="0" dataOnly="0" labelOnly="1" grandRow="1" outline="0" axis="axisRow" fieldPosition="0">
        <references count="1">
          <reference field="4294967294" count="1" selected="0">
            <x v="21"/>
          </reference>
        </references>
      </pivotArea>
    </format>
    <format dxfId="1536">
      <pivotArea field="0" dataOnly="0" labelOnly="1" grandRow="1" outline="0" axis="axisRow" fieldPosition="0">
        <references count="1">
          <reference field="4294967294" count="1" selected="0">
            <x v="22"/>
          </reference>
        </references>
      </pivotArea>
    </format>
    <format dxfId="1535">
      <pivotArea field="0" dataOnly="0" labelOnly="1" grandRow="1" outline="0" axis="axisRow" fieldPosition="0">
        <references count="1">
          <reference field="4294967294" count="1" selected="0">
            <x v="23"/>
          </reference>
        </references>
      </pivotArea>
    </format>
    <format dxfId="1534">
      <pivotArea field="0" dataOnly="0" labelOnly="1" grandRow="1" outline="0" axis="axisRow" fieldPosition="0">
        <references count="1">
          <reference field="4294967294" count="1" selected="0">
            <x v="24"/>
          </reference>
        </references>
      </pivotArea>
    </format>
    <format dxfId="1533">
      <pivotArea field="0" dataOnly="0" labelOnly="1" grandRow="1" outline="0" axis="axisRow" fieldPosition="0">
        <references count="1">
          <reference field="4294967294" count="1" selected="0">
            <x v="25"/>
          </reference>
        </references>
      </pivotArea>
    </format>
    <format dxfId="1532">
      <pivotArea field="0" dataOnly="0" labelOnly="1" grandRow="1" outline="0" axis="axisRow" fieldPosition="0">
        <references count="1">
          <reference field="4294967294" count="1" selected="0">
            <x v="26"/>
          </reference>
        </references>
      </pivotArea>
    </format>
    <format dxfId="1531">
      <pivotArea field="0" dataOnly="0" labelOnly="1" grandRow="1" outline="0" axis="axisRow" fieldPosition="0">
        <references count="1">
          <reference field="4294967294" count="1" selected="0">
            <x v="27"/>
          </reference>
        </references>
      </pivotArea>
    </format>
    <format dxfId="1530">
      <pivotArea field="0" dataOnly="0" labelOnly="1" grandRow="1" outline="0" axis="axisRow" fieldPosition="0">
        <references count="1">
          <reference field="4294967294" count="1" selected="0">
            <x v="28"/>
          </reference>
        </references>
      </pivotArea>
    </format>
    <format dxfId="1529">
      <pivotArea field="0" dataOnly="0" labelOnly="1" grandRow="1" outline="0" axis="axisRow" fieldPosition="0">
        <references count="1">
          <reference field="4294967294" count="1" selected="0">
            <x v="29"/>
          </reference>
        </references>
      </pivotArea>
    </format>
    <format dxfId="1528">
      <pivotArea field="0" dataOnly="0" labelOnly="1" grandRow="1" outline="0" axis="axisRow" fieldPosition="0">
        <references count="1">
          <reference field="4294967294" count="1" selected="0">
            <x v="30"/>
          </reference>
        </references>
      </pivotArea>
    </format>
    <format dxfId="1527">
      <pivotArea field="0" dataOnly="0" labelOnly="1" grandRow="1" outline="0" axis="axisRow" fieldPosition="0">
        <references count="1">
          <reference field="4294967294" count="1" selected="0">
            <x v="31"/>
          </reference>
        </references>
      </pivotArea>
    </format>
    <format dxfId="1526">
      <pivotArea field="0" dataOnly="0" labelOnly="1" grandRow="1" outline="0" axis="axisRow" fieldPosition="0">
        <references count="1">
          <reference field="4294967294" count="1" selected="0">
            <x v="32"/>
          </reference>
        </references>
      </pivotArea>
    </format>
    <format dxfId="1525">
      <pivotArea field="0" dataOnly="0" labelOnly="1" grandRow="1" outline="0" axis="axisRow" fieldPosition="0">
        <references count="1">
          <reference field="4294967294" count="1" selected="0">
            <x v="33"/>
          </reference>
        </references>
      </pivotArea>
    </format>
    <format dxfId="1524">
      <pivotArea field="0" dataOnly="0" labelOnly="1" grandRow="1" outline="0" axis="axisRow" fieldPosition="0">
        <references count="1">
          <reference field="4294967294" count="1" selected="0">
            <x v="34"/>
          </reference>
        </references>
      </pivotArea>
    </format>
    <format dxfId="1523">
      <pivotArea field="0" dataOnly="0" labelOnly="1" grandRow="1" outline="0" axis="axisRow" fieldPosition="0">
        <references count="1">
          <reference field="4294967294" count="1" selected="0">
            <x v="35"/>
          </reference>
        </references>
      </pivotArea>
    </format>
    <format dxfId="1522">
      <pivotArea field="0" dataOnly="0" labelOnly="1" grandRow="1" outline="0" axis="axisRow" fieldPosition="0">
        <references count="1">
          <reference field="4294967294" count="1" selected="0">
            <x v="0"/>
          </reference>
        </references>
      </pivotArea>
    </format>
    <format dxfId="1521">
      <pivotArea field="0" dataOnly="0" labelOnly="1" grandRow="1" outline="0" axis="axisRow" fieldPosition="0">
        <references count="1">
          <reference field="4294967294" count="1" selected="0">
            <x v="1"/>
          </reference>
        </references>
      </pivotArea>
    </format>
    <format dxfId="1520">
      <pivotArea field="0" dataOnly="0" labelOnly="1" grandRow="1" outline="0" axis="axisRow" fieldPosition="0">
        <references count="1">
          <reference field="4294967294" count="1" selected="0">
            <x v="2"/>
          </reference>
        </references>
      </pivotArea>
    </format>
    <format dxfId="1519">
      <pivotArea field="0" dataOnly="0" labelOnly="1" grandRow="1" outline="0" axis="axisRow" fieldPosition="0">
        <references count="1">
          <reference field="4294967294" count="1" selected="0">
            <x v="3"/>
          </reference>
        </references>
      </pivotArea>
    </format>
    <format dxfId="1518">
      <pivotArea field="0" dataOnly="0" labelOnly="1" grandRow="1" outline="0" axis="axisRow" fieldPosition="0">
        <references count="1">
          <reference field="4294967294" count="1" selected="0">
            <x v="4"/>
          </reference>
        </references>
      </pivotArea>
    </format>
    <format dxfId="1517">
      <pivotArea field="0" dataOnly="0" labelOnly="1" grandRow="1" outline="0" axis="axisRow" fieldPosition="0">
        <references count="1">
          <reference field="4294967294" count="1" selected="0">
            <x v="5"/>
          </reference>
        </references>
      </pivotArea>
    </format>
    <format dxfId="1516">
      <pivotArea field="0" dataOnly="0" labelOnly="1" grandRow="1" outline="0" axis="axisRow" fieldPosition="0">
        <references count="1">
          <reference field="4294967294" count="1" selected="0">
            <x v="6"/>
          </reference>
        </references>
      </pivotArea>
    </format>
    <format dxfId="1515">
      <pivotArea field="0" dataOnly="0" labelOnly="1" grandRow="1" outline="0" axis="axisRow" fieldPosition="0">
        <references count="1">
          <reference field="4294967294" count="1" selected="0">
            <x v="7"/>
          </reference>
        </references>
      </pivotArea>
    </format>
    <format dxfId="1514">
      <pivotArea field="0" dataOnly="0" labelOnly="1" grandRow="1" outline="0" axis="axisRow" fieldPosition="0">
        <references count="1">
          <reference field="4294967294" count="1" selected="0">
            <x v="8"/>
          </reference>
        </references>
      </pivotArea>
    </format>
    <format dxfId="1513">
      <pivotArea field="0" dataOnly="0" labelOnly="1" grandRow="1" outline="0" axis="axisRow" fieldPosition="0">
        <references count="1">
          <reference field="4294967294" count="1" selected="0">
            <x v="9"/>
          </reference>
        </references>
      </pivotArea>
    </format>
    <format dxfId="1512">
      <pivotArea field="0" dataOnly="0" labelOnly="1" grandRow="1" outline="0" axis="axisRow" fieldPosition="0">
        <references count="1">
          <reference field="4294967294" count="1" selected="0">
            <x v="10"/>
          </reference>
        </references>
      </pivotArea>
    </format>
    <format dxfId="1511">
      <pivotArea field="0" dataOnly="0" labelOnly="1" grandRow="1" outline="0" axis="axisRow" fieldPosition="0">
        <references count="1">
          <reference field="4294967294" count="1" selected="0">
            <x v="11"/>
          </reference>
        </references>
      </pivotArea>
    </format>
    <format dxfId="1510">
      <pivotArea field="0" dataOnly="0" labelOnly="1" grandRow="1" outline="0" axis="axisRow" fieldPosition="0">
        <references count="1">
          <reference field="4294967294" count="1" selected="0">
            <x v="12"/>
          </reference>
        </references>
      </pivotArea>
    </format>
    <format dxfId="1509">
      <pivotArea field="0" dataOnly="0" labelOnly="1" grandRow="1" outline="0" axis="axisRow" fieldPosition="0">
        <references count="1">
          <reference field="4294967294" count="1" selected="0">
            <x v="13"/>
          </reference>
        </references>
      </pivotArea>
    </format>
    <format dxfId="1508">
      <pivotArea field="0" dataOnly="0" labelOnly="1" grandRow="1" outline="0" axis="axisRow" fieldPosition="0">
        <references count="1">
          <reference field="4294967294" count="1" selected="0">
            <x v="14"/>
          </reference>
        </references>
      </pivotArea>
    </format>
    <format dxfId="1507">
      <pivotArea field="0" dataOnly="0" labelOnly="1" grandRow="1" outline="0" axis="axisRow" fieldPosition="0">
        <references count="1">
          <reference field="4294967294" count="1" selected="0">
            <x v="15"/>
          </reference>
        </references>
      </pivotArea>
    </format>
    <format dxfId="1506">
      <pivotArea field="0" dataOnly="0" labelOnly="1" grandRow="1" outline="0" axis="axisRow" fieldPosition="0">
        <references count="1">
          <reference field="4294967294" count="1" selected="0">
            <x v="16"/>
          </reference>
        </references>
      </pivotArea>
    </format>
    <format dxfId="1505">
      <pivotArea field="0" dataOnly="0" labelOnly="1" grandRow="1" outline="0" axis="axisRow" fieldPosition="0">
        <references count="1">
          <reference field="4294967294" count="1" selected="0">
            <x v="17"/>
          </reference>
        </references>
      </pivotArea>
    </format>
    <format dxfId="1504">
      <pivotArea field="0" dataOnly="0" labelOnly="1" grandRow="1" outline="0" axis="axisRow" fieldPosition="0">
        <references count="1">
          <reference field="4294967294" count="1" selected="0">
            <x v="18"/>
          </reference>
        </references>
      </pivotArea>
    </format>
    <format dxfId="1503">
      <pivotArea field="0" dataOnly="0" labelOnly="1" grandRow="1" outline="0" axis="axisRow" fieldPosition="0">
        <references count="1">
          <reference field="4294967294" count="1" selected="0">
            <x v="19"/>
          </reference>
        </references>
      </pivotArea>
    </format>
    <format dxfId="1502">
      <pivotArea field="0" dataOnly="0" labelOnly="1" grandRow="1" outline="0" axis="axisRow" fieldPosition="0">
        <references count="1">
          <reference field="4294967294" count="1" selected="0">
            <x v="20"/>
          </reference>
        </references>
      </pivotArea>
    </format>
    <format dxfId="1501">
      <pivotArea field="0" dataOnly="0" labelOnly="1" grandRow="1" outline="0" axis="axisRow" fieldPosition="0">
        <references count="1">
          <reference field="4294967294" count="1" selected="0">
            <x v="21"/>
          </reference>
        </references>
      </pivotArea>
    </format>
    <format dxfId="1500">
      <pivotArea field="0" dataOnly="0" labelOnly="1" grandRow="1" outline="0" axis="axisRow" fieldPosition="0">
        <references count="1">
          <reference field="4294967294" count="1" selected="0">
            <x v="22"/>
          </reference>
        </references>
      </pivotArea>
    </format>
    <format dxfId="1499">
      <pivotArea field="0" dataOnly="0" labelOnly="1" grandRow="1" outline="0" axis="axisRow" fieldPosition="0">
        <references count="1">
          <reference field="4294967294" count="1" selected="0">
            <x v="23"/>
          </reference>
        </references>
      </pivotArea>
    </format>
    <format dxfId="1498">
      <pivotArea field="0" dataOnly="0" labelOnly="1" grandRow="1" outline="0" axis="axisRow" fieldPosition="0">
        <references count="1">
          <reference field="4294967294" count="1" selected="0">
            <x v="24"/>
          </reference>
        </references>
      </pivotArea>
    </format>
    <format dxfId="1497">
      <pivotArea field="0" dataOnly="0" labelOnly="1" grandRow="1" outline="0" axis="axisRow" fieldPosition="0">
        <references count="1">
          <reference field="4294967294" count="1" selected="0">
            <x v="25"/>
          </reference>
        </references>
      </pivotArea>
    </format>
    <format dxfId="1496">
      <pivotArea field="0" dataOnly="0" labelOnly="1" grandRow="1" outline="0" axis="axisRow" fieldPosition="0">
        <references count="1">
          <reference field="4294967294" count="1" selected="0">
            <x v="26"/>
          </reference>
        </references>
      </pivotArea>
    </format>
    <format dxfId="1495">
      <pivotArea field="0" dataOnly="0" labelOnly="1" grandRow="1" outline="0" axis="axisRow" fieldPosition="0">
        <references count="1">
          <reference field="4294967294" count="1" selected="0">
            <x v="27"/>
          </reference>
        </references>
      </pivotArea>
    </format>
    <format dxfId="1494">
      <pivotArea field="0" dataOnly="0" labelOnly="1" grandRow="1" outline="0" axis="axisRow" fieldPosition="0">
        <references count="1">
          <reference field="4294967294" count="1" selected="0">
            <x v="28"/>
          </reference>
        </references>
      </pivotArea>
    </format>
    <format dxfId="1493">
      <pivotArea field="0" dataOnly="0" labelOnly="1" grandRow="1" outline="0" axis="axisRow" fieldPosition="0">
        <references count="1">
          <reference field="4294967294" count="1" selected="0">
            <x v="29"/>
          </reference>
        </references>
      </pivotArea>
    </format>
    <format dxfId="1492">
      <pivotArea field="0" dataOnly="0" labelOnly="1" grandRow="1" outline="0" axis="axisRow" fieldPosition="0">
        <references count="1">
          <reference field="4294967294" count="1" selected="0">
            <x v="30"/>
          </reference>
        </references>
      </pivotArea>
    </format>
    <format dxfId="1491">
      <pivotArea field="0" dataOnly="0" labelOnly="1" grandRow="1" outline="0" axis="axisRow" fieldPosition="0">
        <references count="1">
          <reference field="4294967294" count="1" selected="0">
            <x v="31"/>
          </reference>
        </references>
      </pivotArea>
    </format>
    <format dxfId="1490">
      <pivotArea field="0" dataOnly="0" labelOnly="1" grandRow="1" outline="0" axis="axisRow" fieldPosition="0">
        <references count="1">
          <reference field="4294967294" count="1" selected="0">
            <x v="32"/>
          </reference>
        </references>
      </pivotArea>
    </format>
    <format dxfId="1489">
      <pivotArea field="0" dataOnly="0" labelOnly="1" grandRow="1" outline="0" axis="axisRow" fieldPosition="0">
        <references count="1">
          <reference field="4294967294" count="1" selected="0">
            <x v="33"/>
          </reference>
        </references>
      </pivotArea>
    </format>
    <format dxfId="1488">
      <pivotArea field="0" dataOnly="0" labelOnly="1" grandRow="1" outline="0" axis="axisRow" fieldPosition="0">
        <references count="1">
          <reference field="4294967294" count="1" selected="0">
            <x v="34"/>
          </reference>
        </references>
      </pivotArea>
    </format>
    <format dxfId="1487">
      <pivotArea field="0" dataOnly="0" labelOnly="1" grandRow="1" outline="0" axis="axisRow" fieldPosition="0">
        <references count="1">
          <reference field="4294967294" count="1" selected="0">
            <x v="35"/>
          </reference>
        </references>
      </pivotArea>
    </format>
    <format dxfId="1486">
      <pivotArea field="0" dataOnly="0" labelOnly="1" grandRow="1" outline="0" axis="axisRow" fieldPosition="0">
        <references count="1">
          <reference field="4294967294" count="1" selected="0">
            <x v="0"/>
          </reference>
        </references>
      </pivotArea>
    </format>
    <format dxfId="1485">
      <pivotArea field="0" dataOnly="0" labelOnly="1" grandRow="1" outline="0" axis="axisRow" fieldPosition="0">
        <references count="1">
          <reference field="4294967294" count="1" selected="0">
            <x v="1"/>
          </reference>
        </references>
      </pivotArea>
    </format>
    <format dxfId="1484">
      <pivotArea field="0" dataOnly="0" labelOnly="1" grandRow="1" outline="0" axis="axisRow" fieldPosition="0">
        <references count="1">
          <reference field="4294967294" count="1" selected="0">
            <x v="2"/>
          </reference>
        </references>
      </pivotArea>
    </format>
    <format dxfId="1483">
      <pivotArea field="0" dataOnly="0" labelOnly="1" grandRow="1" outline="0" axis="axisRow" fieldPosition="0">
        <references count="1">
          <reference field="4294967294" count="1" selected="0">
            <x v="3"/>
          </reference>
        </references>
      </pivotArea>
    </format>
    <format dxfId="1482">
      <pivotArea field="0" dataOnly="0" labelOnly="1" grandRow="1" outline="0" axis="axisRow" fieldPosition="0">
        <references count="1">
          <reference field="4294967294" count="1" selected="0">
            <x v="4"/>
          </reference>
        </references>
      </pivotArea>
    </format>
    <format dxfId="1481">
      <pivotArea field="0" dataOnly="0" labelOnly="1" grandRow="1" outline="0" axis="axisRow" fieldPosition="0">
        <references count="1">
          <reference field="4294967294" count="1" selected="0">
            <x v="5"/>
          </reference>
        </references>
      </pivotArea>
    </format>
    <format dxfId="1480">
      <pivotArea field="0" dataOnly="0" labelOnly="1" grandRow="1" outline="0" axis="axisRow" fieldPosition="0">
        <references count="1">
          <reference field="4294967294" count="1" selected="0">
            <x v="6"/>
          </reference>
        </references>
      </pivotArea>
    </format>
    <format dxfId="1479">
      <pivotArea field="0" dataOnly="0" labelOnly="1" grandRow="1" outline="0" axis="axisRow" fieldPosition="0">
        <references count="1">
          <reference field="4294967294" count="1" selected="0">
            <x v="7"/>
          </reference>
        </references>
      </pivotArea>
    </format>
    <format dxfId="1478">
      <pivotArea field="0" dataOnly="0" labelOnly="1" grandRow="1" outline="0" axis="axisRow" fieldPosition="0">
        <references count="1">
          <reference field="4294967294" count="1" selected="0">
            <x v="8"/>
          </reference>
        </references>
      </pivotArea>
    </format>
    <format dxfId="1477">
      <pivotArea field="0" dataOnly="0" labelOnly="1" grandRow="1" outline="0" axis="axisRow" fieldPosition="0">
        <references count="1">
          <reference field="4294967294" count="1" selected="0">
            <x v="9"/>
          </reference>
        </references>
      </pivotArea>
    </format>
    <format dxfId="1476">
      <pivotArea field="0" dataOnly="0" labelOnly="1" grandRow="1" outline="0" axis="axisRow" fieldPosition="0">
        <references count="1">
          <reference field="4294967294" count="1" selected="0">
            <x v="10"/>
          </reference>
        </references>
      </pivotArea>
    </format>
    <format dxfId="1475">
      <pivotArea field="0" dataOnly="0" labelOnly="1" grandRow="1" outline="0" axis="axisRow" fieldPosition="0">
        <references count="1">
          <reference field="4294967294" count="1" selected="0">
            <x v="11"/>
          </reference>
        </references>
      </pivotArea>
    </format>
    <format dxfId="1474">
      <pivotArea field="0" dataOnly="0" labelOnly="1" grandRow="1" outline="0" axis="axisRow" fieldPosition="0">
        <references count="1">
          <reference field="4294967294" count="1" selected="0">
            <x v="12"/>
          </reference>
        </references>
      </pivotArea>
    </format>
    <format dxfId="1473">
      <pivotArea field="0" dataOnly="0" labelOnly="1" grandRow="1" outline="0" axis="axisRow" fieldPosition="0">
        <references count="1">
          <reference field="4294967294" count="1" selected="0">
            <x v="13"/>
          </reference>
        </references>
      </pivotArea>
    </format>
    <format dxfId="1472">
      <pivotArea field="0" dataOnly="0" labelOnly="1" grandRow="1" outline="0" axis="axisRow" fieldPosition="0">
        <references count="1">
          <reference field="4294967294" count="1" selected="0">
            <x v="14"/>
          </reference>
        </references>
      </pivotArea>
    </format>
    <format dxfId="1471">
      <pivotArea field="0" dataOnly="0" labelOnly="1" grandRow="1" outline="0" axis="axisRow" fieldPosition="0">
        <references count="1">
          <reference field="4294967294" count="1" selected="0">
            <x v="15"/>
          </reference>
        </references>
      </pivotArea>
    </format>
    <format dxfId="1470">
      <pivotArea field="0" dataOnly="0" labelOnly="1" grandRow="1" outline="0" axis="axisRow" fieldPosition="0">
        <references count="1">
          <reference field="4294967294" count="1" selected="0">
            <x v="16"/>
          </reference>
        </references>
      </pivotArea>
    </format>
    <format dxfId="1469">
      <pivotArea field="0" dataOnly="0" labelOnly="1" grandRow="1" outline="0" axis="axisRow" fieldPosition="0">
        <references count="1">
          <reference field="4294967294" count="1" selected="0">
            <x v="17"/>
          </reference>
        </references>
      </pivotArea>
    </format>
    <format dxfId="1468">
      <pivotArea field="0" dataOnly="0" labelOnly="1" grandRow="1" outline="0" axis="axisRow" fieldPosition="0">
        <references count="1">
          <reference field="4294967294" count="1" selected="0">
            <x v="18"/>
          </reference>
        </references>
      </pivotArea>
    </format>
    <format dxfId="1467">
      <pivotArea field="0" dataOnly="0" labelOnly="1" grandRow="1" outline="0" axis="axisRow" fieldPosition="0">
        <references count="1">
          <reference field="4294967294" count="1" selected="0">
            <x v="19"/>
          </reference>
        </references>
      </pivotArea>
    </format>
    <format dxfId="1466">
      <pivotArea field="0" dataOnly="0" labelOnly="1" grandRow="1" outline="0" axis="axisRow" fieldPosition="0">
        <references count="1">
          <reference field="4294967294" count="1" selected="0">
            <x v="20"/>
          </reference>
        </references>
      </pivotArea>
    </format>
    <format dxfId="1465">
      <pivotArea field="0" dataOnly="0" labelOnly="1" grandRow="1" outline="0" axis="axisRow" fieldPosition="0">
        <references count="1">
          <reference field="4294967294" count="1" selected="0">
            <x v="21"/>
          </reference>
        </references>
      </pivotArea>
    </format>
    <format dxfId="1464">
      <pivotArea field="0" dataOnly="0" labelOnly="1" grandRow="1" outline="0" axis="axisRow" fieldPosition="0">
        <references count="1">
          <reference field="4294967294" count="1" selected="0">
            <x v="22"/>
          </reference>
        </references>
      </pivotArea>
    </format>
    <format dxfId="1463">
      <pivotArea field="0" dataOnly="0" labelOnly="1" grandRow="1" outline="0" axis="axisRow" fieldPosition="0">
        <references count="1">
          <reference field="4294967294" count="1" selected="0">
            <x v="23"/>
          </reference>
        </references>
      </pivotArea>
    </format>
    <format dxfId="1462">
      <pivotArea field="0" dataOnly="0" labelOnly="1" grandRow="1" outline="0" axis="axisRow" fieldPosition="0">
        <references count="1">
          <reference field="4294967294" count="1" selected="0">
            <x v="24"/>
          </reference>
        </references>
      </pivotArea>
    </format>
    <format dxfId="1461">
      <pivotArea field="0" dataOnly="0" labelOnly="1" grandRow="1" outline="0" axis="axisRow" fieldPosition="0">
        <references count="1">
          <reference field="4294967294" count="1" selected="0">
            <x v="25"/>
          </reference>
        </references>
      </pivotArea>
    </format>
    <format dxfId="1460">
      <pivotArea field="0" dataOnly="0" labelOnly="1" grandRow="1" outline="0" axis="axisRow" fieldPosition="0">
        <references count="1">
          <reference field="4294967294" count="1" selected="0">
            <x v="26"/>
          </reference>
        </references>
      </pivotArea>
    </format>
    <format dxfId="1459">
      <pivotArea field="0" dataOnly="0" labelOnly="1" grandRow="1" outline="0" axis="axisRow" fieldPosition="0">
        <references count="1">
          <reference field="4294967294" count="1" selected="0">
            <x v="27"/>
          </reference>
        </references>
      </pivotArea>
    </format>
    <format dxfId="1458">
      <pivotArea field="0" dataOnly="0" labelOnly="1" grandRow="1" outline="0" axis="axisRow" fieldPosition="0">
        <references count="1">
          <reference field="4294967294" count="1" selected="0">
            <x v="28"/>
          </reference>
        </references>
      </pivotArea>
    </format>
    <format dxfId="1457">
      <pivotArea field="0" dataOnly="0" labelOnly="1" grandRow="1" outline="0" axis="axisRow" fieldPosition="0">
        <references count="1">
          <reference field="4294967294" count="1" selected="0">
            <x v="29"/>
          </reference>
        </references>
      </pivotArea>
    </format>
    <format dxfId="1456">
      <pivotArea field="0" dataOnly="0" labelOnly="1" grandRow="1" outline="0" axis="axisRow" fieldPosition="0">
        <references count="1">
          <reference field="4294967294" count="1" selected="0">
            <x v="30"/>
          </reference>
        </references>
      </pivotArea>
    </format>
    <format dxfId="1455">
      <pivotArea field="0" dataOnly="0" labelOnly="1" grandRow="1" outline="0" axis="axisRow" fieldPosition="0">
        <references count="1">
          <reference field="4294967294" count="1" selected="0">
            <x v="31"/>
          </reference>
        </references>
      </pivotArea>
    </format>
    <format dxfId="1454">
      <pivotArea field="0" dataOnly="0" labelOnly="1" grandRow="1" outline="0" axis="axisRow" fieldPosition="0">
        <references count="1">
          <reference field="4294967294" count="1" selected="0">
            <x v="32"/>
          </reference>
        </references>
      </pivotArea>
    </format>
    <format dxfId="1453">
      <pivotArea field="0" dataOnly="0" labelOnly="1" grandRow="1" outline="0" axis="axisRow" fieldPosition="0">
        <references count="1">
          <reference field="4294967294" count="1" selected="0">
            <x v="33"/>
          </reference>
        </references>
      </pivotArea>
    </format>
    <format dxfId="1452">
      <pivotArea field="0" dataOnly="0" labelOnly="1" grandRow="1" outline="0" axis="axisRow" fieldPosition="0">
        <references count="1">
          <reference field="4294967294" count="1" selected="0">
            <x v="34"/>
          </reference>
        </references>
      </pivotArea>
    </format>
    <format dxfId="1451">
      <pivotArea field="0" dataOnly="0" labelOnly="1" grandRow="1" outline="0" axis="axisRow" fieldPosition="0">
        <references count="1">
          <reference field="4294967294" count="1" selected="0">
            <x v="35"/>
          </reference>
        </references>
      </pivotArea>
    </format>
    <format dxfId="1450">
      <pivotArea field="0" dataOnly="0" labelOnly="1" grandRow="1" outline="0" axis="axisRow" fieldPosition="0">
        <references count="1">
          <reference field="4294967294" count="1" selected="0">
            <x v="0"/>
          </reference>
        </references>
      </pivotArea>
    </format>
    <format dxfId="1449">
      <pivotArea field="0" dataOnly="0" labelOnly="1" grandRow="1" outline="0" axis="axisRow" fieldPosition="0">
        <references count="1">
          <reference field="4294967294" count="1" selected="0">
            <x v="1"/>
          </reference>
        </references>
      </pivotArea>
    </format>
    <format dxfId="1448">
      <pivotArea field="0" dataOnly="0" labelOnly="1" grandRow="1" outline="0" axis="axisRow" fieldPosition="0">
        <references count="1">
          <reference field="4294967294" count="1" selected="0">
            <x v="2"/>
          </reference>
        </references>
      </pivotArea>
    </format>
    <format dxfId="1447">
      <pivotArea field="0" dataOnly="0" labelOnly="1" grandRow="1" outline="0" axis="axisRow" fieldPosition="0">
        <references count="1">
          <reference field="4294967294" count="1" selected="0">
            <x v="3"/>
          </reference>
        </references>
      </pivotArea>
    </format>
    <format dxfId="1446">
      <pivotArea field="0" dataOnly="0" labelOnly="1" grandRow="1" outline="0" axis="axisRow" fieldPosition="0">
        <references count="1">
          <reference field="4294967294" count="1" selected="0">
            <x v="4"/>
          </reference>
        </references>
      </pivotArea>
    </format>
    <format dxfId="1445">
      <pivotArea field="0" dataOnly="0" labelOnly="1" grandRow="1" outline="0" axis="axisRow" fieldPosition="0">
        <references count="1">
          <reference field="4294967294" count="1" selected="0">
            <x v="5"/>
          </reference>
        </references>
      </pivotArea>
    </format>
    <format dxfId="1444">
      <pivotArea field="0" dataOnly="0" labelOnly="1" grandRow="1" outline="0" axis="axisRow" fieldPosition="0">
        <references count="1">
          <reference field="4294967294" count="1" selected="0">
            <x v="6"/>
          </reference>
        </references>
      </pivotArea>
    </format>
    <format dxfId="1443">
      <pivotArea field="0" dataOnly="0" labelOnly="1" grandRow="1" outline="0" axis="axisRow" fieldPosition="0">
        <references count="1">
          <reference field="4294967294" count="1" selected="0">
            <x v="7"/>
          </reference>
        </references>
      </pivotArea>
    </format>
    <format dxfId="1442">
      <pivotArea field="0" dataOnly="0" labelOnly="1" grandRow="1" outline="0" axis="axisRow" fieldPosition="0">
        <references count="1">
          <reference field="4294967294" count="1" selected="0">
            <x v="8"/>
          </reference>
        </references>
      </pivotArea>
    </format>
    <format dxfId="1441">
      <pivotArea field="0" dataOnly="0" labelOnly="1" grandRow="1" outline="0" axis="axisRow" fieldPosition="0">
        <references count="1">
          <reference field="4294967294" count="1" selected="0">
            <x v="9"/>
          </reference>
        </references>
      </pivotArea>
    </format>
    <format dxfId="1440">
      <pivotArea field="0" dataOnly="0" labelOnly="1" grandRow="1" outline="0" axis="axisRow" fieldPosition="0">
        <references count="1">
          <reference field="4294967294" count="1" selected="0">
            <x v="10"/>
          </reference>
        </references>
      </pivotArea>
    </format>
    <format dxfId="1439">
      <pivotArea field="0" dataOnly="0" labelOnly="1" grandRow="1" outline="0" axis="axisRow" fieldPosition="0">
        <references count="1">
          <reference field="4294967294" count="1" selected="0">
            <x v="11"/>
          </reference>
        </references>
      </pivotArea>
    </format>
    <format dxfId="1438">
      <pivotArea field="0" dataOnly="0" labelOnly="1" grandRow="1" outline="0" axis="axisRow" fieldPosition="0">
        <references count="1">
          <reference field="4294967294" count="1" selected="0">
            <x v="12"/>
          </reference>
        </references>
      </pivotArea>
    </format>
    <format dxfId="1437">
      <pivotArea field="0" dataOnly="0" labelOnly="1" grandRow="1" outline="0" axis="axisRow" fieldPosition="0">
        <references count="1">
          <reference field="4294967294" count="1" selected="0">
            <x v="13"/>
          </reference>
        </references>
      </pivotArea>
    </format>
    <format dxfId="1436">
      <pivotArea field="0" dataOnly="0" labelOnly="1" grandRow="1" outline="0" axis="axisRow" fieldPosition="0">
        <references count="1">
          <reference field="4294967294" count="1" selected="0">
            <x v="14"/>
          </reference>
        </references>
      </pivotArea>
    </format>
    <format dxfId="1435">
      <pivotArea field="0" dataOnly="0" labelOnly="1" grandRow="1" outline="0" axis="axisRow" fieldPosition="0">
        <references count="1">
          <reference field="4294967294" count="1" selected="0">
            <x v="15"/>
          </reference>
        </references>
      </pivotArea>
    </format>
    <format dxfId="1434">
      <pivotArea field="0" dataOnly="0" labelOnly="1" grandRow="1" outline="0" axis="axisRow" fieldPosition="0">
        <references count="1">
          <reference field="4294967294" count="1" selected="0">
            <x v="16"/>
          </reference>
        </references>
      </pivotArea>
    </format>
    <format dxfId="1433">
      <pivotArea field="0" dataOnly="0" labelOnly="1" grandRow="1" outline="0" axis="axisRow" fieldPosition="0">
        <references count="1">
          <reference field="4294967294" count="1" selected="0">
            <x v="17"/>
          </reference>
        </references>
      </pivotArea>
    </format>
    <format dxfId="1432">
      <pivotArea field="0" dataOnly="0" labelOnly="1" grandRow="1" outline="0" axis="axisRow" fieldPosition="0">
        <references count="1">
          <reference field="4294967294" count="1" selected="0">
            <x v="18"/>
          </reference>
        </references>
      </pivotArea>
    </format>
    <format dxfId="1431">
      <pivotArea field="0" dataOnly="0" labelOnly="1" grandRow="1" outline="0" axis="axisRow" fieldPosition="0">
        <references count="1">
          <reference field="4294967294" count="1" selected="0">
            <x v="19"/>
          </reference>
        </references>
      </pivotArea>
    </format>
    <format dxfId="1430">
      <pivotArea field="0" dataOnly="0" labelOnly="1" grandRow="1" outline="0" axis="axisRow" fieldPosition="0">
        <references count="1">
          <reference field="4294967294" count="1" selected="0">
            <x v="20"/>
          </reference>
        </references>
      </pivotArea>
    </format>
    <format dxfId="1429">
      <pivotArea field="0" dataOnly="0" labelOnly="1" grandRow="1" outline="0" axis="axisRow" fieldPosition="0">
        <references count="1">
          <reference field="4294967294" count="1" selected="0">
            <x v="21"/>
          </reference>
        </references>
      </pivotArea>
    </format>
    <format dxfId="1428">
      <pivotArea field="0" dataOnly="0" labelOnly="1" grandRow="1" outline="0" axis="axisRow" fieldPosition="0">
        <references count="1">
          <reference field="4294967294" count="1" selected="0">
            <x v="22"/>
          </reference>
        </references>
      </pivotArea>
    </format>
    <format dxfId="1427">
      <pivotArea field="0" dataOnly="0" labelOnly="1" grandRow="1" outline="0" axis="axisRow" fieldPosition="0">
        <references count="1">
          <reference field="4294967294" count="1" selected="0">
            <x v="23"/>
          </reference>
        </references>
      </pivotArea>
    </format>
    <format dxfId="1426">
      <pivotArea field="0" dataOnly="0" labelOnly="1" grandRow="1" outline="0" axis="axisRow" fieldPosition="0">
        <references count="1">
          <reference field="4294967294" count="1" selected="0">
            <x v="24"/>
          </reference>
        </references>
      </pivotArea>
    </format>
    <format dxfId="1425">
      <pivotArea field="0" dataOnly="0" labelOnly="1" grandRow="1" outline="0" axis="axisRow" fieldPosition="0">
        <references count="1">
          <reference field="4294967294" count="1" selected="0">
            <x v="25"/>
          </reference>
        </references>
      </pivotArea>
    </format>
    <format dxfId="1424">
      <pivotArea field="0" dataOnly="0" labelOnly="1" grandRow="1" outline="0" axis="axisRow" fieldPosition="0">
        <references count="1">
          <reference field="4294967294" count="1" selected="0">
            <x v="26"/>
          </reference>
        </references>
      </pivotArea>
    </format>
    <format dxfId="1423">
      <pivotArea field="0" dataOnly="0" labelOnly="1" grandRow="1" outline="0" axis="axisRow" fieldPosition="0">
        <references count="1">
          <reference field="4294967294" count="1" selected="0">
            <x v="27"/>
          </reference>
        </references>
      </pivotArea>
    </format>
    <format dxfId="1422">
      <pivotArea field="0" dataOnly="0" labelOnly="1" grandRow="1" outline="0" axis="axisRow" fieldPosition="0">
        <references count="1">
          <reference field="4294967294" count="1" selected="0">
            <x v="28"/>
          </reference>
        </references>
      </pivotArea>
    </format>
    <format dxfId="1421">
      <pivotArea field="0" dataOnly="0" labelOnly="1" grandRow="1" outline="0" axis="axisRow" fieldPosition="0">
        <references count="1">
          <reference field="4294967294" count="1" selected="0">
            <x v="29"/>
          </reference>
        </references>
      </pivotArea>
    </format>
    <format dxfId="1420">
      <pivotArea field="0" dataOnly="0" labelOnly="1" grandRow="1" outline="0" axis="axisRow" fieldPosition="0">
        <references count="1">
          <reference field="4294967294" count="1" selected="0">
            <x v="30"/>
          </reference>
        </references>
      </pivotArea>
    </format>
    <format dxfId="1419">
      <pivotArea field="0" dataOnly="0" labelOnly="1" grandRow="1" outline="0" axis="axisRow" fieldPosition="0">
        <references count="1">
          <reference field="4294967294" count="1" selected="0">
            <x v="31"/>
          </reference>
        </references>
      </pivotArea>
    </format>
    <format dxfId="1418">
      <pivotArea field="0" dataOnly="0" labelOnly="1" grandRow="1" outline="0" axis="axisRow" fieldPosition="0">
        <references count="1">
          <reference field="4294967294" count="1" selected="0">
            <x v="32"/>
          </reference>
        </references>
      </pivotArea>
    </format>
    <format dxfId="1417">
      <pivotArea field="0" dataOnly="0" labelOnly="1" grandRow="1" outline="0" axis="axisRow" fieldPosition="0">
        <references count="1">
          <reference field="4294967294" count="1" selected="0">
            <x v="33"/>
          </reference>
        </references>
      </pivotArea>
    </format>
    <format dxfId="1416">
      <pivotArea field="0" dataOnly="0" labelOnly="1" grandRow="1" outline="0" axis="axisRow" fieldPosition="0">
        <references count="1">
          <reference field="4294967294" count="1" selected="0">
            <x v="34"/>
          </reference>
        </references>
      </pivotArea>
    </format>
    <format dxfId="1415">
      <pivotArea field="0" dataOnly="0" labelOnly="1" grandRow="1" outline="0" axis="axisRow" fieldPosition="0">
        <references count="1">
          <reference field="4294967294" count="1" selected="0">
            <x v="35"/>
          </reference>
        </references>
      </pivotArea>
    </format>
    <format dxfId="1414">
      <pivotArea field="0" dataOnly="0" labelOnly="1" grandRow="1" outline="0" axis="axisRow" fieldPosition="0">
        <references count="1">
          <reference field="4294967294" count="1" selected="0">
            <x v="0"/>
          </reference>
        </references>
      </pivotArea>
    </format>
    <format dxfId="1413">
      <pivotArea field="0" dataOnly="0" labelOnly="1" grandRow="1" outline="0" axis="axisRow" fieldPosition="0">
        <references count="1">
          <reference field="4294967294" count="1" selected="0">
            <x v="1"/>
          </reference>
        </references>
      </pivotArea>
    </format>
    <format dxfId="1412">
      <pivotArea field="0" dataOnly="0" labelOnly="1" grandRow="1" outline="0" axis="axisRow" fieldPosition="0">
        <references count="1">
          <reference field="4294967294" count="1" selected="0">
            <x v="2"/>
          </reference>
        </references>
      </pivotArea>
    </format>
    <format dxfId="1411">
      <pivotArea field="0" dataOnly="0" labelOnly="1" grandRow="1" outline="0" axis="axisRow" fieldPosition="0">
        <references count="1">
          <reference field="4294967294" count="1" selected="0">
            <x v="3"/>
          </reference>
        </references>
      </pivotArea>
    </format>
    <format dxfId="1410">
      <pivotArea field="0" dataOnly="0" labelOnly="1" grandRow="1" outline="0" axis="axisRow" fieldPosition="0">
        <references count="1">
          <reference field="4294967294" count="1" selected="0">
            <x v="4"/>
          </reference>
        </references>
      </pivotArea>
    </format>
    <format dxfId="1409">
      <pivotArea field="0" dataOnly="0" labelOnly="1" grandRow="1" outline="0" axis="axisRow" fieldPosition="0">
        <references count="1">
          <reference field="4294967294" count="1" selected="0">
            <x v="5"/>
          </reference>
        </references>
      </pivotArea>
    </format>
    <format dxfId="1408">
      <pivotArea field="0" dataOnly="0" labelOnly="1" grandRow="1" outline="0" axis="axisRow" fieldPosition="0">
        <references count="1">
          <reference field="4294967294" count="1" selected="0">
            <x v="6"/>
          </reference>
        </references>
      </pivotArea>
    </format>
    <format dxfId="1407">
      <pivotArea field="0" dataOnly="0" labelOnly="1" grandRow="1" outline="0" axis="axisRow" fieldPosition="0">
        <references count="1">
          <reference field="4294967294" count="1" selected="0">
            <x v="7"/>
          </reference>
        </references>
      </pivotArea>
    </format>
    <format dxfId="1406">
      <pivotArea field="0" dataOnly="0" labelOnly="1" grandRow="1" outline="0" axis="axisRow" fieldPosition="0">
        <references count="1">
          <reference field="4294967294" count="1" selected="0">
            <x v="8"/>
          </reference>
        </references>
      </pivotArea>
    </format>
    <format dxfId="1405">
      <pivotArea field="0" dataOnly="0" labelOnly="1" grandRow="1" outline="0" axis="axisRow" fieldPosition="0">
        <references count="1">
          <reference field="4294967294" count="1" selected="0">
            <x v="9"/>
          </reference>
        </references>
      </pivotArea>
    </format>
    <format dxfId="1404">
      <pivotArea field="0" dataOnly="0" labelOnly="1" grandRow="1" outline="0" axis="axisRow" fieldPosition="0">
        <references count="1">
          <reference field="4294967294" count="1" selected="0">
            <x v="10"/>
          </reference>
        </references>
      </pivotArea>
    </format>
    <format dxfId="1403">
      <pivotArea field="0" dataOnly="0" labelOnly="1" grandRow="1" outline="0" axis="axisRow" fieldPosition="0">
        <references count="1">
          <reference field="4294967294" count="1" selected="0">
            <x v="11"/>
          </reference>
        </references>
      </pivotArea>
    </format>
    <format dxfId="1402">
      <pivotArea field="0" dataOnly="0" labelOnly="1" grandRow="1" outline="0" axis="axisRow" fieldPosition="0">
        <references count="1">
          <reference field="4294967294" count="1" selected="0">
            <x v="12"/>
          </reference>
        </references>
      </pivotArea>
    </format>
    <format dxfId="1401">
      <pivotArea field="0" dataOnly="0" labelOnly="1" grandRow="1" outline="0" axis="axisRow" fieldPosition="0">
        <references count="1">
          <reference field="4294967294" count="1" selected="0">
            <x v="13"/>
          </reference>
        </references>
      </pivotArea>
    </format>
    <format dxfId="1400">
      <pivotArea field="0" dataOnly="0" labelOnly="1" grandRow="1" outline="0" axis="axisRow" fieldPosition="0">
        <references count="1">
          <reference field="4294967294" count="1" selected="0">
            <x v="14"/>
          </reference>
        </references>
      </pivotArea>
    </format>
    <format dxfId="1399">
      <pivotArea field="0" dataOnly="0" labelOnly="1" grandRow="1" outline="0" axis="axisRow" fieldPosition="0">
        <references count="1">
          <reference field="4294967294" count="1" selected="0">
            <x v="15"/>
          </reference>
        </references>
      </pivotArea>
    </format>
    <format dxfId="1398">
      <pivotArea field="0" dataOnly="0" labelOnly="1" grandRow="1" outline="0" axis="axisRow" fieldPosition="0">
        <references count="1">
          <reference field="4294967294" count="1" selected="0">
            <x v="16"/>
          </reference>
        </references>
      </pivotArea>
    </format>
    <format dxfId="1397">
      <pivotArea field="0" dataOnly="0" labelOnly="1" grandRow="1" outline="0" axis="axisRow" fieldPosition="0">
        <references count="1">
          <reference field="4294967294" count="1" selected="0">
            <x v="17"/>
          </reference>
        </references>
      </pivotArea>
    </format>
    <format dxfId="1396">
      <pivotArea field="0" dataOnly="0" labelOnly="1" grandRow="1" outline="0" axis="axisRow" fieldPosition="0">
        <references count="1">
          <reference field="4294967294" count="1" selected="0">
            <x v="18"/>
          </reference>
        </references>
      </pivotArea>
    </format>
    <format dxfId="1395">
      <pivotArea field="0" dataOnly="0" labelOnly="1" grandRow="1" outline="0" axis="axisRow" fieldPosition="0">
        <references count="1">
          <reference field="4294967294" count="1" selected="0">
            <x v="19"/>
          </reference>
        </references>
      </pivotArea>
    </format>
    <format dxfId="1394">
      <pivotArea field="0" dataOnly="0" labelOnly="1" grandRow="1" outline="0" axis="axisRow" fieldPosition="0">
        <references count="1">
          <reference field="4294967294" count="1" selected="0">
            <x v="20"/>
          </reference>
        </references>
      </pivotArea>
    </format>
    <format dxfId="1393">
      <pivotArea field="0" dataOnly="0" labelOnly="1" grandRow="1" outline="0" axis="axisRow" fieldPosition="0">
        <references count="1">
          <reference field="4294967294" count="1" selected="0">
            <x v="21"/>
          </reference>
        </references>
      </pivotArea>
    </format>
    <format dxfId="1392">
      <pivotArea field="0" dataOnly="0" labelOnly="1" grandRow="1" outline="0" axis="axisRow" fieldPosition="0">
        <references count="1">
          <reference field="4294967294" count="1" selected="0">
            <x v="22"/>
          </reference>
        </references>
      </pivotArea>
    </format>
    <format dxfId="1391">
      <pivotArea field="0" dataOnly="0" labelOnly="1" grandRow="1" outline="0" axis="axisRow" fieldPosition="0">
        <references count="1">
          <reference field="4294967294" count="1" selected="0">
            <x v="23"/>
          </reference>
        </references>
      </pivotArea>
    </format>
    <format dxfId="1390">
      <pivotArea field="0" dataOnly="0" labelOnly="1" grandRow="1" outline="0" axis="axisRow" fieldPosition="0">
        <references count="1">
          <reference field="4294967294" count="1" selected="0">
            <x v="24"/>
          </reference>
        </references>
      </pivotArea>
    </format>
    <format dxfId="1389">
      <pivotArea field="0" dataOnly="0" labelOnly="1" grandRow="1" outline="0" axis="axisRow" fieldPosition="0">
        <references count="1">
          <reference field="4294967294" count="1" selected="0">
            <x v="25"/>
          </reference>
        </references>
      </pivotArea>
    </format>
    <format dxfId="1388">
      <pivotArea field="0" dataOnly="0" labelOnly="1" grandRow="1" outline="0" axis="axisRow" fieldPosition="0">
        <references count="1">
          <reference field="4294967294" count="1" selected="0">
            <x v="26"/>
          </reference>
        </references>
      </pivotArea>
    </format>
    <format dxfId="1387">
      <pivotArea field="0" dataOnly="0" labelOnly="1" grandRow="1" outline="0" axis="axisRow" fieldPosition="0">
        <references count="1">
          <reference field="4294967294" count="1" selected="0">
            <x v="27"/>
          </reference>
        </references>
      </pivotArea>
    </format>
    <format dxfId="1386">
      <pivotArea field="0" dataOnly="0" labelOnly="1" grandRow="1" outline="0" axis="axisRow" fieldPosition="0">
        <references count="1">
          <reference field="4294967294" count="1" selected="0">
            <x v="28"/>
          </reference>
        </references>
      </pivotArea>
    </format>
    <format dxfId="1385">
      <pivotArea field="0" dataOnly="0" labelOnly="1" grandRow="1" outline="0" axis="axisRow" fieldPosition="0">
        <references count="1">
          <reference field="4294967294" count="1" selected="0">
            <x v="29"/>
          </reference>
        </references>
      </pivotArea>
    </format>
    <format dxfId="1384">
      <pivotArea field="0" dataOnly="0" labelOnly="1" grandRow="1" outline="0" axis="axisRow" fieldPosition="0">
        <references count="1">
          <reference field="4294967294" count="1" selected="0">
            <x v="30"/>
          </reference>
        </references>
      </pivotArea>
    </format>
    <format dxfId="1383">
      <pivotArea field="0" dataOnly="0" labelOnly="1" grandRow="1" outline="0" axis="axisRow" fieldPosition="0">
        <references count="1">
          <reference field="4294967294" count="1" selected="0">
            <x v="31"/>
          </reference>
        </references>
      </pivotArea>
    </format>
    <format dxfId="1382">
      <pivotArea field="0" dataOnly="0" labelOnly="1" grandRow="1" outline="0" axis="axisRow" fieldPosition="0">
        <references count="1">
          <reference field="4294967294" count="1" selected="0">
            <x v="32"/>
          </reference>
        </references>
      </pivotArea>
    </format>
    <format dxfId="1381">
      <pivotArea field="0" dataOnly="0" labelOnly="1" grandRow="1" outline="0" axis="axisRow" fieldPosition="0">
        <references count="1">
          <reference field="4294967294" count="1" selected="0">
            <x v="33"/>
          </reference>
        </references>
      </pivotArea>
    </format>
    <format dxfId="1380">
      <pivotArea field="0" dataOnly="0" labelOnly="1" grandRow="1" outline="0" axis="axisRow" fieldPosition="0">
        <references count="1">
          <reference field="4294967294" count="1" selected="0">
            <x v="34"/>
          </reference>
        </references>
      </pivotArea>
    </format>
    <format dxfId="1379">
      <pivotArea field="0" dataOnly="0" labelOnly="1" grandRow="1" outline="0" axis="axisRow" fieldPosition="0">
        <references count="1">
          <reference field="4294967294" count="1" selected="0">
            <x v="35"/>
          </reference>
        </references>
      </pivotArea>
    </format>
    <format dxfId="1378">
      <pivotArea field="0" dataOnly="0" labelOnly="1" grandRow="1" outline="0" axis="axisRow" fieldPosition="0">
        <references count="1">
          <reference field="4294967294" count="1" selected="0">
            <x v="0"/>
          </reference>
        </references>
      </pivotArea>
    </format>
    <format dxfId="1377">
      <pivotArea field="0" dataOnly="0" labelOnly="1" grandRow="1" outline="0" axis="axisRow" fieldPosition="0">
        <references count="1">
          <reference field="4294967294" count="1" selected="0">
            <x v="1"/>
          </reference>
        </references>
      </pivotArea>
    </format>
    <format dxfId="1376">
      <pivotArea field="0" dataOnly="0" labelOnly="1" grandRow="1" outline="0" axis="axisRow" fieldPosition="0">
        <references count="1">
          <reference field="4294967294" count="1" selected="0">
            <x v="2"/>
          </reference>
        </references>
      </pivotArea>
    </format>
    <format dxfId="1375">
      <pivotArea field="0" dataOnly="0" labelOnly="1" grandRow="1" outline="0" axis="axisRow" fieldPosition="0">
        <references count="1">
          <reference field="4294967294" count="1" selected="0">
            <x v="3"/>
          </reference>
        </references>
      </pivotArea>
    </format>
    <format dxfId="1374">
      <pivotArea field="0" dataOnly="0" labelOnly="1" grandRow="1" outline="0" axis="axisRow" fieldPosition="0">
        <references count="1">
          <reference field="4294967294" count="1" selected="0">
            <x v="4"/>
          </reference>
        </references>
      </pivotArea>
    </format>
    <format dxfId="1373">
      <pivotArea field="0" dataOnly="0" labelOnly="1" grandRow="1" outline="0" axis="axisRow" fieldPosition="0">
        <references count="1">
          <reference field="4294967294" count="1" selected="0">
            <x v="5"/>
          </reference>
        </references>
      </pivotArea>
    </format>
    <format dxfId="1372">
      <pivotArea field="0" dataOnly="0" labelOnly="1" grandRow="1" outline="0" axis="axisRow" fieldPosition="0">
        <references count="1">
          <reference field="4294967294" count="1" selected="0">
            <x v="6"/>
          </reference>
        </references>
      </pivotArea>
    </format>
    <format dxfId="1371">
      <pivotArea field="0" dataOnly="0" labelOnly="1" grandRow="1" outline="0" axis="axisRow" fieldPosition="0">
        <references count="1">
          <reference field="4294967294" count="1" selected="0">
            <x v="7"/>
          </reference>
        </references>
      </pivotArea>
    </format>
    <format dxfId="1370">
      <pivotArea field="0" dataOnly="0" labelOnly="1" grandRow="1" outline="0" axis="axisRow" fieldPosition="0">
        <references count="1">
          <reference field="4294967294" count="1" selected="0">
            <x v="8"/>
          </reference>
        </references>
      </pivotArea>
    </format>
    <format dxfId="1369">
      <pivotArea field="0" dataOnly="0" labelOnly="1" grandRow="1" outline="0" axis="axisRow" fieldPosition="0">
        <references count="1">
          <reference field="4294967294" count="1" selected="0">
            <x v="9"/>
          </reference>
        </references>
      </pivotArea>
    </format>
    <format dxfId="1368">
      <pivotArea field="0" dataOnly="0" labelOnly="1" grandRow="1" outline="0" axis="axisRow" fieldPosition="0">
        <references count="1">
          <reference field="4294967294" count="1" selected="0">
            <x v="10"/>
          </reference>
        </references>
      </pivotArea>
    </format>
    <format dxfId="1367">
      <pivotArea field="0" dataOnly="0" labelOnly="1" grandRow="1" outline="0" axis="axisRow" fieldPosition="0">
        <references count="1">
          <reference field="4294967294" count="1" selected="0">
            <x v="11"/>
          </reference>
        </references>
      </pivotArea>
    </format>
    <format dxfId="1366">
      <pivotArea field="0" dataOnly="0" labelOnly="1" grandRow="1" outline="0" axis="axisRow" fieldPosition="0">
        <references count="1">
          <reference field="4294967294" count="1" selected="0">
            <x v="12"/>
          </reference>
        </references>
      </pivotArea>
    </format>
    <format dxfId="1365">
      <pivotArea field="0" dataOnly="0" labelOnly="1" grandRow="1" outline="0" axis="axisRow" fieldPosition="0">
        <references count="1">
          <reference field="4294967294" count="1" selected="0">
            <x v="13"/>
          </reference>
        </references>
      </pivotArea>
    </format>
    <format dxfId="1364">
      <pivotArea field="0" dataOnly="0" labelOnly="1" grandRow="1" outline="0" axis="axisRow" fieldPosition="0">
        <references count="1">
          <reference field="4294967294" count="1" selected="0">
            <x v="14"/>
          </reference>
        </references>
      </pivotArea>
    </format>
    <format dxfId="1363">
      <pivotArea field="0" dataOnly="0" labelOnly="1" grandRow="1" outline="0" axis="axisRow" fieldPosition="0">
        <references count="1">
          <reference field="4294967294" count="1" selected="0">
            <x v="15"/>
          </reference>
        </references>
      </pivotArea>
    </format>
    <format dxfId="1362">
      <pivotArea field="0" dataOnly="0" labelOnly="1" grandRow="1" outline="0" axis="axisRow" fieldPosition="0">
        <references count="1">
          <reference field="4294967294" count="1" selected="0">
            <x v="16"/>
          </reference>
        </references>
      </pivotArea>
    </format>
    <format dxfId="1361">
      <pivotArea field="0" dataOnly="0" labelOnly="1" grandRow="1" outline="0" axis="axisRow" fieldPosition="0">
        <references count="1">
          <reference field="4294967294" count="1" selected="0">
            <x v="17"/>
          </reference>
        </references>
      </pivotArea>
    </format>
    <format dxfId="1360">
      <pivotArea field="0" dataOnly="0" labelOnly="1" grandRow="1" outline="0" axis="axisRow" fieldPosition="0">
        <references count="1">
          <reference field="4294967294" count="1" selected="0">
            <x v="18"/>
          </reference>
        </references>
      </pivotArea>
    </format>
    <format dxfId="1359">
      <pivotArea field="0" dataOnly="0" labelOnly="1" grandRow="1" outline="0" axis="axisRow" fieldPosition="0">
        <references count="1">
          <reference field="4294967294" count="1" selected="0">
            <x v="19"/>
          </reference>
        </references>
      </pivotArea>
    </format>
    <format dxfId="1358">
      <pivotArea field="0" dataOnly="0" labelOnly="1" grandRow="1" outline="0" axis="axisRow" fieldPosition="0">
        <references count="1">
          <reference field="4294967294" count="1" selected="0">
            <x v="20"/>
          </reference>
        </references>
      </pivotArea>
    </format>
    <format dxfId="1357">
      <pivotArea field="0" dataOnly="0" labelOnly="1" grandRow="1" outline="0" axis="axisRow" fieldPosition="0">
        <references count="1">
          <reference field="4294967294" count="1" selected="0">
            <x v="21"/>
          </reference>
        </references>
      </pivotArea>
    </format>
    <format dxfId="1356">
      <pivotArea field="0" dataOnly="0" labelOnly="1" grandRow="1" outline="0" axis="axisRow" fieldPosition="0">
        <references count="1">
          <reference field="4294967294" count="1" selected="0">
            <x v="22"/>
          </reference>
        </references>
      </pivotArea>
    </format>
    <format dxfId="1355">
      <pivotArea field="0" dataOnly="0" labelOnly="1" grandRow="1" outline="0" axis="axisRow" fieldPosition="0">
        <references count="1">
          <reference field="4294967294" count="1" selected="0">
            <x v="23"/>
          </reference>
        </references>
      </pivotArea>
    </format>
    <format dxfId="1354">
      <pivotArea field="0" dataOnly="0" labelOnly="1" grandRow="1" outline="0" axis="axisRow" fieldPosition="0">
        <references count="1">
          <reference field="4294967294" count="1" selected="0">
            <x v="24"/>
          </reference>
        </references>
      </pivotArea>
    </format>
    <format dxfId="1353">
      <pivotArea field="0" dataOnly="0" labelOnly="1" grandRow="1" outline="0" axis="axisRow" fieldPosition="0">
        <references count="1">
          <reference field="4294967294" count="1" selected="0">
            <x v="25"/>
          </reference>
        </references>
      </pivotArea>
    </format>
    <format dxfId="1352">
      <pivotArea field="0" dataOnly="0" labelOnly="1" grandRow="1" outline="0" axis="axisRow" fieldPosition="0">
        <references count="1">
          <reference field="4294967294" count="1" selected="0">
            <x v="26"/>
          </reference>
        </references>
      </pivotArea>
    </format>
    <format dxfId="1351">
      <pivotArea field="0" dataOnly="0" labelOnly="1" grandRow="1" outline="0" axis="axisRow" fieldPosition="0">
        <references count="1">
          <reference field="4294967294" count="1" selected="0">
            <x v="27"/>
          </reference>
        </references>
      </pivotArea>
    </format>
    <format dxfId="1350">
      <pivotArea field="0" dataOnly="0" labelOnly="1" grandRow="1" outline="0" axis="axisRow" fieldPosition="0">
        <references count="1">
          <reference field="4294967294" count="1" selected="0">
            <x v="28"/>
          </reference>
        </references>
      </pivotArea>
    </format>
    <format dxfId="1349">
      <pivotArea field="0" dataOnly="0" labelOnly="1" grandRow="1" outline="0" axis="axisRow" fieldPosition="0">
        <references count="1">
          <reference field="4294967294" count="1" selected="0">
            <x v="29"/>
          </reference>
        </references>
      </pivotArea>
    </format>
    <format dxfId="1348">
      <pivotArea field="0" dataOnly="0" labelOnly="1" grandRow="1" outline="0" axis="axisRow" fieldPosition="0">
        <references count="1">
          <reference field="4294967294" count="1" selected="0">
            <x v="30"/>
          </reference>
        </references>
      </pivotArea>
    </format>
    <format dxfId="1347">
      <pivotArea field="0" dataOnly="0" labelOnly="1" grandRow="1" outline="0" axis="axisRow" fieldPosition="0">
        <references count="1">
          <reference field="4294967294" count="1" selected="0">
            <x v="31"/>
          </reference>
        </references>
      </pivotArea>
    </format>
    <format dxfId="1346">
      <pivotArea field="0" dataOnly="0" labelOnly="1" grandRow="1" outline="0" axis="axisRow" fieldPosition="0">
        <references count="1">
          <reference field="4294967294" count="1" selected="0">
            <x v="32"/>
          </reference>
        </references>
      </pivotArea>
    </format>
    <format dxfId="1345">
      <pivotArea field="0" dataOnly="0" labelOnly="1" grandRow="1" outline="0" axis="axisRow" fieldPosition="0">
        <references count="1">
          <reference field="4294967294" count="1" selected="0">
            <x v="33"/>
          </reference>
        </references>
      </pivotArea>
    </format>
    <format dxfId="1344">
      <pivotArea field="0" dataOnly="0" labelOnly="1" grandRow="1" outline="0" axis="axisRow" fieldPosition="0">
        <references count="1">
          <reference field="4294967294" count="1" selected="0">
            <x v="34"/>
          </reference>
        </references>
      </pivotArea>
    </format>
    <format dxfId="1343">
      <pivotArea field="0" dataOnly="0" labelOnly="1" grandRow="1" outline="0" axis="axisRow" fieldPosition="0">
        <references count="1">
          <reference field="4294967294" count="1" selected="0">
            <x v="35"/>
          </reference>
        </references>
      </pivotArea>
    </format>
    <format dxfId="1342">
      <pivotArea field="0" dataOnly="0" labelOnly="1" grandRow="1" outline="0" axis="axisRow" fieldPosition="0">
        <references count="1">
          <reference field="4294967294" count="1" selected="0">
            <x v="0"/>
          </reference>
        </references>
      </pivotArea>
    </format>
    <format dxfId="1341">
      <pivotArea field="0" dataOnly="0" labelOnly="1" grandRow="1" outline="0" axis="axisRow" fieldPosition="0">
        <references count="1">
          <reference field="4294967294" count="1" selected="0">
            <x v="1"/>
          </reference>
        </references>
      </pivotArea>
    </format>
    <format dxfId="1340">
      <pivotArea field="0" dataOnly="0" labelOnly="1" grandRow="1" outline="0" axis="axisRow" fieldPosition="0">
        <references count="1">
          <reference field="4294967294" count="1" selected="0">
            <x v="2"/>
          </reference>
        </references>
      </pivotArea>
    </format>
    <format dxfId="1339">
      <pivotArea field="0" dataOnly="0" labelOnly="1" grandRow="1" outline="0" axis="axisRow" fieldPosition="0">
        <references count="1">
          <reference field="4294967294" count="1" selected="0">
            <x v="3"/>
          </reference>
        </references>
      </pivotArea>
    </format>
    <format dxfId="1338">
      <pivotArea field="0" dataOnly="0" labelOnly="1" grandRow="1" outline="0" axis="axisRow" fieldPosition="0">
        <references count="1">
          <reference field="4294967294" count="1" selected="0">
            <x v="4"/>
          </reference>
        </references>
      </pivotArea>
    </format>
    <format dxfId="1337">
      <pivotArea field="0" dataOnly="0" labelOnly="1" grandRow="1" outline="0" axis="axisRow" fieldPosition="0">
        <references count="1">
          <reference field="4294967294" count="1" selected="0">
            <x v="5"/>
          </reference>
        </references>
      </pivotArea>
    </format>
    <format dxfId="1336">
      <pivotArea field="0" dataOnly="0" labelOnly="1" grandRow="1" outline="0" axis="axisRow" fieldPosition="0">
        <references count="1">
          <reference field="4294967294" count="1" selected="0">
            <x v="6"/>
          </reference>
        </references>
      </pivotArea>
    </format>
    <format dxfId="1335">
      <pivotArea field="0" dataOnly="0" labelOnly="1" grandRow="1" outline="0" axis="axisRow" fieldPosition="0">
        <references count="1">
          <reference field="4294967294" count="1" selected="0">
            <x v="7"/>
          </reference>
        </references>
      </pivotArea>
    </format>
    <format dxfId="1334">
      <pivotArea field="0" dataOnly="0" labelOnly="1" grandRow="1" outline="0" axis="axisRow" fieldPosition="0">
        <references count="1">
          <reference field="4294967294" count="1" selected="0">
            <x v="8"/>
          </reference>
        </references>
      </pivotArea>
    </format>
    <format dxfId="1333">
      <pivotArea field="0" dataOnly="0" labelOnly="1" grandRow="1" outline="0" axis="axisRow" fieldPosition="0">
        <references count="1">
          <reference field="4294967294" count="1" selected="0">
            <x v="9"/>
          </reference>
        </references>
      </pivotArea>
    </format>
    <format dxfId="1332">
      <pivotArea field="0" dataOnly="0" labelOnly="1" grandRow="1" outline="0" axis="axisRow" fieldPosition="0">
        <references count="1">
          <reference field="4294967294" count="1" selected="0">
            <x v="10"/>
          </reference>
        </references>
      </pivotArea>
    </format>
    <format dxfId="1331">
      <pivotArea field="0" dataOnly="0" labelOnly="1" grandRow="1" outline="0" axis="axisRow" fieldPosition="0">
        <references count="1">
          <reference field="4294967294" count="1" selected="0">
            <x v="11"/>
          </reference>
        </references>
      </pivotArea>
    </format>
    <format dxfId="1330">
      <pivotArea field="0" dataOnly="0" labelOnly="1" grandRow="1" outline="0" axis="axisRow" fieldPosition="0">
        <references count="1">
          <reference field="4294967294" count="1" selected="0">
            <x v="12"/>
          </reference>
        </references>
      </pivotArea>
    </format>
    <format dxfId="1329">
      <pivotArea field="0" dataOnly="0" labelOnly="1" grandRow="1" outline="0" axis="axisRow" fieldPosition="0">
        <references count="1">
          <reference field="4294967294" count="1" selected="0">
            <x v="13"/>
          </reference>
        </references>
      </pivotArea>
    </format>
    <format dxfId="1328">
      <pivotArea field="0" dataOnly="0" labelOnly="1" grandRow="1" outline="0" axis="axisRow" fieldPosition="0">
        <references count="1">
          <reference field="4294967294" count="1" selected="0">
            <x v="14"/>
          </reference>
        </references>
      </pivotArea>
    </format>
    <format dxfId="1327">
      <pivotArea field="0" dataOnly="0" labelOnly="1" grandRow="1" outline="0" axis="axisRow" fieldPosition="0">
        <references count="1">
          <reference field="4294967294" count="1" selected="0">
            <x v="15"/>
          </reference>
        </references>
      </pivotArea>
    </format>
    <format dxfId="1326">
      <pivotArea field="0" dataOnly="0" labelOnly="1" grandRow="1" outline="0" axis="axisRow" fieldPosition="0">
        <references count="1">
          <reference field="4294967294" count="1" selected="0">
            <x v="16"/>
          </reference>
        </references>
      </pivotArea>
    </format>
    <format dxfId="1325">
      <pivotArea field="0" dataOnly="0" labelOnly="1" grandRow="1" outline="0" axis="axisRow" fieldPosition="0">
        <references count="1">
          <reference field="4294967294" count="1" selected="0">
            <x v="17"/>
          </reference>
        </references>
      </pivotArea>
    </format>
    <format dxfId="1324">
      <pivotArea field="0" dataOnly="0" labelOnly="1" grandRow="1" outline="0" axis="axisRow" fieldPosition="0">
        <references count="1">
          <reference field="4294967294" count="1" selected="0">
            <x v="18"/>
          </reference>
        </references>
      </pivotArea>
    </format>
    <format dxfId="1323">
      <pivotArea field="0" dataOnly="0" labelOnly="1" grandRow="1" outline="0" axis="axisRow" fieldPosition="0">
        <references count="1">
          <reference field="4294967294" count="1" selected="0">
            <x v="19"/>
          </reference>
        </references>
      </pivotArea>
    </format>
    <format dxfId="1322">
      <pivotArea field="0" dataOnly="0" labelOnly="1" grandRow="1" outline="0" axis="axisRow" fieldPosition="0">
        <references count="1">
          <reference field="4294967294" count="1" selected="0">
            <x v="20"/>
          </reference>
        </references>
      </pivotArea>
    </format>
    <format dxfId="1321">
      <pivotArea field="0" dataOnly="0" labelOnly="1" grandRow="1" outline="0" axis="axisRow" fieldPosition="0">
        <references count="1">
          <reference field="4294967294" count="1" selected="0">
            <x v="21"/>
          </reference>
        </references>
      </pivotArea>
    </format>
    <format dxfId="1320">
      <pivotArea field="0" dataOnly="0" labelOnly="1" grandRow="1" outline="0" axis="axisRow" fieldPosition="0">
        <references count="1">
          <reference field="4294967294" count="1" selected="0">
            <x v="22"/>
          </reference>
        </references>
      </pivotArea>
    </format>
    <format dxfId="1319">
      <pivotArea field="0" dataOnly="0" labelOnly="1" grandRow="1" outline="0" axis="axisRow" fieldPosition="0">
        <references count="1">
          <reference field="4294967294" count="1" selected="0">
            <x v="23"/>
          </reference>
        </references>
      </pivotArea>
    </format>
    <format dxfId="1318">
      <pivotArea field="0" dataOnly="0" labelOnly="1" grandRow="1" outline="0" axis="axisRow" fieldPosition="0">
        <references count="1">
          <reference field="4294967294" count="1" selected="0">
            <x v="24"/>
          </reference>
        </references>
      </pivotArea>
    </format>
    <format dxfId="1317">
      <pivotArea field="0" dataOnly="0" labelOnly="1" grandRow="1" outline="0" axis="axisRow" fieldPosition="0">
        <references count="1">
          <reference field="4294967294" count="1" selected="0">
            <x v="25"/>
          </reference>
        </references>
      </pivotArea>
    </format>
    <format dxfId="1316">
      <pivotArea field="0" dataOnly="0" labelOnly="1" grandRow="1" outline="0" axis="axisRow" fieldPosition="0">
        <references count="1">
          <reference field="4294967294" count="1" selected="0">
            <x v="26"/>
          </reference>
        </references>
      </pivotArea>
    </format>
    <format dxfId="1315">
      <pivotArea field="0" dataOnly="0" labelOnly="1" grandRow="1" outline="0" axis="axisRow" fieldPosition="0">
        <references count="1">
          <reference field="4294967294" count="1" selected="0">
            <x v="27"/>
          </reference>
        </references>
      </pivotArea>
    </format>
    <format dxfId="1314">
      <pivotArea field="0" dataOnly="0" labelOnly="1" grandRow="1" outline="0" axis="axisRow" fieldPosition="0">
        <references count="1">
          <reference field="4294967294" count="1" selected="0">
            <x v="28"/>
          </reference>
        </references>
      </pivotArea>
    </format>
    <format dxfId="1313">
      <pivotArea field="0" dataOnly="0" labelOnly="1" grandRow="1" outline="0" axis="axisRow" fieldPosition="0">
        <references count="1">
          <reference field="4294967294" count="1" selected="0">
            <x v="29"/>
          </reference>
        </references>
      </pivotArea>
    </format>
    <format dxfId="1312">
      <pivotArea field="0" dataOnly="0" labelOnly="1" grandRow="1" outline="0" axis="axisRow" fieldPosition="0">
        <references count="1">
          <reference field="4294967294" count="1" selected="0">
            <x v="30"/>
          </reference>
        </references>
      </pivotArea>
    </format>
    <format dxfId="1311">
      <pivotArea field="0" dataOnly="0" labelOnly="1" grandRow="1" outline="0" axis="axisRow" fieldPosition="0">
        <references count="1">
          <reference field="4294967294" count="1" selected="0">
            <x v="31"/>
          </reference>
        </references>
      </pivotArea>
    </format>
    <format dxfId="1310">
      <pivotArea field="0" dataOnly="0" labelOnly="1" grandRow="1" outline="0" axis="axisRow" fieldPosition="0">
        <references count="1">
          <reference field="4294967294" count="1" selected="0">
            <x v="32"/>
          </reference>
        </references>
      </pivotArea>
    </format>
    <format dxfId="1309">
      <pivotArea field="0" dataOnly="0" labelOnly="1" grandRow="1" outline="0" axis="axisRow" fieldPosition="0">
        <references count="1">
          <reference field="4294967294" count="1" selected="0">
            <x v="33"/>
          </reference>
        </references>
      </pivotArea>
    </format>
    <format dxfId="1308">
      <pivotArea field="0" dataOnly="0" labelOnly="1" grandRow="1" outline="0" axis="axisRow" fieldPosition="0">
        <references count="1">
          <reference field="4294967294" count="1" selected="0">
            <x v="34"/>
          </reference>
        </references>
      </pivotArea>
    </format>
    <format dxfId="1307">
      <pivotArea field="0" dataOnly="0" labelOnly="1" grandRow="1" outline="0" axis="axisRow" fieldPosition="0">
        <references count="1">
          <reference field="4294967294" count="1" selected="0">
            <x v="35"/>
          </reference>
        </references>
      </pivotArea>
    </format>
    <format dxfId="1306">
      <pivotArea field="0" dataOnly="0" labelOnly="1" grandRow="1" outline="0" axis="axisRow" fieldPosition="0">
        <references count="1">
          <reference field="4294967294" count="1" selected="0">
            <x v="0"/>
          </reference>
        </references>
      </pivotArea>
    </format>
    <format dxfId="1305">
      <pivotArea field="0" dataOnly="0" labelOnly="1" grandRow="1" outline="0" axis="axisRow" fieldPosition="0">
        <references count="1">
          <reference field="4294967294" count="1" selected="0">
            <x v="1"/>
          </reference>
        </references>
      </pivotArea>
    </format>
    <format dxfId="1304">
      <pivotArea field="0" dataOnly="0" labelOnly="1" grandRow="1" outline="0" axis="axisRow" fieldPosition="0">
        <references count="1">
          <reference field="4294967294" count="1" selected="0">
            <x v="2"/>
          </reference>
        </references>
      </pivotArea>
    </format>
    <format dxfId="1303">
      <pivotArea field="0" dataOnly="0" labelOnly="1" grandRow="1" outline="0" axis="axisRow" fieldPosition="0">
        <references count="1">
          <reference field="4294967294" count="1" selected="0">
            <x v="3"/>
          </reference>
        </references>
      </pivotArea>
    </format>
    <format dxfId="1302">
      <pivotArea field="0" dataOnly="0" labelOnly="1" grandRow="1" outline="0" axis="axisRow" fieldPosition="0">
        <references count="1">
          <reference field="4294967294" count="1" selected="0">
            <x v="4"/>
          </reference>
        </references>
      </pivotArea>
    </format>
    <format dxfId="1301">
      <pivotArea field="0" dataOnly="0" labelOnly="1" grandRow="1" outline="0" axis="axisRow" fieldPosition="0">
        <references count="1">
          <reference field="4294967294" count="1" selected="0">
            <x v="5"/>
          </reference>
        </references>
      </pivotArea>
    </format>
    <format dxfId="1300">
      <pivotArea field="0" dataOnly="0" labelOnly="1" grandRow="1" outline="0" axis="axisRow" fieldPosition="0">
        <references count="1">
          <reference field="4294967294" count="1" selected="0">
            <x v="6"/>
          </reference>
        </references>
      </pivotArea>
    </format>
    <format dxfId="1299">
      <pivotArea field="0" dataOnly="0" labelOnly="1" grandRow="1" outline="0" axis="axisRow" fieldPosition="0">
        <references count="1">
          <reference field="4294967294" count="1" selected="0">
            <x v="7"/>
          </reference>
        </references>
      </pivotArea>
    </format>
    <format dxfId="1298">
      <pivotArea field="0" dataOnly="0" labelOnly="1" grandRow="1" outline="0" axis="axisRow" fieldPosition="0">
        <references count="1">
          <reference field="4294967294" count="1" selected="0">
            <x v="8"/>
          </reference>
        </references>
      </pivotArea>
    </format>
    <format dxfId="1297">
      <pivotArea field="0" dataOnly="0" labelOnly="1" grandRow="1" outline="0" axis="axisRow" fieldPosition="0">
        <references count="1">
          <reference field="4294967294" count="1" selected="0">
            <x v="9"/>
          </reference>
        </references>
      </pivotArea>
    </format>
    <format dxfId="1296">
      <pivotArea field="0" dataOnly="0" labelOnly="1" grandRow="1" outline="0" axis="axisRow" fieldPosition="0">
        <references count="1">
          <reference field="4294967294" count="1" selected="0">
            <x v="10"/>
          </reference>
        </references>
      </pivotArea>
    </format>
    <format dxfId="1295">
      <pivotArea field="0" dataOnly="0" labelOnly="1" grandRow="1" outline="0" axis="axisRow" fieldPosition="0">
        <references count="1">
          <reference field="4294967294" count="1" selected="0">
            <x v="11"/>
          </reference>
        </references>
      </pivotArea>
    </format>
    <format dxfId="1294">
      <pivotArea field="0" dataOnly="0" labelOnly="1" grandRow="1" outline="0" axis="axisRow" fieldPosition="0">
        <references count="1">
          <reference field="4294967294" count="1" selected="0">
            <x v="12"/>
          </reference>
        </references>
      </pivotArea>
    </format>
    <format dxfId="1293">
      <pivotArea field="0" dataOnly="0" labelOnly="1" grandRow="1" outline="0" axis="axisRow" fieldPosition="0">
        <references count="1">
          <reference field="4294967294" count="1" selected="0">
            <x v="13"/>
          </reference>
        </references>
      </pivotArea>
    </format>
    <format dxfId="1292">
      <pivotArea field="0" dataOnly="0" labelOnly="1" grandRow="1" outline="0" axis="axisRow" fieldPosition="0">
        <references count="1">
          <reference field="4294967294" count="1" selected="0">
            <x v="14"/>
          </reference>
        </references>
      </pivotArea>
    </format>
    <format dxfId="1291">
      <pivotArea field="0" dataOnly="0" labelOnly="1" grandRow="1" outline="0" axis="axisRow" fieldPosition="0">
        <references count="1">
          <reference field="4294967294" count="1" selected="0">
            <x v="15"/>
          </reference>
        </references>
      </pivotArea>
    </format>
    <format dxfId="1290">
      <pivotArea field="0" dataOnly="0" labelOnly="1" grandRow="1" outline="0" axis="axisRow" fieldPosition="0">
        <references count="1">
          <reference field="4294967294" count="1" selected="0">
            <x v="16"/>
          </reference>
        </references>
      </pivotArea>
    </format>
    <format dxfId="1289">
      <pivotArea field="0" dataOnly="0" labelOnly="1" grandRow="1" outline="0" axis="axisRow" fieldPosition="0">
        <references count="1">
          <reference field="4294967294" count="1" selected="0">
            <x v="17"/>
          </reference>
        </references>
      </pivotArea>
    </format>
    <format dxfId="1288">
      <pivotArea field="0" dataOnly="0" labelOnly="1" grandRow="1" outline="0" axis="axisRow" fieldPosition="0">
        <references count="1">
          <reference field="4294967294" count="1" selected="0">
            <x v="18"/>
          </reference>
        </references>
      </pivotArea>
    </format>
    <format dxfId="1287">
      <pivotArea field="0" dataOnly="0" labelOnly="1" grandRow="1" outline="0" axis="axisRow" fieldPosition="0">
        <references count="1">
          <reference field="4294967294" count="1" selected="0">
            <x v="19"/>
          </reference>
        </references>
      </pivotArea>
    </format>
    <format dxfId="1286">
      <pivotArea field="0" dataOnly="0" labelOnly="1" grandRow="1" outline="0" axis="axisRow" fieldPosition="0">
        <references count="1">
          <reference field="4294967294" count="1" selected="0">
            <x v="20"/>
          </reference>
        </references>
      </pivotArea>
    </format>
    <format dxfId="1285">
      <pivotArea field="0" dataOnly="0" labelOnly="1" grandRow="1" outline="0" axis="axisRow" fieldPosition="0">
        <references count="1">
          <reference field="4294967294" count="1" selected="0">
            <x v="21"/>
          </reference>
        </references>
      </pivotArea>
    </format>
    <format dxfId="1284">
      <pivotArea field="0" dataOnly="0" labelOnly="1" grandRow="1" outline="0" axis="axisRow" fieldPosition="0">
        <references count="1">
          <reference field="4294967294" count="1" selected="0">
            <x v="22"/>
          </reference>
        </references>
      </pivotArea>
    </format>
    <format dxfId="1283">
      <pivotArea field="0" dataOnly="0" labelOnly="1" grandRow="1" outline="0" axis="axisRow" fieldPosition="0">
        <references count="1">
          <reference field="4294967294" count="1" selected="0">
            <x v="23"/>
          </reference>
        </references>
      </pivotArea>
    </format>
    <format dxfId="1282">
      <pivotArea field="0" dataOnly="0" labelOnly="1" grandRow="1" outline="0" axis="axisRow" fieldPosition="0">
        <references count="1">
          <reference field="4294967294" count="1" selected="0">
            <x v="24"/>
          </reference>
        </references>
      </pivotArea>
    </format>
    <format dxfId="1281">
      <pivotArea field="0" dataOnly="0" labelOnly="1" grandRow="1" outline="0" axis="axisRow" fieldPosition="0">
        <references count="1">
          <reference field="4294967294" count="1" selected="0">
            <x v="25"/>
          </reference>
        </references>
      </pivotArea>
    </format>
    <format dxfId="1280">
      <pivotArea field="0" dataOnly="0" labelOnly="1" grandRow="1" outline="0" axis="axisRow" fieldPosition="0">
        <references count="1">
          <reference field="4294967294" count="1" selected="0">
            <x v="26"/>
          </reference>
        </references>
      </pivotArea>
    </format>
    <format dxfId="1279">
      <pivotArea field="0" dataOnly="0" labelOnly="1" grandRow="1" outline="0" axis="axisRow" fieldPosition="0">
        <references count="1">
          <reference field="4294967294" count="1" selected="0">
            <x v="27"/>
          </reference>
        </references>
      </pivotArea>
    </format>
    <format dxfId="1278">
      <pivotArea field="0" dataOnly="0" labelOnly="1" grandRow="1" outline="0" axis="axisRow" fieldPosition="0">
        <references count="1">
          <reference field="4294967294" count="1" selected="0">
            <x v="28"/>
          </reference>
        </references>
      </pivotArea>
    </format>
    <format dxfId="1277">
      <pivotArea field="0" dataOnly="0" labelOnly="1" grandRow="1" outline="0" axis="axisRow" fieldPosition="0">
        <references count="1">
          <reference field="4294967294" count="1" selected="0">
            <x v="29"/>
          </reference>
        </references>
      </pivotArea>
    </format>
    <format dxfId="1276">
      <pivotArea field="0" dataOnly="0" labelOnly="1" grandRow="1" outline="0" axis="axisRow" fieldPosition="0">
        <references count="1">
          <reference field="4294967294" count="1" selected="0">
            <x v="30"/>
          </reference>
        </references>
      </pivotArea>
    </format>
    <format dxfId="1275">
      <pivotArea field="0" dataOnly="0" labelOnly="1" grandRow="1" outline="0" axis="axisRow" fieldPosition="0">
        <references count="1">
          <reference field="4294967294" count="1" selected="0">
            <x v="31"/>
          </reference>
        </references>
      </pivotArea>
    </format>
    <format dxfId="1274">
      <pivotArea field="0" dataOnly="0" labelOnly="1" grandRow="1" outline="0" axis="axisRow" fieldPosition="0">
        <references count="1">
          <reference field="4294967294" count="1" selected="0">
            <x v="32"/>
          </reference>
        </references>
      </pivotArea>
    </format>
    <format dxfId="1273">
      <pivotArea field="0" dataOnly="0" labelOnly="1" grandRow="1" outline="0" axis="axisRow" fieldPosition="0">
        <references count="1">
          <reference field="4294967294" count="1" selected="0">
            <x v="33"/>
          </reference>
        </references>
      </pivotArea>
    </format>
    <format dxfId="1272">
      <pivotArea field="0" dataOnly="0" labelOnly="1" grandRow="1" outline="0" axis="axisRow" fieldPosition="0">
        <references count="1">
          <reference field="4294967294" count="1" selected="0">
            <x v="34"/>
          </reference>
        </references>
      </pivotArea>
    </format>
    <format dxfId="1271">
      <pivotArea field="0" dataOnly="0" labelOnly="1" grandRow="1" outline="0" axis="axisRow" fieldPosition="0">
        <references count="1">
          <reference field="4294967294" count="1" selected="0">
            <x v="35"/>
          </reference>
        </references>
      </pivotArea>
    </format>
    <format dxfId="1270">
      <pivotArea field="0" dataOnly="0" labelOnly="1" grandRow="1" outline="0" axis="axisRow" fieldPosition="0">
        <references count="1">
          <reference field="4294967294" count="1" selected="0">
            <x v="0"/>
          </reference>
        </references>
      </pivotArea>
    </format>
    <format dxfId="1269">
      <pivotArea field="0" dataOnly="0" labelOnly="1" grandRow="1" outline="0" axis="axisRow" fieldPosition="0">
        <references count="1">
          <reference field="4294967294" count="1" selected="0">
            <x v="1"/>
          </reference>
        </references>
      </pivotArea>
    </format>
    <format dxfId="1268">
      <pivotArea field="0" dataOnly="0" labelOnly="1" grandRow="1" outline="0" axis="axisRow" fieldPosition="0">
        <references count="1">
          <reference field="4294967294" count="1" selected="0">
            <x v="2"/>
          </reference>
        </references>
      </pivotArea>
    </format>
    <format dxfId="1267">
      <pivotArea field="0" dataOnly="0" labelOnly="1" grandRow="1" outline="0" axis="axisRow" fieldPosition="0">
        <references count="1">
          <reference field="4294967294" count="1" selected="0">
            <x v="3"/>
          </reference>
        </references>
      </pivotArea>
    </format>
    <format dxfId="1266">
      <pivotArea field="0" dataOnly="0" labelOnly="1" grandRow="1" outline="0" axis="axisRow" fieldPosition="0">
        <references count="1">
          <reference field="4294967294" count="1" selected="0">
            <x v="4"/>
          </reference>
        </references>
      </pivotArea>
    </format>
    <format dxfId="1265">
      <pivotArea field="0" dataOnly="0" labelOnly="1" grandRow="1" outline="0" axis="axisRow" fieldPosition="0">
        <references count="1">
          <reference field="4294967294" count="1" selected="0">
            <x v="5"/>
          </reference>
        </references>
      </pivotArea>
    </format>
    <format dxfId="1264">
      <pivotArea field="0" dataOnly="0" labelOnly="1" grandRow="1" outline="0" axis="axisRow" fieldPosition="0">
        <references count="1">
          <reference field="4294967294" count="1" selected="0">
            <x v="6"/>
          </reference>
        </references>
      </pivotArea>
    </format>
    <format dxfId="1263">
      <pivotArea field="0" dataOnly="0" labelOnly="1" grandRow="1" outline="0" axis="axisRow" fieldPosition="0">
        <references count="1">
          <reference field="4294967294" count="1" selected="0">
            <x v="7"/>
          </reference>
        </references>
      </pivotArea>
    </format>
    <format dxfId="1262">
      <pivotArea field="0" dataOnly="0" labelOnly="1" grandRow="1" outline="0" axis="axisRow" fieldPosition="0">
        <references count="1">
          <reference field="4294967294" count="1" selected="0">
            <x v="8"/>
          </reference>
        </references>
      </pivotArea>
    </format>
    <format dxfId="1261">
      <pivotArea field="0" dataOnly="0" labelOnly="1" grandRow="1" outline="0" axis="axisRow" fieldPosition="0">
        <references count="1">
          <reference field="4294967294" count="1" selected="0">
            <x v="9"/>
          </reference>
        </references>
      </pivotArea>
    </format>
    <format dxfId="1260">
      <pivotArea field="0" dataOnly="0" labelOnly="1" grandRow="1" outline="0" axis="axisRow" fieldPosition="0">
        <references count="1">
          <reference field="4294967294" count="1" selected="0">
            <x v="10"/>
          </reference>
        </references>
      </pivotArea>
    </format>
    <format dxfId="1259">
      <pivotArea field="0" dataOnly="0" labelOnly="1" grandRow="1" outline="0" axis="axisRow" fieldPosition="0">
        <references count="1">
          <reference field="4294967294" count="1" selected="0">
            <x v="11"/>
          </reference>
        </references>
      </pivotArea>
    </format>
    <format dxfId="1258">
      <pivotArea field="0" dataOnly="0" labelOnly="1" grandRow="1" outline="0" axis="axisRow" fieldPosition="0">
        <references count="1">
          <reference field="4294967294" count="1" selected="0">
            <x v="12"/>
          </reference>
        </references>
      </pivotArea>
    </format>
    <format dxfId="1257">
      <pivotArea field="0" dataOnly="0" labelOnly="1" grandRow="1" outline="0" axis="axisRow" fieldPosition="0">
        <references count="1">
          <reference field="4294967294" count="1" selected="0">
            <x v="13"/>
          </reference>
        </references>
      </pivotArea>
    </format>
    <format dxfId="1256">
      <pivotArea field="0" dataOnly="0" labelOnly="1" grandRow="1" outline="0" axis="axisRow" fieldPosition="0">
        <references count="1">
          <reference field="4294967294" count="1" selected="0">
            <x v="14"/>
          </reference>
        </references>
      </pivotArea>
    </format>
    <format dxfId="1255">
      <pivotArea field="0" dataOnly="0" labelOnly="1" grandRow="1" outline="0" axis="axisRow" fieldPosition="0">
        <references count="1">
          <reference field="4294967294" count="1" selected="0">
            <x v="15"/>
          </reference>
        </references>
      </pivotArea>
    </format>
    <format dxfId="1254">
      <pivotArea field="0" dataOnly="0" labelOnly="1" grandRow="1" outline="0" axis="axisRow" fieldPosition="0">
        <references count="1">
          <reference field="4294967294" count="1" selected="0">
            <x v="16"/>
          </reference>
        </references>
      </pivotArea>
    </format>
    <format dxfId="1253">
      <pivotArea field="0" dataOnly="0" labelOnly="1" grandRow="1" outline="0" axis="axisRow" fieldPosition="0">
        <references count="1">
          <reference field="4294967294" count="1" selected="0">
            <x v="17"/>
          </reference>
        </references>
      </pivotArea>
    </format>
    <format dxfId="1252">
      <pivotArea field="0" dataOnly="0" labelOnly="1" grandRow="1" outline="0" axis="axisRow" fieldPosition="0">
        <references count="1">
          <reference field="4294967294" count="1" selected="0">
            <x v="18"/>
          </reference>
        </references>
      </pivotArea>
    </format>
    <format dxfId="1251">
      <pivotArea field="0" dataOnly="0" labelOnly="1" grandRow="1" outline="0" axis="axisRow" fieldPosition="0">
        <references count="1">
          <reference field="4294967294" count="1" selected="0">
            <x v="19"/>
          </reference>
        </references>
      </pivotArea>
    </format>
    <format dxfId="1250">
      <pivotArea field="0" dataOnly="0" labelOnly="1" grandRow="1" outline="0" axis="axisRow" fieldPosition="0">
        <references count="1">
          <reference field="4294967294" count="1" selected="0">
            <x v="20"/>
          </reference>
        </references>
      </pivotArea>
    </format>
    <format dxfId="1249">
      <pivotArea field="0" dataOnly="0" labelOnly="1" grandRow="1" outline="0" axis="axisRow" fieldPosition="0">
        <references count="1">
          <reference field="4294967294" count="1" selected="0">
            <x v="21"/>
          </reference>
        </references>
      </pivotArea>
    </format>
    <format dxfId="1248">
      <pivotArea field="0" dataOnly="0" labelOnly="1" grandRow="1" outline="0" axis="axisRow" fieldPosition="0">
        <references count="1">
          <reference field="4294967294" count="1" selected="0">
            <x v="22"/>
          </reference>
        </references>
      </pivotArea>
    </format>
    <format dxfId="1247">
      <pivotArea field="0" dataOnly="0" labelOnly="1" grandRow="1" outline="0" axis="axisRow" fieldPosition="0">
        <references count="1">
          <reference field="4294967294" count="1" selected="0">
            <x v="23"/>
          </reference>
        </references>
      </pivotArea>
    </format>
    <format dxfId="1246">
      <pivotArea field="0" dataOnly="0" labelOnly="1" grandRow="1" outline="0" axis="axisRow" fieldPosition="0">
        <references count="1">
          <reference field="4294967294" count="1" selected="0">
            <x v="24"/>
          </reference>
        </references>
      </pivotArea>
    </format>
    <format dxfId="1245">
      <pivotArea field="0" dataOnly="0" labelOnly="1" grandRow="1" outline="0" axis="axisRow" fieldPosition="0">
        <references count="1">
          <reference field="4294967294" count="1" selected="0">
            <x v="25"/>
          </reference>
        </references>
      </pivotArea>
    </format>
    <format dxfId="1244">
      <pivotArea field="0" dataOnly="0" labelOnly="1" grandRow="1" outline="0" axis="axisRow" fieldPosition="0">
        <references count="1">
          <reference field="4294967294" count="1" selected="0">
            <x v="26"/>
          </reference>
        </references>
      </pivotArea>
    </format>
    <format dxfId="1243">
      <pivotArea field="0" dataOnly="0" labelOnly="1" grandRow="1" outline="0" axis="axisRow" fieldPosition="0">
        <references count="1">
          <reference field="4294967294" count="1" selected="0">
            <x v="27"/>
          </reference>
        </references>
      </pivotArea>
    </format>
    <format dxfId="1242">
      <pivotArea field="0" dataOnly="0" labelOnly="1" grandRow="1" outline="0" axis="axisRow" fieldPosition="0">
        <references count="1">
          <reference field="4294967294" count="1" selected="0">
            <x v="28"/>
          </reference>
        </references>
      </pivotArea>
    </format>
    <format dxfId="1241">
      <pivotArea field="0" dataOnly="0" labelOnly="1" grandRow="1" outline="0" axis="axisRow" fieldPosition="0">
        <references count="1">
          <reference field="4294967294" count="1" selected="0">
            <x v="29"/>
          </reference>
        </references>
      </pivotArea>
    </format>
    <format dxfId="1240">
      <pivotArea field="0" dataOnly="0" labelOnly="1" grandRow="1" outline="0" axis="axisRow" fieldPosition="0">
        <references count="1">
          <reference field="4294967294" count="1" selected="0">
            <x v="30"/>
          </reference>
        </references>
      </pivotArea>
    </format>
    <format dxfId="1239">
      <pivotArea field="0" dataOnly="0" labelOnly="1" grandRow="1" outline="0" axis="axisRow" fieldPosition="0">
        <references count="1">
          <reference field="4294967294" count="1" selected="0">
            <x v="31"/>
          </reference>
        </references>
      </pivotArea>
    </format>
    <format dxfId="1238">
      <pivotArea field="0" dataOnly="0" labelOnly="1" grandRow="1" outline="0" axis="axisRow" fieldPosition="0">
        <references count="1">
          <reference field="4294967294" count="1" selected="0">
            <x v="32"/>
          </reference>
        </references>
      </pivotArea>
    </format>
    <format dxfId="1237">
      <pivotArea field="0" dataOnly="0" labelOnly="1" grandRow="1" outline="0" axis="axisRow" fieldPosition="0">
        <references count="1">
          <reference field="4294967294" count="1" selected="0">
            <x v="33"/>
          </reference>
        </references>
      </pivotArea>
    </format>
    <format dxfId="1236">
      <pivotArea field="0" dataOnly="0" labelOnly="1" grandRow="1" outline="0" axis="axisRow" fieldPosition="0">
        <references count="1">
          <reference field="4294967294" count="1" selected="0">
            <x v="34"/>
          </reference>
        </references>
      </pivotArea>
    </format>
    <format dxfId="1235">
      <pivotArea field="0" dataOnly="0" labelOnly="1" grandRow="1" outline="0" axis="axisRow" fieldPosition="0">
        <references count="1">
          <reference field="4294967294" count="1" selected="0">
            <x v="35"/>
          </reference>
        </references>
      </pivotArea>
    </format>
    <format dxfId="1234">
      <pivotArea field="0" dataOnly="0" labelOnly="1" grandRow="1" outline="0" axis="axisRow" fieldPosition="0">
        <references count="1">
          <reference field="4294967294" count="1" selected="0">
            <x v="0"/>
          </reference>
        </references>
      </pivotArea>
    </format>
    <format dxfId="1233">
      <pivotArea field="0" dataOnly="0" labelOnly="1" grandRow="1" outline="0" axis="axisRow" fieldPosition="0">
        <references count="1">
          <reference field="4294967294" count="1" selected="0">
            <x v="1"/>
          </reference>
        </references>
      </pivotArea>
    </format>
    <format dxfId="1232">
      <pivotArea field="0" dataOnly="0" labelOnly="1" grandRow="1" outline="0" axis="axisRow" fieldPosition="0">
        <references count="1">
          <reference field="4294967294" count="1" selected="0">
            <x v="2"/>
          </reference>
        </references>
      </pivotArea>
    </format>
    <format dxfId="1231">
      <pivotArea field="0" dataOnly="0" labelOnly="1" grandRow="1" outline="0" axis="axisRow" fieldPosition="0">
        <references count="1">
          <reference field="4294967294" count="1" selected="0">
            <x v="3"/>
          </reference>
        </references>
      </pivotArea>
    </format>
    <format dxfId="1230">
      <pivotArea field="0" dataOnly="0" labelOnly="1" grandRow="1" outline="0" axis="axisRow" fieldPosition="0">
        <references count="1">
          <reference field="4294967294" count="1" selected="0">
            <x v="4"/>
          </reference>
        </references>
      </pivotArea>
    </format>
    <format dxfId="1229">
      <pivotArea field="0" dataOnly="0" labelOnly="1" grandRow="1" outline="0" axis="axisRow" fieldPosition="0">
        <references count="1">
          <reference field="4294967294" count="1" selected="0">
            <x v="5"/>
          </reference>
        </references>
      </pivotArea>
    </format>
    <format dxfId="1228">
      <pivotArea field="0" dataOnly="0" labelOnly="1" grandRow="1" outline="0" axis="axisRow" fieldPosition="0">
        <references count="1">
          <reference field="4294967294" count="1" selected="0">
            <x v="6"/>
          </reference>
        </references>
      </pivotArea>
    </format>
    <format dxfId="1227">
      <pivotArea field="0" dataOnly="0" labelOnly="1" grandRow="1" outline="0" axis="axisRow" fieldPosition="0">
        <references count="1">
          <reference field="4294967294" count="1" selected="0">
            <x v="7"/>
          </reference>
        </references>
      </pivotArea>
    </format>
    <format dxfId="1226">
      <pivotArea field="0" dataOnly="0" labelOnly="1" grandRow="1" outline="0" axis="axisRow" fieldPosition="0">
        <references count="1">
          <reference field="4294967294" count="1" selected="0">
            <x v="8"/>
          </reference>
        </references>
      </pivotArea>
    </format>
    <format dxfId="1225">
      <pivotArea field="0" dataOnly="0" labelOnly="1" grandRow="1" outline="0" axis="axisRow" fieldPosition="0">
        <references count="1">
          <reference field="4294967294" count="1" selected="0">
            <x v="9"/>
          </reference>
        </references>
      </pivotArea>
    </format>
    <format dxfId="1224">
      <pivotArea field="0" dataOnly="0" labelOnly="1" grandRow="1" outline="0" axis="axisRow" fieldPosition="0">
        <references count="1">
          <reference field="4294967294" count="1" selected="0">
            <x v="10"/>
          </reference>
        </references>
      </pivotArea>
    </format>
    <format dxfId="1223">
      <pivotArea field="0" dataOnly="0" labelOnly="1" grandRow="1" outline="0" axis="axisRow" fieldPosition="0">
        <references count="1">
          <reference field="4294967294" count="1" selected="0">
            <x v="11"/>
          </reference>
        </references>
      </pivotArea>
    </format>
    <format dxfId="1222">
      <pivotArea field="0" dataOnly="0" labelOnly="1" grandRow="1" outline="0" axis="axisRow" fieldPosition="0">
        <references count="1">
          <reference field="4294967294" count="1" selected="0">
            <x v="12"/>
          </reference>
        </references>
      </pivotArea>
    </format>
    <format dxfId="1221">
      <pivotArea field="0" dataOnly="0" labelOnly="1" grandRow="1" outline="0" axis="axisRow" fieldPosition="0">
        <references count="1">
          <reference field="4294967294" count="1" selected="0">
            <x v="13"/>
          </reference>
        </references>
      </pivotArea>
    </format>
    <format dxfId="1220">
      <pivotArea field="0" dataOnly="0" labelOnly="1" grandRow="1" outline="0" axis="axisRow" fieldPosition="0">
        <references count="1">
          <reference field="4294967294" count="1" selected="0">
            <x v="14"/>
          </reference>
        </references>
      </pivotArea>
    </format>
    <format dxfId="1219">
      <pivotArea field="0" dataOnly="0" labelOnly="1" grandRow="1" outline="0" axis="axisRow" fieldPosition="0">
        <references count="1">
          <reference field="4294967294" count="1" selected="0">
            <x v="15"/>
          </reference>
        </references>
      </pivotArea>
    </format>
    <format dxfId="1218">
      <pivotArea field="0" dataOnly="0" labelOnly="1" grandRow="1" outline="0" axis="axisRow" fieldPosition="0">
        <references count="1">
          <reference field="4294967294" count="1" selected="0">
            <x v="16"/>
          </reference>
        </references>
      </pivotArea>
    </format>
    <format dxfId="1217">
      <pivotArea field="0" dataOnly="0" labelOnly="1" grandRow="1" outline="0" axis="axisRow" fieldPosition="0">
        <references count="1">
          <reference field="4294967294" count="1" selected="0">
            <x v="17"/>
          </reference>
        </references>
      </pivotArea>
    </format>
    <format dxfId="1216">
      <pivotArea field="0" dataOnly="0" labelOnly="1" grandRow="1" outline="0" axis="axisRow" fieldPosition="0">
        <references count="1">
          <reference field="4294967294" count="1" selected="0">
            <x v="18"/>
          </reference>
        </references>
      </pivotArea>
    </format>
    <format dxfId="1215">
      <pivotArea field="0" dataOnly="0" labelOnly="1" grandRow="1" outline="0" axis="axisRow" fieldPosition="0">
        <references count="1">
          <reference field="4294967294" count="1" selected="0">
            <x v="19"/>
          </reference>
        </references>
      </pivotArea>
    </format>
    <format dxfId="1214">
      <pivotArea field="0" dataOnly="0" labelOnly="1" grandRow="1" outline="0" axis="axisRow" fieldPosition="0">
        <references count="1">
          <reference field="4294967294" count="1" selected="0">
            <x v="20"/>
          </reference>
        </references>
      </pivotArea>
    </format>
    <format dxfId="1213">
      <pivotArea field="0" dataOnly="0" labelOnly="1" grandRow="1" outline="0" axis="axisRow" fieldPosition="0">
        <references count="1">
          <reference field="4294967294" count="1" selected="0">
            <x v="21"/>
          </reference>
        </references>
      </pivotArea>
    </format>
    <format dxfId="1212">
      <pivotArea field="0" dataOnly="0" labelOnly="1" grandRow="1" outline="0" axis="axisRow" fieldPosition="0">
        <references count="1">
          <reference field="4294967294" count="1" selected="0">
            <x v="22"/>
          </reference>
        </references>
      </pivotArea>
    </format>
    <format dxfId="1211">
      <pivotArea field="0" dataOnly="0" labelOnly="1" grandRow="1" outline="0" axis="axisRow" fieldPosition="0">
        <references count="1">
          <reference field="4294967294" count="1" selected="0">
            <x v="23"/>
          </reference>
        </references>
      </pivotArea>
    </format>
    <format dxfId="1210">
      <pivotArea field="0" dataOnly="0" labelOnly="1" grandRow="1" outline="0" axis="axisRow" fieldPosition="0">
        <references count="1">
          <reference field="4294967294" count="1" selected="0">
            <x v="24"/>
          </reference>
        </references>
      </pivotArea>
    </format>
    <format dxfId="1209">
      <pivotArea field="0" dataOnly="0" labelOnly="1" grandRow="1" outline="0" axis="axisRow" fieldPosition="0">
        <references count="1">
          <reference field="4294967294" count="1" selected="0">
            <x v="25"/>
          </reference>
        </references>
      </pivotArea>
    </format>
    <format dxfId="1208">
      <pivotArea field="0" dataOnly="0" labelOnly="1" grandRow="1" outline="0" axis="axisRow" fieldPosition="0">
        <references count="1">
          <reference field="4294967294" count="1" selected="0">
            <x v="26"/>
          </reference>
        </references>
      </pivotArea>
    </format>
    <format dxfId="1207">
      <pivotArea field="0" dataOnly="0" labelOnly="1" grandRow="1" outline="0" axis="axisRow" fieldPosition="0">
        <references count="1">
          <reference field="4294967294" count="1" selected="0">
            <x v="27"/>
          </reference>
        </references>
      </pivotArea>
    </format>
    <format dxfId="1206">
      <pivotArea field="0" dataOnly="0" labelOnly="1" grandRow="1" outline="0" axis="axisRow" fieldPosition="0">
        <references count="1">
          <reference field="4294967294" count="1" selected="0">
            <x v="28"/>
          </reference>
        </references>
      </pivotArea>
    </format>
    <format dxfId="1205">
      <pivotArea field="0" dataOnly="0" labelOnly="1" grandRow="1" outline="0" axis="axisRow" fieldPosition="0">
        <references count="1">
          <reference field="4294967294" count="1" selected="0">
            <x v="29"/>
          </reference>
        </references>
      </pivotArea>
    </format>
    <format dxfId="1204">
      <pivotArea field="0" dataOnly="0" labelOnly="1" grandRow="1" outline="0" axis="axisRow" fieldPosition="0">
        <references count="1">
          <reference field="4294967294" count="1" selected="0">
            <x v="30"/>
          </reference>
        </references>
      </pivotArea>
    </format>
    <format dxfId="1203">
      <pivotArea field="0" dataOnly="0" labelOnly="1" grandRow="1" outline="0" axis="axisRow" fieldPosition="0">
        <references count="1">
          <reference field="4294967294" count="1" selected="0">
            <x v="31"/>
          </reference>
        </references>
      </pivotArea>
    </format>
    <format dxfId="1202">
      <pivotArea field="0" dataOnly="0" labelOnly="1" grandRow="1" outline="0" axis="axisRow" fieldPosition="0">
        <references count="1">
          <reference field="4294967294" count="1" selected="0">
            <x v="32"/>
          </reference>
        </references>
      </pivotArea>
    </format>
    <format dxfId="1201">
      <pivotArea field="0" dataOnly="0" labelOnly="1" grandRow="1" outline="0" axis="axisRow" fieldPosition="0">
        <references count="1">
          <reference field="4294967294" count="1" selected="0">
            <x v="33"/>
          </reference>
        </references>
      </pivotArea>
    </format>
    <format dxfId="1200">
      <pivotArea field="0" dataOnly="0" labelOnly="1" grandRow="1" outline="0" axis="axisRow" fieldPosition="0">
        <references count="1">
          <reference field="4294967294" count="1" selected="0">
            <x v="34"/>
          </reference>
        </references>
      </pivotArea>
    </format>
    <format dxfId="1199">
      <pivotArea field="0" dataOnly="0" labelOnly="1" grandRow="1" outline="0" axis="axisRow" fieldPosition="0">
        <references count="1">
          <reference field="4294967294" count="1" selected="0">
            <x v="35"/>
          </reference>
        </references>
      </pivotArea>
    </format>
    <format dxfId="1198">
      <pivotArea field="0" dataOnly="0" labelOnly="1" grandRow="1" outline="0" axis="axisRow" fieldPosition="0">
        <references count="1">
          <reference field="4294967294" count="1" selected="0">
            <x v="0"/>
          </reference>
        </references>
      </pivotArea>
    </format>
    <format dxfId="1197">
      <pivotArea field="0" dataOnly="0" labelOnly="1" grandRow="1" outline="0" axis="axisRow" fieldPosition="0">
        <references count="1">
          <reference field="4294967294" count="1" selected="0">
            <x v="1"/>
          </reference>
        </references>
      </pivotArea>
    </format>
    <format dxfId="1196">
      <pivotArea field="0" dataOnly="0" labelOnly="1" grandRow="1" outline="0" axis="axisRow" fieldPosition="0">
        <references count="1">
          <reference field="4294967294" count="1" selected="0">
            <x v="2"/>
          </reference>
        </references>
      </pivotArea>
    </format>
    <format dxfId="1195">
      <pivotArea field="0" dataOnly="0" labelOnly="1" grandRow="1" outline="0" axis="axisRow" fieldPosition="0">
        <references count="1">
          <reference field="4294967294" count="1" selected="0">
            <x v="3"/>
          </reference>
        </references>
      </pivotArea>
    </format>
    <format dxfId="1194">
      <pivotArea field="0" dataOnly="0" labelOnly="1" grandRow="1" outline="0" axis="axisRow" fieldPosition="0">
        <references count="1">
          <reference field="4294967294" count="1" selected="0">
            <x v="4"/>
          </reference>
        </references>
      </pivotArea>
    </format>
    <format dxfId="1193">
      <pivotArea field="0" dataOnly="0" labelOnly="1" grandRow="1" outline="0" axis="axisRow" fieldPosition="0">
        <references count="1">
          <reference field="4294967294" count="1" selected="0">
            <x v="5"/>
          </reference>
        </references>
      </pivotArea>
    </format>
    <format dxfId="1192">
      <pivotArea field="0" dataOnly="0" labelOnly="1" grandRow="1" outline="0" axis="axisRow" fieldPosition="0">
        <references count="1">
          <reference field="4294967294" count="1" selected="0">
            <x v="6"/>
          </reference>
        </references>
      </pivotArea>
    </format>
    <format dxfId="1191">
      <pivotArea field="0" dataOnly="0" labelOnly="1" grandRow="1" outline="0" axis="axisRow" fieldPosition="0">
        <references count="1">
          <reference field="4294967294" count="1" selected="0">
            <x v="7"/>
          </reference>
        </references>
      </pivotArea>
    </format>
    <format dxfId="1190">
      <pivotArea field="0" dataOnly="0" labelOnly="1" grandRow="1" outline="0" axis="axisRow" fieldPosition="0">
        <references count="1">
          <reference field="4294967294" count="1" selected="0">
            <x v="8"/>
          </reference>
        </references>
      </pivotArea>
    </format>
    <format dxfId="1189">
      <pivotArea field="0" dataOnly="0" labelOnly="1" grandRow="1" outline="0" axis="axisRow" fieldPosition="0">
        <references count="1">
          <reference field="4294967294" count="1" selected="0">
            <x v="9"/>
          </reference>
        </references>
      </pivotArea>
    </format>
    <format dxfId="1188">
      <pivotArea field="0" dataOnly="0" labelOnly="1" grandRow="1" outline="0" axis="axisRow" fieldPosition="0">
        <references count="1">
          <reference field="4294967294" count="1" selected="0">
            <x v="10"/>
          </reference>
        </references>
      </pivotArea>
    </format>
    <format dxfId="1187">
      <pivotArea field="0" dataOnly="0" labelOnly="1" grandRow="1" outline="0" axis="axisRow" fieldPosition="0">
        <references count="1">
          <reference field="4294967294" count="1" selected="0">
            <x v="11"/>
          </reference>
        </references>
      </pivotArea>
    </format>
    <format dxfId="1186">
      <pivotArea field="0" dataOnly="0" labelOnly="1" grandRow="1" outline="0" axis="axisRow" fieldPosition="0">
        <references count="1">
          <reference field="4294967294" count="1" selected="0">
            <x v="12"/>
          </reference>
        </references>
      </pivotArea>
    </format>
    <format dxfId="1185">
      <pivotArea field="0" dataOnly="0" labelOnly="1" grandRow="1" outline="0" axis="axisRow" fieldPosition="0">
        <references count="1">
          <reference field="4294967294" count="1" selected="0">
            <x v="13"/>
          </reference>
        </references>
      </pivotArea>
    </format>
    <format dxfId="1184">
      <pivotArea field="0" dataOnly="0" labelOnly="1" grandRow="1" outline="0" axis="axisRow" fieldPosition="0">
        <references count="1">
          <reference field="4294967294" count="1" selected="0">
            <x v="14"/>
          </reference>
        </references>
      </pivotArea>
    </format>
    <format dxfId="1183">
      <pivotArea field="0" dataOnly="0" labelOnly="1" grandRow="1" outline="0" axis="axisRow" fieldPosition="0">
        <references count="1">
          <reference field="4294967294" count="1" selected="0">
            <x v="15"/>
          </reference>
        </references>
      </pivotArea>
    </format>
    <format dxfId="1182">
      <pivotArea field="0" dataOnly="0" labelOnly="1" grandRow="1" outline="0" axis="axisRow" fieldPosition="0">
        <references count="1">
          <reference field="4294967294" count="1" selected="0">
            <x v="16"/>
          </reference>
        </references>
      </pivotArea>
    </format>
    <format dxfId="1181">
      <pivotArea field="0" dataOnly="0" labelOnly="1" grandRow="1" outline="0" axis="axisRow" fieldPosition="0">
        <references count="1">
          <reference field="4294967294" count="1" selected="0">
            <x v="17"/>
          </reference>
        </references>
      </pivotArea>
    </format>
    <format dxfId="1180">
      <pivotArea field="0" dataOnly="0" labelOnly="1" grandRow="1" outline="0" axis="axisRow" fieldPosition="0">
        <references count="1">
          <reference field="4294967294" count="1" selected="0">
            <x v="18"/>
          </reference>
        </references>
      </pivotArea>
    </format>
    <format dxfId="1179">
      <pivotArea field="0" dataOnly="0" labelOnly="1" grandRow="1" outline="0" axis="axisRow" fieldPosition="0">
        <references count="1">
          <reference field="4294967294" count="1" selected="0">
            <x v="19"/>
          </reference>
        </references>
      </pivotArea>
    </format>
    <format dxfId="1178">
      <pivotArea field="0" dataOnly="0" labelOnly="1" grandRow="1" outline="0" axis="axisRow" fieldPosition="0">
        <references count="1">
          <reference field="4294967294" count="1" selected="0">
            <x v="20"/>
          </reference>
        </references>
      </pivotArea>
    </format>
    <format dxfId="1177">
      <pivotArea field="0" dataOnly="0" labelOnly="1" grandRow="1" outline="0" axis="axisRow" fieldPosition="0">
        <references count="1">
          <reference field="4294967294" count="1" selected="0">
            <x v="21"/>
          </reference>
        </references>
      </pivotArea>
    </format>
    <format dxfId="1176">
      <pivotArea field="0" dataOnly="0" labelOnly="1" grandRow="1" outline="0" axis="axisRow" fieldPosition="0">
        <references count="1">
          <reference field="4294967294" count="1" selected="0">
            <x v="22"/>
          </reference>
        </references>
      </pivotArea>
    </format>
    <format dxfId="1175">
      <pivotArea field="0" dataOnly="0" labelOnly="1" grandRow="1" outline="0" axis="axisRow" fieldPosition="0">
        <references count="1">
          <reference field="4294967294" count="1" selected="0">
            <x v="23"/>
          </reference>
        </references>
      </pivotArea>
    </format>
    <format dxfId="1174">
      <pivotArea field="0" dataOnly="0" labelOnly="1" grandRow="1" outline="0" axis="axisRow" fieldPosition="0">
        <references count="1">
          <reference field="4294967294" count="1" selected="0">
            <x v="24"/>
          </reference>
        </references>
      </pivotArea>
    </format>
    <format dxfId="1173">
      <pivotArea field="0" dataOnly="0" labelOnly="1" grandRow="1" outline="0" axis="axisRow" fieldPosition="0">
        <references count="1">
          <reference field="4294967294" count="1" selected="0">
            <x v="25"/>
          </reference>
        </references>
      </pivotArea>
    </format>
    <format dxfId="1172">
      <pivotArea field="0" dataOnly="0" labelOnly="1" grandRow="1" outline="0" axis="axisRow" fieldPosition="0">
        <references count="1">
          <reference field="4294967294" count="1" selected="0">
            <x v="26"/>
          </reference>
        </references>
      </pivotArea>
    </format>
    <format dxfId="1171">
      <pivotArea field="0" dataOnly="0" labelOnly="1" grandRow="1" outline="0" axis="axisRow" fieldPosition="0">
        <references count="1">
          <reference field="4294967294" count="1" selected="0">
            <x v="27"/>
          </reference>
        </references>
      </pivotArea>
    </format>
    <format dxfId="1170">
      <pivotArea field="0" dataOnly="0" labelOnly="1" grandRow="1" outline="0" axis="axisRow" fieldPosition="0">
        <references count="1">
          <reference field="4294967294" count="1" selected="0">
            <x v="28"/>
          </reference>
        </references>
      </pivotArea>
    </format>
    <format dxfId="1169">
      <pivotArea field="0" dataOnly="0" labelOnly="1" grandRow="1" outline="0" axis="axisRow" fieldPosition="0">
        <references count="1">
          <reference field="4294967294" count="1" selected="0">
            <x v="29"/>
          </reference>
        </references>
      </pivotArea>
    </format>
    <format dxfId="1168">
      <pivotArea field="0" dataOnly="0" labelOnly="1" grandRow="1" outline="0" axis="axisRow" fieldPosition="0">
        <references count="1">
          <reference field="4294967294" count="1" selected="0">
            <x v="30"/>
          </reference>
        </references>
      </pivotArea>
    </format>
    <format dxfId="1167">
      <pivotArea field="0" dataOnly="0" labelOnly="1" grandRow="1" outline="0" axis="axisRow" fieldPosition="0">
        <references count="1">
          <reference field="4294967294" count="1" selected="0">
            <x v="31"/>
          </reference>
        </references>
      </pivotArea>
    </format>
    <format dxfId="1166">
      <pivotArea field="0" dataOnly="0" labelOnly="1" grandRow="1" outline="0" axis="axisRow" fieldPosition="0">
        <references count="1">
          <reference field="4294967294" count="1" selected="0">
            <x v="32"/>
          </reference>
        </references>
      </pivotArea>
    </format>
    <format dxfId="1165">
      <pivotArea field="0" dataOnly="0" labelOnly="1" grandRow="1" outline="0" axis="axisRow" fieldPosition="0">
        <references count="1">
          <reference field="4294967294" count="1" selected="0">
            <x v="33"/>
          </reference>
        </references>
      </pivotArea>
    </format>
    <format dxfId="1164">
      <pivotArea field="0" dataOnly="0" labelOnly="1" grandRow="1" outline="0" axis="axisRow" fieldPosition="0">
        <references count="1">
          <reference field="4294967294" count="1" selected="0">
            <x v="34"/>
          </reference>
        </references>
      </pivotArea>
    </format>
    <format dxfId="1163">
      <pivotArea field="0" dataOnly="0" labelOnly="1" grandRow="1" outline="0" axis="axisRow" fieldPosition="0">
        <references count="1">
          <reference field="4294967294" count="1" selected="0">
            <x v="35"/>
          </reference>
        </references>
      </pivotArea>
    </format>
    <format dxfId="1162">
      <pivotArea field="0" dataOnly="0" labelOnly="1" grandRow="1" outline="0" axis="axisRow" fieldPosition="0">
        <references count="1">
          <reference field="4294967294" count="1" selected="0">
            <x v="0"/>
          </reference>
        </references>
      </pivotArea>
    </format>
    <format dxfId="1161">
      <pivotArea field="0" dataOnly="0" labelOnly="1" grandRow="1" outline="0" axis="axisRow" fieldPosition="0">
        <references count="1">
          <reference field="4294967294" count="1" selected="0">
            <x v="1"/>
          </reference>
        </references>
      </pivotArea>
    </format>
    <format dxfId="1160">
      <pivotArea field="0" dataOnly="0" labelOnly="1" grandRow="1" outline="0" axis="axisRow" fieldPosition="0">
        <references count="1">
          <reference field="4294967294" count="1" selected="0">
            <x v="2"/>
          </reference>
        </references>
      </pivotArea>
    </format>
    <format dxfId="1159">
      <pivotArea field="0" dataOnly="0" labelOnly="1" grandRow="1" outline="0" axis="axisRow" fieldPosition="0">
        <references count="1">
          <reference field="4294967294" count="1" selected="0">
            <x v="3"/>
          </reference>
        </references>
      </pivotArea>
    </format>
    <format dxfId="1158">
      <pivotArea field="0" dataOnly="0" labelOnly="1" grandRow="1" outline="0" axis="axisRow" fieldPosition="0">
        <references count="1">
          <reference field="4294967294" count="1" selected="0">
            <x v="4"/>
          </reference>
        </references>
      </pivotArea>
    </format>
    <format dxfId="1157">
      <pivotArea field="0" dataOnly="0" labelOnly="1" grandRow="1" outline="0" axis="axisRow" fieldPosition="0">
        <references count="1">
          <reference field="4294967294" count="1" selected="0">
            <x v="5"/>
          </reference>
        </references>
      </pivotArea>
    </format>
    <format dxfId="1156">
      <pivotArea field="0" dataOnly="0" labelOnly="1" grandRow="1" outline="0" axis="axisRow" fieldPosition="0">
        <references count="1">
          <reference field="4294967294" count="1" selected="0">
            <x v="6"/>
          </reference>
        </references>
      </pivotArea>
    </format>
    <format dxfId="1155">
      <pivotArea field="0" dataOnly="0" labelOnly="1" grandRow="1" outline="0" axis="axisRow" fieldPosition="0">
        <references count="1">
          <reference field="4294967294" count="1" selected="0">
            <x v="7"/>
          </reference>
        </references>
      </pivotArea>
    </format>
    <format dxfId="1154">
      <pivotArea field="0" dataOnly="0" labelOnly="1" grandRow="1" outline="0" axis="axisRow" fieldPosition="0">
        <references count="1">
          <reference field="4294967294" count="1" selected="0">
            <x v="8"/>
          </reference>
        </references>
      </pivotArea>
    </format>
    <format dxfId="1153">
      <pivotArea field="0" dataOnly="0" labelOnly="1" grandRow="1" outline="0" axis="axisRow" fieldPosition="0">
        <references count="1">
          <reference field="4294967294" count="1" selected="0">
            <x v="9"/>
          </reference>
        </references>
      </pivotArea>
    </format>
    <format dxfId="1152">
      <pivotArea field="0" dataOnly="0" labelOnly="1" grandRow="1" outline="0" axis="axisRow" fieldPosition="0">
        <references count="1">
          <reference field="4294967294" count="1" selected="0">
            <x v="10"/>
          </reference>
        </references>
      </pivotArea>
    </format>
    <format dxfId="1151">
      <pivotArea field="0" dataOnly="0" labelOnly="1" grandRow="1" outline="0" axis="axisRow" fieldPosition="0">
        <references count="1">
          <reference field="4294967294" count="1" selected="0">
            <x v="11"/>
          </reference>
        </references>
      </pivotArea>
    </format>
    <format dxfId="1150">
      <pivotArea field="0" dataOnly="0" labelOnly="1" grandRow="1" outline="0" axis="axisRow" fieldPosition="0">
        <references count="1">
          <reference field="4294967294" count="1" selected="0">
            <x v="12"/>
          </reference>
        </references>
      </pivotArea>
    </format>
    <format dxfId="1149">
      <pivotArea field="0" dataOnly="0" labelOnly="1" grandRow="1" outline="0" axis="axisRow" fieldPosition="0">
        <references count="1">
          <reference field="4294967294" count="1" selected="0">
            <x v="13"/>
          </reference>
        </references>
      </pivotArea>
    </format>
    <format dxfId="1148">
      <pivotArea field="0" dataOnly="0" labelOnly="1" grandRow="1" outline="0" axis="axisRow" fieldPosition="0">
        <references count="1">
          <reference field="4294967294" count="1" selected="0">
            <x v="14"/>
          </reference>
        </references>
      </pivotArea>
    </format>
    <format dxfId="1147">
      <pivotArea field="0" dataOnly="0" labelOnly="1" grandRow="1" outline="0" axis="axisRow" fieldPosition="0">
        <references count="1">
          <reference field="4294967294" count="1" selected="0">
            <x v="15"/>
          </reference>
        </references>
      </pivotArea>
    </format>
    <format dxfId="1146">
      <pivotArea field="0" dataOnly="0" labelOnly="1" grandRow="1" outline="0" axis="axisRow" fieldPosition="0">
        <references count="1">
          <reference field="4294967294" count="1" selected="0">
            <x v="16"/>
          </reference>
        </references>
      </pivotArea>
    </format>
    <format dxfId="1145">
      <pivotArea field="0" dataOnly="0" labelOnly="1" grandRow="1" outline="0" axis="axisRow" fieldPosition="0">
        <references count="1">
          <reference field="4294967294" count="1" selected="0">
            <x v="17"/>
          </reference>
        </references>
      </pivotArea>
    </format>
    <format dxfId="1144">
      <pivotArea field="0" dataOnly="0" labelOnly="1" grandRow="1" outline="0" axis="axisRow" fieldPosition="0">
        <references count="1">
          <reference field="4294967294" count="1" selected="0">
            <x v="18"/>
          </reference>
        </references>
      </pivotArea>
    </format>
    <format dxfId="1143">
      <pivotArea field="0" dataOnly="0" labelOnly="1" grandRow="1" outline="0" axis="axisRow" fieldPosition="0">
        <references count="1">
          <reference field="4294967294" count="1" selected="0">
            <x v="19"/>
          </reference>
        </references>
      </pivotArea>
    </format>
    <format dxfId="1142">
      <pivotArea field="0" dataOnly="0" labelOnly="1" grandRow="1" outline="0" axis="axisRow" fieldPosition="0">
        <references count="1">
          <reference field="4294967294" count="1" selected="0">
            <x v="20"/>
          </reference>
        </references>
      </pivotArea>
    </format>
    <format dxfId="1141">
      <pivotArea field="0" dataOnly="0" labelOnly="1" grandRow="1" outline="0" axis="axisRow" fieldPosition="0">
        <references count="1">
          <reference field="4294967294" count="1" selected="0">
            <x v="21"/>
          </reference>
        </references>
      </pivotArea>
    </format>
    <format dxfId="1140">
      <pivotArea field="0" dataOnly="0" labelOnly="1" grandRow="1" outline="0" axis="axisRow" fieldPosition="0">
        <references count="1">
          <reference field="4294967294" count="1" selected="0">
            <x v="22"/>
          </reference>
        </references>
      </pivotArea>
    </format>
    <format dxfId="1139">
      <pivotArea field="0" dataOnly="0" labelOnly="1" grandRow="1" outline="0" axis="axisRow" fieldPosition="0">
        <references count="1">
          <reference field="4294967294" count="1" selected="0">
            <x v="23"/>
          </reference>
        </references>
      </pivotArea>
    </format>
    <format dxfId="1138">
      <pivotArea field="0" dataOnly="0" labelOnly="1" grandRow="1" outline="0" axis="axisRow" fieldPosition="0">
        <references count="1">
          <reference field="4294967294" count="1" selected="0">
            <x v="24"/>
          </reference>
        </references>
      </pivotArea>
    </format>
    <format dxfId="1137">
      <pivotArea field="0" dataOnly="0" labelOnly="1" grandRow="1" outline="0" axis="axisRow" fieldPosition="0">
        <references count="1">
          <reference field="4294967294" count="1" selected="0">
            <x v="25"/>
          </reference>
        </references>
      </pivotArea>
    </format>
    <format dxfId="1136">
      <pivotArea field="0" dataOnly="0" labelOnly="1" grandRow="1" outline="0" axis="axisRow" fieldPosition="0">
        <references count="1">
          <reference field="4294967294" count="1" selected="0">
            <x v="26"/>
          </reference>
        </references>
      </pivotArea>
    </format>
    <format dxfId="1135">
      <pivotArea field="0" dataOnly="0" labelOnly="1" grandRow="1" outline="0" axis="axisRow" fieldPosition="0">
        <references count="1">
          <reference field="4294967294" count="1" selected="0">
            <x v="27"/>
          </reference>
        </references>
      </pivotArea>
    </format>
    <format dxfId="1134">
      <pivotArea field="0" dataOnly="0" labelOnly="1" grandRow="1" outline="0" axis="axisRow" fieldPosition="0">
        <references count="1">
          <reference field="4294967294" count="1" selected="0">
            <x v="28"/>
          </reference>
        </references>
      </pivotArea>
    </format>
    <format dxfId="1133">
      <pivotArea field="0" dataOnly="0" labelOnly="1" grandRow="1" outline="0" axis="axisRow" fieldPosition="0">
        <references count="1">
          <reference field="4294967294" count="1" selected="0">
            <x v="29"/>
          </reference>
        </references>
      </pivotArea>
    </format>
    <format dxfId="1132">
      <pivotArea field="0" dataOnly="0" labelOnly="1" grandRow="1" outline="0" axis="axisRow" fieldPosition="0">
        <references count="1">
          <reference field="4294967294" count="1" selected="0">
            <x v="30"/>
          </reference>
        </references>
      </pivotArea>
    </format>
    <format dxfId="1131">
      <pivotArea field="0" dataOnly="0" labelOnly="1" grandRow="1" outline="0" axis="axisRow" fieldPosition="0">
        <references count="1">
          <reference field="4294967294" count="1" selected="0">
            <x v="31"/>
          </reference>
        </references>
      </pivotArea>
    </format>
    <format dxfId="1130">
      <pivotArea field="0" dataOnly="0" labelOnly="1" grandRow="1" outline="0" axis="axisRow" fieldPosition="0">
        <references count="1">
          <reference field="4294967294" count="1" selected="0">
            <x v="32"/>
          </reference>
        </references>
      </pivotArea>
    </format>
    <format dxfId="1129">
      <pivotArea field="0" dataOnly="0" labelOnly="1" grandRow="1" outline="0" axis="axisRow" fieldPosition="0">
        <references count="1">
          <reference field="4294967294" count="1" selected="0">
            <x v="33"/>
          </reference>
        </references>
      </pivotArea>
    </format>
    <format dxfId="1128">
      <pivotArea field="0" dataOnly="0" labelOnly="1" grandRow="1" outline="0" axis="axisRow" fieldPosition="0">
        <references count="1">
          <reference field="4294967294" count="1" selected="0">
            <x v="34"/>
          </reference>
        </references>
      </pivotArea>
    </format>
    <format dxfId="1127">
      <pivotArea field="0" dataOnly="0" labelOnly="1" grandRow="1" outline="0" axis="axisRow" fieldPosition="0">
        <references count="1">
          <reference field="4294967294" count="1" selected="0">
            <x v="35"/>
          </reference>
        </references>
      </pivotArea>
    </format>
    <format dxfId="1126">
      <pivotArea field="0" dataOnly="0" labelOnly="1" grandRow="1" outline="0" axis="axisRow" fieldPosition="0">
        <references count="1">
          <reference field="4294967294" count="1" selected="0">
            <x v="0"/>
          </reference>
        </references>
      </pivotArea>
    </format>
    <format dxfId="1125">
      <pivotArea field="0" dataOnly="0" labelOnly="1" grandRow="1" outline="0" axis="axisRow" fieldPosition="0">
        <references count="1">
          <reference field="4294967294" count="1" selected="0">
            <x v="1"/>
          </reference>
        </references>
      </pivotArea>
    </format>
    <format dxfId="1124">
      <pivotArea field="0" dataOnly="0" labelOnly="1" grandRow="1" outline="0" axis="axisRow" fieldPosition="0">
        <references count="1">
          <reference field="4294967294" count="1" selected="0">
            <x v="2"/>
          </reference>
        </references>
      </pivotArea>
    </format>
    <format dxfId="1123">
      <pivotArea field="0" dataOnly="0" labelOnly="1" grandRow="1" outline="0" axis="axisRow" fieldPosition="0">
        <references count="1">
          <reference field="4294967294" count="1" selected="0">
            <x v="3"/>
          </reference>
        </references>
      </pivotArea>
    </format>
    <format dxfId="1122">
      <pivotArea field="0" dataOnly="0" labelOnly="1" grandRow="1" outline="0" axis="axisRow" fieldPosition="0">
        <references count="1">
          <reference field="4294967294" count="1" selected="0">
            <x v="4"/>
          </reference>
        </references>
      </pivotArea>
    </format>
    <format dxfId="1121">
      <pivotArea field="0" dataOnly="0" labelOnly="1" grandRow="1" outline="0" axis="axisRow" fieldPosition="0">
        <references count="1">
          <reference field="4294967294" count="1" selected="0">
            <x v="5"/>
          </reference>
        </references>
      </pivotArea>
    </format>
    <format dxfId="1120">
      <pivotArea field="0" dataOnly="0" labelOnly="1" grandRow="1" outline="0" axis="axisRow" fieldPosition="0">
        <references count="1">
          <reference field="4294967294" count="1" selected="0">
            <x v="6"/>
          </reference>
        </references>
      </pivotArea>
    </format>
    <format dxfId="1119">
      <pivotArea field="0" dataOnly="0" labelOnly="1" grandRow="1" outline="0" axis="axisRow" fieldPosition="0">
        <references count="1">
          <reference field="4294967294" count="1" selected="0">
            <x v="7"/>
          </reference>
        </references>
      </pivotArea>
    </format>
    <format dxfId="1118">
      <pivotArea field="0" dataOnly="0" labelOnly="1" grandRow="1" outline="0" axis="axisRow" fieldPosition="0">
        <references count="1">
          <reference field="4294967294" count="1" selected="0">
            <x v="8"/>
          </reference>
        </references>
      </pivotArea>
    </format>
    <format dxfId="1117">
      <pivotArea field="0" dataOnly="0" labelOnly="1" grandRow="1" outline="0" axis="axisRow" fieldPosition="0">
        <references count="1">
          <reference field="4294967294" count="1" selected="0">
            <x v="9"/>
          </reference>
        </references>
      </pivotArea>
    </format>
    <format dxfId="1116">
      <pivotArea field="0" dataOnly="0" labelOnly="1" grandRow="1" outline="0" axis="axisRow" fieldPosition="0">
        <references count="1">
          <reference field="4294967294" count="1" selected="0">
            <x v="10"/>
          </reference>
        </references>
      </pivotArea>
    </format>
    <format dxfId="1115">
      <pivotArea field="0" dataOnly="0" labelOnly="1" grandRow="1" outline="0" axis="axisRow" fieldPosition="0">
        <references count="1">
          <reference field="4294967294" count="1" selected="0">
            <x v="11"/>
          </reference>
        </references>
      </pivotArea>
    </format>
    <format dxfId="1114">
      <pivotArea field="0" dataOnly="0" labelOnly="1" grandRow="1" outline="0" axis="axisRow" fieldPosition="0">
        <references count="1">
          <reference field="4294967294" count="1" selected="0">
            <x v="12"/>
          </reference>
        </references>
      </pivotArea>
    </format>
    <format dxfId="1113">
      <pivotArea field="0" dataOnly="0" labelOnly="1" grandRow="1" outline="0" axis="axisRow" fieldPosition="0">
        <references count="1">
          <reference field="4294967294" count="1" selected="0">
            <x v="13"/>
          </reference>
        </references>
      </pivotArea>
    </format>
    <format dxfId="1112">
      <pivotArea field="0" dataOnly="0" labelOnly="1" grandRow="1" outline="0" axis="axisRow" fieldPosition="0">
        <references count="1">
          <reference field="4294967294" count="1" selected="0">
            <x v="14"/>
          </reference>
        </references>
      </pivotArea>
    </format>
    <format dxfId="1111">
      <pivotArea field="0" dataOnly="0" labelOnly="1" grandRow="1" outline="0" axis="axisRow" fieldPosition="0">
        <references count="1">
          <reference field="4294967294" count="1" selected="0">
            <x v="15"/>
          </reference>
        </references>
      </pivotArea>
    </format>
    <format dxfId="1110">
      <pivotArea field="0" dataOnly="0" labelOnly="1" grandRow="1" outline="0" axis="axisRow" fieldPosition="0">
        <references count="1">
          <reference field="4294967294" count="1" selected="0">
            <x v="16"/>
          </reference>
        </references>
      </pivotArea>
    </format>
    <format dxfId="1109">
      <pivotArea field="0" dataOnly="0" labelOnly="1" grandRow="1" outline="0" axis="axisRow" fieldPosition="0">
        <references count="1">
          <reference field="4294967294" count="1" selected="0">
            <x v="17"/>
          </reference>
        </references>
      </pivotArea>
    </format>
    <format dxfId="1108">
      <pivotArea field="0" dataOnly="0" labelOnly="1" grandRow="1" outline="0" axis="axisRow" fieldPosition="0">
        <references count="1">
          <reference field="4294967294" count="1" selected="0">
            <x v="18"/>
          </reference>
        </references>
      </pivotArea>
    </format>
    <format dxfId="1107">
      <pivotArea field="0" dataOnly="0" labelOnly="1" grandRow="1" outline="0" axis="axisRow" fieldPosition="0">
        <references count="1">
          <reference field="4294967294" count="1" selected="0">
            <x v="19"/>
          </reference>
        </references>
      </pivotArea>
    </format>
    <format dxfId="1106">
      <pivotArea field="0" dataOnly="0" labelOnly="1" grandRow="1" outline="0" axis="axisRow" fieldPosition="0">
        <references count="1">
          <reference field="4294967294" count="1" selected="0">
            <x v="20"/>
          </reference>
        </references>
      </pivotArea>
    </format>
    <format dxfId="1105">
      <pivotArea field="0" dataOnly="0" labelOnly="1" grandRow="1" outline="0" axis="axisRow" fieldPosition="0">
        <references count="1">
          <reference field="4294967294" count="1" selected="0">
            <x v="21"/>
          </reference>
        </references>
      </pivotArea>
    </format>
    <format dxfId="1104">
      <pivotArea field="0" dataOnly="0" labelOnly="1" grandRow="1" outline="0" axis="axisRow" fieldPosition="0">
        <references count="1">
          <reference field="4294967294" count="1" selected="0">
            <x v="22"/>
          </reference>
        </references>
      </pivotArea>
    </format>
    <format dxfId="1103">
      <pivotArea field="0" dataOnly="0" labelOnly="1" grandRow="1" outline="0" axis="axisRow" fieldPosition="0">
        <references count="1">
          <reference field="4294967294" count="1" selected="0">
            <x v="23"/>
          </reference>
        </references>
      </pivotArea>
    </format>
    <format dxfId="1102">
      <pivotArea field="0" dataOnly="0" labelOnly="1" grandRow="1" outline="0" axis="axisRow" fieldPosition="0">
        <references count="1">
          <reference field="4294967294" count="1" selected="0">
            <x v="24"/>
          </reference>
        </references>
      </pivotArea>
    </format>
    <format dxfId="1101">
      <pivotArea field="0" dataOnly="0" labelOnly="1" grandRow="1" outline="0" axis="axisRow" fieldPosition="0">
        <references count="1">
          <reference field="4294967294" count="1" selected="0">
            <x v="25"/>
          </reference>
        </references>
      </pivotArea>
    </format>
    <format dxfId="1100">
      <pivotArea field="0" dataOnly="0" labelOnly="1" grandRow="1" outline="0" axis="axisRow" fieldPosition="0">
        <references count="1">
          <reference field="4294967294" count="1" selected="0">
            <x v="26"/>
          </reference>
        </references>
      </pivotArea>
    </format>
    <format dxfId="1099">
      <pivotArea field="0" dataOnly="0" labelOnly="1" grandRow="1" outline="0" axis="axisRow" fieldPosition="0">
        <references count="1">
          <reference field="4294967294" count="1" selected="0">
            <x v="27"/>
          </reference>
        </references>
      </pivotArea>
    </format>
    <format dxfId="1098">
      <pivotArea field="0" dataOnly="0" labelOnly="1" grandRow="1" outline="0" axis="axisRow" fieldPosition="0">
        <references count="1">
          <reference field="4294967294" count="1" selected="0">
            <x v="28"/>
          </reference>
        </references>
      </pivotArea>
    </format>
    <format dxfId="1097">
      <pivotArea field="0" dataOnly="0" labelOnly="1" grandRow="1" outline="0" axis="axisRow" fieldPosition="0">
        <references count="1">
          <reference field="4294967294" count="1" selected="0">
            <x v="29"/>
          </reference>
        </references>
      </pivotArea>
    </format>
    <format dxfId="1096">
      <pivotArea field="0" dataOnly="0" labelOnly="1" grandRow="1" outline="0" axis="axisRow" fieldPosition="0">
        <references count="1">
          <reference field="4294967294" count="1" selected="0">
            <x v="30"/>
          </reference>
        </references>
      </pivotArea>
    </format>
    <format dxfId="1095">
      <pivotArea field="0" dataOnly="0" labelOnly="1" grandRow="1" outline="0" axis="axisRow" fieldPosition="0">
        <references count="1">
          <reference field="4294967294" count="1" selected="0">
            <x v="31"/>
          </reference>
        </references>
      </pivotArea>
    </format>
    <format dxfId="1094">
      <pivotArea field="0" dataOnly="0" labelOnly="1" grandRow="1" outline="0" axis="axisRow" fieldPosition="0">
        <references count="1">
          <reference field="4294967294" count="1" selected="0">
            <x v="32"/>
          </reference>
        </references>
      </pivotArea>
    </format>
    <format dxfId="1093">
      <pivotArea field="0" dataOnly="0" labelOnly="1" grandRow="1" outline="0" axis="axisRow" fieldPosition="0">
        <references count="1">
          <reference field="4294967294" count="1" selected="0">
            <x v="33"/>
          </reference>
        </references>
      </pivotArea>
    </format>
    <format dxfId="1092">
      <pivotArea field="0" dataOnly="0" labelOnly="1" grandRow="1" outline="0" axis="axisRow" fieldPosition="0">
        <references count="1">
          <reference field="4294967294" count="1" selected="0">
            <x v="34"/>
          </reference>
        </references>
      </pivotArea>
    </format>
    <format dxfId="1091">
      <pivotArea field="0" dataOnly="0" labelOnly="1" grandRow="1" outline="0" axis="axisRow" fieldPosition="0">
        <references count="1">
          <reference field="4294967294" count="1" selected="0">
            <x v="35"/>
          </reference>
        </references>
      </pivotArea>
    </format>
    <format dxfId="1090">
      <pivotArea field="0" dataOnly="0" labelOnly="1" grandRow="1" outline="0" axis="axisRow" fieldPosition="0">
        <references count="1">
          <reference field="4294967294" count="1" selected="0">
            <x v="0"/>
          </reference>
        </references>
      </pivotArea>
    </format>
    <format dxfId="1089">
      <pivotArea field="0" dataOnly="0" labelOnly="1" grandRow="1" outline="0" axis="axisRow" fieldPosition="0">
        <references count="1">
          <reference field="4294967294" count="1" selected="0">
            <x v="1"/>
          </reference>
        </references>
      </pivotArea>
    </format>
    <format dxfId="1088">
      <pivotArea field="0" dataOnly="0" labelOnly="1" grandRow="1" outline="0" axis="axisRow" fieldPosition="0">
        <references count="1">
          <reference field="4294967294" count="1" selected="0">
            <x v="2"/>
          </reference>
        </references>
      </pivotArea>
    </format>
    <format dxfId="1087">
      <pivotArea field="0" dataOnly="0" labelOnly="1" grandRow="1" outline="0" axis="axisRow" fieldPosition="0">
        <references count="1">
          <reference field="4294967294" count="1" selected="0">
            <x v="3"/>
          </reference>
        </references>
      </pivotArea>
    </format>
    <format dxfId="1086">
      <pivotArea field="0" dataOnly="0" labelOnly="1" grandRow="1" outline="0" axis="axisRow" fieldPosition="0">
        <references count="1">
          <reference field="4294967294" count="1" selected="0">
            <x v="4"/>
          </reference>
        </references>
      </pivotArea>
    </format>
    <format dxfId="1085">
      <pivotArea field="0" dataOnly="0" labelOnly="1" grandRow="1" outline="0" axis="axisRow" fieldPosition="0">
        <references count="1">
          <reference field="4294967294" count="1" selected="0">
            <x v="5"/>
          </reference>
        </references>
      </pivotArea>
    </format>
    <format dxfId="1084">
      <pivotArea field="0" dataOnly="0" labelOnly="1" grandRow="1" outline="0" axis="axisRow" fieldPosition="0">
        <references count="1">
          <reference field="4294967294" count="1" selected="0">
            <x v="6"/>
          </reference>
        </references>
      </pivotArea>
    </format>
    <format dxfId="1083">
      <pivotArea field="0" dataOnly="0" labelOnly="1" grandRow="1" outline="0" axis="axisRow" fieldPosition="0">
        <references count="1">
          <reference field="4294967294" count="1" selected="0">
            <x v="7"/>
          </reference>
        </references>
      </pivotArea>
    </format>
    <format dxfId="1082">
      <pivotArea field="0" dataOnly="0" labelOnly="1" grandRow="1" outline="0" axis="axisRow" fieldPosition="0">
        <references count="1">
          <reference field="4294967294" count="1" selected="0">
            <x v="8"/>
          </reference>
        </references>
      </pivotArea>
    </format>
    <format dxfId="1081">
      <pivotArea field="0" dataOnly="0" labelOnly="1" grandRow="1" outline="0" axis="axisRow" fieldPosition="0">
        <references count="1">
          <reference field="4294967294" count="1" selected="0">
            <x v="9"/>
          </reference>
        </references>
      </pivotArea>
    </format>
    <format dxfId="1080">
      <pivotArea field="0" dataOnly="0" labelOnly="1" grandRow="1" outline="0" axis="axisRow" fieldPosition="0">
        <references count="1">
          <reference field="4294967294" count="1" selected="0">
            <x v="10"/>
          </reference>
        </references>
      </pivotArea>
    </format>
    <format dxfId="1079">
      <pivotArea field="0" dataOnly="0" labelOnly="1" grandRow="1" outline="0" axis="axisRow" fieldPosition="0">
        <references count="1">
          <reference field="4294967294" count="1" selected="0">
            <x v="11"/>
          </reference>
        </references>
      </pivotArea>
    </format>
    <format dxfId="1078">
      <pivotArea field="0" dataOnly="0" labelOnly="1" grandRow="1" outline="0" axis="axisRow" fieldPosition="0">
        <references count="1">
          <reference field="4294967294" count="1" selected="0">
            <x v="12"/>
          </reference>
        </references>
      </pivotArea>
    </format>
    <format dxfId="1077">
      <pivotArea field="0" dataOnly="0" labelOnly="1" grandRow="1" outline="0" axis="axisRow" fieldPosition="0">
        <references count="1">
          <reference field="4294967294" count="1" selected="0">
            <x v="13"/>
          </reference>
        </references>
      </pivotArea>
    </format>
    <format dxfId="1076">
      <pivotArea field="0" dataOnly="0" labelOnly="1" grandRow="1" outline="0" axis="axisRow" fieldPosition="0">
        <references count="1">
          <reference field="4294967294" count="1" selected="0">
            <x v="14"/>
          </reference>
        </references>
      </pivotArea>
    </format>
    <format dxfId="1075">
      <pivotArea field="0" dataOnly="0" labelOnly="1" grandRow="1" outline="0" axis="axisRow" fieldPosition="0">
        <references count="1">
          <reference field="4294967294" count="1" selected="0">
            <x v="15"/>
          </reference>
        </references>
      </pivotArea>
    </format>
    <format dxfId="1074">
      <pivotArea field="0" dataOnly="0" labelOnly="1" grandRow="1" outline="0" axis="axisRow" fieldPosition="0">
        <references count="1">
          <reference field="4294967294" count="1" selected="0">
            <x v="16"/>
          </reference>
        </references>
      </pivotArea>
    </format>
    <format dxfId="1073">
      <pivotArea field="0" dataOnly="0" labelOnly="1" grandRow="1" outline="0" axis="axisRow" fieldPosition="0">
        <references count="1">
          <reference field="4294967294" count="1" selected="0">
            <x v="17"/>
          </reference>
        </references>
      </pivotArea>
    </format>
    <format dxfId="1072">
      <pivotArea field="0" dataOnly="0" labelOnly="1" grandRow="1" outline="0" axis="axisRow" fieldPosition="0">
        <references count="1">
          <reference field="4294967294" count="1" selected="0">
            <x v="18"/>
          </reference>
        </references>
      </pivotArea>
    </format>
    <format dxfId="1071">
      <pivotArea field="0" dataOnly="0" labelOnly="1" grandRow="1" outline="0" axis="axisRow" fieldPosition="0">
        <references count="1">
          <reference field="4294967294" count="1" selected="0">
            <x v="19"/>
          </reference>
        </references>
      </pivotArea>
    </format>
    <format dxfId="1070">
      <pivotArea field="0" dataOnly="0" labelOnly="1" grandRow="1" outline="0" axis="axisRow" fieldPosition="0">
        <references count="1">
          <reference field="4294967294" count="1" selected="0">
            <x v="20"/>
          </reference>
        </references>
      </pivotArea>
    </format>
    <format dxfId="1069">
      <pivotArea field="0" dataOnly="0" labelOnly="1" grandRow="1" outline="0" axis="axisRow" fieldPosition="0">
        <references count="1">
          <reference field="4294967294" count="1" selected="0">
            <x v="21"/>
          </reference>
        </references>
      </pivotArea>
    </format>
    <format dxfId="1068">
      <pivotArea field="0" dataOnly="0" labelOnly="1" grandRow="1" outline="0" axis="axisRow" fieldPosition="0">
        <references count="1">
          <reference field="4294967294" count="1" selected="0">
            <x v="22"/>
          </reference>
        </references>
      </pivotArea>
    </format>
    <format dxfId="1067">
      <pivotArea field="0" dataOnly="0" labelOnly="1" grandRow="1" outline="0" axis="axisRow" fieldPosition="0">
        <references count="1">
          <reference field="4294967294" count="1" selected="0">
            <x v="23"/>
          </reference>
        </references>
      </pivotArea>
    </format>
    <format dxfId="1066">
      <pivotArea field="0" dataOnly="0" labelOnly="1" grandRow="1" outline="0" axis="axisRow" fieldPosition="0">
        <references count="1">
          <reference field="4294967294" count="1" selected="0">
            <x v="24"/>
          </reference>
        </references>
      </pivotArea>
    </format>
    <format dxfId="1065">
      <pivotArea field="0" dataOnly="0" labelOnly="1" grandRow="1" outline="0" axis="axisRow" fieldPosition="0">
        <references count="1">
          <reference field="4294967294" count="1" selected="0">
            <x v="25"/>
          </reference>
        </references>
      </pivotArea>
    </format>
    <format dxfId="1064">
      <pivotArea field="0" dataOnly="0" labelOnly="1" grandRow="1" outline="0" axis="axisRow" fieldPosition="0">
        <references count="1">
          <reference field="4294967294" count="1" selected="0">
            <x v="26"/>
          </reference>
        </references>
      </pivotArea>
    </format>
    <format dxfId="1063">
      <pivotArea field="0" dataOnly="0" labelOnly="1" grandRow="1" outline="0" axis="axisRow" fieldPosition="0">
        <references count="1">
          <reference field="4294967294" count="1" selected="0">
            <x v="27"/>
          </reference>
        </references>
      </pivotArea>
    </format>
    <format dxfId="1062">
      <pivotArea field="0" dataOnly="0" labelOnly="1" grandRow="1" outline="0" axis="axisRow" fieldPosition="0">
        <references count="1">
          <reference field="4294967294" count="1" selected="0">
            <x v="28"/>
          </reference>
        </references>
      </pivotArea>
    </format>
    <format dxfId="1061">
      <pivotArea field="0" dataOnly="0" labelOnly="1" grandRow="1" outline="0" axis="axisRow" fieldPosition="0">
        <references count="1">
          <reference field="4294967294" count="1" selected="0">
            <x v="29"/>
          </reference>
        </references>
      </pivotArea>
    </format>
    <format dxfId="1060">
      <pivotArea field="0" dataOnly="0" labelOnly="1" grandRow="1" outline="0" axis="axisRow" fieldPosition="0">
        <references count="1">
          <reference field="4294967294" count="1" selected="0">
            <x v="30"/>
          </reference>
        </references>
      </pivotArea>
    </format>
    <format dxfId="1059">
      <pivotArea field="0" dataOnly="0" labelOnly="1" grandRow="1" outline="0" axis="axisRow" fieldPosition="0">
        <references count="1">
          <reference field="4294967294" count="1" selected="0">
            <x v="31"/>
          </reference>
        </references>
      </pivotArea>
    </format>
    <format dxfId="1058">
      <pivotArea field="0" dataOnly="0" labelOnly="1" grandRow="1" outline="0" axis="axisRow" fieldPosition="0">
        <references count="1">
          <reference field="4294967294" count="1" selected="0">
            <x v="32"/>
          </reference>
        </references>
      </pivotArea>
    </format>
    <format dxfId="1057">
      <pivotArea field="0" dataOnly="0" labelOnly="1" grandRow="1" outline="0" axis="axisRow" fieldPosition="0">
        <references count="1">
          <reference field="4294967294" count="1" selected="0">
            <x v="33"/>
          </reference>
        </references>
      </pivotArea>
    </format>
    <format dxfId="1056">
      <pivotArea field="0" dataOnly="0" labelOnly="1" grandRow="1" outline="0" axis="axisRow" fieldPosition="0">
        <references count="1">
          <reference field="4294967294" count="1" selected="0">
            <x v="34"/>
          </reference>
        </references>
      </pivotArea>
    </format>
    <format dxfId="1055">
      <pivotArea field="0" dataOnly="0" labelOnly="1" grandRow="1" outline="0" axis="axisRow" fieldPosition="0">
        <references count="1">
          <reference field="4294967294" count="1" selected="0">
            <x v="35"/>
          </reference>
        </references>
      </pivotArea>
    </format>
    <format dxfId="1054">
      <pivotArea field="0" dataOnly="0" labelOnly="1" grandRow="1" outline="0" axis="axisRow" fieldPosition="0">
        <references count="1">
          <reference field="4294967294" count="1" selected="0">
            <x v="0"/>
          </reference>
        </references>
      </pivotArea>
    </format>
    <format dxfId="1053">
      <pivotArea field="0" dataOnly="0" labelOnly="1" grandRow="1" outline="0" axis="axisRow" fieldPosition="0">
        <references count="1">
          <reference field="4294967294" count="1" selected="0">
            <x v="1"/>
          </reference>
        </references>
      </pivotArea>
    </format>
    <format dxfId="1052">
      <pivotArea field="0" dataOnly="0" labelOnly="1" grandRow="1" outline="0" axis="axisRow" fieldPosition="0">
        <references count="1">
          <reference field="4294967294" count="1" selected="0">
            <x v="2"/>
          </reference>
        </references>
      </pivotArea>
    </format>
    <format dxfId="1051">
      <pivotArea field="0" dataOnly="0" labelOnly="1" grandRow="1" outline="0" axis="axisRow" fieldPosition="0">
        <references count="1">
          <reference field="4294967294" count="1" selected="0">
            <x v="3"/>
          </reference>
        </references>
      </pivotArea>
    </format>
    <format dxfId="1050">
      <pivotArea field="0" dataOnly="0" labelOnly="1" grandRow="1" outline="0" axis="axisRow" fieldPosition="0">
        <references count="1">
          <reference field="4294967294" count="1" selected="0">
            <x v="4"/>
          </reference>
        </references>
      </pivotArea>
    </format>
    <format dxfId="1049">
      <pivotArea field="0" dataOnly="0" labelOnly="1" grandRow="1" outline="0" axis="axisRow" fieldPosition="0">
        <references count="1">
          <reference field="4294967294" count="1" selected="0">
            <x v="5"/>
          </reference>
        </references>
      </pivotArea>
    </format>
    <format dxfId="1048">
      <pivotArea field="0" dataOnly="0" labelOnly="1" grandRow="1" outline="0" axis="axisRow" fieldPosition="0">
        <references count="1">
          <reference field="4294967294" count="1" selected="0">
            <x v="6"/>
          </reference>
        </references>
      </pivotArea>
    </format>
    <format dxfId="1047">
      <pivotArea field="0" dataOnly="0" labelOnly="1" grandRow="1" outline="0" axis="axisRow" fieldPosition="0">
        <references count="1">
          <reference field="4294967294" count="1" selected="0">
            <x v="7"/>
          </reference>
        </references>
      </pivotArea>
    </format>
    <format dxfId="1046">
      <pivotArea field="0" dataOnly="0" labelOnly="1" grandRow="1" outline="0" axis="axisRow" fieldPosition="0">
        <references count="1">
          <reference field="4294967294" count="1" selected="0">
            <x v="8"/>
          </reference>
        </references>
      </pivotArea>
    </format>
    <format dxfId="1045">
      <pivotArea field="0" dataOnly="0" labelOnly="1" grandRow="1" outline="0" axis="axisRow" fieldPosition="0">
        <references count="1">
          <reference field="4294967294" count="1" selected="0">
            <x v="9"/>
          </reference>
        </references>
      </pivotArea>
    </format>
    <format dxfId="1044">
      <pivotArea field="0" dataOnly="0" labelOnly="1" grandRow="1" outline="0" axis="axisRow" fieldPosition="0">
        <references count="1">
          <reference field="4294967294" count="1" selected="0">
            <x v="10"/>
          </reference>
        </references>
      </pivotArea>
    </format>
    <format dxfId="1043">
      <pivotArea field="0" dataOnly="0" labelOnly="1" grandRow="1" outline="0" axis="axisRow" fieldPosition="0">
        <references count="1">
          <reference field="4294967294" count="1" selected="0">
            <x v="11"/>
          </reference>
        </references>
      </pivotArea>
    </format>
    <format dxfId="1042">
      <pivotArea field="0" dataOnly="0" labelOnly="1" grandRow="1" outline="0" axis="axisRow" fieldPosition="0">
        <references count="1">
          <reference field="4294967294" count="1" selected="0">
            <x v="12"/>
          </reference>
        </references>
      </pivotArea>
    </format>
    <format dxfId="1041">
      <pivotArea field="0" dataOnly="0" labelOnly="1" grandRow="1" outline="0" axis="axisRow" fieldPosition="0">
        <references count="1">
          <reference field="4294967294" count="1" selected="0">
            <x v="13"/>
          </reference>
        </references>
      </pivotArea>
    </format>
    <format dxfId="1040">
      <pivotArea field="0" dataOnly="0" labelOnly="1" grandRow="1" outline="0" axis="axisRow" fieldPosition="0">
        <references count="1">
          <reference field="4294967294" count="1" selected="0">
            <x v="14"/>
          </reference>
        </references>
      </pivotArea>
    </format>
    <format dxfId="1039">
      <pivotArea field="0" dataOnly="0" labelOnly="1" grandRow="1" outline="0" axis="axisRow" fieldPosition="0">
        <references count="1">
          <reference field="4294967294" count="1" selected="0">
            <x v="15"/>
          </reference>
        </references>
      </pivotArea>
    </format>
    <format dxfId="1038">
      <pivotArea field="0" dataOnly="0" labelOnly="1" grandRow="1" outline="0" axis="axisRow" fieldPosition="0">
        <references count="1">
          <reference field="4294967294" count="1" selected="0">
            <x v="16"/>
          </reference>
        </references>
      </pivotArea>
    </format>
    <format dxfId="1037">
      <pivotArea field="0" dataOnly="0" labelOnly="1" grandRow="1" outline="0" axis="axisRow" fieldPosition="0">
        <references count="1">
          <reference field="4294967294" count="1" selected="0">
            <x v="17"/>
          </reference>
        </references>
      </pivotArea>
    </format>
    <format dxfId="1036">
      <pivotArea field="0" dataOnly="0" labelOnly="1" grandRow="1" outline="0" axis="axisRow" fieldPosition="0">
        <references count="1">
          <reference field="4294967294" count="1" selected="0">
            <x v="18"/>
          </reference>
        </references>
      </pivotArea>
    </format>
    <format dxfId="1035">
      <pivotArea field="0" dataOnly="0" labelOnly="1" grandRow="1" outline="0" axis="axisRow" fieldPosition="0">
        <references count="1">
          <reference field="4294967294" count="1" selected="0">
            <x v="19"/>
          </reference>
        </references>
      </pivotArea>
    </format>
    <format dxfId="1034">
      <pivotArea field="0" dataOnly="0" labelOnly="1" grandRow="1" outline="0" axis="axisRow" fieldPosition="0">
        <references count="1">
          <reference field="4294967294" count="1" selected="0">
            <x v="20"/>
          </reference>
        </references>
      </pivotArea>
    </format>
    <format dxfId="1033">
      <pivotArea field="0" dataOnly="0" labelOnly="1" grandRow="1" outline="0" axis="axisRow" fieldPosition="0">
        <references count="1">
          <reference field="4294967294" count="1" selected="0">
            <x v="21"/>
          </reference>
        </references>
      </pivotArea>
    </format>
    <format dxfId="1032">
      <pivotArea field="0" dataOnly="0" labelOnly="1" grandRow="1" outline="0" axis="axisRow" fieldPosition="0">
        <references count="1">
          <reference field="4294967294" count="1" selected="0">
            <x v="22"/>
          </reference>
        </references>
      </pivotArea>
    </format>
    <format dxfId="1031">
      <pivotArea field="0" dataOnly="0" labelOnly="1" grandRow="1" outline="0" axis="axisRow" fieldPosition="0">
        <references count="1">
          <reference field="4294967294" count="1" selected="0">
            <x v="23"/>
          </reference>
        </references>
      </pivotArea>
    </format>
    <format dxfId="1030">
      <pivotArea field="0" dataOnly="0" labelOnly="1" grandRow="1" outline="0" axis="axisRow" fieldPosition="0">
        <references count="1">
          <reference field="4294967294" count="1" selected="0">
            <x v="24"/>
          </reference>
        </references>
      </pivotArea>
    </format>
    <format dxfId="1029">
      <pivotArea field="0" dataOnly="0" labelOnly="1" grandRow="1" outline="0" axis="axisRow" fieldPosition="0">
        <references count="1">
          <reference field="4294967294" count="1" selected="0">
            <x v="25"/>
          </reference>
        </references>
      </pivotArea>
    </format>
    <format dxfId="1028">
      <pivotArea field="0" dataOnly="0" labelOnly="1" grandRow="1" outline="0" axis="axisRow" fieldPosition="0">
        <references count="1">
          <reference field="4294967294" count="1" selected="0">
            <x v="26"/>
          </reference>
        </references>
      </pivotArea>
    </format>
    <format dxfId="1027">
      <pivotArea field="0" dataOnly="0" labelOnly="1" grandRow="1" outline="0" axis="axisRow" fieldPosition="0">
        <references count="1">
          <reference field="4294967294" count="1" selected="0">
            <x v="27"/>
          </reference>
        </references>
      </pivotArea>
    </format>
    <format dxfId="1026">
      <pivotArea field="0" dataOnly="0" labelOnly="1" grandRow="1" outline="0" axis="axisRow" fieldPosition="0">
        <references count="1">
          <reference field="4294967294" count="1" selected="0">
            <x v="28"/>
          </reference>
        </references>
      </pivotArea>
    </format>
    <format dxfId="1025">
      <pivotArea field="0" dataOnly="0" labelOnly="1" grandRow="1" outline="0" axis="axisRow" fieldPosition="0">
        <references count="1">
          <reference field="4294967294" count="1" selected="0">
            <x v="29"/>
          </reference>
        </references>
      </pivotArea>
    </format>
    <format dxfId="1024">
      <pivotArea field="0" dataOnly="0" labelOnly="1" grandRow="1" outline="0" axis="axisRow" fieldPosition="0">
        <references count="1">
          <reference field="4294967294" count="1" selected="0">
            <x v="30"/>
          </reference>
        </references>
      </pivotArea>
    </format>
    <format dxfId="1023">
      <pivotArea field="0" dataOnly="0" labelOnly="1" grandRow="1" outline="0" axis="axisRow" fieldPosition="0">
        <references count="1">
          <reference field="4294967294" count="1" selected="0">
            <x v="31"/>
          </reference>
        </references>
      </pivotArea>
    </format>
    <format dxfId="1022">
      <pivotArea field="0" dataOnly="0" labelOnly="1" grandRow="1" outline="0" axis="axisRow" fieldPosition="0">
        <references count="1">
          <reference field="4294967294" count="1" selected="0">
            <x v="32"/>
          </reference>
        </references>
      </pivotArea>
    </format>
    <format dxfId="1021">
      <pivotArea field="0" dataOnly="0" labelOnly="1" grandRow="1" outline="0" axis="axisRow" fieldPosition="0">
        <references count="1">
          <reference field="4294967294" count="1" selected="0">
            <x v="33"/>
          </reference>
        </references>
      </pivotArea>
    </format>
    <format dxfId="1020">
      <pivotArea field="0" dataOnly="0" labelOnly="1" grandRow="1" outline="0" axis="axisRow" fieldPosition="0">
        <references count="1">
          <reference field="4294967294" count="1" selected="0">
            <x v="34"/>
          </reference>
        </references>
      </pivotArea>
    </format>
    <format dxfId="1019">
      <pivotArea field="0" dataOnly="0" labelOnly="1" grandRow="1" outline="0" axis="axisRow" fieldPosition="0">
        <references count="1">
          <reference field="4294967294" count="1" selected="0">
            <x v="35"/>
          </reference>
        </references>
      </pivotArea>
    </format>
    <format dxfId="1018">
      <pivotArea field="0" dataOnly="0" labelOnly="1" grandRow="1" outline="0" axis="axisRow" fieldPosition="0">
        <references count="1">
          <reference field="4294967294" count="1" selected="0">
            <x v="0"/>
          </reference>
        </references>
      </pivotArea>
    </format>
    <format dxfId="1017">
      <pivotArea field="0" dataOnly="0" labelOnly="1" grandRow="1" outline="0" axis="axisRow" fieldPosition="0">
        <references count="1">
          <reference field="4294967294" count="1" selected="0">
            <x v="1"/>
          </reference>
        </references>
      </pivotArea>
    </format>
    <format dxfId="1016">
      <pivotArea field="0" dataOnly="0" labelOnly="1" grandRow="1" outline="0" axis="axisRow" fieldPosition="0">
        <references count="1">
          <reference field="4294967294" count="1" selected="0">
            <x v="2"/>
          </reference>
        </references>
      </pivotArea>
    </format>
    <format dxfId="1015">
      <pivotArea field="0" dataOnly="0" labelOnly="1" grandRow="1" outline="0" axis="axisRow" fieldPosition="0">
        <references count="1">
          <reference field="4294967294" count="1" selected="0">
            <x v="3"/>
          </reference>
        </references>
      </pivotArea>
    </format>
    <format dxfId="1014">
      <pivotArea field="0" dataOnly="0" labelOnly="1" grandRow="1" outline="0" axis="axisRow" fieldPosition="0">
        <references count="1">
          <reference field="4294967294" count="1" selected="0">
            <x v="4"/>
          </reference>
        </references>
      </pivotArea>
    </format>
    <format dxfId="1013">
      <pivotArea field="0" dataOnly="0" labelOnly="1" grandRow="1" outline="0" axis="axisRow" fieldPosition="0">
        <references count="1">
          <reference field="4294967294" count="1" selected="0">
            <x v="5"/>
          </reference>
        </references>
      </pivotArea>
    </format>
    <format dxfId="1012">
      <pivotArea field="0" dataOnly="0" labelOnly="1" grandRow="1" outline="0" axis="axisRow" fieldPosition="0">
        <references count="1">
          <reference field="4294967294" count="1" selected="0">
            <x v="6"/>
          </reference>
        </references>
      </pivotArea>
    </format>
    <format dxfId="1011">
      <pivotArea field="0" dataOnly="0" labelOnly="1" grandRow="1" outline="0" axis="axisRow" fieldPosition="0">
        <references count="1">
          <reference field="4294967294" count="1" selected="0">
            <x v="7"/>
          </reference>
        </references>
      </pivotArea>
    </format>
    <format dxfId="1010">
      <pivotArea field="0" dataOnly="0" labelOnly="1" grandRow="1" outline="0" axis="axisRow" fieldPosition="0">
        <references count="1">
          <reference field="4294967294" count="1" selected="0">
            <x v="8"/>
          </reference>
        </references>
      </pivotArea>
    </format>
    <format dxfId="1009">
      <pivotArea field="0" dataOnly="0" labelOnly="1" grandRow="1" outline="0" axis="axisRow" fieldPosition="0">
        <references count="1">
          <reference field="4294967294" count="1" selected="0">
            <x v="9"/>
          </reference>
        </references>
      </pivotArea>
    </format>
    <format dxfId="1008">
      <pivotArea field="0" dataOnly="0" labelOnly="1" grandRow="1" outline="0" axis="axisRow" fieldPosition="0">
        <references count="1">
          <reference field="4294967294" count="1" selected="0">
            <x v="10"/>
          </reference>
        </references>
      </pivotArea>
    </format>
    <format dxfId="1007">
      <pivotArea field="0" dataOnly="0" labelOnly="1" grandRow="1" outline="0" axis="axisRow" fieldPosition="0">
        <references count="1">
          <reference field="4294967294" count="1" selected="0">
            <x v="11"/>
          </reference>
        </references>
      </pivotArea>
    </format>
    <format dxfId="1006">
      <pivotArea field="0" dataOnly="0" labelOnly="1" grandRow="1" outline="0" axis="axisRow" fieldPosition="0">
        <references count="1">
          <reference field="4294967294" count="1" selected="0">
            <x v="12"/>
          </reference>
        </references>
      </pivotArea>
    </format>
    <format dxfId="1005">
      <pivotArea field="0" dataOnly="0" labelOnly="1" grandRow="1" outline="0" axis="axisRow" fieldPosition="0">
        <references count="1">
          <reference field="4294967294" count="1" selected="0">
            <x v="13"/>
          </reference>
        </references>
      </pivotArea>
    </format>
    <format dxfId="1004">
      <pivotArea field="0" dataOnly="0" labelOnly="1" grandRow="1" outline="0" axis="axisRow" fieldPosition="0">
        <references count="1">
          <reference field="4294967294" count="1" selected="0">
            <x v="14"/>
          </reference>
        </references>
      </pivotArea>
    </format>
    <format dxfId="1003">
      <pivotArea field="0" dataOnly="0" labelOnly="1" grandRow="1" outline="0" axis="axisRow" fieldPosition="0">
        <references count="1">
          <reference field="4294967294" count="1" selected="0">
            <x v="15"/>
          </reference>
        </references>
      </pivotArea>
    </format>
    <format dxfId="1002">
      <pivotArea field="0" dataOnly="0" labelOnly="1" grandRow="1" outline="0" axis="axisRow" fieldPosition="0">
        <references count="1">
          <reference field="4294967294" count="1" selected="0">
            <x v="16"/>
          </reference>
        </references>
      </pivotArea>
    </format>
    <format dxfId="1001">
      <pivotArea field="0" dataOnly="0" labelOnly="1" grandRow="1" outline="0" axis="axisRow" fieldPosition="0">
        <references count="1">
          <reference field="4294967294" count="1" selected="0">
            <x v="17"/>
          </reference>
        </references>
      </pivotArea>
    </format>
    <format dxfId="1000">
      <pivotArea field="0" dataOnly="0" labelOnly="1" grandRow="1" outline="0" axis="axisRow" fieldPosition="0">
        <references count="1">
          <reference field="4294967294" count="1" selected="0">
            <x v="18"/>
          </reference>
        </references>
      </pivotArea>
    </format>
    <format dxfId="999">
      <pivotArea field="0" dataOnly="0" labelOnly="1" grandRow="1" outline="0" axis="axisRow" fieldPosition="0">
        <references count="1">
          <reference field="4294967294" count="1" selected="0">
            <x v="19"/>
          </reference>
        </references>
      </pivotArea>
    </format>
    <format dxfId="998">
      <pivotArea field="0" dataOnly="0" labelOnly="1" grandRow="1" outline="0" axis="axisRow" fieldPosition="0">
        <references count="1">
          <reference field="4294967294" count="1" selected="0">
            <x v="20"/>
          </reference>
        </references>
      </pivotArea>
    </format>
    <format dxfId="997">
      <pivotArea field="0" dataOnly="0" labelOnly="1" grandRow="1" outline="0" axis="axisRow" fieldPosition="0">
        <references count="1">
          <reference field="4294967294" count="1" selected="0">
            <x v="21"/>
          </reference>
        </references>
      </pivotArea>
    </format>
    <format dxfId="996">
      <pivotArea field="0" dataOnly="0" labelOnly="1" grandRow="1" outline="0" axis="axisRow" fieldPosition="0">
        <references count="1">
          <reference field="4294967294" count="1" selected="0">
            <x v="22"/>
          </reference>
        </references>
      </pivotArea>
    </format>
    <format dxfId="995">
      <pivotArea field="0" dataOnly="0" labelOnly="1" grandRow="1" outline="0" axis="axisRow" fieldPosition="0">
        <references count="1">
          <reference field="4294967294" count="1" selected="0">
            <x v="23"/>
          </reference>
        </references>
      </pivotArea>
    </format>
    <format dxfId="994">
      <pivotArea field="0" dataOnly="0" labelOnly="1" grandRow="1" outline="0" axis="axisRow" fieldPosition="0">
        <references count="1">
          <reference field="4294967294" count="1" selected="0">
            <x v="24"/>
          </reference>
        </references>
      </pivotArea>
    </format>
    <format dxfId="993">
      <pivotArea field="0" dataOnly="0" labelOnly="1" grandRow="1" outline="0" axis="axisRow" fieldPosition="0">
        <references count="1">
          <reference field="4294967294" count="1" selected="0">
            <x v="25"/>
          </reference>
        </references>
      </pivotArea>
    </format>
    <format dxfId="992">
      <pivotArea field="0" dataOnly="0" labelOnly="1" grandRow="1" outline="0" axis="axisRow" fieldPosition="0">
        <references count="1">
          <reference field="4294967294" count="1" selected="0">
            <x v="26"/>
          </reference>
        </references>
      </pivotArea>
    </format>
    <format dxfId="991">
      <pivotArea field="0" dataOnly="0" labelOnly="1" grandRow="1" outline="0" axis="axisRow" fieldPosition="0">
        <references count="1">
          <reference field="4294967294" count="1" selected="0">
            <x v="27"/>
          </reference>
        </references>
      </pivotArea>
    </format>
    <format dxfId="990">
      <pivotArea field="0" dataOnly="0" labelOnly="1" grandRow="1" outline="0" axis="axisRow" fieldPosition="0">
        <references count="1">
          <reference field="4294967294" count="1" selected="0">
            <x v="28"/>
          </reference>
        </references>
      </pivotArea>
    </format>
    <format dxfId="989">
      <pivotArea field="0" dataOnly="0" labelOnly="1" grandRow="1" outline="0" axis="axisRow" fieldPosition="0">
        <references count="1">
          <reference field="4294967294" count="1" selected="0">
            <x v="29"/>
          </reference>
        </references>
      </pivotArea>
    </format>
    <format dxfId="988">
      <pivotArea field="0" dataOnly="0" labelOnly="1" grandRow="1" outline="0" axis="axisRow" fieldPosition="0">
        <references count="1">
          <reference field="4294967294" count="1" selected="0">
            <x v="30"/>
          </reference>
        </references>
      </pivotArea>
    </format>
    <format dxfId="987">
      <pivotArea field="0" dataOnly="0" labelOnly="1" grandRow="1" outline="0" axis="axisRow" fieldPosition="0">
        <references count="1">
          <reference field="4294967294" count="1" selected="0">
            <x v="31"/>
          </reference>
        </references>
      </pivotArea>
    </format>
    <format dxfId="986">
      <pivotArea field="0" dataOnly="0" labelOnly="1" grandRow="1" outline="0" axis="axisRow" fieldPosition="0">
        <references count="1">
          <reference field="4294967294" count="1" selected="0">
            <x v="32"/>
          </reference>
        </references>
      </pivotArea>
    </format>
    <format dxfId="985">
      <pivotArea field="0" dataOnly="0" labelOnly="1" grandRow="1" outline="0" axis="axisRow" fieldPosition="0">
        <references count="1">
          <reference field="4294967294" count="1" selected="0">
            <x v="33"/>
          </reference>
        </references>
      </pivotArea>
    </format>
    <format dxfId="984">
      <pivotArea field="0" dataOnly="0" labelOnly="1" grandRow="1" outline="0" axis="axisRow" fieldPosition="0">
        <references count="1">
          <reference field="4294967294" count="1" selected="0">
            <x v="34"/>
          </reference>
        </references>
      </pivotArea>
    </format>
    <format dxfId="983">
      <pivotArea field="0" dataOnly="0" labelOnly="1" grandRow="1" outline="0" axis="axisRow" fieldPosition="0">
        <references count="1">
          <reference field="4294967294" count="1" selected="0">
            <x v="35"/>
          </reference>
        </references>
      </pivotArea>
    </format>
    <format dxfId="982">
      <pivotArea field="0" dataOnly="0" labelOnly="1" grandRow="1" outline="0" axis="axisRow" fieldPosition="0">
        <references count="1">
          <reference field="4294967294" count="1" selected="0">
            <x v="0"/>
          </reference>
        </references>
      </pivotArea>
    </format>
    <format dxfId="981">
      <pivotArea field="0" dataOnly="0" labelOnly="1" grandRow="1" outline="0" axis="axisRow" fieldPosition="0">
        <references count="1">
          <reference field="4294967294" count="1" selected="0">
            <x v="1"/>
          </reference>
        </references>
      </pivotArea>
    </format>
    <format dxfId="980">
      <pivotArea field="0" dataOnly="0" labelOnly="1" grandRow="1" outline="0" axis="axisRow" fieldPosition="0">
        <references count="1">
          <reference field="4294967294" count="1" selected="0">
            <x v="2"/>
          </reference>
        </references>
      </pivotArea>
    </format>
    <format dxfId="979">
      <pivotArea field="0" dataOnly="0" labelOnly="1" grandRow="1" outline="0" axis="axisRow" fieldPosition="0">
        <references count="1">
          <reference field="4294967294" count="1" selected="0">
            <x v="3"/>
          </reference>
        </references>
      </pivotArea>
    </format>
    <format dxfId="978">
      <pivotArea field="0" dataOnly="0" labelOnly="1" grandRow="1" outline="0" axis="axisRow" fieldPosition="0">
        <references count="1">
          <reference field="4294967294" count="1" selected="0">
            <x v="4"/>
          </reference>
        </references>
      </pivotArea>
    </format>
    <format dxfId="977">
      <pivotArea field="0" dataOnly="0" labelOnly="1" grandRow="1" outline="0" axis="axisRow" fieldPosition="0">
        <references count="1">
          <reference field="4294967294" count="1" selected="0">
            <x v="5"/>
          </reference>
        </references>
      </pivotArea>
    </format>
    <format dxfId="976">
      <pivotArea field="0" dataOnly="0" labelOnly="1" grandRow="1" outline="0" axis="axisRow" fieldPosition="0">
        <references count="1">
          <reference field="4294967294" count="1" selected="0">
            <x v="6"/>
          </reference>
        </references>
      </pivotArea>
    </format>
    <format dxfId="975">
      <pivotArea field="0" dataOnly="0" labelOnly="1" grandRow="1" outline="0" axis="axisRow" fieldPosition="0">
        <references count="1">
          <reference field="4294967294" count="1" selected="0">
            <x v="7"/>
          </reference>
        </references>
      </pivotArea>
    </format>
    <format dxfId="974">
      <pivotArea field="0" dataOnly="0" labelOnly="1" grandRow="1" outline="0" axis="axisRow" fieldPosition="0">
        <references count="1">
          <reference field="4294967294" count="1" selected="0">
            <x v="8"/>
          </reference>
        </references>
      </pivotArea>
    </format>
    <format dxfId="973">
      <pivotArea field="0" dataOnly="0" labelOnly="1" grandRow="1" outline="0" axis="axisRow" fieldPosition="0">
        <references count="1">
          <reference field="4294967294" count="1" selected="0">
            <x v="9"/>
          </reference>
        </references>
      </pivotArea>
    </format>
    <format dxfId="972">
      <pivotArea field="0" dataOnly="0" labelOnly="1" grandRow="1" outline="0" axis="axisRow" fieldPosition="0">
        <references count="1">
          <reference field="4294967294" count="1" selected="0">
            <x v="10"/>
          </reference>
        </references>
      </pivotArea>
    </format>
    <format dxfId="971">
      <pivotArea field="0" dataOnly="0" labelOnly="1" grandRow="1" outline="0" axis="axisRow" fieldPosition="0">
        <references count="1">
          <reference field="4294967294" count="1" selected="0">
            <x v="11"/>
          </reference>
        </references>
      </pivotArea>
    </format>
    <format dxfId="970">
      <pivotArea field="0" dataOnly="0" labelOnly="1" grandRow="1" outline="0" axis="axisRow" fieldPosition="0">
        <references count="1">
          <reference field="4294967294" count="1" selected="0">
            <x v="12"/>
          </reference>
        </references>
      </pivotArea>
    </format>
    <format dxfId="969">
      <pivotArea field="0" dataOnly="0" labelOnly="1" grandRow="1" outline="0" axis="axisRow" fieldPosition="0">
        <references count="1">
          <reference field="4294967294" count="1" selected="0">
            <x v="13"/>
          </reference>
        </references>
      </pivotArea>
    </format>
    <format dxfId="968">
      <pivotArea field="0" dataOnly="0" labelOnly="1" grandRow="1" outline="0" axis="axisRow" fieldPosition="0">
        <references count="1">
          <reference field="4294967294" count="1" selected="0">
            <x v="14"/>
          </reference>
        </references>
      </pivotArea>
    </format>
    <format dxfId="967">
      <pivotArea field="0" dataOnly="0" labelOnly="1" grandRow="1" outline="0" axis="axisRow" fieldPosition="0">
        <references count="1">
          <reference field="4294967294" count="1" selected="0">
            <x v="15"/>
          </reference>
        </references>
      </pivotArea>
    </format>
    <format dxfId="966">
      <pivotArea field="0" dataOnly="0" labelOnly="1" grandRow="1" outline="0" axis="axisRow" fieldPosition="0">
        <references count="1">
          <reference field="4294967294" count="1" selected="0">
            <x v="16"/>
          </reference>
        </references>
      </pivotArea>
    </format>
    <format dxfId="965">
      <pivotArea field="0" dataOnly="0" labelOnly="1" grandRow="1" outline="0" axis="axisRow" fieldPosition="0">
        <references count="1">
          <reference field="4294967294" count="1" selected="0">
            <x v="17"/>
          </reference>
        </references>
      </pivotArea>
    </format>
    <format dxfId="964">
      <pivotArea field="0" dataOnly="0" labelOnly="1" grandRow="1" outline="0" axis="axisRow" fieldPosition="0">
        <references count="1">
          <reference field="4294967294" count="1" selected="0">
            <x v="18"/>
          </reference>
        </references>
      </pivotArea>
    </format>
    <format dxfId="963">
      <pivotArea field="0" dataOnly="0" labelOnly="1" grandRow="1" outline="0" axis="axisRow" fieldPosition="0">
        <references count="1">
          <reference field="4294967294" count="1" selected="0">
            <x v="19"/>
          </reference>
        </references>
      </pivotArea>
    </format>
    <format dxfId="962">
      <pivotArea field="0" dataOnly="0" labelOnly="1" grandRow="1" outline="0" axis="axisRow" fieldPosition="0">
        <references count="1">
          <reference field="4294967294" count="1" selected="0">
            <x v="20"/>
          </reference>
        </references>
      </pivotArea>
    </format>
    <format dxfId="961">
      <pivotArea field="0" dataOnly="0" labelOnly="1" grandRow="1" outline="0" axis="axisRow" fieldPosition="0">
        <references count="1">
          <reference field="4294967294" count="1" selected="0">
            <x v="21"/>
          </reference>
        </references>
      </pivotArea>
    </format>
    <format dxfId="960">
      <pivotArea field="0" dataOnly="0" labelOnly="1" grandRow="1" outline="0" axis="axisRow" fieldPosition="0">
        <references count="1">
          <reference field="4294967294" count="1" selected="0">
            <x v="22"/>
          </reference>
        </references>
      </pivotArea>
    </format>
    <format dxfId="959">
      <pivotArea field="0" dataOnly="0" labelOnly="1" grandRow="1" outline="0" axis="axisRow" fieldPosition="0">
        <references count="1">
          <reference field="4294967294" count="1" selected="0">
            <x v="23"/>
          </reference>
        </references>
      </pivotArea>
    </format>
    <format dxfId="958">
      <pivotArea field="0" dataOnly="0" labelOnly="1" grandRow="1" outline="0" axis="axisRow" fieldPosition="0">
        <references count="1">
          <reference field="4294967294" count="1" selected="0">
            <x v="24"/>
          </reference>
        </references>
      </pivotArea>
    </format>
    <format dxfId="957">
      <pivotArea field="0" dataOnly="0" labelOnly="1" grandRow="1" outline="0" axis="axisRow" fieldPosition="0">
        <references count="1">
          <reference field="4294967294" count="1" selected="0">
            <x v="25"/>
          </reference>
        </references>
      </pivotArea>
    </format>
    <format dxfId="956">
      <pivotArea field="0" dataOnly="0" labelOnly="1" grandRow="1" outline="0" axis="axisRow" fieldPosition="0">
        <references count="1">
          <reference field="4294967294" count="1" selected="0">
            <x v="26"/>
          </reference>
        </references>
      </pivotArea>
    </format>
    <format dxfId="955">
      <pivotArea field="0" dataOnly="0" labelOnly="1" grandRow="1" outline="0" axis="axisRow" fieldPosition="0">
        <references count="1">
          <reference field="4294967294" count="1" selected="0">
            <x v="27"/>
          </reference>
        </references>
      </pivotArea>
    </format>
    <format dxfId="954">
      <pivotArea field="0" dataOnly="0" labelOnly="1" grandRow="1" outline="0" axis="axisRow" fieldPosition="0">
        <references count="1">
          <reference field="4294967294" count="1" selected="0">
            <x v="28"/>
          </reference>
        </references>
      </pivotArea>
    </format>
    <format dxfId="953">
      <pivotArea field="0" dataOnly="0" labelOnly="1" grandRow="1" outline="0" axis="axisRow" fieldPosition="0">
        <references count="1">
          <reference field="4294967294" count="1" selected="0">
            <x v="29"/>
          </reference>
        </references>
      </pivotArea>
    </format>
    <format dxfId="952">
      <pivotArea field="0" dataOnly="0" labelOnly="1" grandRow="1" outline="0" axis="axisRow" fieldPosition="0">
        <references count="1">
          <reference field="4294967294" count="1" selected="0">
            <x v="30"/>
          </reference>
        </references>
      </pivotArea>
    </format>
    <format dxfId="951">
      <pivotArea field="0" dataOnly="0" labelOnly="1" grandRow="1" outline="0" axis="axisRow" fieldPosition="0">
        <references count="1">
          <reference field="4294967294" count="1" selected="0">
            <x v="31"/>
          </reference>
        </references>
      </pivotArea>
    </format>
    <format dxfId="950">
      <pivotArea field="0" dataOnly="0" labelOnly="1" grandRow="1" outline="0" axis="axisRow" fieldPosition="0">
        <references count="1">
          <reference field="4294967294" count="1" selected="0">
            <x v="32"/>
          </reference>
        </references>
      </pivotArea>
    </format>
    <format dxfId="949">
      <pivotArea field="0" dataOnly="0" labelOnly="1" grandRow="1" outline="0" axis="axisRow" fieldPosition="0">
        <references count="1">
          <reference field="4294967294" count="1" selected="0">
            <x v="33"/>
          </reference>
        </references>
      </pivotArea>
    </format>
    <format dxfId="948">
      <pivotArea field="0" dataOnly="0" labelOnly="1" grandRow="1" outline="0" axis="axisRow" fieldPosition="0">
        <references count="1">
          <reference field="4294967294" count="1" selected="0">
            <x v="34"/>
          </reference>
        </references>
      </pivotArea>
    </format>
    <format dxfId="947">
      <pivotArea field="0" dataOnly="0" labelOnly="1" grandRow="1" outline="0" axis="axisRow" fieldPosition="0">
        <references count="1">
          <reference field="4294967294" count="1" selected="0">
            <x v="35"/>
          </reference>
        </references>
      </pivotArea>
    </format>
    <format dxfId="946">
      <pivotArea field="0" dataOnly="0" labelOnly="1" grandRow="1" outline="0" axis="axisRow" fieldPosition="0">
        <references count="1">
          <reference field="4294967294" count="1" selected="0">
            <x v="0"/>
          </reference>
        </references>
      </pivotArea>
    </format>
    <format dxfId="945">
      <pivotArea field="0" dataOnly="0" labelOnly="1" grandRow="1" outline="0" axis="axisRow" fieldPosition="0">
        <references count="1">
          <reference field="4294967294" count="1" selected="0">
            <x v="1"/>
          </reference>
        </references>
      </pivotArea>
    </format>
    <format dxfId="944">
      <pivotArea field="0" dataOnly="0" labelOnly="1" grandRow="1" outline="0" axis="axisRow" fieldPosition="0">
        <references count="1">
          <reference field="4294967294" count="1" selected="0">
            <x v="2"/>
          </reference>
        </references>
      </pivotArea>
    </format>
    <format dxfId="943">
      <pivotArea field="0" dataOnly="0" labelOnly="1" grandRow="1" outline="0" axis="axisRow" fieldPosition="0">
        <references count="1">
          <reference field="4294967294" count="1" selected="0">
            <x v="3"/>
          </reference>
        </references>
      </pivotArea>
    </format>
    <format dxfId="942">
      <pivotArea field="0" dataOnly="0" labelOnly="1" grandRow="1" outline="0" axis="axisRow" fieldPosition="0">
        <references count="1">
          <reference field="4294967294" count="1" selected="0">
            <x v="4"/>
          </reference>
        </references>
      </pivotArea>
    </format>
    <format dxfId="941">
      <pivotArea field="0" dataOnly="0" labelOnly="1" grandRow="1" outline="0" axis="axisRow" fieldPosition="0">
        <references count="1">
          <reference field="4294967294" count="1" selected="0">
            <x v="5"/>
          </reference>
        </references>
      </pivotArea>
    </format>
    <format dxfId="940">
      <pivotArea field="0" dataOnly="0" labelOnly="1" grandRow="1" outline="0" axis="axisRow" fieldPosition="0">
        <references count="1">
          <reference field="4294967294" count="1" selected="0">
            <x v="6"/>
          </reference>
        </references>
      </pivotArea>
    </format>
    <format dxfId="939">
      <pivotArea field="0" dataOnly="0" labelOnly="1" grandRow="1" outline="0" axis="axisRow" fieldPosition="0">
        <references count="1">
          <reference field="4294967294" count="1" selected="0">
            <x v="7"/>
          </reference>
        </references>
      </pivotArea>
    </format>
    <format dxfId="938">
      <pivotArea field="0" dataOnly="0" labelOnly="1" grandRow="1" outline="0" axis="axisRow" fieldPosition="0">
        <references count="1">
          <reference field="4294967294" count="1" selected="0">
            <x v="8"/>
          </reference>
        </references>
      </pivotArea>
    </format>
    <format dxfId="937">
      <pivotArea field="0" dataOnly="0" labelOnly="1" grandRow="1" outline="0" axis="axisRow" fieldPosition="0">
        <references count="1">
          <reference field="4294967294" count="1" selected="0">
            <x v="9"/>
          </reference>
        </references>
      </pivotArea>
    </format>
    <format dxfId="936">
      <pivotArea field="0" dataOnly="0" labelOnly="1" grandRow="1" outline="0" axis="axisRow" fieldPosition="0">
        <references count="1">
          <reference field="4294967294" count="1" selected="0">
            <x v="10"/>
          </reference>
        </references>
      </pivotArea>
    </format>
    <format dxfId="935">
      <pivotArea field="0" dataOnly="0" labelOnly="1" grandRow="1" outline="0" axis="axisRow" fieldPosition="0">
        <references count="1">
          <reference field="4294967294" count="1" selected="0">
            <x v="11"/>
          </reference>
        </references>
      </pivotArea>
    </format>
    <format dxfId="934">
      <pivotArea field="0" dataOnly="0" labelOnly="1" grandRow="1" outline="0" axis="axisRow" fieldPosition="0">
        <references count="1">
          <reference field="4294967294" count="1" selected="0">
            <x v="12"/>
          </reference>
        </references>
      </pivotArea>
    </format>
    <format dxfId="933">
      <pivotArea field="0" dataOnly="0" labelOnly="1" grandRow="1" outline="0" axis="axisRow" fieldPosition="0">
        <references count="1">
          <reference field="4294967294" count="1" selected="0">
            <x v="13"/>
          </reference>
        </references>
      </pivotArea>
    </format>
    <format dxfId="932">
      <pivotArea field="0" dataOnly="0" labelOnly="1" grandRow="1" outline="0" axis="axisRow" fieldPosition="0">
        <references count="1">
          <reference field="4294967294" count="1" selected="0">
            <x v="14"/>
          </reference>
        </references>
      </pivotArea>
    </format>
    <format dxfId="931">
      <pivotArea field="0" dataOnly="0" labelOnly="1" grandRow="1" outline="0" axis="axisRow" fieldPosition="0">
        <references count="1">
          <reference field="4294967294" count="1" selected="0">
            <x v="15"/>
          </reference>
        </references>
      </pivotArea>
    </format>
    <format dxfId="930">
      <pivotArea field="0" dataOnly="0" labelOnly="1" grandRow="1" outline="0" axis="axisRow" fieldPosition="0">
        <references count="1">
          <reference field="4294967294" count="1" selected="0">
            <x v="16"/>
          </reference>
        </references>
      </pivotArea>
    </format>
    <format dxfId="929">
      <pivotArea field="0" dataOnly="0" labelOnly="1" grandRow="1" outline="0" axis="axisRow" fieldPosition="0">
        <references count="1">
          <reference field="4294967294" count="1" selected="0">
            <x v="17"/>
          </reference>
        </references>
      </pivotArea>
    </format>
    <format dxfId="928">
      <pivotArea field="0" dataOnly="0" labelOnly="1" grandRow="1" outline="0" axis="axisRow" fieldPosition="0">
        <references count="1">
          <reference field="4294967294" count="1" selected="0">
            <x v="18"/>
          </reference>
        </references>
      </pivotArea>
    </format>
    <format dxfId="927">
      <pivotArea field="0" dataOnly="0" labelOnly="1" grandRow="1" outline="0" axis="axisRow" fieldPosition="0">
        <references count="1">
          <reference field="4294967294" count="1" selected="0">
            <x v="19"/>
          </reference>
        </references>
      </pivotArea>
    </format>
    <format dxfId="926">
      <pivotArea field="0" dataOnly="0" labelOnly="1" grandRow="1" outline="0" axis="axisRow" fieldPosition="0">
        <references count="1">
          <reference field="4294967294" count="1" selected="0">
            <x v="20"/>
          </reference>
        </references>
      </pivotArea>
    </format>
    <format dxfId="925">
      <pivotArea field="0" dataOnly="0" labelOnly="1" grandRow="1" outline="0" axis="axisRow" fieldPosition="0">
        <references count="1">
          <reference field="4294967294" count="1" selected="0">
            <x v="21"/>
          </reference>
        </references>
      </pivotArea>
    </format>
    <format dxfId="924">
      <pivotArea field="0" dataOnly="0" labelOnly="1" grandRow="1" outline="0" axis="axisRow" fieldPosition="0">
        <references count="1">
          <reference field="4294967294" count="1" selected="0">
            <x v="22"/>
          </reference>
        </references>
      </pivotArea>
    </format>
    <format dxfId="923">
      <pivotArea field="0" dataOnly="0" labelOnly="1" grandRow="1" outline="0" axis="axisRow" fieldPosition="0">
        <references count="1">
          <reference field="4294967294" count="1" selected="0">
            <x v="23"/>
          </reference>
        </references>
      </pivotArea>
    </format>
    <format dxfId="922">
      <pivotArea field="0" dataOnly="0" labelOnly="1" grandRow="1" outline="0" axis="axisRow" fieldPosition="0">
        <references count="1">
          <reference field="4294967294" count="1" selected="0">
            <x v="24"/>
          </reference>
        </references>
      </pivotArea>
    </format>
    <format dxfId="921">
      <pivotArea field="0" dataOnly="0" labelOnly="1" grandRow="1" outline="0" axis="axisRow" fieldPosition="0">
        <references count="1">
          <reference field="4294967294" count="1" selected="0">
            <x v="25"/>
          </reference>
        </references>
      </pivotArea>
    </format>
    <format dxfId="920">
      <pivotArea field="0" dataOnly="0" labelOnly="1" grandRow="1" outline="0" axis="axisRow" fieldPosition="0">
        <references count="1">
          <reference field="4294967294" count="1" selected="0">
            <x v="26"/>
          </reference>
        </references>
      </pivotArea>
    </format>
    <format dxfId="919">
      <pivotArea field="0" dataOnly="0" labelOnly="1" grandRow="1" outline="0" axis="axisRow" fieldPosition="0">
        <references count="1">
          <reference field="4294967294" count="1" selected="0">
            <x v="27"/>
          </reference>
        </references>
      </pivotArea>
    </format>
    <format dxfId="918">
      <pivotArea field="0" dataOnly="0" labelOnly="1" grandRow="1" outline="0" axis="axisRow" fieldPosition="0">
        <references count="1">
          <reference field="4294967294" count="1" selected="0">
            <x v="28"/>
          </reference>
        </references>
      </pivotArea>
    </format>
    <format dxfId="917">
      <pivotArea field="0" dataOnly="0" labelOnly="1" grandRow="1" outline="0" axis="axisRow" fieldPosition="0">
        <references count="1">
          <reference field="4294967294" count="1" selected="0">
            <x v="29"/>
          </reference>
        </references>
      </pivotArea>
    </format>
    <format dxfId="916">
      <pivotArea field="0" dataOnly="0" labelOnly="1" grandRow="1" outline="0" axis="axisRow" fieldPosition="0">
        <references count="1">
          <reference field="4294967294" count="1" selected="0">
            <x v="30"/>
          </reference>
        </references>
      </pivotArea>
    </format>
    <format dxfId="915">
      <pivotArea field="0" dataOnly="0" labelOnly="1" grandRow="1" outline="0" axis="axisRow" fieldPosition="0">
        <references count="1">
          <reference field="4294967294" count="1" selected="0">
            <x v="31"/>
          </reference>
        </references>
      </pivotArea>
    </format>
    <format dxfId="914">
      <pivotArea field="0" dataOnly="0" labelOnly="1" grandRow="1" outline="0" axis="axisRow" fieldPosition="0">
        <references count="1">
          <reference field="4294967294" count="1" selected="0">
            <x v="32"/>
          </reference>
        </references>
      </pivotArea>
    </format>
    <format dxfId="913">
      <pivotArea field="0" dataOnly="0" labelOnly="1" grandRow="1" outline="0" axis="axisRow" fieldPosition="0">
        <references count="1">
          <reference field="4294967294" count="1" selected="0">
            <x v="33"/>
          </reference>
        </references>
      </pivotArea>
    </format>
    <format dxfId="912">
      <pivotArea field="0" dataOnly="0" labelOnly="1" grandRow="1" outline="0" axis="axisRow" fieldPosition="0">
        <references count="1">
          <reference field="4294967294" count="1" selected="0">
            <x v="34"/>
          </reference>
        </references>
      </pivotArea>
    </format>
    <format dxfId="911">
      <pivotArea field="0" dataOnly="0" labelOnly="1" grandRow="1" outline="0" axis="axisRow" fieldPosition="0">
        <references count="1">
          <reference field="4294967294" count="1" selected="0">
            <x v="35"/>
          </reference>
        </references>
      </pivotArea>
    </format>
    <format dxfId="910">
      <pivotArea field="0" dataOnly="0" labelOnly="1" grandRow="1" outline="0" axis="axisRow" fieldPosition="0">
        <references count="1">
          <reference field="4294967294" count="1" selected="0">
            <x v="0"/>
          </reference>
        </references>
      </pivotArea>
    </format>
    <format dxfId="909">
      <pivotArea field="0" dataOnly="0" labelOnly="1" grandRow="1" outline="0" axis="axisRow" fieldPosition="0">
        <references count="1">
          <reference field="4294967294" count="1" selected="0">
            <x v="1"/>
          </reference>
        </references>
      </pivotArea>
    </format>
    <format dxfId="908">
      <pivotArea field="0" dataOnly="0" labelOnly="1" grandRow="1" outline="0" axis="axisRow" fieldPosition="0">
        <references count="1">
          <reference field="4294967294" count="1" selected="0">
            <x v="2"/>
          </reference>
        </references>
      </pivotArea>
    </format>
    <format dxfId="907">
      <pivotArea field="0" dataOnly="0" labelOnly="1" grandRow="1" outline="0" axis="axisRow" fieldPosition="0">
        <references count="1">
          <reference field="4294967294" count="1" selected="0">
            <x v="3"/>
          </reference>
        </references>
      </pivotArea>
    </format>
    <format dxfId="906">
      <pivotArea field="0" dataOnly="0" labelOnly="1" grandRow="1" outline="0" axis="axisRow" fieldPosition="0">
        <references count="1">
          <reference field="4294967294" count="1" selected="0">
            <x v="4"/>
          </reference>
        </references>
      </pivotArea>
    </format>
    <format dxfId="905">
      <pivotArea field="0" dataOnly="0" labelOnly="1" grandRow="1" outline="0" axis="axisRow" fieldPosition="0">
        <references count="1">
          <reference field="4294967294" count="1" selected="0">
            <x v="5"/>
          </reference>
        </references>
      </pivotArea>
    </format>
    <format dxfId="904">
      <pivotArea field="0" dataOnly="0" labelOnly="1" grandRow="1" outline="0" axis="axisRow" fieldPosition="0">
        <references count="1">
          <reference field="4294967294" count="1" selected="0">
            <x v="6"/>
          </reference>
        </references>
      </pivotArea>
    </format>
    <format dxfId="903">
      <pivotArea field="0" dataOnly="0" labelOnly="1" grandRow="1" outline="0" axis="axisRow" fieldPosition="0">
        <references count="1">
          <reference field="4294967294" count="1" selected="0">
            <x v="7"/>
          </reference>
        </references>
      </pivotArea>
    </format>
    <format dxfId="902">
      <pivotArea field="0" dataOnly="0" labelOnly="1" grandRow="1" outline="0" axis="axisRow" fieldPosition="0">
        <references count="1">
          <reference field="4294967294" count="1" selected="0">
            <x v="8"/>
          </reference>
        </references>
      </pivotArea>
    </format>
    <format dxfId="901">
      <pivotArea field="0" dataOnly="0" labelOnly="1" grandRow="1" outline="0" axis="axisRow" fieldPosition="0">
        <references count="1">
          <reference field="4294967294" count="1" selected="0">
            <x v="9"/>
          </reference>
        </references>
      </pivotArea>
    </format>
    <format dxfId="900">
      <pivotArea field="0" dataOnly="0" labelOnly="1" grandRow="1" outline="0" axis="axisRow" fieldPosition="0">
        <references count="1">
          <reference field="4294967294" count="1" selected="0">
            <x v="10"/>
          </reference>
        </references>
      </pivotArea>
    </format>
    <format dxfId="899">
      <pivotArea field="0" dataOnly="0" labelOnly="1" grandRow="1" outline="0" axis="axisRow" fieldPosition="0">
        <references count="1">
          <reference field="4294967294" count="1" selected="0">
            <x v="11"/>
          </reference>
        </references>
      </pivotArea>
    </format>
    <format dxfId="898">
      <pivotArea field="0" dataOnly="0" labelOnly="1" grandRow="1" outline="0" axis="axisRow" fieldPosition="0">
        <references count="1">
          <reference field="4294967294" count="1" selected="0">
            <x v="12"/>
          </reference>
        </references>
      </pivotArea>
    </format>
    <format dxfId="897">
      <pivotArea field="0" dataOnly="0" labelOnly="1" grandRow="1" outline="0" axis="axisRow" fieldPosition="0">
        <references count="1">
          <reference field="4294967294" count="1" selected="0">
            <x v="13"/>
          </reference>
        </references>
      </pivotArea>
    </format>
    <format dxfId="896">
      <pivotArea field="0" dataOnly="0" labelOnly="1" grandRow="1" outline="0" axis="axisRow" fieldPosition="0">
        <references count="1">
          <reference field="4294967294" count="1" selected="0">
            <x v="14"/>
          </reference>
        </references>
      </pivotArea>
    </format>
    <format dxfId="895">
      <pivotArea field="0" dataOnly="0" labelOnly="1" grandRow="1" outline="0" axis="axisRow" fieldPosition="0">
        <references count="1">
          <reference field="4294967294" count="1" selected="0">
            <x v="15"/>
          </reference>
        </references>
      </pivotArea>
    </format>
    <format dxfId="894">
      <pivotArea field="0" dataOnly="0" labelOnly="1" grandRow="1" outline="0" axis="axisRow" fieldPosition="0">
        <references count="1">
          <reference field="4294967294" count="1" selected="0">
            <x v="16"/>
          </reference>
        </references>
      </pivotArea>
    </format>
    <format dxfId="893">
      <pivotArea field="0" dataOnly="0" labelOnly="1" grandRow="1" outline="0" axis="axisRow" fieldPosition="0">
        <references count="1">
          <reference field="4294967294" count="1" selected="0">
            <x v="17"/>
          </reference>
        </references>
      </pivotArea>
    </format>
    <format dxfId="892">
      <pivotArea field="0" dataOnly="0" labelOnly="1" grandRow="1" outline="0" axis="axisRow" fieldPosition="0">
        <references count="1">
          <reference field="4294967294" count="1" selected="0">
            <x v="18"/>
          </reference>
        </references>
      </pivotArea>
    </format>
    <format dxfId="891">
      <pivotArea field="0" dataOnly="0" labelOnly="1" grandRow="1" outline="0" axis="axisRow" fieldPosition="0">
        <references count="1">
          <reference field="4294967294" count="1" selected="0">
            <x v="19"/>
          </reference>
        </references>
      </pivotArea>
    </format>
    <format dxfId="890">
      <pivotArea field="0" dataOnly="0" labelOnly="1" grandRow="1" outline="0" axis="axisRow" fieldPosition="0">
        <references count="1">
          <reference field="4294967294" count="1" selected="0">
            <x v="20"/>
          </reference>
        </references>
      </pivotArea>
    </format>
    <format dxfId="889">
      <pivotArea field="0" dataOnly="0" labelOnly="1" grandRow="1" outline="0" axis="axisRow" fieldPosition="0">
        <references count="1">
          <reference field="4294967294" count="1" selected="0">
            <x v="21"/>
          </reference>
        </references>
      </pivotArea>
    </format>
    <format dxfId="888">
      <pivotArea field="0" dataOnly="0" labelOnly="1" grandRow="1" outline="0" axis="axisRow" fieldPosition="0">
        <references count="1">
          <reference field="4294967294" count="1" selected="0">
            <x v="22"/>
          </reference>
        </references>
      </pivotArea>
    </format>
    <format dxfId="887">
      <pivotArea field="0" dataOnly="0" labelOnly="1" grandRow="1" outline="0" axis="axisRow" fieldPosition="0">
        <references count="1">
          <reference field="4294967294" count="1" selected="0">
            <x v="23"/>
          </reference>
        </references>
      </pivotArea>
    </format>
    <format dxfId="886">
      <pivotArea field="0" dataOnly="0" labelOnly="1" grandRow="1" outline="0" axis="axisRow" fieldPosition="0">
        <references count="1">
          <reference field="4294967294" count="1" selected="0">
            <x v="24"/>
          </reference>
        </references>
      </pivotArea>
    </format>
    <format dxfId="885">
      <pivotArea field="0" dataOnly="0" labelOnly="1" grandRow="1" outline="0" axis="axisRow" fieldPosition="0">
        <references count="1">
          <reference field="4294967294" count="1" selected="0">
            <x v="25"/>
          </reference>
        </references>
      </pivotArea>
    </format>
    <format dxfId="884">
      <pivotArea field="0" dataOnly="0" labelOnly="1" grandRow="1" outline="0" axis="axisRow" fieldPosition="0">
        <references count="1">
          <reference field="4294967294" count="1" selected="0">
            <x v="26"/>
          </reference>
        </references>
      </pivotArea>
    </format>
    <format dxfId="883">
      <pivotArea field="0" dataOnly="0" labelOnly="1" grandRow="1" outline="0" axis="axisRow" fieldPosition="0">
        <references count="1">
          <reference field="4294967294" count="1" selected="0">
            <x v="27"/>
          </reference>
        </references>
      </pivotArea>
    </format>
    <format dxfId="882">
      <pivotArea field="0" dataOnly="0" labelOnly="1" grandRow="1" outline="0" axis="axisRow" fieldPosition="0">
        <references count="1">
          <reference field="4294967294" count="1" selected="0">
            <x v="28"/>
          </reference>
        </references>
      </pivotArea>
    </format>
    <format dxfId="881">
      <pivotArea field="0" dataOnly="0" labelOnly="1" grandRow="1" outline="0" axis="axisRow" fieldPosition="0">
        <references count="1">
          <reference field="4294967294" count="1" selected="0">
            <x v="29"/>
          </reference>
        </references>
      </pivotArea>
    </format>
    <format dxfId="880">
      <pivotArea field="0" dataOnly="0" labelOnly="1" grandRow="1" outline="0" axis="axisRow" fieldPosition="0">
        <references count="1">
          <reference field="4294967294" count="1" selected="0">
            <x v="30"/>
          </reference>
        </references>
      </pivotArea>
    </format>
    <format dxfId="879">
      <pivotArea field="0" dataOnly="0" labelOnly="1" grandRow="1" outline="0" axis="axisRow" fieldPosition="0">
        <references count="1">
          <reference field="4294967294" count="1" selected="0">
            <x v="31"/>
          </reference>
        </references>
      </pivotArea>
    </format>
    <format dxfId="878">
      <pivotArea field="0" dataOnly="0" labelOnly="1" grandRow="1" outline="0" axis="axisRow" fieldPosition="0">
        <references count="1">
          <reference field="4294967294" count="1" selected="0">
            <x v="32"/>
          </reference>
        </references>
      </pivotArea>
    </format>
    <format dxfId="877">
      <pivotArea field="0" dataOnly="0" labelOnly="1" grandRow="1" outline="0" axis="axisRow" fieldPosition="0">
        <references count="1">
          <reference field="4294967294" count="1" selected="0">
            <x v="33"/>
          </reference>
        </references>
      </pivotArea>
    </format>
    <format dxfId="876">
      <pivotArea field="0" dataOnly="0" labelOnly="1" grandRow="1" outline="0" axis="axisRow" fieldPosition="0">
        <references count="1">
          <reference field="4294967294" count="1" selected="0">
            <x v="34"/>
          </reference>
        </references>
      </pivotArea>
    </format>
    <format dxfId="875">
      <pivotArea field="0" dataOnly="0" labelOnly="1" grandRow="1" outline="0" axis="axisRow" fieldPosition="0">
        <references count="1">
          <reference field="4294967294" count="1" selected="0">
            <x v="35"/>
          </reference>
        </references>
      </pivotArea>
    </format>
    <format dxfId="874">
      <pivotArea field="0" dataOnly="0" labelOnly="1" grandRow="1" outline="0" axis="axisRow" fieldPosition="0">
        <references count="1">
          <reference field="4294967294" count="1" selected="0">
            <x v="0"/>
          </reference>
        </references>
      </pivotArea>
    </format>
    <format dxfId="873">
      <pivotArea field="0" dataOnly="0" labelOnly="1" grandRow="1" outline="0" axis="axisRow" fieldPosition="0">
        <references count="1">
          <reference field="4294967294" count="1" selected="0">
            <x v="1"/>
          </reference>
        </references>
      </pivotArea>
    </format>
    <format dxfId="872">
      <pivotArea field="0" dataOnly="0" labelOnly="1" grandRow="1" outline="0" axis="axisRow" fieldPosition="0">
        <references count="1">
          <reference field="4294967294" count="1" selected="0">
            <x v="2"/>
          </reference>
        </references>
      </pivotArea>
    </format>
    <format dxfId="871">
      <pivotArea field="0" dataOnly="0" labelOnly="1" grandRow="1" outline="0" axis="axisRow" fieldPosition="0">
        <references count="1">
          <reference field="4294967294" count="1" selected="0">
            <x v="3"/>
          </reference>
        </references>
      </pivotArea>
    </format>
    <format dxfId="870">
      <pivotArea field="0" dataOnly="0" labelOnly="1" grandRow="1" outline="0" axis="axisRow" fieldPosition="0">
        <references count="1">
          <reference field="4294967294" count="1" selected="0">
            <x v="4"/>
          </reference>
        </references>
      </pivotArea>
    </format>
    <format dxfId="869">
      <pivotArea field="0" dataOnly="0" labelOnly="1" grandRow="1" outline="0" axis="axisRow" fieldPosition="0">
        <references count="1">
          <reference field="4294967294" count="1" selected="0">
            <x v="5"/>
          </reference>
        </references>
      </pivotArea>
    </format>
    <format dxfId="868">
      <pivotArea field="0" dataOnly="0" labelOnly="1" grandRow="1" outline="0" axis="axisRow" fieldPosition="0">
        <references count="1">
          <reference field="4294967294" count="1" selected="0">
            <x v="6"/>
          </reference>
        </references>
      </pivotArea>
    </format>
    <format dxfId="867">
      <pivotArea field="0" dataOnly="0" labelOnly="1" grandRow="1" outline="0" axis="axisRow" fieldPosition="0">
        <references count="1">
          <reference field="4294967294" count="1" selected="0">
            <x v="7"/>
          </reference>
        </references>
      </pivotArea>
    </format>
    <format dxfId="866">
      <pivotArea field="0" dataOnly="0" labelOnly="1" grandRow="1" outline="0" axis="axisRow" fieldPosition="0">
        <references count="1">
          <reference field="4294967294" count="1" selected="0">
            <x v="8"/>
          </reference>
        </references>
      </pivotArea>
    </format>
    <format dxfId="865">
      <pivotArea field="0" dataOnly="0" labelOnly="1" grandRow="1" outline="0" axis="axisRow" fieldPosition="0">
        <references count="1">
          <reference field="4294967294" count="1" selected="0">
            <x v="9"/>
          </reference>
        </references>
      </pivotArea>
    </format>
    <format dxfId="864">
      <pivotArea field="0" dataOnly="0" labelOnly="1" grandRow="1" outline="0" axis="axisRow" fieldPosition="0">
        <references count="1">
          <reference field="4294967294" count="1" selected="0">
            <x v="10"/>
          </reference>
        </references>
      </pivotArea>
    </format>
    <format dxfId="863">
      <pivotArea field="0" dataOnly="0" labelOnly="1" grandRow="1" outline="0" axis="axisRow" fieldPosition="0">
        <references count="1">
          <reference field="4294967294" count="1" selected="0">
            <x v="11"/>
          </reference>
        </references>
      </pivotArea>
    </format>
    <format dxfId="862">
      <pivotArea field="0" dataOnly="0" labelOnly="1" grandRow="1" outline="0" axis="axisRow" fieldPosition="0">
        <references count="1">
          <reference field="4294967294" count="1" selected="0">
            <x v="12"/>
          </reference>
        </references>
      </pivotArea>
    </format>
    <format dxfId="861">
      <pivotArea field="0" dataOnly="0" labelOnly="1" grandRow="1" outline="0" axis="axisRow" fieldPosition="0">
        <references count="1">
          <reference field="4294967294" count="1" selected="0">
            <x v="13"/>
          </reference>
        </references>
      </pivotArea>
    </format>
    <format dxfId="860">
      <pivotArea field="0" dataOnly="0" labelOnly="1" grandRow="1" outline="0" axis="axisRow" fieldPosition="0">
        <references count="1">
          <reference field="4294967294" count="1" selected="0">
            <x v="14"/>
          </reference>
        </references>
      </pivotArea>
    </format>
    <format dxfId="859">
      <pivotArea field="0" dataOnly="0" labelOnly="1" grandRow="1" outline="0" axis="axisRow" fieldPosition="0">
        <references count="1">
          <reference field="4294967294" count="1" selected="0">
            <x v="15"/>
          </reference>
        </references>
      </pivotArea>
    </format>
    <format dxfId="858">
      <pivotArea field="0" dataOnly="0" labelOnly="1" grandRow="1" outline="0" axis="axisRow" fieldPosition="0">
        <references count="1">
          <reference field="4294967294" count="1" selected="0">
            <x v="16"/>
          </reference>
        </references>
      </pivotArea>
    </format>
    <format dxfId="857">
      <pivotArea field="0" dataOnly="0" labelOnly="1" grandRow="1" outline="0" axis="axisRow" fieldPosition="0">
        <references count="1">
          <reference field="4294967294" count="1" selected="0">
            <x v="17"/>
          </reference>
        </references>
      </pivotArea>
    </format>
    <format dxfId="856">
      <pivotArea field="0" dataOnly="0" labelOnly="1" grandRow="1" outline="0" axis="axisRow" fieldPosition="0">
        <references count="1">
          <reference field="4294967294" count="1" selected="0">
            <x v="18"/>
          </reference>
        </references>
      </pivotArea>
    </format>
    <format dxfId="855">
      <pivotArea field="0" dataOnly="0" labelOnly="1" grandRow="1" outline="0" axis="axisRow" fieldPosition="0">
        <references count="1">
          <reference field="4294967294" count="1" selected="0">
            <x v="19"/>
          </reference>
        </references>
      </pivotArea>
    </format>
    <format dxfId="854">
      <pivotArea field="0" dataOnly="0" labelOnly="1" grandRow="1" outline="0" axis="axisRow" fieldPosition="0">
        <references count="1">
          <reference field="4294967294" count="1" selected="0">
            <x v="20"/>
          </reference>
        </references>
      </pivotArea>
    </format>
    <format dxfId="853">
      <pivotArea field="0" dataOnly="0" labelOnly="1" grandRow="1" outline="0" axis="axisRow" fieldPosition="0">
        <references count="1">
          <reference field="4294967294" count="1" selected="0">
            <x v="21"/>
          </reference>
        </references>
      </pivotArea>
    </format>
    <format dxfId="852">
      <pivotArea field="0" dataOnly="0" labelOnly="1" grandRow="1" outline="0" axis="axisRow" fieldPosition="0">
        <references count="1">
          <reference field="4294967294" count="1" selected="0">
            <x v="22"/>
          </reference>
        </references>
      </pivotArea>
    </format>
    <format dxfId="851">
      <pivotArea field="0" dataOnly="0" labelOnly="1" grandRow="1" outline="0" axis="axisRow" fieldPosition="0">
        <references count="1">
          <reference field="4294967294" count="1" selected="0">
            <x v="23"/>
          </reference>
        </references>
      </pivotArea>
    </format>
    <format dxfId="850">
      <pivotArea field="0" dataOnly="0" labelOnly="1" grandRow="1" outline="0" axis="axisRow" fieldPosition="0">
        <references count="1">
          <reference field="4294967294" count="1" selected="0">
            <x v="24"/>
          </reference>
        </references>
      </pivotArea>
    </format>
    <format dxfId="849">
      <pivotArea field="0" dataOnly="0" labelOnly="1" grandRow="1" outline="0" axis="axisRow" fieldPosition="0">
        <references count="1">
          <reference field="4294967294" count="1" selected="0">
            <x v="25"/>
          </reference>
        </references>
      </pivotArea>
    </format>
    <format dxfId="848">
      <pivotArea field="0" dataOnly="0" labelOnly="1" grandRow="1" outline="0" axis="axisRow" fieldPosition="0">
        <references count="1">
          <reference field="4294967294" count="1" selected="0">
            <x v="26"/>
          </reference>
        </references>
      </pivotArea>
    </format>
    <format dxfId="847">
      <pivotArea field="0" dataOnly="0" labelOnly="1" grandRow="1" outline="0" axis="axisRow" fieldPosition="0">
        <references count="1">
          <reference field="4294967294" count="1" selected="0">
            <x v="27"/>
          </reference>
        </references>
      </pivotArea>
    </format>
    <format dxfId="846">
      <pivotArea field="0" dataOnly="0" labelOnly="1" grandRow="1" outline="0" axis="axisRow" fieldPosition="0">
        <references count="1">
          <reference field="4294967294" count="1" selected="0">
            <x v="28"/>
          </reference>
        </references>
      </pivotArea>
    </format>
    <format dxfId="845">
      <pivotArea field="0" dataOnly="0" labelOnly="1" grandRow="1" outline="0" axis="axisRow" fieldPosition="0">
        <references count="1">
          <reference field="4294967294" count="1" selected="0">
            <x v="29"/>
          </reference>
        </references>
      </pivotArea>
    </format>
    <format dxfId="844">
      <pivotArea field="0" dataOnly="0" labelOnly="1" grandRow="1" outline="0" axis="axisRow" fieldPosition="0">
        <references count="1">
          <reference field="4294967294" count="1" selected="0">
            <x v="30"/>
          </reference>
        </references>
      </pivotArea>
    </format>
    <format dxfId="843">
      <pivotArea field="0" dataOnly="0" labelOnly="1" grandRow="1" outline="0" axis="axisRow" fieldPosition="0">
        <references count="1">
          <reference field="4294967294" count="1" selected="0">
            <x v="31"/>
          </reference>
        </references>
      </pivotArea>
    </format>
    <format dxfId="842">
      <pivotArea field="0" dataOnly="0" labelOnly="1" grandRow="1" outline="0" axis="axisRow" fieldPosition="0">
        <references count="1">
          <reference field="4294967294" count="1" selected="0">
            <x v="32"/>
          </reference>
        </references>
      </pivotArea>
    </format>
    <format dxfId="841">
      <pivotArea field="0" dataOnly="0" labelOnly="1" grandRow="1" outline="0" axis="axisRow" fieldPosition="0">
        <references count="1">
          <reference field="4294967294" count="1" selected="0">
            <x v="33"/>
          </reference>
        </references>
      </pivotArea>
    </format>
    <format dxfId="840">
      <pivotArea field="0" dataOnly="0" labelOnly="1" grandRow="1" outline="0" axis="axisRow" fieldPosition="0">
        <references count="1">
          <reference field="4294967294" count="1" selected="0">
            <x v="34"/>
          </reference>
        </references>
      </pivotArea>
    </format>
    <format dxfId="839">
      <pivotArea field="0" dataOnly="0" labelOnly="1" grandRow="1" outline="0" axis="axisRow" fieldPosition="0">
        <references count="1">
          <reference field="4294967294" count="1" selected="0">
            <x v="35"/>
          </reference>
        </references>
      </pivotArea>
    </format>
    <format dxfId="838">
      <pivotArea field="0" dataOnly="0" labelOnly="1" grandRow="1" outline="0" axis="axisRow" fieldPosition="0">
        <references count="1">
          <reference field="4294967294" count="1" selected="0">
            <x v="0"/>
          </reference>
        </references>
      </pivotArea>
    </format>
    <format dxfId="837">
      <pivotArea field="0" dataOnly="0" labelOnly="1" grandRow="1" outline="0" axis="axisRow" fieldPosition="0">
        <references count="1">
          <reference field="4294967294" count="1" selected="0">
            <x v="1"/>
          </reference>
        </references>
      </pivotArea>
    </format>
    <format dxfId="836">
      <pivotArea field="0" dataOnly="0" labelOnly="1" grandRow="1" outline="0" axis="axisRow" fieldPosition="0">
        <references count="1">
          <reference field="4294967294" count="1" selected="0">
            <x v="2"/>
          </reference>
        </references>
      </pivotArea>
    </format>
    <format dxfId="835">
      <pivotArea field="0" dataOnly="0" labelOnly="1" grandRow="1" outline="0" axis="axisRow" fieldPosition="0">
        <references count="1">
          <reference field="4294967294" count="1" selected="0">
            <x v="3"/>
          </reference>
        </references>
      </pivotArea>
    </format>
    <format dxfId="834">
      <pivotArea field="0" dataOnly="0" labelOnly="1" grandRow="1" outline="0" axis="axisRow" fieldPosition="0">
        <references count="1">
          <reference field="4294967294" count="1" selected="0">
            <x v="4"/>
          </reference>
        </references>
      </pivotArea>
    </format>
    <format dxfId="833">
      <pivotArea field="0" dataOnly="0" labelOnly="1" grandRow="1" outline="0" axis="axisRow" fieldPosition="0">
        <references count="1">
          <reference field="4294967294" count="1" selected="0">
            <x v="5"/>
          </reference>
        </references>
      </pivotArea>
    </format>
    <format dxfId="832">
      <pivotArea field="0" dataOnly="0" labelOnly="1" grandRow="1" outline="0" axis="axisRow" fieldPosition="0">
        <references count="1">
          <reference field="4294967294" count="1" selected="0">
            <x v="6"/>
          </reference>
        </references>
      </pivotArea>
    </format>
    <format dxfId="831">
      <pivotArea field="0" dataOnly="0" labelOnly="1" grandRow="1" outline="0" axis="axisRow" fieldPosition="0">
        <references count="1">
          <reference field="4294967294" count="1" selected="0">
            <x v="7"/>
          </reference>
        </references>
      </pivotArea>
    </format>
    <format dxfId="830">
      <pivotArea field="0" dataOnly="0" labelOnly="1" grandRow="1" outline="0" axis="axisRow" fieldPosition="0">
        <references count="1">
          <reference field="4294967294" count="1" selected="0">
            <x v="8"/>
          </reference>
        </references>
      </pivotArea>
    </format>
    <format dxfId="829">
      <pivotArea field="0" dataOnly="0" labelOnly="1" grandRow="1" outline="0" axis="axisRow" fieldPosition="0">
        <references count="1">
          <reference field="4294967294" count="1" selected="0">
            <x v="9"/>
          </reference>
        </references>
      </pivotArea>
    </format>
    <format dxfId="828">
      <pivotArea field="0" dataOnly="0" labelOnly="1" grandRow="1" outline="0" axis="axisRow" fieldPosition="0">
        <references count="1">
          <reference field="4294967294" count="1" selected="0">
            <x v="10"/>
          </reference>
        </references>
      </pivotArea>
    </format>
    <format dxfId="827">
      <pivotArea field="0" dataOnly="0" labelOnly="1" grandRow="1" outline="0" axis="axisRow" fieldPosition="0">
        <references count="1">
          <reference field="4294967294" count="1" selected="0">
            <x v="11"/>
          </reference>
        </references>
      </pivotArea>
    </format>
    <format dxfId="826">
      <pivotArea field="0" dataOnly="0" labelOnly="1" grandRow="1" outline="0" axis="axisRow" fieldPosition="0">
        <references count="1">
          <reference field="4294967294" count="1" selected="0">
            <x v="12"/>
          </reference>
        </references>
      </pivotArea>
    </format>
    <format dxfId="825">
      <pivotArea field="0" dataOnly="0" labelOnly="1" grandRow="1" outline="0" axis="axisRow" fieldPosition="0">
        <references count="1">
          <reference field="4294967294" count="1" selected="0">
            <x v="13"/>
          </reference>
        </references>
      </pivotArea>
    </format>
    <format dxfId="824">
      <pivotArea field="0" dataOnly="0" labelOnly="1" grandRow="1" outline="0" axis="axisRow" fieldPosition="0">
        <references count="1">
          <reference field="4294967294" count="1" selected="0">
            <x v="14"/>
          </reference>
        </references>
      </pivotArea>
    </format>
    <format dxfId="823">
      <pivotArea field="0" dataOnly="0" labelOnly="1" grandRow="1" outline="0" axis="axisRow" fieldPosition="0">
        <references count="1">
          <reference field="4294967294" count="1" selected="0">
            <x v="15"/>
          </reference>
        </references>
      </pivotArea>
    </format>
    <format dxfId="822">
      <pivotArea field="0" dataOnly="0" labelOnly="1" grandRow="1" outline="0" axis="axisRow" fieldPosition="0">
        <references count="1">
          <reference field="4294967294" count="1" selected="0">
            <x v="16"/>
          </reference>
        </references>
      </pivotArea>
    </format>
    <format dxfId="821">
      <pivotArea field="0" dataOnly="0" labelOnly="1" grandRow="1" outline="0" axis="axisRow" fieldPosition="0">
        <references count="1">
          <reference field="4294967294" count="1" selected="0">
            <x v="17"/>
          </reference>
        </references>
      </pivotArea>
    </format>
    <format dxfId="820">
      <pivotArea field="0" dataOnly="0" labelOnly="1" grandRow="1" outline="0" axis="axisRow" fieldPosition="0">
        <references count="1">
          <reference field="4294967294" count="1" selected="0">
            <x v="18"/>
          </reference>
        </references>
      </pivotArea>
    </format>
    <format dxfId="819">
      <pivotArea field="0" dataOnly="0" labelOnly="1" grandRow="1" outline="0" axis="axisRow" fieldPosition="0">
        <references count="1">
          <reference field="4294967294" count="1" selected="0">
            <x v="19"/>
          </reference>
        </references>
      </pivotArea>
    </format>
    <format dxfId="818">
      <pivotArea field="0" dataOnly="0" labelOnly="1" grandRow="1" outline="0" axis="axisRow" fieldPosition="0">
        <references count="1">
          <reference field="4294967294" count="1" selected="0">
            <x v="20"/>
          </reference>
        </references>
      </pivotArea>
    </format>
    <format dxfId="817">
      <pivotArea field="0" dataOnly="0" labelOnly="1" grandRow="1" outline="0" axis="axisRow" fieldPosition="0">
        <references count="1">
          <reference field="4294967294" count="1" selected="0">
            <x v="21"/>
          </reference>
        </references>
      </pivotArea>
    </format>
    <format dxfId="816">
      <pivotArea field="0" dataOnly="0" labelOnly="1" grandRow="1" outline="0" axis="axisRow" fieldPosition="0">
        <references count="1">
          <reference field="4294967294" count="1" selected="0">
            <x v="22"/>
          </reference>
        </references>
      </pivotArea>
    </format>
    <format dxfId="815">
      <pivotArea field="0" dataOnly="0" labelOnly="1" grandRow="1" outline="0" axis="axisRow" fieldPosition="0">
        <references count="1">
          <reference field="4294967294" count="1" selected="0">
            <x v="23"/>
          </reference>
        </references>
      </pivotArea>
    </format>
    <format dxfId="814">
      <pivotArea field="0" dataOnly="0" labelOnly="1" grandRow="1" outline="0" axis="axisRow" fieldPosition="0">
        <references count="1">
          <reference field="4294967294" count="1" selected="0">
            <x v="24"/>
          </reference>
        </references>
      </pivotArea>
    </format>
    <format dxfId="813">
      <pivotArea field="0" dataOnly="0" labelOnly="1" grandRow="1" outline="0" axis="axisRow" fieldPosition="0">
        <references count="1">
          <reference field="4294967294" count="1" selected="0">
            <x v="25"/>
          </reference>
        </references>
      </pivotArea>
    </format>
    <format dxfId="812">
      <pivotArea field="0" dataOnly="0" labelOnly="1" grandRow="1" outline="0" axis="axisRow" fieldPosition="0">
        <references count="1">
          <reference field="4294967294" count="1" selected="0">
            <x v="26"/>
          </reference>
        </references>
      </pivotArea>
    </format>
    <format dxfId="811">
      <pivotArea field="0" dataOnly="0" labelOnly="1" grandRow="1" outline="0" axis="axisRow" fieldPosition="0">
        <references count="1">
          <reference field="4294967294" count="1" selected="0">
            <x v="27"/>
          </reference>
        </references>
      </pivotArea>
    </format>
    <format dxfId="810">
      <pivotArea field="0" dataOnly="0" labelOnly="1" grandRow="1" outline="0" axis="axisRow" fieldPosition="0">
        <references count="1">
          <reference field="4294967294" count="1" selected="0">
            <x v="28"/>
          </reference>
        </references>
      </pivotArea>
    </format>
    <format dxfId="809">
      <pivotArea field="0" dataOnly="0" labelOnly="1" grandRow="1" outline="0" axis="axisRow" fieldPosition="0">
        <references count="1">
          <reference field="4294967294" count="1" selected="0">
            <x v="29"/>
          </reference>
        </references>
      </pivotArea>
    </format>
    <format dxfId="808">
      <pivotArea field="0" dataOnly="0" labelOnly="1" grandRow="1" outline="0" axis="axisRow" fieldPosition="0">
        <references count="1">
          <reference field="4294967294" count="1" selected="0">
            <x v="30"/>
          </reference>
        </references>
      </pivotArea>
    </format>
    <format dxfId="807">
      <pivotArea field="0" dataOnly="0" labelOnly="1" grandRow="1" outline="0" axis="axisRow" fieldPosition="0">
        <references count="1">
          <reference field="4294967294" count="1" selected="0">
            <x v="31"/>
          </reference>
        </references>
      </pivotArea>
    </format>
    <format dxfId="806">
      <pivotArea field="0" dataOnly="0" labelOnly="1" grandRow="1" outline="0" axis="axisRow" fieldPosition="0">
        <references count="1">
          <reference field="4294967294" count="1" selected="0">
            <x v="32"/>
          </reference>
        </references>
      </pivotArea>
    </format>
    <format dxfId="805">
      <pivotArea field="0" dataOnly="0" labelOnly="1" grandRow="1" outline="0" axis="axisRow" fieldPosition="0">
        <references count="1">
          <reference field="4294967294" count="1" selected="0">
            <x v="33"/>
          </reference>
        </references>
      </pivotArea>
    </format>
    <format dxfId="804">
      <pivotArea field="0" dataOnly="0" labelOnly="1" grandRow="1" outline="0" axis="axisRow" fieldPosition="0">
        <references count="1">
          <reference field="4294967294" count="1" selected="0">
            <x v="34"/>
          </reference>
        </references>
      </pivotArea>
    </format>
    <format dxfId="803">
      <pivotArea field="0" dataOnly="0" labelOnly="1" grandRow="1" outline="0" axis="axisRow" fieldPosition="0">
        <references count="1">
          <reference field="4294967294" count="1" selected="0">
            <x v="35"/>
          </reference>
        </references>
      </pivotArea>
    </format>
    <format dxfId="802">
      <pivotArea field="0" dataOnly="0" labelOnly="1" grandRow="1" outline="0" axis="axisRow" fieldPosition="0">
        <references count="1">
          <reference field="4294967294" count="1" selected="0">
            <x v="0"/>
          </reference>
        </references>
      </pivotArea>
    </format>
    <format dxfId="801">
      <pivotArea field="0" dataOnly="0" labelOnly="1" grandRow="1" outline="0" axis="axisRow" fieldPosition="0">
        <references count="1">
          <reference field="4294967294" count="1" selected="0">
            <x v="1"/>
          </reference>
        </references>
      </pivotArea>
    </format>
    <format dxfId="800">
      <pivotArea field="0" dataOnly="0" labelOnly="1" grandRow="1" outline="0" axis="axisRow" fieldPosition="0">
        <references count="1">
          <reference field="4294967294" count="1" selected="0">
            <x v="2"/>
          </reference>
        </references>
      </pivotArea>
    </format>
    <format dxfId="799">
      <pivotArea field="0" dataOnly="0" labelOnly="1" grandRow="1" outline="0" axis="axisRow" fieldPosition="0">
        <references count="1">
          <reference field="4294967294" count="1" selected="0">
            <x v="3"/>
          </reference>
        </references>
      </pivotArea>
    </format>
    <format dxfId="798">
      <pivotArea field="0" dataOnly="0" labelOnly="1" grandRow="1" outline="0" axis="axisRow" fieldPosition="0">
        <references count="1">
          <reference field="4294967294" count="1" selected="0">
            <x v="4"/>
          </reference>
        </references>
      </pivotArea>
    </format>
    <format dxfId="797">
      <pivotArea field="0" dataOnly="0" labelOnly="1" grandRow="1" outline="0" axis="axisRow" fieldPosition="0">
        <references count="1">
          <reference field="4294967294" count="1" selected="0">
            <x v="5"/>
          </reference>
        </references>
      </pivotArea>
    </format>
    <format dxfId="796">
      <pivotArea field="0" dataOnly="0" labelOnly="1" grandRow="1" outline="0" axis="axisRow" fieldPosition="0">
        <references count="1">
          <reference field="4294967294" count="1" selected="0">
            <x v="6"/>
          </reference>
        </references>
      </pivotArea>
    </format>
    <format dxfId="795">
      <pivotArea field="0" dataOnly="0" labelOnly="1" grandRow="1" outline="0" axis="axisRow" fieldPosition="0">
        <references count="1">
          <reference field="4294967294" count="1" selected="0">
            <x v="7"/>
          </reference>
        </references>
      </pivotArea>
    </format>
    <format dxfId="794">
      <pivotArea field="0" dataOnly="0" labelOnly="1" grandRow="1" outline="0" axis="axisRow" fieldPosition="0">
        <references count="1">
          <reference field="4294967294" count="1" selected="0">
            <x v="8"/>
          </reference>
        </references>
      </pivotArea>
    </format>
    <format dxfId="793">
      <pivotArea field="0" dataOnly="0" labelOnly="1" grandRow="1" outline="0" axis="axisRow" fieldPosition="0">
        <references count="1">
          <reference field="4294967294" count="1" selected="0">
            <x v="9"/>
          </reference>
        </references>
      </pivotArea>
    </format>
    <format dxfId="792">
      <pivotArea field="0" dataOnly="0" labelOnly="1" grandRow="1" outline="0" axis="axisRow" fieldPosition="0">
        <references count="1">
          <reference field="4294967294" count="1" selected="0">
            <x v="10"/>
          </reference>
        </references>
      </pivotArea>
    </format>
    <format dxfId="791">
      <pivotArea field="0" dataOnly="0" labelOnly="1" grandRow="1" outline="0" axis="axisRow" fieldPosition="0">
        <references count="1">
          <reference field="4294967294" count="1" selected="0">
            <x v="11"/>
          </reference>
        </references>
      </pivotArea>
    </format>
    <format dxfId="790">
      <pivotArea field="0" dataOnly="0" labelOnly="1" grandRow="1" outline="0" axis="axisRow" fieldPosition="0">
        <references count="1">
          <reference field="4294967294" count="1" selected="0">
            <x v="12"/>
          </reference>
        </references>
      </pivotArea>
    </format>
    <format dxfId="789">
      <pivotArea field="0" dataOnly="0" labelOnly="1" grandRow="1" outline="0" axis="axisRow" fieldPosition="0">
        <references count="1">
          <reference field="4294967294" count="1" selected="0">
            <x v="13"/>
          </reference>
        </references>
      </pivotArea>
    </format>
    <format dxfId="788">
      <pivotArea field="0" dataOnly="0" labelOnly="1" grandRow="1" outline="0" axis="axisRow" fieldPosition="0">
        <references count="1">
          <reference field="4294967294" count="1" selected="0">
            <x v="14"/>
          </reference>
        </references>
      </pivotArea>
    </format>
    <format dxfId="787">
      <pivotArea field="0" dataOnly="0" labelOnly="1" grandRow="1" outline="0" axis="axisRow" fieldPosition="0">
        <references count="1">
          <reference field="4294967294" count="1" selected="0">
            <x v="15"/>
          </reference>
        </references>
      </pivotArea>
    </format>
    <format dxfId="786">
      <pivotArea field="0" dataOnly="0" labelOnly="1" grandRow="1" outline="0" axis="axisRow" fieldPosition="0">
        <references count="1">
          <reference field="4294967294" count="1" selected="0">
            <x v="16"/>
          </reference>
        </references>
      </pivotArea>
    </format>
    <format dxfId="785">
      <pivotArea field="0" dataOnly="0" labelOnly="1" grandRow="1" outline="0" axis="axisRow" fieldPosition="0">
        <references count="1">
          <reference field="4294967294" count="1" selected="0">
            <x v="17"/>
          </reference>
        </references>
      </pivotArea>
    </format>
    <format dxfId="784">
      <pivotArea field="0" dataOnly="0" labelOnly="1" grandRow="1" outline="0" axis="axisRow" fieldPosition="0">
        <references count="1">
          <reference field="4294967294" count="1" selected="0">
            <x v="18"/>
          </reference>
        </references>
      </pivotArea>
    </format>
    <format dxfId="783">
      <pivotArea field="0" dataOnly="0" labelOnly="1" grandRow="1" outline="0" axis="axisRow" fieldPosition="0">
        <references count="1">
          <reference field="4294967294" count="1" selected="0">
            <x v="19"/>
          </reference>
        </references>
      </pivotArea>
    </format>
    <format dxfId="782">
      <pivotArea field="0" dataOnly="0" labelOnly="1" grandRow="1" outline="0" axis="axisRow" fieldPosition="0">
        <references count="1">
          <reference field="4294967294" count="1" selected="0">
            <x v="20"/>
          </reference>
        </references>
      </pivotArea>
    </format>
    <format dxfId="781">
      <pivotArea field="0" dataOnly="0" labelOnly="1" grandRow="1" outline="0" axis="axisRow" fieldPosition="0">
        <references count="1">
          <reference field="4294967294" count="1" selected="0">
            <x v="21"/>
          </reference>
        </references>
      </pivotArea>
    </format>
    <format dxfId="780">
      <pivotArea field="0" dataOnly="0" labelOnly="1" grandRow="1" outline="0" axis="axisRow" fieldPosition="0">
        <references count="1">
          <reference field="4294967294" count="1" selected="0">
            <x v="22"/>
          </reference>
        </references>
      </pivotArea>
    </format>
    <format dxfId="779">
      <pivotArea field="0" dataOnly="0" labelOnly="1" grandRow="1" outline="0" axis="axisRow" fieldPosition="0">
        <references count="1">
          <reference field="4294967294" count="1" selected="0">
            <x v="23"/>
          </reference>
        </references>
      </pivotArea>
    </format>
    <format dxfId="778">
      <pivotArea field="0" dataOnly="0" labelOnly="1" grandRow="1" outline="0" axis="axisRow" fieldPosition="0">
        <references count="1">
          <reference field="4294967294" count="1" selected="0">
            <x v="24"/>
          </reference>
        </references>
      </pivotArea>
    </format>
    <format dxfId="777">
      <pivotArea field="0" dataOnly="0" labelOnly="1" grandRow="1" outline="0" axis="axisRow" fieldPosition="0">
        <references count="1">
          <reference field="4294967294" count="1" selected="0">
            <x v="25"/>
          </reference>
        </references>
      </pivotArea>
    </format>
    <format dxfId="776">
      <pivotArea field="0" dataOnly="0" labelOnly="1" grandRow="1" outline="0" axis="axisRow" fieldPosition="0">
        <references count="1">
          <reference field="4294967294" count="1" selected="0">
            <x v="26"/>
          </reference>
        </references>
      </pivotArea>
    </format>
    <format dxfId="775">
      <pivotArea field="0" dataOnly="0" labelOnly="1" grandRow="1" outline="0" axis="axisRow" fieldPosition="0">
        <references count="1">
          <reference field="4294967294" count="1" selected="0">
            <x v="27"/>
          </reference>
        </references>
      </pivotArea>
    </format>
    <format dxfId="774">
      <pivotArea field="0" dataOnly="0" labelOnly="1" grandRow="1" outline="0" axis="axisRow" fieldPosition="0">
        <references count="1">
          <reference field="4294967294" count="1" selected="0">
            <x v="28"/>
          </reference>
        </references>
      </pivotArea>
    </format>
    <format dxfId="773">
      <pivotArea field="0" dataOnly="0" labelOnly="1" grandRow="1" outline="0" axis="axisRow" fieldPosition="0">
        <references count="1">
          <reference field="4294967294" count="1" selected="0">
            <x v="29"/>
          </reference>
        </references>
      </pivotArea>
    </format>
    <format dxfId="772">
      <pivotArea field="0" dataOnly="0" labelOnly="1" grandRow="1" outline="0" axis="axisRow" fieldPosition="0">
        <references count="1">
          <reference field="4294967294" count="1" selected="0">
            <x v="30"/>
          </reference>
        </references>
      </pivotArea>
    </format>
    <format dxfId="771">
      <pivotArea field="0" dataOnly="0" labelOnly="1" grandRow="1" outline="0" axis="axisRow" fieldPosition="0">
        <references count="1">
          <reference field="4294967294" count="1" selected="0">
            <x v="31"/>
          </reference>
        </references>
      </pivotArea>
    </format>
    <format dxfId="770">
      <pivotArea field="0" dataOnly="0" labelOnly="1" grandRow="1" outline="0" axis="axisRow" fieldPosition="0">
        <references count="1">
          <reference field="4294967294" count="1" selected="0">
            <x v="32"/>
          </reference>
        </references>
      </pivotArea>
    </format>
    <format dxfId="769">
      <pivotArea field="0" dataOnly="0" labelOnly="1" grandRow="1" outline="0" axis="axisRow" fieldPosition="0">
        <references count="1">
          <reference field="4294967294" count="1" selected="0">
            <x v="33"/>
          </reference>
        </references>
      </pivotArea>
    </format>
    <format dxfId="768">
      <pivotArea field="0" dataOnly="0" labelOnly="1" grandRow="1" outline="0" axis="axisRow" fieldPosition="0">
        <references count="1">
          <reference field="4294967294" count="1" selected="0">
            <x v="34"/>
          </reference>
        </references>
      </pivotArea>
    </format>
    <format dxfId="767">
      <pivotArea field="0" dataOnly="0" labelOnly="1" grandRow="1" outline="0" axis="axisRow" fieldPosition="0">
        <references count="1">
          <reference field="4294967294" count="1" selected="0">
            <x v="35"/>
          </reference>
        </references>
      </pivotArea>
    </format>
    <format dxfId="766">
      <pivotArea field="0" dataOnly="0" labelOnly="1" grandRow="1" outline="0" axis="axisRow" fieldPosition="0">
        <references count="1">
          <reference field="4294967294" count="1" selected="0">
            <x v="0"/>
          </reference>
        </references>
      </pivotArea>
    </format>
    <format dxfId="765">
      <pivotArea field="0" dataOnly="0" labelOnly="1" grandRow="1" outline="0" axis="axisRow" fieldPosition="0">
        <references count="1">
          <reference field="4294967294" count="1" selected="0">
            <x v="1"/>
          </reference>
        </references>
      </pivotArea>
    </format>
    <format dxfId="764">
      <pivotArea field="0" dataOnly="0" labelOnly="1" grandRow="1" outline="0" axis="axisRow" fieldPosition="0">
        <references count="1">
          <reference field="4294967294" count="1" selected="0">
            <x v="2"/>
          </reference>
        </references>
      </pivotArea>
    </format>
    <format dxfId="763">
      <pivotArea field="0" dataOnly="0" labelOnly="1" grandRow="1" outline="0" axis="axisRow" fieldPosition="0">
        <references count="1">
          <reference field="4294967294" count="1" selected="0">
            <x v="3"/>
          </reference>
        </references>
      </pivotArea>
    </format>
    <format dxfId="762">
      <pivotArea field="0" dataOnly="0" labelOnly="1" grandRow="1" outline="0" axis="axisRow" fieldPosition="0">
        <references count="1">
          <reference field="4294967294" count="1" selected="0">
            <x v="4"/>
          </reference>
        </references>
      </pivotArea>
    </format>
    <format dxfId="761">
      <pivotArea field="0" dataOnly="0" labelOnly="1" grandRow="1" outline="0" axis="axisRow" fieldPosition="0">
        <references count="1">
          <reference field="4294967294" count="1" selected="0">
            <x v="5"/>
          </reference>
        </references>
      </pivotArea>
    </format>
    <format dxfId="760">
      <pivotArea field="0" dataOnly="0" labelOnly="1" grandRow="1" outline="0" axis="axisRow" fieldPosition="0">
        <references count="1">
          <reference field="4294967294" count="1" selected="0">
            <x v="6"/>
          </reference>
        </references>
      </pivotArea>
    </format>
    <format dxfId="759">
      <pivotArea field="0" dataOnly="0" labelOnly="1" grandRow="1" outline="0" axis="axisRow" fieldPosition="0">
        <references count="1">
          <reference field="4294967294" count="1" selected="0">
            <x v="7"/>
          </reference>
        </references>
      </pivotArea>
    </format>
    <format dxfId="758">
      <pivotArea field="0" dataOnly="0" labelOnly="1" grandRow="1" outline="0" axis="axisRow" fieldPosition="0">
        <references count="1">
          <reference field="4294967294" count="1" selected="0">
            <x v="8"/>
          </reference>
        </references>
      </pivotArea>
    </format>
    <format dxfId="757">
      <pivotArea field="0" dataOnly="0" labelOnly="1" grandRow="1" outline="0" axis="axisRow" fieldPosition="0">
        <references count="1">
          <reference field="4294967294" count="1" selected="0">
            <x v="9"/>
          </reference>
        </references>
      </pivotArea>
    </format>
    <format dxfId="756">
      <pivotArea field="0" dataOnly="0" labelOnly="1" grandRow="1" outline="0" axis="axisRow" fieldPosition="0">
        <references count="1">
          <reference field="4294967294" count="1" selected="0">
            <x v="10"/>
          </reference>
        </references>
      </pivotArea>
    </format>
    <format dxfId="755">
      <pivotArea field="0" dataOnly="0" labelOnly="1" grandRow="1" outline="0" axis="axisRow" fieldPosition="0">
        <references count="1">
          <reference field="4294967294" count="1" selected="0">
            <x v="11"/>
          </reference>
        </references>
      </pivotArea>
    </format>
    <format dxfId="754">
      <pivotArea field="0" dataOnly="0" labelOnly="1" grandRow="1" outline="0" axis="axisRow" fieldPosition="0">
        <references count="1">
          <reference field="4294967294" count="1" selected="0">
            <x v="12"/>
          </reference>
        </references>
      </pivotArea>
    </format>
    <format dxfId="753">
      <pivotArea field="0" dataOnly="0" labelOnly="1" grandRow="1" outline="0" axis="axisRow" fieldPosition="0">
        <references count="1">
          <reference field="4294967294" count="1" selected="0">
            <x v="13"/>
          </reference>
        </references>
      </pivotArea>
    </format>
    <format dxfId="752">
      <pivotArea field="0" dataOnly="0" labelOnly="1" grandRow="1" outline="0" axis="axisRow" fieldPosition="0">
        <references count="1">
          <reference field="4294967294" count="1" selected="0">
            <x v="14"/>
          </reference>
        </references>
      </pivotArea>
    </format>
    <format dxfId="751">
      <pivotArea field="0" dataOnly="0" labelOnly="1" grandRow="1" outline="0" axis="axisRow" fieldPosition="0">
        <references count="1">
          <reference field="4294967294" count="1" selected="0">
            <x v="15"/>
          </reference>
        </references>
      </pivotArea>
    </format>
    <format dxfId="750">
      <pivotArea field="0" dataOnly="0" labelOnly="1" grandRow="1" outline="0" axis="axisRow" fieldPosition="0">
        <references count="1">
          <reference field="4294967294" count="1" selected="0">
            <x v="16"/>
          </reference>
        </references>
      </pivotArea>
    </format>
    <format dxfId="749">
      <pivotArea field="0" dataOnly="0" labelOnly="1" grandRow="1" outline="0" axis="axisRow" fieldPosition="0">
        <references count="1">
          <reference field="4294967294" count="1" selected="0">
            <x v="17"/>
          </reference>
        </references>
      </pivotArea>
    </format>
    <format dxfId="748">
      <pivotArea field="0" dataOnly="0" labelOnly="1" grandRow="1" outline="0" axis="axisRow" fieldPosition="0">
        <references count="1">
          <reference field="4294967294" count="1" selected="0">
            <x v="18"/>
          </reference>
        </references>
      </pivotArea>
    </format>
    <format dxfId="747">
      <pivotArea field="0" dataOnly="0" labelOnly="1" grandRow="1" outline="0" axis="axisRow" fieldPosition="0">
        <references count="1">
          <reference field="4294967294" count="1" selected="0">
            <x v="19"/>
          </reference>
        </references>
      </pivotArea>
    </format>
    <format dxfId="746">
      <pivotArea field="0" dataOnly="0" labelOnly="1" grandRow="1" outline="0" axis="axisRow" fieldPosition="0">
        <references count="1">
          <reference field="4294967294" count="1" selected="0">
            <x v="20"/>
          </reference>
        </references>
      </pivotArea>
    </format>
    <format dxfId="745">
      <pivotArea field="0" dataOnly="0" labelOnly="1" grandRow="1" outline="0" axis="axisRow" fieldPosition="0">
        <references count="1">
          <reference field="4294967294" count="1" selected="0">
            <x v="21"/>
          </reference>
        </references>
      </pivotArea>
    </format>
    <format dxfId="744">
      <pivotArea field="0" dataOnly="0" labelOnly="1" grandRow="1" outline="0" axis="axisRow" fieldPosition="0">
        <references count="1">
          <reference field="4294967294" count="1" selected="0">
            <x v="22"/>
          </reference>
        </references>
      </pivotArea>
    </format>
    <format dxfId="743">
      <pivotArea field="0" dataOnly="0" labelOnly="1" grandRow="1" outline="0" axis="axisRow" fieldPosition="0">
        <references count="1">
          <reference field="4294967294" count="1" selected="0">
            <x v="23"/>
          </reference>
        </references>
      </pivotArea>
    </format>
    <format dxfId="742">
      <pivotArea field="0" dataOnly="0" labelOnly="1" grandRow="1" outline="0" axis="axisRow" fieldPosition="0">
        <references count="1">
          <reference field="4294967294" count="1" selected="0">
            <x v="24"/>
          </reference>
        </references>
      </pivotArea>
    </format>
    <format dxfId="741">
      <pivotArea field="0" dataOnly="0" labelOnly="1" grandRow="1" outline="0" axis="axisRow" fieldPosition="0">
        <references count="1">
          <reference field="4294967294" count="1" selected="0">
            <x v="25"/>
          </reference>
        </references>
      </pivotArea>
    </format>
    <format dxfId="740">
      <pivotArea field="0" dataOnly="0" labelOnly="1" grandRow="1" outline="0" axis="axisRow" fieldPosition="0">
        <references count="1">
          <reference field="4294967294" count="1" selected="0">
            <x v="26"/>
          </reference>
        </references>
      </pivotArea>
    </format>
    <format dxfId="739">
      <pivotArea field="0" dataOnly="0" labelOnly="1" grandRow="1" outline="0" axis="axisRow" fieldPosition="0">
        <references count="1">
          <reference field="4294967294" count="1" selected="0">
            <x v="27"/>
          </reference>
        </references>
      </pivotArea>
    </format>
    <format dxfId="738">
      <pivotArea field="0" dataOnly="0" labelOnly="1" grandRow="1" outline="0" axis="axisRow" fieldPosition="0">
        <references count="1">
          <reference field="4294967294" count="1" selected="0">
            <x v="28"/>
          </reference>
        </references>
      </pivotArea>
    </format>
    <format dxfId="737">
      <pivotArea field="0" dataOnly="0" labelOnly="1" grandRow="1" outline="0" axis="axisRow" fieldPosition="0">
        <references count="1">
          <reference field="4294967294" count="1" selected="0">
            <x v="29"/>
          </reference>
        </references>
      </pivotArea>
    </format>
    <format dxfId="736">
      <pivotArea field="0" dataOnly="0" labelOnly="1" grandRow="1" outline="0" axis="axisRow" fieldPosition="0">
        <references count="1">
          <reference field="4294967294" count="1" selected="0">
            <x v="30"/>
          </reference>
        </references>
      </pivotArea>
    </format>
    <format dxfId="735">
      <pivotArea field="0" dataOnly="0" labelOnly="1" grandRow="1" outline="0" axis="axisRow" fieldPosition="0">
        <references count="1">
          <reference field="4294967294" count="1" selected="0">
            <x v="31"/>
          </reference>
        </references>
      </pivotArea>
    </format>
    <format dxfId="734">
      <pivotArea field="0" dataOnly="0" labelOnly="1" grandRow="1" outline="0" axis="axisRow" fieldPosition="0">
        <references count="1">
          <reference field="4294967294" count="1" selected="0">
            <x v="32"/>
          </reference>
        </references>
      </pivotArea>
    </format>
    <format dxfId="733">
      <pivotArea field="0" dataOnly="0" labelOnly="1" grandRow="1" outline="0" axis="axisRow" fieldPosition="0">
        <references count="1">
          <reference field="4294967294" count="1" selected="0">
            <x v="33"/>
          </reference>
        </references>
      </pivotArea>
    </format>
    <format dxfId="732">
      <pivotArea field="0" dataOnly="0" labelOnly="1" grandRow="1" outline="0" axis="axisRow" fieldPosition="0">
        <references count="1">
          <reference field="4294967294" count="1" selected="0">
            <x v="34"/>
          </reference>
        </references>
      </pivotArea>
    </format>
    <format dxfId="731">
      <pivotArea field="0" dataOnly="0" labelOnly="1" grandRow="1" outline="0" axis="axisRow" fieldPosition="0">
        <references count="1">
          <reference field="4294967294" count="1" selected="0">
            <x v="35"/>
          </reference>
        </references>
      </pivotArea>
    </format>
    <format dxfId="730">
      <pivotArea field="0" dataOnly="0" labelOnly="1" grandRow="1" outline="0" axis="axisRow" fieldPosition="0">
        <references count="1">
          <reference field="4294967294" count="1" selected="0">
            <x v="0"/>
          </reference>
        </references>
      </pivotArea>
    </format>
    <format dxfId="729">
      <pivotArea field="0" dataOnly="0" labelOnly="1" grandRow="1" outline="0" axis="axisRow" fieldPosition="0">
        <references count="1">
          <reference field="4294967294" count="1" selected="0">
            <x v="1"/>
          </reference>
        </references>
      </pivotArea>
    </format>
    <format dxfId="728">
      <pivotArea field="0" dataOnly="0" labelOnly="1" grandRow="1" outline="0" axis="axisRow" fieldPosition="0">
        <references count="1">
          <reference field="4294967294" count="1" selected="0">
            <x v="2"/>
          </reference>
        </references>
      </pivotArea>
    </format>
    <format dxfId="727">
      <pivotArea field="0" dataOnly="0" labelOnly="1" grandRow="1" outline="0" axis="axisRow" fieldPosition="0">
        <references count="1">
          <reference field="4294967294" count="1" selected="0">
            <x v="3"/>
          </reference>
        </references>
      </pivotArea>
    </format>
    <format dxfId="726">
      <pivotArea field="0" dataOnly="0" labelOnly="1" grandRow="1" outline="0" axis="axisRow" fieldPosition="0">
        <references count="1">
          <reference field="4294967294" count="1" selected="0">
            <x v="4"/>
          </reference>
        </references>
      </pivotArea>
    </format>
    <format dxfId="725">
      <pivotArea field="0" dataOnly="0" labelOnly="1" grandRow="1" outline="0" axis="axisRow" fieldPosition="0">
        <references count="1">
          <reference field="4294967294" count="1" selected="0">
            <x v="5"/>
          </reference>
        </references>
      </pivotArea>
    </format>
    <format dxfId="724">
      <pivotArea field="0" dataOnly="0" labelOnly="1" grandRow="1" outline="0" axis="axisRow" fieldPosition="0">
        <references count="1">
          <reference field="4294967294" count="1" selected="0">
            <x v="6"/>
          </reference>
        </references>
      </pivotArea>
    </format>
    <format dxfId="723">
      <pivotArea field="0" dataOnly="0" labelOnly="1" grandRow="1" outline="0" axis="axisRow" fieldPosition="0">
        <references count="1">
          <reference field="4294967294" count="1" selected="0">
            <x v="7"/>
          </reference>
        </references>
      </pivotArea>
    </format>
    <format dxfId="722">
      <pivotArea field="0" dataOnly="0" labelOnly="1" grandRow="1" outline="0" axis="axisRow" fieldPosition="0">
        <references count="1">
          <reference field="4294967294" count="1" selected="0">
            <x v="8"/>
          </reference>
        </references>
      </pivotArea>
    </format>
    <format dxfId="721">
      <pivotArea field="0" dataOnly="0" labelOnly="1" grandRow="1" outline="0" axis="axisRow" fieldPosition="0">
        <references count="1">
          <reference field="4294967294" count="1" selected="0">
            <x v="9"/>
          </reference>
        </references>
      </pivotArea>
    </format>
    <format dxfId="720">
      <pivotArea field="0" dataOnly="0" labelOnly="1" grandRow="1" outline="0" axis="axisRow" fieldPosition="0">
        <references count="1">
          <reference field="4294967294" count="1" selected="0">
            <x v="10"/>
          </reference>
        </references>
      </pivotArea>
    </format>
    <format dxfId="719">
      <pivotArea field="0" dataOnly="0" labelOnly="1" grandRow="1" outline="0" axis="axisRow" fieldPosition="0">
        <references count="1">
          <reference field="4294967294" count="1" selected="0">
            <x v="11"/>
          </reference>
        </references>
      </pivotArea>
    </format>
    <format dxfId="718">
      <pivotArea field="0" dataOnly="0" labelOnly="1" grandRow="1" outline="0" axis="axisRow" fieldPosition="0">
        <references count="1">
          <reference field="4294967294" count="1" selected="0">
            <x v="12"/>
          </reference>
        </references>
      </pivotArea>
    </format>
    <format dxfId="717">
      <pivotArea field="0" dataOnly="0" labelOnly="1" grandRow="1" outline="0" axis="axisRow" fieldPosition="0">
        <references count="1">
          <reference field="4294967294" count="1" selected="0">
            <x v="13"/>
          </reference>
        </references>
      </pivotArea>
    </format>
    <format dxfId="716">
      <pivotArea field="0" dataOnly="0" labelOnly="1" grandRow="1" outline="0" axis="axisRow" fieldPosition="0">
        <references count="1">
          <reference field="4294967294" count="1" selected="0">
            <x v="14"/>
          </reference>
        </references>
      </pivotArea>
    </format>
    <format dxfId="715">
      <pivotArea field="0" dataOnly="0" labelOnly="1" grandRow="1" outline="0" axis="axisRow" fieldPosition="0">
        <references count="1">
          <reference field="4294967294" count="1" selected="0">
            <x v="15"/>
          </reference>
        </references>
      </pivotArea>
    </format>
    <format dxfId="714">
      <pivotArea field="0" dataOnly="0" labelOnly="1" grandRow="1" outline="0" axis="axisRow" fieldPosition="0">
        <references count="1">
          <reference field="4294967294" count="1" selected="0">
            <x v="16"/>
          </reference>
        </references>
      </pivotArea>
    </format>
    <format dxfId="713">
      <pivotArea field="0" dataOnly="0" labelOnly="1" grandRow="1" outline="0" axis="axisRow" fieldPosition="0">
        <references count="1">
          <reference field="4294967294" count="1" selected="0">
            <x v="17"/>
          </reference>
        </references>
      </pivotArea>
    </format>
    <format dxfId="712">
      <pivotArea field="0" dataOnly="0" labelOnly="1" grandRow="1" outline="0" axis="axisRow" fieldPosition="0">
        <references count="1">
          <reference field="4294967294" count="1" selected="0">
            <x v="18"/>
          </reference>
        </references>
      </pivotArea>
    </format>
    <format dxfId="711">
      <pivotArea field="0" dataOnly="0" labelOnly="1" grandRow="1" outline="0" axis="axisRow" fieldPosition="0">
        <references count="1">
          <reference field="4294967294" count="1" selected="0">
            <x v="19"/>
          </reference>
        </references>
      </pivotArea>
    </format>
    <format dxfId="710">
      <pivotArea field="0" dataOnly="0" labelOnly="1" grandRow="1" outline="0" axis="axisRow" fieldPosition="0">
        <references count="1">
          <reference field="4294967294" count="1" selected="0">
            <x v="20"/>
          </reference>
        </references>
      </pivotArea>
    </format>
    <format dxfId="709">
      <pivotArea field="0" dataOnly="0" labelOnly="1" grandRow="1" outline="0" axis="axisRow" fieldPosition="0">
        <references count="1">
          <reference field="4294967294" count="1" selected="0">
            <x v="21"/>
          </reference>
        </references>
      </pivotArea>
    </format>
    <format dxfId="708">
      <pivotArea field="0" dataOnly="0" labelOnly="1" grandRow="1" outline="0" axis="axisRow" fieldPosition="0">
        <references count="1">
          <reference field="4294967294" count="1" selected="0">
            <x v="22"/>
          </reference>
        </references>
      </pivotArea>
    </format>
    <format dxfId="707">
      <pivotArea field="0" dataOnly="0" labelOnly="1" grandRow="1" outline="0" axis="axisRow" fieldPosition="0">
        <references count="1">
          <reference field="4294967294" count="1" selected="0">
            <x v="23"/>
          </reference>
        </references>
      </pivotArea>
    </format>
    <format dxfId="706">
      <pivotArea field="0" dataOnly="0" labelOnly="1" grandRow="1" outline="0" axis="axisRow" fieldPosition="0">
        <references count="1">
          <reference field="4294967294" count="1" selected="0">
            <x v="24"/>
          </reference>
        </references>
      </pivotArea>
    </format>
    <format dxfId="705">
      <pivotArea field="0" dataOnly="0" labelOnly="1" grandRow="1" outline="0" axis="axisRow" fieldPosition="0">
        <references count="1">
          <reference field="4294967294" count="1" selected="0">
            <x v="25"/>
          </reference>
        </references>
      </pivotArea>
    </format>
    <format dxfId="704">
      <pivotArea field="0" dataOnly="0" labelOnly="1" grandRow="1" outline="0" axis="axisRow" fieldPosition="0">
        <references count="1">
          <reference field="4294967294" count="1" selected="0">
            <x v="26"/>
          </reference>
        </references>
      </pivotArea>
    </format>
    <format dxfId="703">
      <pivotArea field="0" dataOnly="0" labelOnly="1" grandRow="1" outline="0" axis="axisRow" fieldPosition="0">
        <references count="1">
          <reference field="4294967294" count="1" selected="0">
            <x v="27"/>
          </reference>
        </references>
      </pivotArea>
    </format>
    <format dxfId="702">
      <pivotArea field="0" dataOnly="0" labelOnly="1" grandRow="1" outline="0" axis="axisRow" fieldPosition="0">
        <references count="1">
          <reference field="4294967294" count="1" selected="0">
            <x v="28"/>
          </reference>
        </references>
      </pivotArea>
    </format>
    <format dxfId="701">
      <pivotArea field="0" dataOnly="0" labelOnly="1" grandRow="1" outline="0" axis="axisRow" fieldPosition="0">
        <references count="1">
          <reference field="4294967294" count="1" selected="0">
            <x v="29"/>
          </reference>
        </references>
      </pivotArea>
    </format>
    <format dxfId="700">
      <pivotArea field="0" dataOnly="0" labelOnly="1" grandRow="1" outline="0" axis="axisRow" fieldPosition="0">
        <references count="1">
          <reference field="4294967294" count="1" selected="0">
            <x v="30"/>
          </reference>
        </references>
      </pivotArea>
    </format>
    <format dxfId="699">
      <pivotArea field="0" dataOnly="0" labelOnly="1" grandRow="1" outline="0" axis="axisRow" fieldPosition="0">
        <references count="1">
          <reference field="4294967294" count="1" selected="0">
            <x v="31"/>
          </reference>
        </references>
      </pivotArea>
    </format>
    <format dxfId="698">
      <pivotArea field="0" dataOnly="0" labelOnly="1" grandRow="1" outline="0" axis="axisRow" fieldPosition="0">
        <references count="1">
          <reference field="4294967294" count="1" selected="0">
            <x v="32"/>
          </reference>
        </references>
      </pivotArea>
    </format>
    <format dxfId="697">
      <pivotArea field="0" dataOnly="0" labelOnly="1" grandRow="1" outline="0" axis="axisRow" fieldPosition="0">
        <references count="1">
          <reference field="4294967294" count="1" selected="0">
            <x v="33"/>
          </reference>
        </references>
      </pivotArea>
    </format>
    <format dxfId="696">
      <pivotArea field="0" dataOnly="0" labelOnly="1" grandRow="1" outline="0" axis="axisRow" fieldPosition="0">
        <references count="1">
          <reference field="4294967294" count="1" selected="0">
            <x v="34"/>
          </reference>
        </references>
      </pivotArea>
    </format>
    <format dxfId="695">
      <pivotArea field="0" dataOnly="0" labelOnly="1" grandRow="1" outline="0" axis="axisRow" fieldPosition="0">
        <references count="1">
          <reference field="4294967294" count="1" selected="0">
            <x v="35"/>
          </reference>
        </references>
      </pivotArea>
    </format>
    <format dxfId="694">
      <pivotArea field="0" dataOnly="0" labelOnly="1" grandRow="1" outline="0" axis="axisRow" fieldPosition="0">
        <references count="1">
          <reference field="4294967294" count="1" selected="0">
            <x v="0"/>
          </reference>
        </references>
      </pivotArea>
    </format>
    <format dxfId="693">
      <pivotArea field="0" dataOnly="0" labelOnly="1" grandRow="1" outline="0" axis="axisRow" fieldPosition="0">
        <references count="1">
          <reference field="4294967294" count="1" selected="0">
            <x v="1"/>
          </reference>
        </references>
      </pivotArea>
    </format>
    <format dxfId="692">
      <pivotArea field="0" dataOnly="0" labelOnly="1" grandRow="1" outline="0" axis="axisRow" fieldPosition="0">
        <references count="1">
          <reference field="4294967294" count="1" selected="0">
            <x v="2"/>
          </reference>
        </references>
      </pivotArea>
    </format>
    <format dxfId="691">
      <pivotArea field="0" dataOnly="0" labelOnly="1" grandRow="1" outline="0" axis="axisRow" fieldPosition="0">
        <references count="1">
          <reference field="4294967294" count="1" selected="0">
            <x v="3"/>
          </reference>
        </references>
      </pivotArea>
    </format>
    <format dxfId="690">
      <pivotArea field="0" dataOnly="0" labelOnly="1" grandRow="1" outline="0" axis="axisRow" fieldPosition="0">
        <references count="1">
          <reference field="4294967294" count="1" selected="0">
            <x v="4"/>
          </reference>
        </references>
      </pivotArea>
    </format>
    <format dxfId="689">
      <pivotArea field="0" dataOnly="0" labelOnly="1" grandRow="1" outline="0" axis="axisRow" fieldPosition="0">
        <references count="1">
          <reference field="4294967294" count="1" selected="0">
            <x v="5"/>
          </reference>
        </references>
      </pivotArea>
    </format>
    <format dxfId="688">
      <pivotArea field="0" dataOnly="0" labelOnly="1" grandRow="1" outline="0" axis="axisRow" fieldPosition="0">
        <references count="1">
          <reference field="4294967294" count="1" selected="0">
            <x v="6"/>
          </reference>
        </references>
      </pivotArea>
    </format>
    <format dxfId="687">
      <pivotArea field="0" dataOnly="0" labelOnly="1" grandRow="1" outline="0" axis="axisRow" fieldPosition="0">
        <references count="1">
          <reference field="4294967294" count="1" selected="0">
            <x v="7"/>
          </reference>
        </references>
      </pivotArea>
    </format>
    <format dxfId="686">
      <pivotArea field="0" dataOnly="0" labelOnly="1" grandRow="1" outline="0" axis="axisRow" fieldPosition="0">
        <references count="1">
          <reference field="4294967294" count="1" selected="0">
            <x v="8"/>
          </reference>
        </references>
      </pivotArea>
    </format>
    <format dxfId="685">
      <pivotArea field="0" dataOnly="0" labelOnly="1" grandRow="1" outline="0" axis="axisRow" fieldPosition="0">
        <references count="1">
          <reference field="4294967294" count="1" selected="0">
            <x v="9"/>
          </reference>
        </references>
      </pivotArea>
    </format>
    <format dxfId="684">
      <pivotArea field="0" dataOnly="0" labelOnly="1" grandRow="1" outline="0" axis="axisRow" fieldPosition="0">
        <references count="1">
          <reference field="4294967294" count="1" selected="0">
            <x v="10"/>
          </reference>
        </references>
      </pivotArea>
    </format>
    <format dxfId="683">
      <pivotArea field="0" dataOnly="0" labelOnly="1" grandRow="1" outline="0" axis="axisRow" fieldPosition="0">
        <references count="1">
          <reference field="4294967294" count="1" selected="0">
            <x v="11"/>
          </reference>
        </references>
      </pivotArea>
    </format>
    <format dxfId="682">
      <pivotArea field="0" dataOnly="0" labelOnly="1" grandRow="1" outline="0" axis="axisRow" fieldPosition="0">
        <references count="1">
          <reference field="4294967294" count="1" selected="0">
            <x v="12"/>
          </reference>
        </references>
      </pivotArea>
    </format>
    <format dxfId="681">
      <pivotArea field="0" dataOnly="0" labelOnly="1" grandRow="1" outline="0" axis="axisRow" fieldPosition="0">
        <references count="1">
          <reference field="4294967294" count="1" selected="0">
            <x v="13"/>
          </reference>
        </references>
      </pivotArea>
    </format>
    <format dxfId="680">
      <pivotArea field="0" dataOnly="0" labelOnly="1" grandRow="1" outline="0" axis="axisRow" fieldPosition="0">
        <references count="1">
          <reference field="4294967294" count="1" selected="0">
            <x v="14"/>
          </reference>
        </references>
      </pivotArea>
    </format>
    <format dxfId="679">
      <pivotArea field="0" dataOnly="0" labelOnly="1" grandRow="1" outline="0" axis="axisRow" fieldPosition="0">
        <references count="1">
          <reference field="4294967294" count="1" selected="0">
            <x v="15"/>
          </reference>
        </references>
      </pivotArea>
    </format>
    <format dxfId="678">
      <pivotArea field="0" dataOnly="0" labelOnly="1" grandRow="1" outline="0" axis="axisRow" fieldPosition="0">
        <references count="1">
          <reference field="4294967294" count="1" selected="0">
            <x v="16"/>
          </reference>
        </references>
      </pivotArea>
    </format>
    <format dxfId="677">
      <pivotArea field="0" dataOnly="0" labelOnly="1" grandRow="1" outline="0" axis="axisRow" fieldPosition="0">
        <references count="1">
          <reference field="4294967294" count="1" selected="0">
            <x v="17"/>
          </reference>
        </references>
      </pivotArea>
    </format>
    <format dxfId="676">
      <pivotArea field="0" dataOnly="0" labelOnly="1" grandRow="1" outline="0" axis="axisRow" fieldPosition="0">
        <references count="1">
          <reference field="4294967294" count="1" selected="0">
            <x v="18"/>
          </reference>
        </references>
      </pivotArea>
    </format>
    <format dxfId="675">
      <pivotArea field="0" dataOnly="0" labelOnly="1" grandRow="1" outline="0" axis="axisRow" fieldPosition="0">
        <references count="1">
          <reference field="4294967294" count="1" selected="0">
            <x v="19"/>
          </reference>
        </references>
      </pivotArea>
    </format>
    <format dxfId="674">
      <pivotArea field="0" dataOnly="0" labelOnly="1" grandRow="1" outline="0" axis="axisRow" fieldPosition="0">
        <references count="1">
          <reference field="4294967294" count="1" selected="0">
            <x v="20"/>
          </reference>
        </references>
      </pivotArea>
    </format>
    <format dxfId="673">
      <pivotArea field="0" dataOnly="0" labelOnly="1" grandRow="1" outline="0" axis="axisRow" fieldPosition="0">
        <references count="1">
          <reference field="4294967294" count="1" selected="0">
            <x v="21"/>
          </reference>
        </references>
      </pivotArea>
    </format>
    <format dxfId="672">
      <pivotArea field="0" dataOnly="0" labelOnly="1" grandRow="1" outline="0" axis="axisRow" fieldPosition="0">
        <references count="1">
          <reference field="4294967294" count="1" selected="0">
            <x v="22"/>
          </reference>
        </references>
      </pivotArea>
    </format>
    <format dxfId="671">
      <pivotArea field="0" dataOnly="0" labelOnly="1" grandRow="1" outline="0" axis="axisRow" fieldPosition="0">
        <references count="1">
          <reference field="4294967294" count="1" selected="0">
            <x v="23"/>
          </reference>
        </references>
      </pivotArea>
    </format>
    <format dxfId="670">
      <pivotArea field="0" dataOnly="0" labelOnly="1" grandRow="1" outline="0" axis="axisRow" fieldPosition="0">
        <references count="1">
          <reference field="4294967294" count="1" selected="0">
            <x v="24"/>
          </reference>
        </references>
      </pivotArea>
    </format>
    <format dxfId="669">
      <pivotArea field="0" dataOnly="0" labelOnly="1" grandRow="1" outline="0" axis="axisRow" fieldPosition="0">
        <references count="1">
          <reference field="4294967294" count="1" selected="0">
            <x v="25"/>
          </reference>
        </references>
      </pivotArea>
    </format>
    <format dxfId="668">
      <pivotArea field="0" dataOnly="0" labelOnly="1" grandRow="1" outline="0" axis="axisRow" fieldPosition="0">
        <references count="1">
          <reference field="4294967294" count="1" selected="0">
            <x v="26"/>
          </reference>
        </references>
      </pivotArea>
    </format>
    <format dxfId="667">
      <pivotArea field="0" dataOnly="0" labelOnly="1" grandRow="1" outline="0" axis="axisRow" fieldPosition="0">
        <references count="1">
          <reference field="4294967294" count="1" selected="0">
            <x v="27"/>
          </reference>
        </references>
      </pivotArea>
    </format>
    <format dxfId="666">
      <pivotArea field="0" dataOnly="0" labelOnly="1" grandRow="1" outline="0" axis="axisRow" fieldPosition="0">
        <references count="1">
          <reference field="4294967294" count="1" selected="0">
            <x v="28"/>
          </reference>
        </references>
      </pivotArea>
    </format>
    <format dxfId="665">
      <pivotArea field="0" dataOnly="0" labelOnly="1" grandRow="1" outline="0" axis="axisRow" fieldPosition="0">
        <references count="1">
          <reference field="4294967294" count="1" selected="0">
            <x v="29"/>
          </reference>
        </references>
      </pivotArea>
    </format>
    <format dxfId="664">
      <pivotArea field="0" dataOnly="0" labelOnly="1" grandRow="1" outline="0" axis="axisRow" fieldPosition="0">
        <references count="1">
          <reference field="4294967294" count="1" selected="0">
            <x v="30"/>
          </reference>
        </references>
      </pivotArea>
    </format>
    <format dxfId="663">
      <pivotArea field="0" dataOnly="0" labelOnly="1" grandRow="1" outline="0" axis="axisRow" fieldPosition="0">
        <references count="1">
          <reference field="4294967294" count="1" selected="0">
            <x v="31"/>
          </reference>
        </references>
      </pivotArea>
    </format>
    <format dxfId="662">
      <pivotArea field="0" dataOnly="0" labelOnly="1" grandRow="1" outline="0" axis="axisRow" fieldPosition="0">
        <references count="1">
          <reference field="4294967294" count="1" selected="0">
            <x v="32"/>
          </reference>
        </references>
      </pivotArea>
    </format>
    <format dxfId="661">
      <pivotArea field="0" dataOnly="0" labelOnly="1" grandRow="1" outline="0" axis="axisRow" fieldPosition="0">
        <references count="1">
          <reference field="4294967294" count="1" selected="0">
            <x v="33"/>
          </reference>
        </references>
      </pivotArea>
    </format>
    <format dxfId="660">
      <pivotArea field="0" dataOnly="0" labelOnly="1" grandRow="1" outline="0" axis="axisRow" fieldPosition="0">
        <references count="1">
          <reference field="4294967294" count="1" selected="0">
            <x v="34"/>
          </reference>
        </references>
      </pivotArea>
    </format>
    <format dxfId="659">
      <pivotArea field="0" dataOnly="0" labelOnly="1" grandRow="1" outline="0" axis="axisRow" fieldPosition="0">
        <references count="1">
          <reference field="4294967294" count="1" selected="0">
            <x v="35"/>
          </reference>
        </references>
      </pivotArea>
    </format>
    <format dxfId="658">
      <pivotArea field="0" dataOnly="0" labelOnly="1" grandRow="1" outline="0" axis="axisRow" fieldPosition="0">
        <references count="1">
          <reference field="4294967294" count="1" selected="0">
            <x v="0"/>
          </reference>
        </references>
      </pivotArea>
    </format>
    <format dxfId="657">
      <pivotArea field="0" dataOnly="0" labelOnly="1" grandRow="1" outline="0" axis="axisRow" fieldPosition="0">
        <references count="1">
          <reference field="4294967294" count="1" selected="0">
            <x v="1"/>
          </reference>
        </references>
      </pivotArea>
    </format>
    <format dxfId="656">
      <pivotArea field="0" dataOnly="0" labelOnly="1" grandRow="1" outline="0" axis="axisRow" fieldPosition="0">
        <references count="1">
          <reference field="4294967294" count="1" selected="0">
            <x v="2"/>
          </reference>
        </references>
      </pivotArea>
    </format>
    <format dxfId="655">
      <pivotArea field="0" dataOnly="0" labelOnly="1" grandRow="1" outline="0" axis="axisRow" fieldPosition="0">
        <references count="1">
          <reference field="4294967294" count="1" selected="0">
            <x v="3"/>
          </reference>
        </references>
      </pivotArea>
    </format>
    <format dxfId="654">
      <pivotArea field="0" dataOnly="0" labelOnly="1" grandRow="1" outline="0" axis="axisRow" fieldPosition="0">
        <references count="1">
          <reference field="4294967294" count="1" selected="0">
            <x v="4"/>
          </reference>
        </references>
      </pivotArea>
    </format>
    <format dxfId="653">
      <pivotArea field="0" dataOnly="0" labelOnly="1" grandRow="1" outline="0" axis="axisRow" fieldPosition="0">
        <references count="1">
          <reference field="4294967294" count="1" selected="0">
            <x v="5"/>
          </reference>
        </references>
      </pivotArea>
    </format>
    <format dxfId="652">
      <pivotArea field="0" dataOnly="0" labelOnly="1" grandRow="1" outline="0" axis="axisRow" fieldPosition="0">
        <references count="1">
          <reference field="4294967294" count="1" selected="0">
            <x v="6"/>
          </reference>
        </references>
      </pivotArea>
    </format>
    <format dxfId="651">
      <pivotArea field="0" dataOnly="0" labelOnly="1" grandRow="1" outline="0" axis="axisRow" fieldPosition="0">
        <references count="1">
          <reference field="4294967294" count="1" selected="0">
            <x v="7"/>
          </reference>
        </references>
      </pivotArea>
    </format>
    <format dxfId="650">
      <pivotArea field="0" dataOnly="0" labelOnly="1" grandRow="1" outline="0" axis="axisRow" fieldPosition="0">
        <references count="1">
          <reference field="4294967294" count="1" selected="0">
            <x v="8"/>
          </reference>
        </references>
      </pivotArea>
    </format>
    <format dxfId="649">
      <pivotArea field="0" dataOnly="0" labelOnly="1" grandRow="1" outline="0" axis="axisRow" fieldPosition="0">
        <references count="1">
          <reference field="4294967294" count="1" selected="0">
            <x v="9"/>
          </reference>
        </references>
      </pivotArea>
    </format>
    <format dxfId="648">
      <pivotArea field="0" dataOnly="0" labelOnly="1" grandRow="1" outline="0" axis="axisRow" fieldPosition="0">
        <references count="1">
          <reference field="4294967294" count="1" selected="0">
            <x v="10"/>
          </reference>
        </references>
      </pivotArea>
    </format>
    <format dxfId="647">
      <pivotArea field="0" dataOnly="0" labelOnly="1" grandRow="1" outline="0" axis="axisRow" fieldPosition="0">
        <references count="1">
          <reference field="4294967294" count="1" selected="0">
            <x v="11"/>
          </reference>
        </references>
      </pivotArea>
    </format>
    <format dxfId="646">
      <pivotArea field="0" dataOnly="0" labelOnly="1" grandRow="1" outline="0" axis="axisRow" fieldPosition="0">
        <references count="1">
          <reference field="4294967294" count="1" selected="0">
            <x v="12"/>
          </reference>
        </references>
      </pivotArea>
    </format>
    <format dxfId="645">
      <pivotArea field="0" dataOnly="0" labelOnly="1" grandRow="1" outline="0" axis="axisRow" fieldPosition="0">
        <references count="1">
          <reference field="4294967294" count="1" selected="0">
            <x v="13"/>
          </reference>
        </references>
      </pivotArea>
    </format>
    <format dxfId="644">
      <pivotArea field="0" dataOnly="0" labelOnly="1" grandRow="1" outline="0" axis="axisRow" fieldPosition="0">
        <references count="1">
          <reference field="4294967294" count="1" selected="0">
            <x v="14"/>
          </reference>
        </references>
      </pivotArea>
    </format>
    <format dxfId="643">
      <pivotArea field="0" dataOnly="0" labelOnly="1" grandRow="1" outline="0" axis="axisRow" fieldPosition="0">
        <references count="1">
          <reference field="4294967294" count="1" selected="0">
            <x v="15"/>
          </reference>
        </references>
      </pivotArea>
    </format>
    <format dxfId="642">
      <pivotArea field="0" dataOnly="0" labelOnly="1" grandRow="1" outline="0" axis="axisRow" fieldPosition="0">
        <references count="1">
          <reference field="4294967294" count="1" selected="0">
            <x v="16"/>
          </reference>
        </references>
      </pivotArea>
    </format>
    <format dxfId="641">
      <pivotArea field="0" dataOnly="0" labelOnly="1" grandRow="1" outline="0" axis="axisRow" fieldPosition="0">
        <references count="1">
          <reference field="4294967294" count="1" selected="0">
            <x v="17"/>
          </reference>
        </references>
      </pivotArea>
    </format>
    <format dxfId="640">
      <pivotArea field="0" dataOnly="0" labelOnly="1" grandRow="1" outline="0" axis="axisRow" fieldPosition="0">
        <references count="1">
          <reference field="4294967294" count="1" selected="0">
            <x v="18"/>
          </reference>
        </references>
      </pivotArea>
    </format>
    <format dxfId="639">
      <pivotArea field="0" dataOnly="0" labelOnly="1" grandRow="1" outline="0" axis="axisRow" fieldPosition="0">
        <references count="1">
          <reference field="4294967294" count="1" selected="0">
            <x v="19"/>
          </reference>
        </references>
      </pivotArea>
    </format>
    <format dxfId="638">
      <pivotArea field="0" dataOnly="0" labelOnly="1" grandRow="1" outline="0" axis="axisRow" fieldPosition="0">
        <references count="1">
          <reference field="4294967294" count="1" selected="0">
            <x v="20"/>
          </reference>
        </references>
      </pivotArea>
    </format>
    <format dxfId="637">
      <pivotArea field="0" dataOnly="0" labelOnly="1" grandRow="1" outline="0" axis="axisRow" fieldPosition="0">
        <references count="1">
          <reference field="4294967294" count="1" selected="0">
            <x v="21"/>
          </reference>
        </references>
      </pivotArea>
    </format>
    <format dxfId="636">
      <pivotArea field="0" dataOnly="0" labelOnly="1" grandRow="1" outline="0" axis="axisRow" fieldPosition="0">
        <references count="1">
          <reference field="4294967294" count="1" selected="0">
            <x v="22"/>
          </reference>
        </references>
      </pivotArea>
    </format>
    <format dxfId="635">
      <pivotArea field="0" dataOnly="0" labelOnly="1" grandRow="1" outline="0" axis="axisRow" fieldPosition="0">
        <references count="1">
          <reference field="4294967294" count="1" selected="0">
            <x v="23"/>
          </reference>
        </references>
      </pivotArea>
    </format>
    <format dxfId="634">
      <pivotArea field="0" dataOnly="0" labelOnly="1" grandRow="1" outline="0" axis="axisRow" fieldPosition="0">
        <references count="1">
          <reference field="4294967294" count="1" selected="0">
            <x v="24"/>
          </reference>
        </references>
      </pivotArea>
    </format>
    <format dxfId="633">
      <pivotArea field="0" dataOnly="0" labelOnly="1" grandRow="1" outline="0" axis="axisRow" fieldPosition="0">
        <references count="1">
          <reference field="4294967294" count="1" selected="0">
            <x v="25"/>
          </reference>
        </references>
      </pivotArea>
    </format>
    <format dxfId="632">
      <pivotArea field="0" dataOnly="0" labelOnly="1" grandRow="1" outline="0" axis="axisRow" fieldPosition="0">
        <references count="1">
          <reference field="4294967294" count="1" selected="0">
            <x v="26"/>
          </reference>
        </references>
      </pivotArea>
    </format>
    <format dxfId="631">
      <pivotArea field="0" dataOnly="0" labelOnly="1" grandRow="1" outline="0" axis="axisRow" fieldPosition="0">
        <references count="1">
          <reference field="4294967294" count="1" selected="0">
            <x v="27"/>
          </reference>
        </references>
      </pivotArea>
    </format>
    <format dxfId="630">
      <pivotArea field="0" dataOnly="0" labelOnly="1" grandRow="1" outline="0" axis="axisRow" fieldPosition="0">
        <references count="1">
          <reference field="4294967294" count="1" selected="0">
            <x v="28"/>
          </reference>
        </references>
      </pivotArea>
    </format>
    <format dxfId="629">
      <pivotArea field="0" dataOnly="0" labelOnly="1" grandRow="1" outline="0" axis="axisRow" fieldPosition="0">
        <references count="1">
          <reference field="4294967294" count="1" selected="0">
            <x v="29"/>
          </reference>
        </references>
      </pivotArea>
    </format>
    <format dxfId="628">
      <pivotArea field="0" dataOnly="0" labelOnly="1" grandRow="1" outline="0" axis="axisRow" fieldPosition="0">
        <references count="1">
          <reference field="4294967294" count="1" selected="0">
            <x v="30"/>
          </reference>
        </references>
      </pivotArea>
    </format>
    <format dxfId="627">
      <pivotArea field="0" dataOnly="0" labelOnly="1" grandRow="1" outline="0" axis="axisRow" fieldPosition="0">
        <references count="1">
          <reference field="4294967294" count="1" selected="0">
            <x v="31"/>
          </reference>
        </references>
      </pivotArea>
    </format>
    <format dxfId="626">
      <pivotArea field="0" dataOnly="0" labelOnly="1" grandRow="1" outline="0" axis="axisRow" fieldPosition="0">
        <references count="1">
          <reference field="4294967294" count="1" selected="0">
            <x v="32"/>
          </reference>
        </references>
      </pivotArea>
    </format>
    <format dxfId="625">
      <pivotArea field="0" dataOnly="0" labelOnly="1" grandRow="1" outline="0" axis="axisRow" fieldPosition="0">
        <references count="1">
          <reference field="4294967294" count="1" selected="0">
            <x v="33"/>
          </reference>
        </references>
      </pivotArea>
    </format>
    <format dxfId="624">
      <pivotArea field="0" dataOnly="0" labelOnly="1" grandRow="1" outline="0" axis="axisRow" fieldPosition="0">
        <references count="1">
          <reference field="4294967294" count="1" selected="0">
            <x v="34"/>
          </reference>
        </references>
      </pivotArea>
    </format>
    <format dxfId="623">
      <pivotArea field="0" dataOnly="0" labelOnly="1" grandRow="1" outline="0" axis="axisRow" fieldPosition="0">
        <references count="1">
          <reference field="4294967294" count="1" selected="0">
            <x v="35"/>
          </reference>
        </references>
      </pivotArea>
    </format>
    <format dxfId="622">
      <pivotArea field="0" dataOnly="0" labelOnly="1" grandRow="1" outline="0" axis="axisRow" fieldPosition="0">
        <references count="1">
          <reference field="4294967294" count="1" selected="0">
            <x v="0"/>
          </reference>
        </references>
      </pivotArea>
    </format>
    <format dxfId="621">
      <pivotArea field="0" dataOnly="0" labelOnly="1" grandRow="1" outline="0" axis="axisRow" fieldPosition="0">
        <references count="1">
          <reference field="4294967294" count="1" selected="0">
            <x v="1"/>
          </reference>
        </references>
      </pivotArea>
    </format>
    <format dxfId="620">
      <pivotArea field="0" dataOnly="0" labelOnly="1" grandRow="1" outline="0" axis="axisRow" fieldPosition="0">
        <references count="1">
          <reference field="4294967294" count="1" selected="0">
            <x v="2"/>
          </reference>
        </references>
      </pivotArea>
    </format>
    <format dxfId="619">
      <pivotArea field="0" dataOnly="0" labelOnly="1" grandRow="1" outline="0" axis="axisRow" fieldPosition="0">
        <references count="1">
          <reference field="4294967294" count="1" selected="0">
            <x v="3"/>
          </reference>
        </references>
      </pivotArea>
    </format>
    <format dxfId="618">
      <pivotArea field="0" dataOnly="0" labelOnly="1" grandRow="1" outline="0" axis="axisRow" fieldPosition="0">
        <references count="1">
          <reference field="4294967294" count="1" selected="0">
            <x v="4"/>
          </reference>
        </references>
      </pivotArea>
    </format>
    <format dxfId="617">
      <pivotArea field="0" dataOnly="0" labelOnly="1" grandRow="1" outline="0" axis="axisRow" fieldPosition="0">
        <references count="1">
          <reference field="4294967294" count="1" selected="0">
            <x v="5"/>
          </reference>
        </references>
      </pivotArea>
    </format>
    <format dxfId="616">
      <pivotArea field="0" dataOnly="0" labelOnly="1" grandRow="1" outline="0" axis="axisRow" fieldPosition="0">
        <references count="1">
          <reference field="4294967294" count="1" selected="0">
            <x v="6"/>
          </reference>
        </references>
      </pivotArea>
    </format>
    <format dxfId="615">
      <pivotArea field="0" dataOnly="0" labelOnly="1" grandRow="1" outline="0" axis="axisRow" fieldPosition="0">
        <references count="1">
          <reference field="4294967294" count="1" selected="0">
            <x v="7"/>
          </reference>
        </references>
      </pivotArea>
    </format>
    <format dxfId="614">
      <pivotArea field="0" dataOnly="0" labelOnly="1" grandRow="1" outline="0" axis="axisRow" fieldPosition="0">
        <references count="1">
          <reference field="4294967294" count="1" selected="0">
            <x v="8"/>
          </reference>
        </references>
      </pivotArea>
    </format>
    <format dxfId="613">
      <pivotArea field="0" dataOnly="0" labelOnly="1" grandRow="1" outline="0" axis="axisRow" fieldPosition="0">
        <references count="1">
          <reference field="4294967294" count="1" selected="0">
            <x v="9"/>
          </reference>
        </references>
      </pivotArea>
    </format>
    <format dxfId="612">
      <pivotArea field="0" dataOnly="0" labelOnly="1" grandRow="1" outline="0" axis="axisRow" fieldPosition="0">
        <references count="1">
          <reference field="4294967294" count="1" selected="0">
            <x v="10"/>
          </reference>
        </references>
      </pivotArea>
    </format>
    <format dxfId="611">
      <pivotArea field="0" dataOnly="0" labelOnly="1" grandRow="1" outline="0" axis="axisRow" fieldPosition="0">
        <references count="1">
          <reference field="4294967294" count="1" selected="0">
            <x v="11"/>
          </reference>
        </references>
      </pivotArea>
    </format>
    <format dxfId="610">
      <pivotArea field="0" dataOnly="0" labelOnly="1" grandRow="1" outline="0" axis="axisRow" fieldPosition="0">
        <references count="1">
          <reference field="4294967294" count="1" selected="0">
            <x v="12"/>
          </reference>
        </references>
      </pivotArea>
    </format>
    <format dxfId="609">
      <pivotArea field="0" dataOnly="0" labelOnly="1" grandRow="1" outline="0" axis="axisRow" fieldPosition="0">
        <references count="1">
          <reference field="4294967294" count="1" selected="0">
            <x v="13"/>
          </reference>
        </references>
      </pivotArea>
    </format>
    <format dxfId="608">
      <pivotArea field="0" dataOnly="0" labelOnly="1" grandRow="1" outline="0" axis="axisRow" fieldPosition="0">
        <references count="1">
          <reference field="4294967294" count="1" selected="0">
            <x v="14"/>
          </reference>
        </references>
      </pivotArea>
    </format>
    <format dxfId="607">
      <pivotArea field="0" dataOnly="0" labelOnly="1" grandRow="1" outline="0" axis="axisRow" fieldPosition="0">
        <references count="1">
          <reference field="4294967294" count="1" selected="0">
            <x v="15"/>
          </reference>
        </references>
      </pivotArea>
    </format>
    <format dxfId="606">
      <pivotArea field="0" dataOnly="0" labelOnly="1" grandRow="1" outline="0" axis="axisRow" fieldPosition="0">
        <references count="1">
          <reference field="4294967294" count="1" selected="0">
            <x v="16"/>
          </reference>
        </references>
      </pivotArea>
    </format>
    <format dxfId="605">
      <pivotArea field="0" dataOnly="0" labelOnly="1" grandRow="1" outline="0" axis="axisRow" fieldPosition="0">
        <references count="1">
          <reference field="4294967294" count="1" selected="0">
            <x v="17"/>
          </reference>
        </references>
      </pivotArea>
    </format>
    <format dxfId="604">
      <pivotArea field="0" dataOnly="0" labelOnly="1" grandRow="1" outline="0" axis="axisRow" fieldPosition="0">
        <references count="1">
          <reference field="4294967294" count="1" selected="0">
            <x v="18"/>
          </reference>
        </references>
      </pivotArea>
    </format>
    <format dxfId="603">
      <pivotArea field="0" dataOnly="0" labelOnly="1" grandRow="1" outline="0" axis="axisRow" fieldPosition="0">
        <references count="1">
          <reference field="4294967294" count="1" selected="0">
            <x v="19"/>
          </reference>
        </references>
      </pivotArea>
    </format>
    <format dxfId="602">
      <pivotArea field="0" dataOnly="0" labelOnly="1" grandRow="1" outline="0" axis="axisRow" fieldPosition="0">
        <references count="1">
          <reference field="4294967294" count="1" selected="0">
            <x v="20"/>
          </reference>
        </references>
      </pivotArea>
    </format>
    <format dxfId="601">
      <pivotArea field="0" dataOnly="0" labelOnly="1" grandRow="1" outline="0" axis="axisRow" fieldPosition="0">
        <references count="1">
          <reference field="4294967294" count="1" selected="0">
            <x v="21"/>
          </reference>
        </references>
      </pivotArea>
    </format>
    <format dxfId="600">
      <pivotArea field="0" dataOnly="0" labelOnly="1" grandRow="1" outline="0" axis="axisRow" fieldPosition="0">
        <references count="1">
          <reference field="4294967294" count="1" selected="0">
            <x v="22"/>
          </reference>
        </references>
      </pivotArea>
    </format>
    <format dxfId="599">
      <pivotArea field="0" dataOnly="0" labelOnly="1" grandRow="1" outline="0" axis="axisRow" fieldPosition="0">
        <references count="1">
          <reference field="4294967294" count="1" selected="0">
            <x v="23"/>
          </reference>
        </references>
      </pivotArea>
    </format>
    <format dxfId="598">
      <pivotArea field="0" dataOnly="0" labelOnly="1" grandRow="1" outline="0" axis="axisRow" fieldPosition="0">
        <references count="1">
          <reference field="4294967294" count="1" selected="0">
            <x v="24"/>
          </reference>
        </references>
      </pivotArea>
    </format>
    <format dxfId="597">
      <pivotArea field="0" dataOnly="0" labelOnly="1" grandRow="1" outline="0" axis="axisRow" fieldPosition="0">
        <references count="1">
          <reference field="4294967294" count="1" selected="0">
            <x v="25"/>
          </reference>
        </references>
      </pivotArea>
    </format>
    <format dxfId="596">
      <pivotArea field="0" dataOnly="0" labelOnly="1" grandRow="1" outline="0" axis="axisRow" fieldPosition="0">
        <references count="1">
          <reference field="4294967294" count="1" selected="0">
            <x v="26"/>
          </reference>
        </references>
      </pivotArea>
    </format>
    <format dxfId="595">
      <pivotArea field="0" dataOnly="0" labelOnly="1" grandRow="1" outline="0" axis="axisRow" fieldPosition="0">
        <references count="1">
          <reference field="4294967294" count="1" selected="0">
            <x v="27"/>
          </reference>
        </references>
      </pivotArea>
    </format>
    <format dxfId="594">
      <pivotArea field="0" dataOnly="0" labelOnly="1" grandRow="1" outline="0" axis="axisRow" fieldPosition="0">
        <references count="1">
          <reference field="4294967294" count="1" selected="0">
            <x v="28"/>
          </reference>
        </references>
      </pivotArea>
    </format>
    <format dxfId="593">
      <pivotArea field="0" dataOnly="0" labelOnly="1" grandRow="1" outline="0" axis="axisRow" fieldPosition="0">
        <references count="1">
          <reference field="4294967294" count="1" selected="0">
            <x v="29"/>
          </reference>
        </references>
      </pivotArea>
    </format>
    <format dxfId="592">
      <pivotArea field="0" dataOnly="0" labelOnly="1" grandRow="1" outline="0" axis="axisRow" fieldPosition="0">
        <references count="1">
          <reference field="4294967294" count="1" selected="0">
            <x v="30"/>
          </reference>
        </references>
      </pivotArea>
    </format>
    <format dxfId="591">
      <pivotArea field="0" dataOnly="0" labelOnly="1" grandRow="1" outline="0" axis="axisRow" fieldPosition="0">
        <references count="1">
          <reference field="4294967294" count="1" selected="0">
            <x v="31"/>
          </reference>
        </references>
      </pivotArea>
    </format>
    <format dxfId="590">
      <pivotArea field="0" dataOnly="0" labelOnly="1" grandRow="1" outline="0" axis="axisRow" fieldPosition="0">
        <references count="1">
          <reference field="4294967294" count="1" selected="0">
            <x v="32"/>
          </reference>
        </references>
      </pivotArea>
    </format>
    <format dxfId="589">
      <pivotArea field="0" dataOnly="0" labelOnly="1" grandRow="1" outline="0" axis="axisRow" fieldPosition="0">
        <references count="1">
          <reference field="4294967294" count="1" selected="0">
            <x v="33"/>
          </reference>
        </references>
      </pivotArea>
    </format>
    <format dxfId="588">
      <pivotArea field="0" dataOnly="0" labelOnly="1" grandRow="1" outline="0" axis="axisRow" fieldPosition="0">
        <references count="1">
          <reference field="4294967294" count="1" selected="0">
            <x v="34"/>
          </reference>
        </references>
      </pivotArea>
    </format>
    <format dxfId="587">
      <pivotArea field="0" dataOnly="0" labelOnly="1" grandRow="1" outline="0" axis="axisRow" fieldPosition="0">
        <references count="1">
          <reference field="4294967294" count="1" selected="0">
            <x v="35"/>
          </reference>
        </references>
      </pivotArea>
    </format>
    <format dxfId="586">
      <pivotArea field="0" dataOnly="0" labelOnly="1" grandRow="1" outline="0" axis="axisRow" fieldPosition="0">
        <references count="1">
          <reference field="4294967294" count="1" selected="0">
            <x v="0"/>
          </reference>
        </references>
      </pivotArea>
    </format>
    <format dxfId="585">
      <pivotArea field="0" dataOnly="0" labelOnly="1" grandRow="1" outline="0" axis="axisRow" fieldPosition="0">
        <references count="1">
          <reference field="4294967294" count="1" selected="0">
            <x v="1"/>
          </reference>
        </references>
      </pivotArea>
    </format>
    <format dxfId="584">
      <pivotArea field="0" dataOnly="0" labelOnly="1" grandRow="1" outline="0" axis="axisRow" fieldPosition="0">
        <references count="1">
          <reference field="4294967294" count="1" selected="0">
            <x v="2"/>
          </reference>
        </references>
      </pivotArea>
    </format>
    <format dxfId="583">
      <pivotArea field="0" dataOnly="0" labelOnly="1" grandRow="1" outline="0" axis="axisRow" fieldPosition="0">
        <references count="1">
          <reference field="4294967294" count="1" selected="0">
            <x v="3"/>
          </reference>
        </references>
      </pivotArea>
    </format>
    <format dxfId="582">
      <pivotArea field="0" dataOnly="0" labelOnly="1" grandRow="1" outline="0" axis="axisRow" fieldPosition="0">
        <references count="1">
          <reference field="4294967294" count="1" selected="0">
            <x v="4"/>
          </reference>
        </references>
      </pivotArea>
    </format>
    <format dxfId="581">
      <pivotArea field="0" dataOnly="0" labelOnly="1" grandRow="1" outline="0" axis="axisRow" fieldPosition="0">
        <references count="1">
          <reference field="4294967294" count="1" selected="0">
            <x v="5"/>
          </reference>
        </references>
      </pivotArea>
    </format>
    <format dxfId="580">
      <pivotArea field="0" dataOnly="0" labelOnly="1" grandRow="1" outline="0" axis="axisRow" fieldPosition="0">
        <references count="1">
          <reference field="4294967294" count="1" selected="0">
            <x v="6"/>
          </reference>
        </references>
      </pivotArea>
    </format>
    <format dxfId="579">
      <pivotArea field="0" dataOnly="0" labelOnly="1" grandRow="1" outline="0" axis="axisRow" fieldPosition="0">
        <references count="1">
          <reference field="4294967294" count="1" selected="0">
            <x v="7"/>
          </reference>
        </references>
      </pivotArea>
    </format>
    <format dxfId="578">
      <pivotArea field="0" dataOnly="0" labelOnly="1" grandRow="1" outline="0" axis="axisRow" fieldPosition="0">
        <references count="1">
          <reference field="4294967294" count="1" selected="0">
            <x v="8"/>
          </reference>
        </references>
      </pivotArea>
    </format>
    <format dxfId="577">
      <pivotArea field="0" dataOnly="0" labelOnly="1" grandRow="1" outline="0" axis="axisRow" fieldPosition="0">
        <references count="1">
          <reference field="4294967294" count="1" selected="0">
            <x v="9"/>
          </reference>
        </references>
      </pivotArea>
    </format>
    <format dxfId="576">
      <pivotArea field="0" dataOnly="0" labelOnly="1" grandRow="1" outline="0" axis="axisRow" fieldPosition="0">
        <references count="1">
          <reference field="4294967294" count="1" selected="0">
            <x v="10"/>
          </reference>
        </references>
      </pivotArea>
    </format>
    <format dxfId="575">
      <pivotArea field="0" dataOnly="0" labelOnly="1" grandRow="1" outline="0" axis="axisRow" fieldPosition="0">
        <references count="1">
          <reference field="4294967294" count="1" selected="0">
            <x v="11"/>
          </reference>
        </references>
      </pivotArea>
    </format>
    <format dxfId="574">
      <pivotArea field="0" dataOnly="0" labelOnly="1" grandRow="1" outline="0" axis="axisRow" fieldPosition="0">
        <references count="1">
          <reference field="4294967294" count="1" selected="0">
            <x v="12"/>
          </reference>
        </references>
      </pivotArea>
    </format>
    <format dxfId="573">
      <pivotArea field="0" dataOnly="0" labelOnly="1" grandRow="1" outline="0" axis="axisRow" fieldPosition="0">
        <references count="1">
          <reference field="4294967294" count="1" selected="0">
            <x v="13"/>
          </reference>
        </references>
      </pivotArea>
    </format>
    <format dxfId="572">
      <pivotArea field="0" dataOnly="0" labelOnly="1" grandRow="1" outline="0" axis="axisRow" fieldPosition="0">
        <references count="1">
          <reference field="4294967294" count="1" selected="0">
            <x v="14"/>
          </reference>
        </references>
      </pivotArea>
    </format>
    <format dxfId="571">
      <pivotArea field="0" dataOnly="0" labelOnly="1" grandRow="1" outline="0" axis="axisRow" fieldPosition="0">
        <references count="1">
          <reference field="4294967294" count="1" selected="0">
            <x v="15"/>
          </reference>
        </references>
      </pivotArea>
    </format>
    <format dxfId="570">
      <pivotArea field="0" dataOnly="0" labelOnly="1" grandRow="1" outline="0" axis="axisRow" fieldPosition="0">
        <references count="1">
          <reference field="4294967294" count="1" selected="0">
            <x v="16"/>
          </reference>
        </references>
      </pivotArea>
    </format>
    <format dxfId="569">
      <pivotArea field="0" dataOnly="0" labelOnly="1" grandRow="1" outline="0" axis="axisRow" fieldPosition="0">
        <references count="1">
          <reference field="4294967294" count="1" selected="0">
            <x v="17"/>
          </reference>
        </references>
      </pivotArea>
    </format>
    <format dxfId="568">
      <pivotArea field="0" dataOnly="0" labelOnly="1" grandRow="1" outline="0" axis="axisRow" fieldPosition="0">
        <references count="1">
          <reference field="4294967294" count="1" selected="0">
            <x v="18"/>
          </reference>
        </references>
      </pivotArea>
    </format>
    <format dxfId="567">
      <pivotArea field="0" dataOnly="0" labelOnly="1" grandRow="1" outline="0" axis="axisRow" fieldPosition="0">
        <references count="1">
          <reference field="4294967294" count="1" selected="0">
            <x v="19"/>
          </reference>
        </references>
      </pivotArea>
    </format>
    <format dxfId="566">
      <pivotArea field="0" dataOnly="0" labelOnly="1" grandRow="1" outline="0" axis="axisRow" fieldPosition="0">
        <references count="1">
          <reference field="4294967294" count="1" selected="0">
            <x v="20"/>
          </reference>
        </references>
      </pivotArea>
    </format>
    <format dxfId="565">
      <pivotArea field="0" dataOnly="0" labelOnly="1" grandRow="1" outline="0" axis="axisRow" fieldPosition="0">
        <references count="1">
          <reference field="4294967294" count="1" selected="0">
            <x v="21"/>
          </reference>
        </references>
      </pivotArea>
    </format>
    <format dxfId="564">
      <pivotArea field="0" dataOnly="0" labelOnly="1" grandRow="1" outline="0" axis="axisRow" fieldPosition="0">
        <references count="1">
          <reference field="4294967294" count="1" selected="0">
            <x v="22"/>
          </reference>
        </references>
      </pivotArea>
    </format>
    <format dxfId="563">
      <pivotArea field="0" dataOnly="0" labelOnly="1" grandRow="1" outline="0" axis="axisRow" fieldPosition="0">
        <references count="1">
          <reference field="4294967294" count="1" selected="0">
            <x v="23"/>
          </reference>
        </references>
      </pivotArea>
    </format>
    <format dxfId="562">
      <pivotArea field="0" dataOnly="0" labelOnly="1" grandRow="1" outline="0" axis="axisRow" fieldPosition="0">
        <references count="1">
          <reference field="4294967294" count="1" selected="0">
            <x v="24"/>
          </reference>
        </references>
      </pivotArea>
    </format>
    <format dxfId="561">
      <pivotArea field="0" dataOnly="0" labelOnly="1" grandRow="1" outline="0" axis="axisRow" fieldPosition="0">
        <references count="1">
          <reference field="4294967294" count="1" selected="0">
            <x v="25"/>
          </reference>
        </references>
      </pivotArea>
    </format>
    <format dxfId="560">
      <pivotArea field="0" dataOnly="0" labelOnly="1" grandRow="1" outline="0" axis="axisRow" fieldPosition="0">
        <references count="1">
          <reference field="4294967294" count="1" selected="0">
            <x v="26"/>
          </reference>
        </references>
      </pivotArea>
    </format>
    <format dxfId="559">
      <pivotArea field="0" dataOnly="0" labelOnly="1" grandRow="1" outline="0" axis="axisRow" fieldPosition="0">
        <references count="1">
          <reference field="4294967294" count="1" selected="0">
            <x v="27"/>
          </reference>
        </references>
      </pivotArea>
    </format>
    <format dxfId="558">
      <pivotArea field="0" dataOnly="0" labelOnly="1" grandRow="1" outline="0" axis="axisRow" fieldPosition="0">
        <references count="1">
          <reference field="4294967294" count="1" selected="0">
            <x v="28"/>
          </reference>
        </references>
      </pivotArea>
    </format>
    <format dxfId="557">
      <pivotArea field="0" dataOnly="0" labelOnly="1" grandRow="1" outline="0" axis="axisRow" fieldPosition="0">
        <references count="1">
          <reference field="4294967294" count="1" selected="0">
            <x v="29"/>
          </reference>
        </references>
      </pivotArea>
    </format>
    <format dxfId="556">
      <pivotArea field="0" dataOnly="0" labelOnly="1" grandRow="1" outline="0" axis="axisRow" fieldPosition="0">
        <references count="1">
          <reference field="4294967294" count="1" selected="0">
            <x v="30"/>
          </reference>
        </references>
      </pivotArea>
    </format>
    <format dxfId="555">
      <pivotArea field="0" dataOnly="0" labelOnly="1" grandRow="1" outline="0" axis="axisRow" fieldPosition="0">
        <references count="1">
          <reference field="4294967294" count="1" selected="0">
            <x v="31"/>
          </reference>
        </references>
      </pivotArea>
    </format>
    <format dxfId="554">
      <pivotArea field="0" dataOnly="0" labelOnly="1" grandRow="1" outline="0" axis="axisRow" fieldPosition="0">
        <references count="1">
          <reference field="4294967294" count="1" selected="0">
            <x v="32"/>
          </reference>
        </references>
      </pivotArea>
    </format>
    <format dxfId="553">
      <pivotArea field="0" dataOnly="0" labelOnly="1" grandRow="1" outline="0" axis="axisRow" fieldPosition="0">
        <references count="1">
          <reference field="4294967294" count="1" selected="0">
            <x v="33"/>
          </reference>
        </references>
      </pivotArea>
    </format>
    <format dxfId="552">
      <pivotArea field="0" dataOnly="0" labelOnly="1" grandRow="1" outline="0" axis="axisRow" fieldPosition="0">
        <references count="1">
          <reference field="4294967294" count="1" selected="0">
            <x v="34"/>
          </reference>
        </references>
      </pivotArea>
    </format>
    <format dxfId="551">
      <pivotArea field="0" dataOnly="0" labelOnly="1" grandRow="1" outline="0" axis="axisRow" fieldPosition="0">
        <references count="1">
          <reference field="4294967294" count="1" selected="0">
            <x v="35"/>
          </reference>
        </references>
      </pivotArea>
    </format>
    <format dxfId="550">
      <pivotArea field="0" dataOnly="0" labelOnly="1" grandRow="1" outline="0" axis="axisRow" fieldPosition="0">
        <references count="1">
          <reference field="4294967294" count="1" selected="0">
            <x v="0"/>
          </reference>
        </references>
      </pivotArea>
    </format>
    <format dxfId="549">
      <pivotArea field="0" dataOnly="0" labelOnly="1" grandRow="1" outline="0" axis="axisRow" fieldPosition="0">
        <references count="1">
          <reference field="4294967294" count="1" selected="0">
            <x v="1"/>
          </reference>
        </references>
      </pivotArea>
    </format>
    <format dxfId="548">
      <pivotArea field="0" dataOnly="0" labelOnly="1" grandRow="1" outline="0" axis="axisRow" fieldPosition="0">
        <references count="1">
          <reference field="4294967294" count="1" selected="0">
            <x v="2"/>
          </reference>
        </references>
      </pivotArea>
    </format>
    <format dxfId="547">
      <pivotArea field="0" dataOnly="0" labelOnly="1" grandRow="1" outline="0" axis="axisRow" fieldPosition="0">
        <references count="1">
          <reference field="4294967294" count="1" selected="0">
            <x v="3"/>
          </reference>
        </references>
      </pivotArea>
    </format>
    <format dxfId="546">
      <pivotArea field="0" dataOnly="0" labelOnly="1" grandRow="1" outline="0" axis="axisRow" fieldPosition="0">
        <references count="1">
          <reference field="4294967294" count="1" selected="0">
            <x v="4"/>
          </reference>
        </references>
      </pivotArea>
    </format>
    <format dxfId="545">
      <pivotArea field="0" dataOnly="0" labelOnly="1" grandRow="1" outline="0" axis="axisRow" fieldPosition="0">
        <references count="1">
          <reference field="4294967294" count="1" selected="0">
            <x v="5"/>
          </reference>
        </references>
      </pivotArea>
    </format>
    <format dxfId="544">
      <pivotArea field="0" dataOnly="0" labelOnly="1" grandRow="1" outline="0" axis="axisRow" fieldPosition="0">
        <references count="1">
          <reference field="4294967294" count="1" selected="0">
            <x v="6"/>
          </reference>
        </references>
      </pivotArea>
    </format>
    <format dxfId="543">
      <pivotArea field="0" dataOnly="0" labelOnly="1" grandRow="1" outline="0" axis="axisRow" fieldPosition="0">
        <references count="1">
          <reference field="4294967294" count="1" selected="0">
            <x v="7"/>
          </reference>
        </references>
      </pivotArea>
    </format>
    <format dxfId="542">
      <pivotArea field="0" dataOnly="0" labelOnly="1" grandRow="1" outline="0" axis="axisRow" fieldPosition="0">
        <references count="1">
          <reference field="4294967294" count="1" selected="0">
            <x v="8"/>
          </reference>
        </references>
      </pivotArea>
    </format>
    <format dxfId="541">
      <pivotArea field="0" dataOnly="0" labelOnly="1" grandRow="1" outline="0" axis="axisRow" fieldPosition="0">
        <references count="1">
          <reference field="4294967294" count="1" selected="0">
            <x v="9"/>
          </reference>
        </references>
      </pivotArea>
    </format>
    <format dxfId="540">
      <pivotArea field="0" dataOnly="0" labelOnly="1" grandRow="1" outline="0" axis="axisRow" fieldPosition="0">
        <references count="1">
          <reference field="4294967294" count="1" selected="0">
            <x v="10"/>
          </reference>
        </references>
      </pivotArea>
    </format>
    <format dxfId="539">
      <pivotArea field="0" dataOnly="0" labelOnly="1" grandRow="1" outline="0" axis="axisRow" fieldPosition="0">
        <references count="1">
          <reference field="4294967294" count="1" selected="0">
            <x v="11"/>
          </reference>
        </references>
      </pivotArea>
    </format>
    <format dxfId="538">
      <pivotArea field="0" dataOnly="0" labelOnly="1" grandRow="1" outline="0" axis="axisRow" fieldPosition="0">
        <references count="1">
          <reference field="4294967294" count="1" selected="0">
            <x v="12"/>
          </reference>
        </references>
      </pivotArea>
    </format>
    <format dxfId="537">
      <pivotArea field="0" dataOnly="0" labelOnly="1" grandRow="1" outline="0" axis="axisRow" fieldPosition="0">
        <references count="1">
          <reference field="4294967294" count="1" selected="0">
            <x v="13"/>
          </reference>
        </references>
      </pivotArea>
    </format>
    <format dxfId="536">
      <pivotArea field="0" dataOnly="0" labelOnly="1" grandRow="1" outline="0" axis="axisRow" fieldPosition="0">
        <references count="1">
          <reference field="4294967294" count="1" selected="0">
            <x v="14"/>
          </reference>
        </references>
      </pivotArea>
    </format>
    <format dxfId="535">
      <pivotArea field="0" dataOnly="0" labelOnly="1" grandRow="1" outline="0" axis="axisRow" fieldPosition="0">
        <references count="1">
          <reference field="4294967294" count="1" selected="0">
            <x v="15"/>
          </reference>
        </references>
      </pivotArea>
    </format>
    <format dxfId="534">
      <pivotArea field="0" dataOnly="0" labelOnly="1" grandRow="1" outline="0" axis="axisRow" fieldPosition="0">
        <references count="1">
          <reference field="4294967294" count="1" selected="0">
            <x v="16"/>
          </reference>
        </references>
      </pivotArea>
    </format>
    <format dxfId="533">
      <pivotArea field="0" dataOnly="0" labelOnly="1" grandRow="1" outline="0" axis="axisRow" fieldPosition="0">
        <references count="1">
          <reference field="4294967294" count="1" selected="0">
            <x v="17"/>
          </reference>
        </references>
      </pivotArea>
    </format>
    <format dxfId="532">
      <pivotArea field="0" dataOnly="0" labelOnly="1" grandRow="1" outline="0" axis="axisRow" fieldPosition="0">
        <references count="1">
          <reference field="4294967294" count="1" selected="0">
            <x v="18"/>
          </reference>
        </references>
      </pivotArea>
    </format>
    <format dxfId="531">
      <pivotArea field="0" dataOnly="0" labelOnly="1" grandRow="1" outline="0" axis="axisRow" fieldPosition="0">
        <references count="1">
          <reference field="4294967294" count="1" selected="0">
            <x v="19"/>
          </reference>
        </references>
      </pivotArea>
    </format>
    <format dxfId="530">
      <pivotArea field="0" dataOnly="0" labelOnly="1" grandRow="1" outline="0" axis="axisRow" fieldPosition="0">
        <references count="1">
          <reference field="4294967294" count="1" selected="0">
            <x v="20"/>
          </reference>
        </references>
      </pivotArea>
    </format>
    <format dxfId="529">
      <pivotArea field="0" dataOnly="0" labelOnly="1" grandRow="1" outline="0" axis="axisRow" fieldPosition="0">
        <references count="1">
          <reference field="4294967294" count="1" selected="0">
            <x v="21"/>
          </reference>
        </references>
      </pivotArea>
    </format>
    <format dxfId="528">
      <pivotArea field="0" dataOnly="0" labelOnly="1" grandRow="1" outline="0" axis="axisRow" fieldPosition="0">
        <references count="1">
          <reference field="4294967294" count="1" selected="0">
            <x v="22"/>
          </reference>
        </references>
      </pivotArea>
    </format>
    <format dxfId="527">
      <pivotArea field="0" dataOnly="0" labelOnly="1" grandRow="1" outline="0" axis="axisRow" fieldPosition="0">
        <references count="1">
          <reference field="4294967294" count="1" selected="0">
            <x v="23"/>
          </reference>
        </references>
      </pivotArea>
    </format>
    <format dxfId="526">
      <pivotArea field="0" dataOnly="0" labelOnly="1" grandRow="1" outline="0" axis="axisRow" fieldPosition="0">
        <references count="1">
          <reference field="4294967294" count="1" selected="0">
            <x v="24"/>
          </reference>
        </references>
      </pivotArea>
    </format>
    <format dxfId="525">
      <pivotArea field="0" dataOnly="0" labelOnly="1" grandRow="1" outline="0" axis="axisRow" fieldPosition="0">
        <references count="1">
          <reference field="4294967294" count="1" selected="0">
            <x v="25"/>
          </reference>
        </references>
      </pivotArea>
    </format>
    <format dxfId="524">
      <pivotArea field="0" dataOnly="0" labelOnly="1" grandRow="1" outline="0" axis="axisRow" fieldPosition="0">
        <references count="1">
          <reference field="4294967294" count="1" selected="0">
            <x v="26"/>
          </reference>
        </references>
      </pivotArea>
    </format>
    <format dxfId="523">
      <pivotArea field="0" dataOnly="0" labelOnly="1" grandRow="1" outline="0" axis="axisRow" fieldPosition="0">
        <references count="1">
          <reference field="4294967294" count="1" selected="0">
            <x v="27"/>
          </reference>
        </references>
      </pivotArea>
    </format>
    <format dxfId="522">
      <pivotArea field="0" dataOnly="0" labelOnly="1" grandRow="1" outline="0" axis="axisRow" fieldPosition="0">
        <references count="1">
          <reference field="4294967294" count="1" selected="0">
            <x v="28"/>
          </reference>
        </references>
      </pivotArea>
    </format>
    <format dxfId="521">
      <pivotArea field="0" dataOnly="0" labelOnly="1" grandRow="1" outline="0" axis="axisRow" fieldPosition="0">
        <references count="1">
          <reference field="4294967294" count="1" selected="0">
            <x v="29"/>
          </reference>
        </references>
      </pivotArea>
    </format>
    <format dxfId="520">
      <pivotArea field="0" dataOnly="0" labelOnly="1" grandRow="1" outline="0" axis="axisRow" fieldPosition="0">
        <references count="1">
          <reference field="4294967294" count="1" selected="0">
            <x v="30"/>
          </reference>
        </references>
      </pivotArea>
    </format>
    <format dxfId="519">
      <pivotArea field="0" dataOnly="0" labelOnly="1" grandRow="1" outline="0" axis="axisRow" fieldPosition="0">
        <references count="1">
          <reference field="4294967294" count="1" selected="0">
            <x v="31"/>
          </reference>
        </references>
      </pivotArea>
    </format>
    <format dxfId="518">
      <pivotArea field="0" dataOnly="0" labelOnly="1" grandRow="1" outline="0" axis="axisRow" fieldPosition="0">
        <references count="1">
          <reference field="4294967294" count="1" selected="0">
            <x v="32"/>
          </reference>
        </references>
      </pivotArea>
    </format>
    <format dxfId="517">
      <pivotArea field="0" dataOnly="0" labelOnly="1" grandRow="1" outline="0" axis="axisRow" fieldPosition="0">
        <references count="1">
          <reference field="4294967294" count="1" selected="0">
            <x v="33"/>
          </reference>
        </references>
      </pivotArea>
    </format>
    <format dxfId="516">
      <pivotArea field="0" dataOnly="0" labelOnly="1" grandRow="1" outline="0" axis="axisRow" fieldPosition="0">
        <references count="1">
          <reference field="4294967294" count="1" selected="0">
            <x v="34"/>
          </reference>
        </references>
      </pivotArea>
    </format>
    <format dxfId="515">
      <pivotArea field="0" dataOnly="0" labelOnly="1" grandRow="1" outline="0" axis="axisRow" fieldPosition="0">
        <references count="1">
          <reference field="4294967294" count="1" selected="0">
            <x v="35"/>
          </reference>
        </references>
      </pivotArea>
    </format>
    <format dxfId="514">
      <pivotArea field="0" dataOnly="0" labelOnly="1" grandRow="1" outline="0" axis="axisRow" fieldPosition="0">
        <references count="1">
          <reference field="4294967294" count="1" selected="0">
            <x v="0"/>
          </reference>
        </references>
      </pivotArea>
    </format>
    <format dxfId="513">
      <pivotArea field="0" dataOnly="0" labelOnly="1" grandRow="1" outline="0" axis="axisRow" fieldPosition="0">
        <references count="1">
          <reference field="4294967294" count="1" selected="0">
            <x v="1"/>
          </reference>
        </references>
      </pivotArea>
    </format>
    <format dxfId="512">
      <pivotArea field="0" dataOnly="0" labelOnly="1" grandRow="1" outline="0" axis="axisRow" fieldPosition="0">
        <references count="1">
          <reference field="4294967294" count="1" selected="0">
            <x v="2"/>
          </reference>
        </references>
      </pivotArea>
    </format>
    <format dxfId="511">
      <pivotArea field="0" dataOnly="0" labelOnly="1" grandRow="1" outline="0" axis="axisRow" fieldPosition="0">
        <references count="1">
          <reference field="4294967294" count="1" selected="0">
            <x v="3"/>
          </reference>
        </references>
      </pivotArea>
    </format>
    <format dxfId="510">
      <pivotArea field="0" dataOnly="0" labelOnly="1" grandRow="1" outline="0" axis="axisRow" fieldPosition="0">
        <references count="1">
          <reference field="4294967294" count="1" selected="0">
            <x v="4"/>
          </reference>
        </references>
      </pivotArea>
    </format>
    <format dxfId="509">
      <pivotArea field="0" dataOnly="0" labelOnly="1" grandRow="1" outline="0" axis="axisRow" fieldPosition="0">
        <references count="1">
          <reference field="4294967294" count="1" selected="0">
            <x v="5"/>
          </reference>
        </references>
      </pivotArea>
    </format>
    <format dxfId="508">
      <pivotArea field="0" dataOnly="0" labelOnly="1" grandRow="1" outline="0" axis="axisRow" fieldPosition="0">
        <references count="1">
          <reference field="4294967294" count="1" selected="0">
            <x v="6"/>
          </reference>
        </references>
      </pivotArea>
    </format>
    <format dxfId="507">
      <pivotArea field="0" dataOnly="0" labelOnly="1" grandRow="1" outline="0" axis="axisRow" fieldPosition="0">
        <references count="1">
          <reference field="4294967294" count="1" selected="0">
            <x v="7"/>
          </reference>
        </references>
      </pivotArea>
    </format>
    <format dxfId="506">
      <pivotArea field="0" dataOnly="0" labelOnly="1" grandRow="1" outline="0" axis="axisRow" fieldPosition="0">
        <references count="1">
          <reference field="4294967294" count="1" selected="0">
            <x v="8"/>
          </reference>
        </references>
      </pivotArea>
    </format>
    <format dxfId="505">
      <pivotArea field="0" dataOnly="0" labelOnly="1" grandRow="1" outline="0" axis="axisRow" fieldPosition="0">
        <references count="1">
          <reference field="4294967294" count="1" selected="0">
            <x v="9"/>
          </reference>
        </references>
      </pivotArea>
    </format>
    <format dxfId="504">
      <pivotArea field="0" dataOnly="0" labelOnly="1" grandRow="1" outline="0" axis="axisRow" fieldPosition="0">
        <references count="1">
          <reference field="4294967294" count="1" selected="0">
            <x v="10"/>
          </reference>
        </references>
      </pivotArea>
    </format>
    <format dxfId="503">
      <pivotArea field="0" dataOnly="0" labelOnly="1" grandRow="1" outline="0" axis="axisRow" fieldPosition="0">
        <references count="1">
          <reference field="4294967294" count="1" selected="0">
            <x v="11"/>
          </reference>
        </references>
      </pivotArea>
    </format>
    <format dxfId="502">
      <pivotArea field="0" dataOnly="0" labelOnly="1" grandRow="1" outline="0" axis="axisRow" fieldPosition="0">
        <references count="1">
          <reference field="4294967294" count="1" selected="0">
            <x v="12"/>
          </reference>
        </references>
      </pivotArea>
    </format>
    <format dxfId="501">
      <pivotArea field="0" dataOnly="0" labelOnly="1" grandRow="1" outline="0" axis="axisRow" fieldPosition="0">
        <references count="1">
          <reference field="4294967294" count="1" selected="0">
            <x v="13"/>
          </reference>
        </references>
      </pivotArea>
    </format>
    <format dxfId="500">
      <pivotArea field="0" dataOnly="0" labelOnly="1" grandRow="1" outline="0" axis="axisRow" fieldPosition="0">
        <references count="1">
          <reference field="4294967294" count="1" selected="0">
            <x v="14"/>
          </reference>
        </references>
      </pivotArea>
    </format>
    <format dxfId="499">
      <pivotArea field="0" dataOnly="0" labelOnly="1" grandRow="1" outline="0" axis="axisRow" fieldPosition="0">
        <references count="1">
          <reference field="4294967294" count="1" selected="0">
            <x v="15"/>
          </reference>
        </references>
      </pivotArea>
    </format>
    <format dxfId="498">
      <pivotArea field="0" dataOnly="0" labelOnly="1" grandRow="1" outline="0" axis="axisRow" fieldPosition="0">
        <references count="1">
          <reference field="4294967294" count="1" selected="0">
            <x v="16"/>
          </reference>
        </references>
      </pivotArea>
    </format>
    <format dxfId="497">
      <pivotArea field="0" dataOnly="0" labelOnly="1" grandRow="1" outline="0" axis="axisRow" fieldPosition="0">
        <references count="1">
          <reference field="4294967294" count="1" selected="0">
            <x v="17"/>
          </reference>
        </references>
      </pivotArea>
    </format>
    <format dxfId="496">
      <pivotArea field="0" dataOnly="0" labelOnly="1" grandRow="1" outline="0" axis="axisRow" fieldPosition="0">
        <references count="1">
          <reference field="4294967294" count="1" selected="0">
            <x v="18"/>
          </reference>
        </references>
      </pivotArea>
    </format>
    <format dxfId="495">
      <pivotArea field="0" dataOnly="0" labelOnly="1" grandRow="1" outline="0" axis="axisRow" fieldPosition="0">
        <references count="1">
          <reference field="4294967294" count="1" selected="0">
            <x v="19"/>
          </reference>
        </references>
      </pivotArea>
    </format>
    <format dxfId="494">
      <pivotArea field="0" dataOnly="0" labelOnly="1" grandRow="1" outline="0" axis="axisRow" fieldPosition="0">
        <references count="1">
          <reference field="4294967294" count="1" selected="0">
            <x v="20"/>
          </reference>
        </references>
      </pivotArea>
    </format>
    <format dxfId="493">
      <pivotArea field="0" dataOnly="0" labelOnly="1" grandRow="1" outline="0" axis="axisRow" fieldPosition="0">
        <references count="1">
          <reference field="4294967294" count="1" selected="0">
            <x v="21"/>
          </reference>
        </references>
      </pivotArea>
    </format>
    <format dxfId="492">
      <pivotArea field="0" dataOnly="0" labelOnly="1" grandRow="1" outline="0" axis="axisRow" fieldPosition="0">
        <references count="1">
          <reference field="4294967294" count="1" selected="0">
            <x v="22"/>
          </reference>
        </references>
      </pivotArea>
    </format>
    <format dxfId="491">
      <pivotArea field="0" dataOnly="0" labelOnly="1" grandRow="1" outline="0" axis="axisRow" fieldPosition="0">
        <references count="1">
          <reference field="4294967294" count="1" selected="0">
            <x v="23"/>
          </reference>
        </references>
      </pivotArea>
    </format>
    <format dxfId="490">
      <pivotArea field="0" dataOnly="0" labelOnly="1" grandRow="1" outline="0" axis="axisRow" fieldPosition="0">
        <references count="1">
          <reference field="4294967294" count="1" selected="0">
            <x v="24"/>
          </reference>
        </references>
      </pivotArea>
    </format>
    <format dxfId="489">
      <pivotArea field="0" dataOnly="0" labelOnly="1" grandRow="1" outline="0" axis="axisRow" fieldPosition="0">
        <references count="1">
          <reference field="4294967294" count="1" selected="0">
            <x v="25"/>
          </reference>
        </references>
      </pivotArea>
    </format>
    <format dxfId="488">
      <pivotArea field="0" dataOnly="0" labelOnly="1" grandRow="1" outline="0" axis="axisRow" fieldPosition="0">
        <references count="1">
          <reference field="4294967294" count="1" selected="0">
            <x v="26"/>
          </reference>
        </references>
      </pivotArea>
    </format>
    <format dxfId="487">
      <pivotArea field="0" dataOnly="0" labelOnly="1" grandRow="1" outline="0" axis="axisRow" fieldPosition="0">
        <references count="1">
          <reference field="4294967294" count="1" selected="0">
            <x v="27"/>
          </reference>
        </references>
      </pivotArea>
    </format>
    <format dxfId="486">
      <pivotArea field="0" dataOnly="0" labelOnly="1" grandRow="1" outline="0" axis="axisRow" fieldPosition="0">
        <references count="1">
          <reference field="4294967294" count="1" selected="0">
            <x v="28"/>
          </reference>
        </references>
      </pivotArea>
    </format>
    <format dxfId="485">
      <pivotArea field="0" dataOnly="0" labelOnly="1" grandRow="1" outline="0" axis="axisRow" fieldPosition="0">
        <references count="1">
          <reference field="4294967294" count="1" selected="0">
            <x v="29"/>
          </reference>
        </references>
      </pivotArea>
    </format>
    <format dxfId="484">
      <pivotArea field="0" dataOnly="0" labelOnly="1" grandRow="1" outline="0" axis="axisRow" fieldPosition="0">
        <references count="1">
          <reference field="4294967294" count="1" selected="0">
            <x v="30"/>
          </reference>
        </references>
      </pivotArea>
    </format>
    <format dxfId="483">
      <pivotArea field="0" dataOnly="0" labelOnly="1" grandRow="1" outline="0" axis="axisRow" fieldPosition="0">
        <references count="1">
          <reference field="4294967294" count="1" selected="0">
            <x v="31"/>
          </reference>
        </references>
      </pivotArea>
    </format>
    <format dxfId="482">
      <pivotArea field="0" dataOnly="0" labelOnly="1" grandRow="1" outline="0" axis="axisRow" fieldPosition="0">
        <references count="1">
          <reference field="4294967294" count="1" selected="0">
            <x v="32"/>
          </reference>
        </references>
      </pivotArea>
    </format>
    <format dxfId="481">
      <pivotArea field="0" dataOnly="0" labelOnly="1" grandRow="1" outline="0" axis="axisRow" fieldPosition="0">
        <references count="1">
          <reference field="4294967294" count="1" selected="0">
            <x v="33"/>
          </reference>
        </references>
      </pivotArea>
    </format>
    <format dxfId="480">
      <pivotArea field="0" dataOnly="0" labelOnly="1" grandRow="1" outline="0" axis="axisRow" fieldPosition="0">
        <references count="1">
          <reference field="4294967294" count="1" selected="0">
            <x v="34"/>
          </reference>
        </references>
      </pivotArea>
    </format>
    <format dxfId="479">
      <pivotArea field="0" dataOnly="0" labelOnly="1" grandRow="1" outline="0" axis="axisRow" fieldPosition="0">
        <references count="1">
          <reference field="4294967294" count="1" selected="0">
            <x v="35"/>
          </reference>
        </references>
      </pivotArea>
    </format>
    <format dxfId="478">
      <pivotArea field="0" dataOnly="0" labelOnly="1" grandRow="1" outline="0" axis="axisRow" fieldPosition="0">
        <references count="1">
          <reference field="4294967294" count="1" selected="0">
            <x v="0"/>
          </reference>
        </references>
      </pivotArea>
    </format>
    <format dxfId="477">
      <pivotArea field="0" dataOnly="0" labelOnly="1" grandRow="1" outline="0" axis="axisRow" fieldPosition="0">
        <references count="1">
          <reference field="4294967294" count="1" selected="0">
            <x v="1"/>
          </reference>
        </references>
      </pivotArea>
    </format>
    <format dxfId="476">
      <pivotArea field="0" dataOnly="0" labelOnly="1" grandRow="1" outline="0" axis="axisRow" fieldPosition="0">
        <references count="1">
          <reference field="4294967294" count="1" selected="0">
            <x v="2"/>
          </reference>
        </references>
      </pivotArea>
    </format>
    <format dxfId="475">
      <pivotArea field="0" dataOnly="0" labelOnly="1" grandRow="1" outline="0" axis="axisRow" fieldPosition="0">
        <references count="1">
          <reference field="4294967294" count="1" selected="0">
            <x v="3"/>
          </reference>
        </references>
      </pivotArea>
    </format>
    <format dxfId="474">
      <pivotArea field="0" dataOnly="0" labelOnly="1" grandRow="1" outline="0" axis="axisRow" fieldPosition="0">
        <references count="1">
          <reference field="4294967294" count="1" selected="0">
            <x v="4"/>
          </reference>
        </references>
      </pivotArea>
    </format>
    <format dxfId="473">
      <pivotArea field="0" dataOnly="0" labelOnly="1" grandRow="1" outline="0" axis="axisRow" fieldPosition="0">
        <references count="1">
          <reference field="4294967294" count="1" selected="0">
            <x v="5"/>
          </reference>
        </references>
      </pivotArea>
    </format>
    <format dxfId="472">
      <pivotArea field="0" dataOnly="0" labelOnly="1" grandRow="1" outline="0" axis="axisRow" fieldPosition="0">
        <references count="1">
          <reference field="4294967294" count="1" selected="0">
            <x v="6"/>
          </reference>
        </references>
      </pivotArea>
    </format>
    <format dxfId="471">
      <pivotArea field="0" dataOnly="0" labelOnly="1" grandRow="1" outline="0" axis="axisRow" fieldPosition="0">
        <references count="1">
          <reference field="4294967294" count="1" selected="0">
            <x v="7"/>
          </reference>
        </references>
      </pivotArea>
    </format>
    <format dxfId="470">
      <pivotArea field="0" dataOnly="0" labelOnly="1" grandRow="1" outline="0" axis="axisRow" fieldPosition="0">
        <references count="1">
          <reference field="4294967294" count="1" selected="0">
            <x v="8"/>
          </reference>
        </references>
      </pivotArea>
    </format>
    <format dxfId="469">
      <pivotArea field="0" dataOnly="0" labelOnly="1" grandRow="1" outline="0" axis="axisRow" fieldPosition="0">
        <references count="1">
          <reference field="4294967294" count="1" selected="0">
            <x v="9"/>
          </reference>
        </references>
      </pivotArea>
    </format>
    <format dxfId="468">
      <pivotArea field="0" dataOnly="0" labelOnly="1" grandRow="1" outline="0" axis="axisRow" fieldPosition="0">
        <references count="1">
          <reference field="4294967294" count="1" selected="0">
            <x v="10"/>
          </reference>
        </references>
      </pivotArea>
    </format>
    <format dxfId="467">
      <pivotArea field="0" dataOnly="0" labelOnly="1" grandRow="1" outline="0" axis="axisRow" fieldPosition="0">
        <references count="1">
          <reference field="4294967294" count="1" selected="0">
            <x v="11"/>
          </reference>
        </references>
      </pivotArea>
    </format>
    <format dxfId="466">
      <pivotArea field="0" dataOnly="0" labelOnly="1" grandRow="1" outline="0" axis="axisRow" fieldPosition="0">
        <references count="1">
          <reference field="4294967294" count="1" selected="0">
            <x v="12"/>
          </reference>
        </references>
      </pivotArea>
    </format>
    <format dxfId="465">
      <pivotArea field="0" dataOnly="0" labelOnly="1" grandRow="1" outline="0" axis="axisRow" fieldPosition="0">
        <references count="1">
          <reference field="4294967294" count="1" selected="0">
            <x v="13"/>
          </reference>
        </references>
      </pivotArea>
    </format>
    <format dxfId="464">
      <pivotArea field="0" dataOnly="0" labelOnly="1" grandRow="1" outline="0" axis="axisRow" fieldPosition="0">
        <references count="1">
          <reference field="4294967294" count="1" selected="0">
            <x v="14"/>
          </reference>
        </references>
      </pivotArea>
    </format>
    <format dxfId="463">
      <pivotArea field="0" dataOnly="0" labelOnly="1" grandRow="1" outline="0" axis="axisRow" fieldPosition="0">
        <references count="1">
          <reference field="4294967294" count="1" selected="0">
            <x v="15"/>
          </reference>
        </references>
      </pivotArea>
    </format>
    <format dxfId="462">
      <pivotArea field="0" dataOnly="0" labelOnly="1" grandRow="1" outline="0" axis="axisRow" fieldPosition="0">
        <references count="1">
          <reference field="4294967294" count="1" selected="0">
            <x v="16"/>
          </reference>
        </references>
      </pivotArea>
    </format>
    <format dxfId="461">
      <pivotArea field="0" dataOnly="0" labelOnly="1" grandRow="1" outline="0" axis="axisRow" fieldPosition="0">
        <references count="1">
          <reference field="4294967294" count="1" selected="0">
            <x v="17"/>
          </reference>
        </references>
      </pivotArea>
    </format>
    <format dxfId="460">
      <pivotArea field="0" dataOnly="0" labelOnly="1" grandRow="1" outline="0" axis="axisRow" fieldPosition="0">
        <references count="1">
          <reference field="4294967294" count="1" selected="0">
            <x v="18"/>
          </reference>
        </references>
      </pivotArea>
    </format>
    <format dxfId="459">
      <pivotArea field="0" dataOnly="0" labelOnly="1" grandRow="1" outline="0" axis="axisRow" fieldPosition="0">
        <references count="1">
          <reference field="4294967294" count="1" selected="0">
            <x v="19"/>
          </reference>
        </references>
      </pivotArea>
    </format>
    <format dxfId="458">
      <pivotArea field="0" dataOnly="0" labelOnly="1" grandRow="1" outline="0" axis="axisRow" fieldPosition="0">
        <references count="1">
          <reference field="4294967294" count="1" selected="0">
            <x v="20"/>
          </reference>
        </references>
      </pivotArea>
    </format>
    <format dxfId="457">
      <pivotArea field="0" dataOnly="0" labelOnly="1" grandRow="1" outline="0" axis="axisRow" fieldPosition="0">
        <references count="1">
          <reference field="4294967294" count="1" selected="0">
            <x v="21"/>
          </reference>
        </references>
      </pivotArea>
    </format>
    <format dxfId="456">
      <pivotArea field="0" dataOnly="0" labelOnly="1" grandRow="1" outline="0" axis="axisRow" fieldPosition="0">
        <references count="1">
          <reference field="4294967294" count="1" selected="0">
            <x v="22"/>
          </reference>
        </references>
      </pivotArea>
    </format>
    <format dxfId="455">
      <pivotArea field="0" dataOnly="0" labelOnly="1" grandRow="1" outline="0" axis="axisRow" fieldPosition="0">
        <references count="1">
          <reference field="4294967294" count="1" selected="0">
            <x v="23"/>
          </reference>
        </references>
      </pivotArea>
    </format>
    <format dxfId="454">
      <pivotArea field="0" dataOnly="0" labelOnly="1" grandRow="1" outline="0" axis="axisRow" fieldPosition="0">
        <references count="1">
          <reference field="4294967294" count="1" selected="0">
            <x v="24"/>
          </reference>
        </references>
      </pivotArea>
    </format>
    <format dxfId="453">
      <pivotArea field="0" dataOnly="0" labelOnly="1" grandRow="1" outline="0" axis="axisRow" fieldPosition="0">
        <references count="1">
          <reference field="4294967294" count="1" selected="0">
            <x v="25"/>
          </reference>
        </references>
      </pivotArea>
    </format>
    <format dxfId="452">
      <pivotArea field="0" dataOnly="0" labelOnly="1" grandRow="1" outline="0" axis="axisRow" fieldPosition="0">
        <references count="1">
          <reference field="4294967294" count="1" selected="0">
            <x v="26"/>
          </reference>
        </references>
      </pivotArea>
    </format>
    <format dxfId="451">
      <pivotArea field="0" dataOnly="0" labelOnly="1" grandRow="1" outline="0" axis="axisRow" fieldPosition="0">
        <references count="1">
          <reference field="4294967294" count="1" selected="0">
            <x v="27"/>
          </reference>
        </references>
      </pivotArea>
    </format>
    <format dxfId="450">
      <pivotArea field="0" dataOnly="0" labelOnly="1" grandRow="1" outline="0" axis="axisRow" fieldPosition="0">
        <references count="1">
          <reference field="4294967294" count="1" selected="0">
            <x v="28"/>
          </reference>
        </references>
      </pivotArea>
    </format>
    <format dxfId="449">
      <pivotArea field="0" dataOnly="0" labelOnly="1" grandRow="1" outline="0" axis="axisRow" fieldPosition="0">
        <references count="1">
          <reference field="4294967294" count="1" selected="0">
            <x v="29"/>
          </reference>
        </references>
      </pivotArea>
    </format>
    <format dxfId="448">
      <pivotArea field="0" dataOnly="0" labelOnly="1" grandRow="1" outline="0" axis="axisRow" fieldPosition="0">
        <references count="1">
          <reference field="4294967294" count="1" selected="0">
            <x v="30"/>
          </reference>
        </references>
      </pivotArea>
    </format>
    <format dxfId="447">
      <pivotArea field="0" dataOnly="0" labelOnly="1" grandRow="1" outline="0" axis="axisRow" fieldPosition="0">
        <references count="1">
          <reference field="4294967294" count="1" selected="0">
            <x v="31"/>
          </reference>
        </references>
      </pivotArea>
    </format>
    <format dxfId="446">
      <pivotArea field="0" dataOnly="0" labelOnly="1" grandRow="1" outline="0" axis="axisRow" fieldPosition="0">
        <references count="1">
          <reference field="4294967294" count="1" selected="0">
            <x v="32"/>
          </reference>
        </references>
      </pivotArea>
    </format>
    <format dxfId="445">
      <pivotArea field="0" dataOnly="0" labelOnly="1" grandRow="1" outline="0" axis="axisRow" fieldPosition="0">
        <references count="1">
          <reference field="4294967294" count="1" selected="0">
            <x v="33"/>
          </reference>
        </references>
      </pivotArea>
    </format>
    <format dxfId="444">
      <pivotArea field="0" dataOnly="0" labelOnly="1" grandRow="1" outline="0" axis="axisRow" fieldPosition="0">
        <references count="1">
          <reference field="4294967294" count="1" selected="0">
            <x v="34"/>
          </reference>
        </references>
      </pivotArea>
    </format>
    <format dxfId="443">
      <pivotArea field="0" dataOnly="0" labelOnly="1" grandRow="1" outline="0" axis="axisRow" fieldPosition="0">
        <references count="1">
          <reference field="4294967294" count="1" selected="0">
            <x v="35"/>
          </reference>
        </references>
      </pivotArea>
    </format>
    <format dxfId="442">
      <pivotArea field="0" dataOnly="0" labelOnly="1" grandRow="1" outline="0" axis="axisRow" fieldPosition="0">
        <references count="1">
          <reference field="4294967294" count="1" selected="0">
            <x v="0"/>
          </reference>
        </references>
      </pivotArea>
    </format>
    <format dxfId="441">
      <pivotArea field="0" dataOnly="0" labelOnly="1" grandRow="1" outline="0" axis="axisRow" fieldPosition="0">
        <references count="1">
          <reference field="4294967294" count="1" selected="0">
            <x v="1"/>
          </reference>
        </references>
      </pivotArea>
    </format>
    <format dxfId="440">
      <pivotArea field="0" dataOnly="0" labelOnly="1" grandRow="1" outline="0" axis="axisRow" fieldPosition="0">
        <references count="1">
          <reference field="4294967294" count="1" selected="0">
            <x v="2"/>
          </reference>
        </references>
      </pivotArea>
    </format>
    <format dxfId="439">
      <pivotArea field="0" dataOnly="0" labelOnly="1" grandRow="1" outline="0" axis="axisRow" fieldPosition="0">
        <references count="1">
          <reference field="4294967294" count="1" selected="0">
            <x v="3"/>
          </reference>
        </references>
      </pivotArea>
    </format>
    <format dxfId="438">
      <pivotArea field="0" dataOnly="0" labelOnly="1" grandRow="1" outline="0" axis="axisRow" fieldPosition="0">
        <references count="1">
          <reference field="4294967294" count="1" selected="0">
            <x v="4"/>
          </reference>
        </references>
      </pivotArea>
    </format>
    <format dxfId="437">
      <pivotArea field="0" dataOnly="0" labelOnly="1" grandRow="1" outline="0" axis="axisRow" fieldPosition="0">
        <references count="1">
          <reference field="4294967294" count="1" selected="0">
            <x v="5"/>
          </reference>
        </references>
      </pivotArea>
    </format>
    <format dxfId="436">
      <pivotArea field="0" dataOnly="0" labelOnly="1" grandRow="1" outline="0" axis="axisRow" fieldPosition="0">
        <references count="1">
          <reference field="4294967294" count="1" selected="0">
            <x v="6"/>
          </reference>
        </references>
      </pivotArea>
    </format>
    <format dxfId="435">
      <pivotArea field="0" dataOnly="0" labelOnly="1" grandRow="1" outline="0" axis="axisRow" fieldPosition="0">
        <references count="1">
          <reference field="4294967294" count="1" selected="0">
            <x v="7"/>
          </reference>
        </references>
      </pivotArea>
    </format>
    <format dxfId="434">
      <pivotArea field="0" dataOnly="0" labelOnly="1" grandRow="1" outline="0" axis="axisRow" fieldPosition="0">
        <references count="1">
          <reference field="4294967294" count="1" selected="0">
            <x v="8"/>
          </reference>
        </references>
      </pivotArea>
    </format>
    <format dxfId="433">
      <pivotArea field="0" dataOnly="0" labelOnly="1" grandRow="1" outline="0" axis="axisRow" fieldPosition="0">
        <references count="1">
          <reference field="4294967294" count="1" selected="0">
            <x v="9"/>
          </reference>
        </references>
      </pivotArea>
    </format>
    <format dxfId="432">
      <pivotArea field="0" dataOnly="0" labelOnly="1" grandRow="1" outline="0" axis="axisRow" fieldPosition="0">
        <references count="1">
          <reference field="4294967294" count="1" selected="0">
            <x v="10"/>
          </reference>
        </references>
      </pivotArea>
    </format>
    <format dxfId="431">
      <pivotArea field="0" dataOnly="0" labelOnly="1" grandRow="1" outline="0" axis="axisRow" fieldPosition="0">
        <references count="1">
          <reference field="4294967294" count="1" selected="0">
            <x v="11"/>
          </reference>
        </references>
      </pivotArea>
    </format>
    <format dxfId="430">
      <pivotArea field="0" dataOnly="0" labelOnly="1" grandRow="1" outline="0" axis="axisRow" fieldPosition="0">
        <references count="1">
          <reference field="4294967294" count="1" selected="0">
            <x v="12"/>
          </reference>
        </references>
      </pivotArea>
    </format>
    <format dxfId="429">
      <pivotArea field="0" dataOnly="0" labelOnly="1" grandRow="1" outline="0" axis="axisRow" fieldPosition="0">
        <references count="1">
          <reference field="4294967294" count="1" selected="0">
            <x v="13"/>
          </reference>
        </references>
      </pivotArea>
    </format>
    <format dxfId="428">
      <pivotArea field="0" dataOnly="0" labelOnly="1" grandRow="1" outline="0" axis="axisRow" fieldPosition="0">
        <references count="1">
          <reference field="4294967294" count="1" selected="0">
            <x v="14"/>
          </reference>
        </references>
      </pivotArea>
    </format>
    <format dxfId="427">
      <pivotArea field="0" dataOnly="0" labelOnly="1" grandRow="1" outline="0" axis="axisRow" fieldPosition="0">
        <references count="1">
          <reference field="4294967294" count="1" selected="0">
            <x v="15"/>
          </reference>
        </references>
      </pivotArea>
    </format>
    <format dxfId="426">
      <pivotArea field="0" dataOnly="0" labelOnly="1" grandRow="1" outline="0" axis="axisRow" fieldPosition="0">
        <references count="1">
          <reference field="4294967294" count="1" selected="0">
            <x v="16"/>
          </reference>
        </references>
      </pivotArea>
    </format>
    <format dxfId="425">
      <pivotArea field="0" dataOnly="0" labelOnly="1" grandRow="1" outline="0" axis="axisRow" fieldPosition="0">
        <references count="1">
          <reference field="4294967294" count="1" selected="0">
            <x v="17"/>
          </reference>
        </references>
      </pivotArea>
    </format>
    <format dxfId="424">
      <pivotArea field="0" dataOnly="0" labelOnly="1" grandRow="1" outline="0" axis="axisRow" fieldPosition="0">
        <references count="1">
          <reference field="4294967294" count="1" selected="0">
            <x v="18"/>
          </reference>
        </references>
      </pivotArea>
    </format>
    <format dxfId="423">
      <pivotArea field="0" dataOnly="0" labelOnly="1" grandRow="1" outline="0" axis="axisRow" fieldPosition="0">
        <references count="1">
          <reference field="4294967294" count="1" selected="0">
            <x v="19"/>
          </reference>
        </references>
      </pivotArea>
    </format>
    <format dxfId="422">
      <pivotArea field="0" dataOnly="0" labelOnly="1" grandRow="1" outline="0" axis="axisRow" fieldPosition="0">
        <references count="1">
          <reference field="4294967294" count="1" selected="0">
            <x v="20"/>
          </reference>
        </references>
      </pivotArea>
    </format>
    <format dxfId="421">
      <pivotArea field="0" dataOnly="0" labelOnly="1" grandRow="1" outline="0" axis="axisRow" fieldPosition="0">
        <references count="1">
          <reference field="4294967294" count="1" selected="0">
            <x v="21"/>
          </reference>
        </references>
      </pivotArea>
    </format>
    <format dxfId="420">
      <pivotArea field="0" dataOnly="0" labelOnly="1" grandRow="1" outline="0" axis="axisRow" fieldPosition="0">
        <references count="1">
          <reference field="4294967294" count="1" selected="0">
            <x v="22"/>
          </reference>
        </references>
      </pivotArea>
    </format>
    <format dxfId="419">
      <pivotArea field="0" dataOnly="0" labelOnly="1" grandRow="1" outline="0" axis="axisRow" fieldPosition="0">
        <references count="1">
          <reference field="4294967294" count="1" selected="0">
            <x v="23"/>
          </reference>
        </references>
      </pivotArea>
    </format>
    <format dxfId="418">
      <pivotArea field="0" dataOnly="0" labelOnly="1" grandRow="1" outline="0" axis="axisRow" fieldPosition="0">
        <references count="1">
          <reference field="4294967294" count="1" selected="0">
            <x v="24"/>
          </reference>
        </references>
      </pivotArea>
    </format>
    <format dxfId="417">
      <pivotArea field="0" dataOnly="0" labelOnly="1" grandRow="1" outline="0" axis="axisRow" fieldPosition="0">
        <references count="1">
          <reference field="4294967294" count="1" selected="0">
            <x v="25"/>
          </reference>
        </references>
      </pivotArea>
    </format>
    <format dxfId="416">
      <pivotArea field="0" dataOnly="0" labelOnly="1" grandRow="1" outline="0" axis="axisRow" fieldPosition="0">
        <references count="1">
          <reference field="4294967294" count="1" selected="0">
            <x v="26"/>
          </reference>
        </references>
      </pivotArea>
    </format>
    <format dxfId="415">
      <pivotArea field="0" dataOnly="0" labelOnly="1" grandRow="1" outline="0" axis="axisRow" fieldPosition="0">
        <references count="1">
          <reference field="4294967294" count="1" selected="0">
            <x v="27"/>
          </reference>
        </references>
      </pivotArea>
    </format>
    <format dxfId="414">
      <pivotArea field="0" dataOnly="0" labelOnly="1" grandRow="1" outline="0" axis="axisRow" fieldPosition="0">
        <references count="1">
          <reference field="4294967294" count="1" selected="0">
            <x v="28"/>
          </reference>
        </references>
      </pivotArea>
    </format>
    <format dxfId="413">
      <pivotArea field="0" dataOnly="0" labelOnly="1" grandRow="1" outline="0" axis="axisRow" fieldPosition="0">
        <references count="1">
          <reference field="4294967294" count="1" selected="0">
            <x v="29"/>
          </reference>
        </references>
      </pivotArea>
    </format>
    <format dxfId="412">
      <pivotArea field="0" dataOnly="0" labelOnly="1" grandRow="1" outline="0" axis="axisRow" fieldPosition="0">
        <references count="1">
          <reference field="4294967294" count="1" selected="0">
            <x v="30"/>
          </reference>
        </references>
      </pivotArea>
    </format>
    <format dxfId="411">
      <pivotArea field="0" dataOnly="0" labelOnly="1" grandRow="1" outline="0" axis="axisRow" fieldPosition="0">
        <references count="1">
          <reference field="4294967294" count="1" selected="0">
            <x v="31"/>
          </reference>
        </references>
      </pivotArea>
    </format>
    <format dxfId="410">
      <pivotArea field="0" dataOnly="0" labelOnly="1" grandRow="1" outline="0" axis="axisRow" fieldPosition="0">
        <references count="1">
          <reference field="4294967294" count="1" selected="0">
            <x v="32"/>
          </reference>
        </references>
      </pivotArea>
    </format>
    <format dxfId="409">
      <pivotArea field="0" dataOnly="0" labelOnly="1" grandRow="1" outline="0" axis="axisRow" fieldPosition="0">
        <references count="1">
          <reference field="4294967294" count="1" selected="0">
            <x v="33"/>
          </reference>
        </references>
      </pivotArea>
    </format>
    <format dxfId="408">
      <pivotArea field="0" dataOnly="0" labelOnly="1" grandRow="1" outline="0" axis="axisRow" fieldPosition="0">
        <references count="1">
          <reference field="4294967294" count="1" selected="0">
            <x v="34"/>
          </reference>
        </references>
      </pivotArea>
    </format>
    <format dxfId="407">
      <pivotArea field="0" dataOnly="0" labelOnly="1" grandRow="1" outline="0" axis="axisRow" fieldPosition="0">
        <references count="1">
          <reference field="4294967294" count="1" selected="0">
            <x v="35"/>
          </reference>
        </references>
      </pivotArea>
    </format>
    <format dxfId="406">
      <pivotArea field="0" dataOnly="0" labelOnly="1" grandRow="1" outline="0" axis="axisRow" fieldPosition="0">
        <references count="1">
          <reference field="4294967294" count="1" selected="0">
            <x v="0"/>
          </reference>
        </references>
      </pivotArea>
    </format>
    <format dxfId="405">
      <pivotArea field="0" dataOnly="0" labelOnly="1" grandRow="1" outline="0" axis="axisRow" fieldPosition="0">
        <references count="1">
          <reference field="4294967294" count="1" selected="0">
            <x v="1"/>
          </reference>
        </references>
      </pivotArea>
    </format>
    <format dxfId="404">
      <pivotArea field="0" dataOnly="0" labelOnly="1" grandRow="1" outline="0" axis="axisRow" fieldPosition="0">
        <references count="1">
          <reference field="4294967294" count="1" selected="0">
            <x v="2"/>
          </reference>
        </references>
      </pivotArea>
    </format>
    <format dxfId="403">
      <pivotArea field="0" dataOnly="0" labelOnly="1" grandRow="1" outline="0" axis="axisRow" fieldPosition="0">
        <references count="1">
          <reference field="4294967294" count="1" selected="0">
            <x v="3"/>
          </reference>
        </references>
      </pivotArea>
    </format>
    <format dxfId="402">
      <pivotArea field="0" dataOnly="0" labelOnly="1" grandRow="1" outline="0" axis="axisRow" fieldPosition="0">
        <references count="1">
          <reference field="4294967294" count="1" selected="0">
            <x v="4"/>
          </reference>
        </references>
      </pivotArea>
    </format>
    <format dxfId="401">
      <pivotArea field="0" dataOnly="0" labelOnly="1" grandRow="1" outline="0" axis="axisRow" fieldPosition="0">
        <references count="1">
          <reference field="4294967294" count="1" selected="0">
            <x v="5"/>
          </reference>
        </references>
      </pivotArea>
    </format>
    <format dxfId="400">
      <pivotArea field="0" dataOnly="0" labelOnly="1" grandRow="1" outline="0" axis="axisRow" fieldPosition="0">
        <references count="1">
          <reference field="4294967294" count="1" selected="0">
            <x v="6"/>
          </reference>
        </references>
      </pivotArea>
    </format>
    <format dxfId="399">
      <pivotArea field="0" dataOnly="0" labelOnly="1" grandRow="1" outline="0" axis="axisRow" fieldPosition="0">
        <references count="1">
          <reference field="4294967294" count="1" selected="0">
            <x v="7"/>
          </reference>
        </references>
      </pivotArea>
    </format>
    <format dxfId="398">
      <pivotArea field="0" dataOnly="0" labelOnly="1" grandRow="1" outline="0" axis="axisRow" fieldPosition="0">
        <references count="1">
          <reference field="4294967294" count="1" selected="0">
            <x v="8"/>
          </reference>
        </references>
      </pivotArea>
    </format>
    <format dxfId="397">
      <pivotArea field="0" dataOnly="0" labelOnly="1" grandRow="1" outline="0" axis="axisRow" fieldPosition="0">
        <references count="1">
          <reference field="4294967294" count="1" selected="0">
            <x v="9"/>
          </reference>
        </references>
      </pivotArea>
    </format>
    <format dxfId="396">
      <pivotArea field="0" dataOnly="0" labelOnly="1" grandRow="1" outline="0" axis="axisRow" fieldPosition="0">
        <references count="1">
          <reference field="4294967294" count="1" selected="0">
            <x v="10"/>
          </reference>
        </references>
      </pivotArea>
    </format>
    <format dxfId="395">
      <pivotArea field="0" dataOnly="0" labelOnly="1" grandRow="1" outline="0" axis="axisRow" fieldPosition="0">
        <references count="1">
          <reference field="4294967294" count="1" selected="0">
            <x v="11"/>
          </reference>
        </references>
      </pivotArea>
    </format>
    <format dxfId="394">
      <pivotArea field="0" dataOnly="0" labelOnly="1" grandRow="1" outline="0" axis="axisRow" fieldPosition="0">
        <references count="1">
          <reference field="4294967294" count="1" selected="0">
            <x v="12"/>
          </reference>
        </references>
      </pivotArea>
    </format>
    <format dxfId="393">
      <pivotArea field="0" dataOnly="0" labelOnly="1" grandRow="1" outline="0" axis="axisRow" fieldPosition="0">
        <references count="1">
          <reference field="4294967294" count="1" selected="0">
            <x v="13"/>
          </reference>
        </references>
      </pivotArea>
    </format>
    <format dxfId="392">
      <pivotArea field="0" dataOnly="0" labelOnly="1" grandRow="1" outline="0" axis="axisRow" fieldPosition="0">
        <references count="1">
          <reference field="4294967294" count="1" selected="0">
            <x v="14"/>
          </reference>
        </references>
      </pivotArea>
    </format>
    <format dxfId="391">
      <pivotArea field="0" dataOnly="0" labelOnly="1" grandRow="1" outline="0" axis="axisRow" fieldPosition="0">
        <references count="1">
          <reference field="4294967294" count="1" selected="0">
            <x v="15"/>
          </reference>
        </references>
      </pivotArea>
    </format>
    <format dxfId="390">
      <pivotArea field="0" dataOnly="0" labelOnly="1" grandRow="1" outline="0" axis="axisRow" fieldPosition="0">
        <references count="1">
          <reference field="4294967294" count="1" selected="0">
            <x v="16"/>
          </reference>
        </references>
      </pivotArea>
    </format>
    <format dxfId="389">
      <pivotArea field="0" dataOnly="0" labelOnly="1" grandRow="1" outline="0" axis="axisRow" fieldPosition="0">
        <references count="1">
          <reference field="4294967294" count="1" selected="0">
            <x v="17"/>
          </reference>
        </references>
      </pivotArea>
    </format>
    <format dxfId="388">
      <pivotArea field="0" dataOnly="0" labelOnly="1" grandRow="1" outline="0" axis="axisRow" fieldPosition="0">
        <references count="1">
          <reference field="4294967294" count="1" selected="0">
            <x v="18"/>
          </reference>
        </references>
      </pivotArea>
    </format>
    <format dxfId="387">
      <pivotArea field="0" dataOnly="0" labelOnly="1" grandRow="1" outline="0" axis="axisRow" fieldPosition="0">
        <references count="1">
          <reference field="4294967294" count="1" selected="0">
            <x v="19"/>
          </reference>
        </references>
      </pivotArea>
    </format>
    <format dxfId="386">
      <pivotArea field="0" dataOnly="0" labelOnly="1" grandRow="1" outline="0" axis="axisRow" fieldPosition="0">
        <references count="1">
          <reference field="4294967294" count="1" selected="0">
            <x v="20"/>
          </reference>
        </references>
      </pivotArea>
    </format>
    <format dxfId="385">
      <pivotArea field="0" dataOnly="0" labelOnly="1" grandRow="1" outline="0" axis="axisRow" fieldPosition="0">
        <references count="1">
          <reference field="4294967294" count="1" selected="0">
            <x v="21"/>
          </reference>
        </references>
      </pivotArea>
    </format>
    <format dxfId="384">
      <pivotArea field="0" dataOnly="0" labelOnly="1" grandRow="1" outline="0" axis="axisRow" fieldPosition="0">
        <references count="1">
          <reference field="4294967294" count="1" selected="0">
            <x v="22"/>
          </reference>
        </references>
      </pivotArea>
    </format>
    <format dxfId="383">
      <pivotArea field="0" dataOnly="0" labelOnly="1" grandRow="1" outline="0" axis="axisRow" fieldPosition="0">
        <references count="1">
          <reference field="4294967294" count="1" selected="0">
            <x v="23"/>
          </reference>
        </references>
      </pivotArea>
    </format>
    <format dxfId="382">
      <pivotArea field="0" dataOnly="0" labelOnly="1" grandRow="1" outline="0" axis="axisRow" fieldPosition="0">
        <references count="1">
          <reference field="4294967294" count="1" selected="0">
            <x v="24"/>
          </reference>
        </references>
      </pivotArea>
    </format>
    <format dxfId="381">
      <pivotArea field="0" dataOnly="0" labelOnly="1" grandRow="1" outline="0" axis="axisRow" fieldPosition="0">
        <references count="1">
          <reference field="4294967294" count="1" selected="0">
            <x v="25"/>
          </reference>
        </references>
      </pivotArea>
    </format>
    <format dxfId="380">
      <pivotArea field="0" dataOnly="0" labelOnly="1" grandRow="1" outline="0" axis="axisRow" fieldPosition="0">
        <references count="1">
          <reference field="4294967294" count="1" selected="0">
            <x v="26"/>
          </reference>
        </references>
      </pivotArea>
    </format>
    <format dxfId="379">
      <pivotArea field="0" dataOnly="0" labelOnly="1" grandRow="1" outline="0" axis="axisRow" fieldPosition="0">
        <references count="1">
          <reference field="4294967294" count="1" selected="0">
            <x v="27"/>
          </reference>
        </references>
      </pivotArea>
    </format>
    <format dxfId="378">
      <pivotArea field="0" dataOnly="0" labelOnly="1" grandRow="1" outline="0" axis="axisRow" fieldPosition="0">
        <references count="1">
          <reference field="4294967294" count="1" selected="0">
            <x v="28"/>
          </reference>
        </references>
      </pivotArea>
    </format>
    <format dxfId="377">
      <pivotArea field="0" dataOnly="0" labelOnly="1" grandRow="1" outline="0" axis="axisRow" fieldPosition="0">
        <references count="1">
          <reference field="4294967294" count="1" selected="0">
            <x v="29"/>
          </reference>
        </references>
      </pivotArea>
    </format>
    <format dxfId="376">
      <pivotArea field="0" dataOnly="0" labelOnly="1" grandRow="1" outline="0" axis="axisRow" fieldPosition="0">
        <references count="1">
          <reference field="4294967294" count="1" selected="0">
            <x v="30"/>
          </reference>
        </references>
      </pivotArea>
    </format>
    <format dxfId="375">
      <pivotArea field="0" dataOnly="0" labelOnly="1" grandRow="1" outline="0" axis="axisRow" fieldPosition="0">
        <references count="1">
          <reference field="4294967294" count="1" selected="0">
            <x v="31"/>
          </reference>
        </references>
      </pivotArea>
    </format>
    <format dxfId="374">
      <pivotArea field="0" dataOnly="0" labelOnly="1" grandRow="1" outline="0" axis="axisRow" fieldPosition="0">
        <references count="1">
          <reference field="4294967294" count="1" selected="0">
            <x v="32"/>
          </reference>
        </references>
      </pivotArea>
    </format>
    <format dxfId="373">
      <pivotArea field="0" dataOnly="0" labelOnly="1" grandRow="1" outline="0" axis="axisRow" fieldPosition="0">
        <references count="1">
          <reference field="4294967294" count="1" selected="0">
            <x v="33"/>
          </reference>
        </references>
      </pivotArea>
    </format>
    <format dxfId="372">
      <pivotArea field="0" dataOnly="0" labelOnly="1" grandRow="1" outline="0" axis="axisRow" fieldPosition="0">
        <references count="1">
          <reference field="4294967294" count="1" selected="0">
            <x v="34"/>
          </reference>
        </references>
      </pivotArea>
    </format>
    <format dxfId="371">
      <pivotArea field="0" dataOnly="0" labelOnly="1" grandRow="1" outline="0" axis="axisRow" fieldPosition="0">
        <references count="1">
          <reference field="4294967294" count="1" selected="0">
            <x v="35"/>
          </reference>
        </references>
      </pivotArea>
    </format>
    <format dxfId="370">
      <pivotArea field="0" dataOnly="0" labelOnly="1" grandRow="1" outline="0" axis="axisRow" fieldPosition="0">
        <references count="1">
          <reference field="4294967294" count="1" selected="0">
            <x v="0"/>
          </reference>
        </references>
      </pivotArea>
    </format>
    <format dxfId="369">
      <pivotArea field="0" dataOnly="0" labelOnly="1" grandRow="1" outline="0" axis="axisRow" fieldPosition="0">
        <references count="1">
          <reference field="4294967294" count="1" selected="0">
            <x v="1"/>
          </reference>
        </references>
      </pivotArea>
    </format>
    <format dxfId="368">
      <pivotArea field="0" dataOnly="0" labelOnly="1" grandRow="1" outline="0" axis="axisRow" fieldPosition="0">
        <references count="1">
          <reference field="4294967294" count="1" selected="0">
            <x v="2"/>
          </reference>
        </references>
      </pivotArea>
    </format>
    <format dxfId="367">
      <pivotArea field="0" dataOnly="0" labelOnly="1" grandRow="1" outline="0" axis="axisRow" fieldPosition="0">
        <references count="1">
          <reference field="4294967294" count="1" selected="0">
            <x v="3"/>
          </reference>
        </references>
      </pivotArea>
    </format>
    <format dxfId="366">
      <pivotArea field="0" dataOnly="0" labelOnly="1" grandRow="1" outline="0" axis="axisRow" fieldPosition="0">
        <references count="1">
          <reference field="4294967294" count="1" selected="0">
            <x v="4"/>
          </reference>
        </references>
      </pivotArea>
    </format>
    <format dxfId="365">
      <pivotArea field="0" dataOnly="0" labelOnly="1" grandRow="1" outline="0" axis="axisRow" fieldPosition="0">
        <references count="1">
          <reference field="4294967294" count="1" selected="0">
            <x v="5"/>
          </reference>
        </references>
      </pivotArea>
    </format>
    <format dxfId="364">
      <pivotArea field="0" dataOnly="0" labelOnly="1" grandRow="1" outline="0" axis="axisRow" fieldPosition="0">
        <references count="1">
          <reference field="4294967294" count="1" selected="0">
            <x v="6"/>
          </reference>
        </references>
      </pivotArea>
    </format>
    <format dxfId="363">
      <pivotArea field="0" dataOnly="0" labelOnly="1" grandRow="1" outline="0" axis="axisRow" fieldPosition="0">
        <references count="1">
          <reference field="4294967294" count="1" selected="0">
            <x v="7"/>
          </reference>
        </references>
      </pivotArea>
    </format>
    <format dxfId="362">
      <pivotArea field="0" dataOnly="0" labelOnly="1" grandRow="1" outline="0" axis="axisRow" fieldPosition="0">
        <references count="1">
          <reference field="4294967294" count="1" selected="0">
            <x v="8"/>
          </reference>
        </references>
      </pivotArea>
    </format>
    <format dxfId="361">
      <pivotArea field="0" dataOnly="0" labelOnly="1" grandRow="1" outline="0" axis="axisRow" fieldPosition="0">
        <references count="1">
          <reference field="4294967294" count="1" selected="0">
            <x v="9"/>
          </reference>
        </references>
      </pivotArea>
    </format>
    <format dxfId="360">
      <pivotArea field="0" dataOnly="0" labelOnly="1" grandRow="1" outline="0" axis="axisRow" fieldPosition="0">
        <references count="1">
          <reference field="4294967294" count="1" selected="0">
            <x v="10"/>
          </reference>
        </references>
      </pivotArea>
    </format>
    <format dxfId="359">
      <pivotArea field="0" dataOnly="0" labelOnly="1" grandRow="1" outline="0" axis="axisRow" fieldPosition="0">
        <references count="1">
          <reference field="4294967294" count="1" selected="0">
            <x v="11"/>
          </reference>
        </references>
      </pivotArea>
    </format>
    <format dxfId="358">
      <pivotArea field="0" dataOnly="0" labelOnly="1" grandRow="1" outline="0" axis="axisRow" fieldPosition="0">
        <references count="1">
          <reference field="4294967294" count="1" selected="0">
            <x v="12"/>
          </reference>
        </references>
      </pivotArea>
    </format>
    <format dxfId="357">
      <pivotArea field="0" dataOnly="0" labelOnly="1" grandRow="1" outline="0" axis="axisRow" fieldPosition="0">
        <references count="1">
          <reference field="4294967294" count="1" selected="0">
            <x v="13"/>
          </reference>
        </references>
      </pivotArea>
    </format>
    <format dxfId="356">
      <pivotArea field="0" dataOnly="0" labelOnly="1" grandRow="1" outline="0" axis="axisRow" fieldPosition="0">
        <references count="1">
          <reference field="4294967294" count="1" selected="0">
            <x v="14"/>
          </reference>
        </references>
      </pivotArea>
    </format>
    <format dxfId="355">
      <pivotArea field="0" dataOnly="0" labelOnly="1" grandRow="1" outline="0" axis="axisRow" fieldPosition="0">
        <references count="1">
          <reference field="4294967294" count="1" selected="0">
            <x v="15"/>
          </reference>
        </references>
      </pivotArea>
    </format>
    <format dxfId="354">
      <pivotArea field="0" dataOnly="0" labelOnly="1" grandRow="1" outline="0" axis="axisRow" fieldPosition="0">
        <references count="1">
          <reference field="4294967294" count="1" selected="0">
            <x v="16"/>
          </reference>
        </references>
      </pivotArea>
    </format>
    <format dxfId="353">
      <pivotArea field="0" dataOnly="0" labelOnly="1" grandRow="1" outline="0" axis="axisRow" fieldPosition="0">
        <references count="1">
          <reference field="4294967294" count="1" selected="0">
            <x v="17"/>
          </reference>
        </references>
      </pivotArea>
    </format>
    <format dxfId="352">
      <pivotArea field="0" dataOnly="0" labelOnly="1" grandRow="1" outline="0" axis="axisRow" fieldPosition="0">
        <references count="1">
          <reference field="4294967294" count="1" selected="0">
            <x v="18"/>
          </reference>
        </references>
      </pivotArea>
    </format>
    <format dxfId="351">
      <pivotArea field="0" dataOnly="0" labelOnly="1" grandRow="1" outline="0" axis="axisRow" fieldPosition="0">
        <references count="1">
          <reference field="4294967294" count="1" selected="0">
            <x v="19"/>
          </reference>
        </references>
      </pivotArea>
    </format>
    <format dxfId="350">
      <pivotArea field="0" dataOnly="0" labelOnly="1" grandRow="1" outline="0" axis="axisRow" fieldPosition="0">
        <references count="1">
          <reference field="4294967294" count="1" selected="0">
            <x v="20"/>
          </reference>
        </references>
      </pivotArea>
    </format>
    <format dxfId="349">
      <pivotArea field="0" dataOnly="0" labelOnly="1" grandRow="1" outline="0" axis="axisRow" fieldPosition="0">
        <references count="1">
          <reference field="4294967294" count="1" selected="0">
            <x v="21"/>
          </reference>
        </references>
      </pivotArea>
    </format>
    <format dxfId="348">
      <pivotArea field="0" dataOnly="0" labelOnly="1" grandRow="1" outline="0" axis="axisRow" fieldPosition="0">
        <references count="1">
          <reference field="4294967294" count="1" selected="0">
            <x v="22"/>
          </reference>
        </references>
      </pivotArea>
    </format>
    <format dxfId="347">
      <pivotArea field="0" dataOnly="0" labelOnly="1" grandRow="1" outline="0" axis="axisRow" fieldPosition="0">
        <references count="1">
          <reference field="4294967294" count="1" selected="0">
            <x v="23"/>
          </reference>
        </references>
      </pivotArea>
    </format>
    <format dxfId="346">
      <pivotArea field="0" dataOnly="0" labelOnly="1" grandRow="1" outline="0" axis="axisRow" fieldPosition="0">
        <references count="1">
          <reference field="4294967294" count="1" selected="0">
            <x v="24"/>
          </reference>
        </references>
      </pivotArea>
    </format>
    <format dxfId="345">
      <pivotArea field="0" dataOnly="0" labelOnly="1" grandRow="1" outline="0" axis="axisRow" fieldPosition="0">
        <references count="1">
          <reference field="4294967294" count="1" selected="0">
            <x v="25"/>
          </reference>
        </references>
      </pivotArea>
    </format>
    <format dxfId="344">
      <pivotArea field="0" dataOnly="0" labelOnly="1" grandRow="1" outline="0" axis="axisRow" fieldPosition="0">
        <references count="1">
          <reference field="4294967294" count="1" selected="0">
            <x v="26"/>
          </reference>
        </references>
      </pivotArea>
    </format>
    <format dxfId="343">
      <pivotArea field="0" dataOnly="0" labelOnly="1" grandRow="1" outline="0" axis="axisRow" fieldPosition="0">
        <references count="1">
          <reference field="4294967294" count="1" selected="0">
            <x v="27"/>
          </reference>
        </references>
      </pivotArea>
    </format>
    <format dxfId="342">
      <pivotArea field="0" dataOnly="0" labelOnly="1" grandRow="1" outline="0" axis="axisRow" fieldPosition="0">
        <references count="1">
          <reference field="4294967294" count="1" selected="0">
            <x v="28"/>
          </reference>
        </references>
      </pivotArea>
    </format>
    <format dxfId="341">
      <pivotArea field="0" dataOnly="0" labelOnly="1" grandRow="1" outline="0" axis="axisRow" fieldPosition="0">
        <references count="1">
          <reference field="4294967294" count="1" selected="0">
            <x v="29"/>
          </reference>
        </references>
      </pivotArea>
    </format>
    <format dxfId="340">
      <pivotArea field="0" dataOnly="0" labelOnly="1" grandRow="1" outline="0" axis="axisRow" fieldPosition="0">
        <references count="1">
          <reference field="4294967294" count="1" selected="0">
            <x v="30"/>
          </reference>
        </references>
      </pivotArea>
    </format>
    <format dxfId="339">
      <pivotArea field="0" dataOnly="0" labelOnly="1" grandRow="1" outline="0" axis="axisRow" fieldPosition="0">
        <references count="1">
          <reference field="4294967294" count="1" selected="0">
            <x v="31"/>
          </reference>
        </references>
      </pivotArea>
    </format>
    <format dxfId="338">
      <pivotArea field="0" dataOnly="0" labelOnly="1" grandRow="1" outline="0" axis="axisRow" fieldPosition="0">
        <references count="1">
          <reference field="4294967294" count="1" selected="0">
            <x v="32"/>
          </reference>
        </references>
      </pivotArea>
    </format>
    <format dxfId="337">
      <pivotArea field="0" dataOnly="0" labelOnly="1" grandRow="1" outline="0" axis="axisRow" fieldPosition="0">
        <references count="1">
          <reference field="4294967294" count="1" selected="0">
            <x v="33"/>
          </reference>
        </references>
      </pivotArea>
    </format>
    <format dxfId="336">
      <pivotArea field="0" dataOnly="0" labelOnly="1" grandRow="1" outline="0" axis="axisRow" fieldPosition="0">
        <references count="1">
          <reference field="4294967294" count="1" selected="0">
            <x v="34"/>
          </reference>
        </references>
      </pivotArea>
    </format>
    <format dxfId="335">
      <pivotArea field="0" dataOnly="0" labelOnly="1" grandRow="1" outline="0" axis="axisRow" fieldPosition="0">
        <references count="1">
          <reference field="4294967294" count="1" selected="0">
            <x v="35"/>
          </reference>
        </references>
      </pivotArea>
    </format>
    <format dxfId="334">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0"/>
          </reference>
        </references>
      </pivotArea>
    </format>
    <format dxfId="333">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
          </reference>
        </references>
      </pivotArea>
    </format>
    <format dxfId="332">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2"/>
          </reference>
        </references>
      </pivotArea>
    </format>
    <format dxfId="331">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3"/>
          </reference>
        </references>
      </pivotArea>
    </format>
    <format dxfId="330">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4"/>
          </reference>
        </references>
      </pivotArea>
    </format>
    <format dxfId="329">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5"/>
          </reference>
        </references>
      </pivotArea>
    </format>
    <format dxfId="328">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6"/>
          </reference>
        </references>
      </pivotArea>
    </format>
    <format dxfId="327">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7"/>
          </reference>
        </references>
      </pivotArea>
    </format>
    <format dxfId="326">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8"/>
          </reference>
        </references>
      </pivotArea>
    </format>
    <format dxfId="325">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9"/>
          </reference>
        </references>
      </pivotArea>
    </format>
    <format dxfId="324">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0"/>
          </reference>
        </references>
      </pivotArea>
    </format>
    <format dxfId="323">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1"/>
          </reference>
        </references>
      </pivotArea>
    </format>
    <format dxfId="322">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2"/>
          </reference>
        </references>
      </pivotArea>
    </format>
    <format dxfId="321">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3"/>
          </reference>
        </references>
      </pivotArea>
    </format>
    <format dxfId="320">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4"/>
          </reference>
        </references>
      </pivotArea>
    </format>
    <format dxfId="319">
      <pivotArea dataOnly="0" labelOnly="1" outline="0" fieldPosition="0">
        <references count="2">
          <reference field="4294967294" count="36">
            <x v="0"/>
            <x v="1"/>
            <x v="2"/>
            <x v="3"/>
            <x v="4"/>
            <x v="5"/>
            <x v="6"/>
            <x v="7"/>
            <x v="8"/>
            <x v="9"/>
            <x v="10"/>
            <x v="11"/>
            <x v="12"/>
            <x v="13"/>
            <x v="14"/>
            <x v="15"/>
            <x v="16"/>
            <x v="17"/>
            <x v="18"/>
            <x v="19"/>
            <x v="20"/>
            <x v="21"/>
            <x v="22"/>
            <x v="23"/>
            <x v="24"/>
            <x v="25"/>
            <x v="26"/>
            <x v="27"/>
            <x v="28"/>
            <x v="29"/>
            <x v="30"/>
            <x v="31"/>
            <x v="32"/>
            <x v="33"/>
            <x v="34"/>
            <x v="35"/>
          </reference>
          <reference field="0" count="1" selected="0">
            <x v="15"/>
          </reference>
        </references>
      </pivotArea>
    </format>
    <format dxfId="318">
      <pivotArea dataOnly="0" labelOnly="1" outline="0" fieldPosition="0">
        <references count="1">
          <reference field="70" count="0"/>
        </references>
      </pivotArea>
    </format>
    <format dxfId="317">
      <pivotArea dataOnly="0" labelOnly="1" outline="0" fieldPosition="0">
        <references count="1">
          <reference field="70" count="0" defaultSubtotal="1"/>
        </references>
      </pivotArea>
    </format>
    <format dxfId="316">
      <pivotArea dataOnly="0" labelOnly="1" grandCol="1" outline="0" fieldPosition="0"/>
    </format>
    <format dxfId="315">
      <pivotArea dataOnly="0" labelOnly="1" outline="0" fieldPosition="0">
        <references count="2">
          <reference field="4" count="7">
            <x v="0"/>
            <x v="1"/>
            <x v="2"/>
            <x v="3"/>
            <x v="4"/>
            <x v="5"/>
            <x v="6"/>
          </reference>
          <reference field="70" count="1" selected="0">
            <x v="0"/>
          </reference>
        </references>
      </pivotArea>
    </format>
    <format dxfId="314">
      <pivotArea dataOnly="0" labelOnly="1" outline="0" fieldPosition="0">
        <references count="2">
          <reference field="4" count="4">
            <x v="7"/>
            <x v="8"/>
            <x v="9"/>
            <x v="10"/>
          </reference>
          <reference field="70" count="1" selected="0">
            <x v="1"/>
          </reference>
        </references>
      </pivotArea>
    </format>
    <format dxfId="313">
      <pivotArea dataOnly="0" labelOnly="1" outline="0" fieldPosition="0">
        <references count="2">
          <reference field="4" count="2">
            <x v="11"/>
            <x v="12"/>
          </reference>
          <reference field="70" count="1" selected="0">
            <x v="2"/>
          </reference>
        </references>
      </pivotArea>
    </format>
    <format dxfId="312">
      <pivotArea outline="0" fieldPosition="0">
        <references count="4">
          <reference field="4294967294" count="1" selected="0">
            <x v="2"/>
          </reference>
          <reference field="0" count="1" selected="0">
            <x v="0"/>
          </reference>
          <reference field="4" count="1" selected="0">
            <x v="5"/>
          </reference>
          <reference field="70" count="1" selected="0">
            <x v="0"/>
          </reference>
        </references>
      </pivotArea>
    </format>
    <format dxfId="311">
      <pivotArea outline="0" fieldPosition="0">
        <references count="4">
          <reference field="4294967294" count="1" selected="0">
            <x v="8"/>
          </reference>
          <reference field="0" count="1" selected="0">
            <x v="0"/>
          </reference>
          <reference field="4" count="1" selected="0">
            <x v="5"/>
          </reference>
          <reference field="70" count="1" selected="0">
            <x v="0"/>
          </reference>
        </references>
      </pivotArea>
    </format>
    <format dxfId="310">
      <pivotArea outline="0" fieldPosition="0">
        <references count="4">
          <reference field="4294967294" count="1" selected="0">
            <x v="20"/>
          </reference>
          <reference field="0" count="1" selected="0">
            <x v="0"/>
          </reference>
          <reference field="4" count="1" selected="0">
            <x v="1"/>
          </reference>
          <reference field="70" count="1" selected="0">
            <x v="0"/>
          </reference>
        </references>
      </pivotArea>
    </format>
    <format dxfId="309">
      <pivotArea outline="0" fieldPosition="0">
        <references count="4">
          <reference field="4294967294" count="1" selected="0">
            <x v="26"/>
          </reference>
          <reference field="0" count="1" selected="0">
            <x v="0"/>
          </reference>
          <reference field="4" count="1" selected="0">
            <x v="1"/>
          </reference>
          <reference field="70" count="1" selected="0">
            <x v="0"/>
          </reference>
        </references>
      </pivotArea>
    </format>
    <format dxfId="308">
      <pivotArea outline="0" fieldPosition="0">
        <references count="4">
          <reference field="4294967294" count="1" selected="0">
            <x v="26"/>
          </reference>
          <reference field="0" count="1" selected="0">
            <x v="0"/>
          </reference>
          <reference field="4" count="1" selected="0">
            <x v="3"/>
          </reference>
          <reference field="70" count="1" selected="0">
            <x v="0"/>
          </reference>
        </references>
      </pivotArea>
    </format>
    <format dxfId="307">
      <pivotArea outline="0" fieldPosition="0">
        <references count="4">
          <reference field="4294967294" count="1" selected="0">
            <x v="14"/>
          </reference>
          <reference field="0" count="1" selected="0">
            <x v="0"/>
          </reference>
          <reference field="4" count="1" selected="0">
            <x v="10"/>
          </reference>
          <reference field="70" count="1" selected="0">
            <x v="1"/>
          </reference>
        </references>
      </pivotArea>
    </format>
    <format dxfId="306">
      <pivotArea outline="0" fieldPosition="0">
        <references count="4">
          <reference field="4294967294" count="1" selected="0">
            <x v="2"/>
          </reference>
          <reference field="0" count="1" selected="0">
            <x v="0"/>
          </reference>
          <reference field="4" count="1" selected="0">
            <x v="11"/>
          </reference>
          <reference field="70" count="1" selected="0">
            <x v="2"/>
          </reference>
        </references>
      </pivotArea>
    </format>
    <format dxfId="305">
      <pivotArea outline="0" fieldPosition="0">
        <references count="4">
          <reference field="4294967294" count="1" selected="0">
            <x v="5"/>
          </reference>
          <reference field="0" count="1" selected="0">
            <x v="0"/>
          </reference>
          <reference field="4" count="1" selected="0">
            <x v="11"/>
          </reference>
          <reference field="70" count="1" selected="0">
            <x v="2"/>
          </reference>
        </references>
      </pivotArea>
    </format>
    <format dxfId="304">
      <pivotArea outline="0" fieldPosition="0">
        <references count="4">
          <reference field="4294967294" count="1" selected="0">
            <x v="20"/>
          </reference>
          <reference field="0" count="1" selected="0">
            <x v="1"/>
          </reference>
          <reference field="4" count="1" selected="0">
            <x v="4"/>
          </reference>
          <reference field="70" count="1" selected="0">
            <x v="0"/>
          </reference>
        </references>
      </pivotArea>
    </format>
    <format dxfId="303">
      <pivotArea outline="0" fieldPosition="0">
        <references count="4">
          <reference field="4294967294" count="1" selected="0">
            <x v="20"/>
          </reference>
          <reference field="0" count="1" selected="0">
            <x v="1"/>
          </reference>
          <reference field="4" count="1" selected="0">
            <x v="3"/>
          </reference>
          <reference field="70" count="1" selected="0">
            <x v="0"/>
          </reference>
        </references>
      </pivotArea>
    </format>
    <format dxfId="302">
      <pivotArea outline="0" fieldPosition="0">
        <references count="4">
          <reference field="4294967294" count="1" selected="0">
            <x v="26"/>
          </reference>
          <reference field="0" count="1" selected="0">
            <x v="1"/>
          </reference>
          <reference field="4" count="1" selected="0">
            <x v="4"/>
          </reference>
          <reference field="70" count="1" selected="0">
            <x v="0"/>
          </reference>
        </references>
      </pivotArea>
    </format>
    <format dxfId="301">
      <pivotArea outline="0" fieldPosition="0">
        <references count="4">
          <reference field="4294967294" count="1" selected="0">
            <x v="20"/>
          </reference>
          <reference field="0" count="1" selected="0">
            <x v="1"/>
          </reference>
          <reference field="4" count="1" selected="0">
            <x v="5"/>
          </reference>
          <reference field="70" count="1" selected="0">
            <x v="0"/>
          </reference>
        </references>
      </pivotArea>
    </format>
    <format dxfId="300">
      <pivotArea outline="0" fieldPosition="0">
        <references count="4">
          <reference field="4294967294" count="1" selected="0">
            <x v="26"/>
          </reference>
          <reference field="0" count="1" selected="0">
            <x v="1"/>
          </reference>
          <reference field="4" count="1" selected="0">
            <x v="5"/>
          </reference>
          <reference field="70" count="1" selected="0">
            <x v="0"/>
          </reference>
        </references>
      </pivotArea>
    </format>
    <format dxfId="299">
      <pivotArea outline="0" fieldPosition="0">
        <references count="4">
          <reference field="4294967294" count="1" selected="0">
            <x v="2"/>
          </reference>
          <reference field="0" count="1" selected="0">
            <x v="2"/>
          </reference>
          <reference field="4" count="1" selected="0">
            <x v="2"/>
          </reference>
          <reference field="70" count="1" selected="0">
            <x v="0"/>
          </reference>
        </references>
      </pivotArea>
    </format>
    <format dxfId="298">
      <pivotArea outline="0" fieldPosition="0">
        <references count="4">
          <reference field="4294967294" count="1" selected="0">
            <x v="8"/>
          </reference>
          <reference field="0" count="1" selected="0">
            <x v="2"/>
          </reference>
          <reference field="4" count="1" selected="0">
            <x v="2"/>
          </reference>
          <reference field="70" count="1" selected="0">
            <x v="0"/>
          </reference>
        </references>
      </pivotArea>
    </format>
    <format dxfId="297">
      <pivotArea outline="0" fieldPosition="0">
        <references count="4">
          <reference field="4294967294" count="1" selected="0">
            <x v="20"/>
          </reference>
          <reference field="0" count="1" selected="0">
            <x v="2"/>
          </reference>
          <reference field="4" count="1" selected="0">
            <x v="2"/>
          </reference>
          <reference field="70" count="1" selected="0">
            <x v="0"/>
          </reference>
        </references>
      </pivotArea>
    </format>
    <format dxfId="296">
      <pivotArea outline="0" fieldPosition="0">
        <references count="4">
          <reference field="4294967294" count="1" selected="0">
            <x v="26"/>
          </reference>
          <reference field="0" count="1" selected="0">
            <x v="2"/>
          </reference>
          <reference field="4" count="1" selected="0">
            <x v="2"/>
          </reference>
          <reference field="70" count="1" selected="0">
            <x v="0"/>
          </reference>
        </references>
      </pivotArea>
    </format>
    <format dxfId="295">
      <pivotArea outline="0" fieldPosition="0">
        <references count="4">
          <reference field="4294967294" count="1" selected="0">
            <x v="2"/>
          </reference>
          <reference field="0" count="1" selected="0">
            <x v="3"/>
          </reference>
          <reference field="4" count="1" selected="0">
            <x v="0"/>
          </reference>
          <reference field="70" count="1" selected="0">
            <x v="0"/>
          </reference>
        </references>
      </pivotArea>
    </format>
    <format dxfId="294">
      <pivotArea outline="0" fieldPosition="0">
        <references count="4">
          <reference field="4294967294" count="1" selected="0">
            <x v="8"/>
          </reference>
          <reference field="0" count="1" selected="0">
            <x v="3"/>
          </reference>
          <reference field="4" count="1" selected="0">
            <x v="0"/>
          </reference>
          <reference field="70" count="1" selected="0">
            <x v="0"/>
          </reference>
        </references>
      </pivotArea>
    </format>
    <format dxfId="293">
      <pivotArea outline="0" fieldPosition="0">
        <references count="4">
          <reference field="4294967294" count="1" selected="0">
            <x v="20"/>
          </reference>
          <reference field="0" count="1" selected="0">
            <x v="3"/>
          </reference>
          <reference field="4" count="1" selected="0">
            <x v="0"/>
          </reference>
          <reference field="70" count="1" selected="0">
            <x v="0"/>
          </reference>
        </references>
      </pivotArea>
    </format>
    <format dxfId="292">
      <pivotArea outline="0" fieldPosition="0">
        <references count="4">
          <reference field="4294967294" count="1" selected="0">
            <x v="26"/>
          </reference>
          <reference field="0" count="1" selected="0">
            <x v="3"/>
          </reference>
          <reference field="4" count="1" selected="0">
            <x v="0"/>
          </reference>
          <reference field="70" count="1" selected="0">
            <x v="0"/>
          </reference>
        </references>
      </pivotArea>
    </format>
    <format dxfId="291">
      <pivotArea outline="0" fieldPosition="0">
        <references count="4">
          <reference field="4294967294" count="1" selected="0">
            <x v="20"/>
          </reference>
          <reference field="0" count="1" selected="0">
            <x v="3"/>
          </reference>
          <reference field="4" count="1" selected="0">
            <x v="3"/>
          </reference>
          <reference field="70" count="1" selected="0">
            <x v="0"/>
          </reference>
        </references>
      </pivotArea>
    </format>
    <format dxfId="290">
      <pivotArea outline="0" fieldPosition="0">
        <references count="4">
          <reference field="4294967294" count="1" selected="0">
            <x v="10"/>
          </reference>
          <reference field="0" count="1" selected="0">
            <x v="3"/>
          </reference>
          <reference field="4" count="1" selected="0">
            <x v="10"/>
          </reference>
          <reference field="70" count="1" selected="0">
            <x v="1"/>
          </reference>
        </references>
      </pivotArea>
    </format>
    <format dxfId="289">
      <pivotArea outline="0" fieldPosition="0">
        <references count="4">
          <reference field="4294967294" count="1" selected="0">
            <x v="13"/>
          </reference>
          <reference field="0" count="1" selected="0">
            <x v="3"/>
          </reference>
          <reference field="4" count="1" selected="0">
            <x v="8"/>
          </reference>
          <reference field="70" count="1" selected="0">
            <x v="1"/>
          </reference>
        </references>
      </pivotArea>
    </format>
    <format dxfId="288">
      <pivotArea outline="0" fieldPosition="0">
        <references count="4">
          <reference field="4294967294" count="1" selected="0">
            <x v="13"/>
          </reference>
          <reference field="0" count="1" selected="0">
            <x v="3"/>
          </reference>
          <reference field="4" count="1" selected="0">
            <x v="8"/>
          </reference>
          <reference field="70" count="1" selected="0">
            <x v="1"/>
          </reference>
        </references>
      </pivotArea>
    </format>
    <format dxfId="287">
      <pivotArea outline="0" fieldPosition="0">
        <references count="4">
          <reference field="4294967294" count="1" selected="0">
            <x v="8"/>
          </reference>
          <reference field="0" count="1" selected="0">
            <x v="5"/>
          </reference>
          <reference field="4" count="1" selected="0">
            <x v="3"/>
          </reference>
          <reference field="70" count="1" selected="0">
            <x v="0"/>
          </reference>
        </references>
      </pivotArea>
    </format>
    <format dxfId="286">
      <pivotArea outline="0" fieldPosition="0">
        <references count="4">
          <reference field="4294967294" count="1" selected="0">
            <x v="11"/>
          </reference>
          <reference field="0" count="1" selected="0">
            <x v="5"/>
          </reference>
          <reference field="4" count="1" selected="0">
            <x v="3"/>
          </reference>
          <reference field="70" count="1" selected="0">
            <x v="0"/>
          </reference>
        </references>
      </pivotArea>
    </format>
    <format dxfId="285">
      <pivotArea outline="0" fieldPosition="0">
        <references count="4">
          <reference field="4294967294" count="1" selected="0">
            <x v="2"/>
          </reference>
          <reference field="0" count="1" selected="0">
            <x v="5"/>
          </reference>
          <reference field="4" count="1" selected="0">
            <x v="3"/>
          </reference>
          <reference field="70" count="1" selected="0">
            <x v="0"/>
          </reference>
        </references>
      </pivotArea>
    </format>
    <format dxfId="284">
      <pivotArea outline="0" fieldPosition="0">
        <references count="4">
          <reference field="4294967294" count="1" selected="0">
            <x v="26"/>
          </reference>
          <reference field="0" count="1" selected="0">
            <x v="5"/>
          </reference>
          <reference field="4" count="1" selected="0">
            <x v="3"/>
          </reference>
          <reference field="70" count="1" selected="0">
            <x v="0"/>
          </reference>
        </references>
      </pivotArea>
    </format>
    <format dxfId="283">
      <pivotArea outline="0" fieldPosition="0">
        <references count="4">
          <reference field="4294967294" count="1" selected="0">
            <x v="20"/>
          </reference>
          <reference field="0" count="1" selected="0">
            <x v="5"/>
          </reference>
          <reference field="4" count="1" selected="0">
            <x v="3"/>
          </reference>
          <reference field="70" count="1" selected="0">
            <x v="0"/>
          </reference>
        </references>
      </pivotArea>
    </format>
    <format dxfId="282">
      <pivotArea outline="0" fieldPosition="0">
        <references count="4">
          <reference field="4294967294" count="1" selected="0">
            <x v="2"/>
          </reference>
          <reference field="0" count="1" selected="0">
            <x v="5"/>
          </reference>
          <reference field="4" count="1" selected="0">
            <x v="8"/>
          </reference>
          <reference field="70" count="1" selected="0">
            <x v="1"/>
          </reference>
        </references>
      </pivotArea>
    </format>
    <format dxfId="281">
      <pivotArea outline="0" fieldPosition="0">
        <references count="4">
          <reference field="4294967294" count="1" selected="0">
            <x v="8"/>
          </reference>
          <reference field="0" count="1" selected="0">
            <x v="5"/>
          </reference>
          <reference field="4" count="1" selected="0">
            <x v="10"/>
          </reference>
          <reference field="70" count="1" selected="0">
            <x v="1"/>
          </reference>
        </references>
      </pivotArea>
    </format>
    <format dxfId="280">
      <pivotArea outline="0" fieldPosition="0">
        <references count="4">
          <reference field="4294967294" count="1" selected="0">
            <x v="5"/>
          </reference>
          <reference field="0" count="1" selected="0">
            <x v="5"/>
          </reference>
          <reference field="4" count="1" selected="0">
            <x v="11"/>
          </reference>
          <reference field="70" count="1" selected="0">
            <x v="2"/>
          </reference>
        </references>
      </pivotArea>
    </format>
    <format dxfId="279">
      <pivotArea outline="0" fieldPosition="0">
        <references count="4">
          <reference field="4294967294" count="1" selected="0">
            <x v="20"/>
          </reference>
          <reference field="0" count="1" selected="0">
            <x v="7"/>
          </reference>
          <reference field="4" count="1" selected="0">
            <x v="4"/>
          </reference>
          <reference field="70" count="1" selected="0">
            <x v="0"/>
          </reference>
        </references>
      </pivotArea>
    </format>
    <format dxfId="278">
      <pivotArea outline="0" fieldPosition="0">
        <references count="4">
          <reference field="4294967294" count="1" selected="0">
            <x v="23"/>
          </reference>
          <reference field="0" count="1" selected="0">
            <x v="7"/>
          </reference>
          <reference field="4" count="1" selected="0">
            <x v="4"/>
          </reference>
          <reference field="70" count="1" selected="0">
            <x v="0"/>
          </reference>
        </references>
      </pivotArea>
    </format>
    <format dxfId="277">
      <pivotArea outline="0" fieldPosition="0">
        <references count="4">
          <reference field="4294967294" count="1" selected="0">
            <x v="20"/>
          </reference>
          <reference field="0" count="1" selected="0">
            <x v="8"/>
          </reference>
          <reference field="4" count="1" selected="0">
            <x v="3"/>
          </reference>
          <reference field="70" count="1" selected="0">
            <x v="0"/>
          </reference>
        </references>
      </pivotArea>
    </format>
    <format dxfId="276">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275">
      <pivotArea outline="0" fieldPosition="0">
        <references count="4">
          <reference field="4294967294" count="1" selected="0">
            <x v="4"/>
          </reference>
          <reference field="0" count="1" selected="0">
            <x v="8"/>
          </reference>
          <reference field="4" count="1" selected="0">
            <x v="4"/>
          </reference>
          <reference field="70" count="1" selected="0">
            <x v="0"/>
          </reference>
        </references>
      </pivotArea>
    </format>
    <format dxfId="274">
      <pivotArea outline="0" fieldPosition="0">
        <references count="4">
          <reference field="4294967294" count="1" selected="0">
            <x v="16"/>
          </reference>
          <reference field="0" count="1" selected="0">
            <x v="8"/>
          </reference>
          <reference field="4" count="1" selected="0">
            <x v="3"/>
          </reference>
          <reference field="70" count="1" selected="0">
            <x v="0"/>
          </reference>
        </references>
      </pivotArea>
    </format>
    <format dxfId="273">
      <pivotArea outline="0" fieldPosition="0">
        <references count="4">
          <reference field="4294967294" count="1" selected="0">
            <x v="34"/>
          </reference>
          <reference field="0" count="1" selected="0">
            <x v="8"/>
          </reference>
          <reference field="4" count="1" selected="0">
            <x v="3"/>
          </reference>
          <reference field="70" count="1" selected="0">
            <x v="0"/>
          </reference>
        </references>
      </pivotArea>
    </format>
    <format dxfId="272">
      <pivotArea outline="0" fieldPosition="0">
        <references count="4">
          <reference field="4294967294" count="1" selected="0">
            <x v="10"/>
          </reference>
          <reference field="0" count="1" selected="0">
            <x v="9"/>
          </reference>
          <reference field="4" count="1" selected="0">
            <x v="3"/>
          </reference>
          <reference field="70" count="1" selected="0">
            <x v="0"/>
          </reference>
        </references>
      </pivotArea>
    </format>
    <format dxfId="271">
      <pivotArea outline="0" fieldPosition="0">
        <references count="4">
          <reference field="4294967294" count="1" selected="0">
            <x v="20"/>
          </reference>
          <reference field="0" count="1" selected="0">
            <x v="9"/>
          </reference>
          <reference field="4" count="1" selected="0">
            <x v="5"/>
          </reference>
          <reference field="70" count="1" selected="0">
            <x v="0"/>
          </reference>
        </references>
      </pivotArea>
    </format>
    <format dxfId="270">
      <pivotArea outline="0" fieldPosition="0">
        <references count="4">
          <reference field="4294967294" count="1" selected="0">
            <x v="23"/>
          </reference>
          <reference field="0" count="1" selected="0">
            <x v="9"/>
          </reference>
          <reference field="4" count="1" selected="0">
            <x v="5"/>
          </reference>
          <reference field="70" count="1" selected="0">
            <x v="0"/>
          </reference>
        </references>
      </pivotArea>
    </format>
    <format dxfId="269">
      <pivotArea outline="0" fieldPosition="0">
        <references count="4">
          <reference field="4294967294" count="1" selected="0">
            <x v="26"/>
          </reference>
          <reference field="0" count="1" selected="0">
            <x v="9"/>
          </reference>
          <reference field="4" count="1" selected="0">
            <x v="5"/>
          </reference>
          <reference field="70" count="1" selected="0">
            <x v="0"/>
          </reference>
        </references>
      </pivotArea>
    </format>
    <format dxfId="268">
      <pivotArea outline="0" fieldPosition="0">
        <references count="4">
          <reference field="4294967294" count="1" selected="0">
            <x v="26"/>
          </reference>
          <reference field="0" count="1" selected="0">
            <x v="9"/>
          </reference>
          <reference field="4" count="1" selected="0">
            <x v="3"/>
          </reference>
          <reference field="70" count="1" selected="0">
            <x v="0"/>
          </reference>
        </references>
      </pivotArea>
    </format>
    <format dxfId="267">
      <pivotArea outline="0" fieldPosition="0">
        <references count="4">
          <reference field="4294967294" count="1" selected="0">
            <x v="23"/>
          </reference>
          <reference field="0" count="1" selected="0">
            <x v="9"/>
          </reference>
          <reference field="4" count="1" selected="0">
            <x v="3"/>
          </reference>
          <reference field="70" count="1" selected="0">
            <x v="0"/>
          </reference>
        </references>
      </pivotArea>
    </format>
    <format dxfId="266">
      <pivotArea outline="0" fieldPosition="0">
        <references count="4">
          <reference field="4294967294" count="1" selected="0">
            <x v="22"/>
          </reference>
          <reference field="0" count="1" selected="0">
            <x v="9"/>
          </reference>
          <reference field="4" count="1" selected="0">
            <x v="5"/>
          </reference>
          <reference field="70" count="1" selected="0">
            <x v="0"/>
          </reference>
        </references>
      </pivotArea>
    </format>
    <format dxfId="265">
      <pivotArea outline="0" fieldPosition="0">
        <references count="4">
          <reference field="4294967294" count="1" selected="0">
            <x v="13"/>
          </reference>
          <reference field="0" count="1" selected="0">
            <x v="10"/>
          </reference>
          <reference field="4" count="1" selected="0">
            <x v="3"/>
          </reference>
          <reference field="70" count="1" selected="0">
            <x v="0"/>
          </reference>
        </references>
      </pivotArea>
    </format>
    <format dxfId="264">
      <pivotArea outline="0" fieldPosition="0">
        <references count="4">
          <reference field="4294967294" count="1" selected="0">
            <x v="20"/>
          </reference>
          <reference field="0" count="1" selected="0">
            <x v="10"/>
          </reference>
          <reference field="4" count="1" selected="0">
            <x v="0"/>
          </reference>
          <reference field="70" count="1" selected="0">
            <x v="0"/>
          </reference>
        </references>
      </pivotArea>
    </format>
    <format dxfId="263">
      <pivotArea outline="0" fieldPosition="0">
        <references count="4">
          <reference field="4294967294" count="1" selected="0">
            <x v="26"/>
          </reference>
          <reference field="0" count="1" selected="0">
            <x v="10"/>
          </reference>
          <reference field="4" count="1" selected="0">
            <x v="0"/>
          </reference>
          <reference field="70" count="1" selected="0">
            <x v="0"/>
          </reference>
        </references>
      </pivotArea>
    </format>
    <format dxfId="262">
      <pivotArea outline="0" fieldPosition="0">
        <references count="4">
          <reference field="4294967294" count="1" selected="0">
            <x v="23"/>
          </reference>
          <reference field="0" count="1" selected="0">
            <x v="10"/>
          </reference>
          <reference field="4" count="1" selected="0">
            <x v="0"/>
          </reference>
          <reference field="70" count="1" selected="0">
            <x v="0"/>
          </reference>
        </references>
      </pivotArea>
    </format>
    <format dxfId="261">
      <pivotArea outline="0" fieldPosition="0">
        <references count="4">
          <reference field="4294967294" count="1" selected="0">
            <x v="29"/>
          </reference>
          <reference field="0" count="1" selected="0">
            <x v="10"/>
          </reference>
          <reference field="4" count="1" selected="0">
            <x v="0"/>
          </reference>
          <reference field="70" count="1" selected="0">
            <x v="0"/>
          </reference>
        </references>
      </pivotArea>
    </format>
    <format dxfId="260">
      <pivotArea outline="0" fieldPosition="0">
        <references count="4">
          <reference field="4294967294" count="1" selected="0">
            <x v="26"/>
          </reference>
          <reference field="0" count="1" selected="0">
            <x v="10"/>
          </reference>
          <reference field="4" count="1" selected="0">
            <x v="4"/>
          </reference>
          <reference field="70" count="1" selected="0">
            <x v="0"/>
          </reference>
        </references>
      </pivotArea>
    </format>
    <format dxfId="259">
      <pivotArea outline="0" fieldPosition="0">
        <references count="4">
          <reference field="4294967294" count="1" selected="0">
            <x v="2"/>
          </reference>
          <reference field="0" count="1" selected="0">
            <x v="11"/>
          </reference>
          <reference field="4" count="1" selected="0">
            <x v="0"/>
          </reference>
          <reference field="70" count="1" selected="0">
            <x v="0"/>
          </reference>
        </references>
      </pivotArea>
    </format>
    <format dxfId="258">
      <pivotArea outline="0" fieldPosition="0">
        <references count="4">
          <reference field="4294967294" count="1" selected="0">
            <x v="2"/>
          </reference>
          <reference field="0" count="1" selected="0">
            <x v="11"/>
          </reference>
          <reference field="4" count="1" selected="0">
            <x v="8"/>
          </reference>
          <reference field="70" count="1" selected="0">
            <x v="1"/>
          </reference>
        </references>
      </pivotArea>
    </format>
    <format dxfId="257">
      <pivotArea outline="0" fieldPosition="0">
        <references count="4">
          <reference field="4294967294" count="1" selected="0">
            <x v="2"/>
          </reference>
          <reference field="0" count="1" selected="0">
            <x v="11"/>
          </reference>
          <reference field="4" count="2" selected="0">
            <x v="9"/>
            <x v="10"/>
          </reference>
          <reference field="70" count="1" selected="0">
            <x v="1"/>
          </reference>
        </references>
      </pivotArea>
    </format>
    <format dxfId="256">
      <pivotArea outline="0" fieldPosition="0">
        <references count="4">
          <reference field="4294967294" count="1" selected="0">
            <x v="8"/>
          </reference>
          <reference field="0" count="1" selected="0">
            <x v="11"/>
          </reference>
          <reference field="4" count="1" selected="0">
            <x v="8"/>
          </reference>
          <reference field="70" count="1" selected="0">
            <x v="1"/>
          </reference>
        </references>
      </pivotArea>
    </format>
    <format dxfId="255">
      <pivotArea outline="0" fieldPosition="0">
        <references count="4">
          <reference field="4294967294" count="1" selected="0">
            <x v="20"/>
          </reference>
          <reference field="0" count="1" selected="0">
            <x v="11"/>
          </reference>
          <reference field="4" count="1" selected="0">
            <x v="2"/>
          </reference>
          <reference field="70" count="1" selected="0">
            <x v="0"/>
          </reference>
        </references>
      </pivotArea>
    </format>
    <format dxfId="254">
      <pivotArea outline="0" fieldPosition="0">
        <references count="4">
          <reference field="4294967294" count="1" selected="0">
            <x v="23"/>
          </reference>
          <reference field="0" count="1" selected="0">
            <x v="11"/>
          </reference>
          <reference field="4" count="1" selected="0">
            <x v="2"/>
          </reference>
          <reference field="70" count="1" selected="0">
            <x v="0"/>
          </reference>
        </references>
      </pivotArea>
    </format>
    <format dxfId="253">
      <pivotArea outline="0" fieldPosition="0">
        <references count="4">
          <reference field="4294967294" count="1" selected="0">
            <x v="23"/>
          </reference>
          <reference field="0" count="1" selected="0">
            <x v="11"/>
          </reference>
          <reference field="4" count="1" selected="0">
            <x v="4"/>
          </reference>
          <reference field="70" count="1" selected="0">
            <x v="0"/>
          </reference>
        </references>
      </pivotArea>
    </format>
    <format dxfId="252">
      <pivotArea outline="0" fieldPosition="0">
        <references count="4">
          <reference field="4294967294" count="1" selected="0">
            <x v="20"/>
          </reference>
          <reference field="0" count="1" selected="0">
            <x v="11"/>
          </reference>
          <reference field="4" count="1" selected="0">
            <x v="5"/>
          </reference>
          <reference field="70" count="1" selected="0">
            <x v="0"/>
          </reference>
        </references>
      </pivotArea>
    </format>
    <format dxfId="251">
      <pivotArea outline="0" fieldPosition="0">
        <references count="4">
          <reference field="4294967294" count="1" selected="0">
            <x v="23"/>
          </reference>
          <reference field="0" count="1" selected="0">
            <x v="11"/>
          </reference>
          <reference field="4" count="1" selected="0">
            <x v="5"/>
          </reference>
          <reference field="70" count="1" selected="0">
            <x v="0"/>
          </reference>
        </references>
      </pivotArea>
    </format>
    <format dxfId="250">
      <pivotArea outline="0" fieldPosition="0">
        <references count="4">
          <reference field="4294967294" count="1" selected="0">
            <x v="26"/>
          </reference>
          <reference field="0" count="1" selected="0">
            <x v="11"/>
          </reference>
          <reference field="4" count="1" selected="0">
            <x v="5"/>
          </reference>
          <reference field="70" count="1" selected="0">
            <x v="0"/>
          </reference>
        </references>
      </pivotArea>
    </format>
    <format dxfId="249">
      <pivotArea outline="0" fieldPosition="0">
        <references count="4">
          <reference field="4294967294" count="1" selected="0">
            <x v="20"/>
          </reference>
          <reference field="0" count="1" selected="0">
            <x v="12"/>
          </reference>
          <reference field="4" count="1" selected="0">
            <x v="4"/>
          </reference>
          <reference field="70" count="1" selected="0">
            <x v="0"/>
          </reference>
        </references>
      </pivotArea>
    </format>
    <format dxfId="248">
      <pivotArea outline="0" fieldPosition="0">
        <references count="4">
          <reference field="4294967294" count="1" selected="0">
            <x v="26"/>
          </reference>
          <reference field="0" count="1" selected="0">
            <x v="12"/>
          </reference>
          <reference field="4" count="1" selected="0">
            <x v="4"/>
          </reference>
          <reference field="70" count="1" selected="0">
            <x v="0"/>
          </reference>
        </references>
      </pivotArea>
    </format>
    <format dxfId="247">
      <pivotArea outline="0" fieldPosition="0">
        <references count="4">
          <reference field="4294967294" count="1" selected="0">
            <x v="2"/>
          </reference>
          <reference field="0" count="1" selected="0">
            <x v="13"/>
          </reference>
          <reference field="4" count="1" selected="0">
            <x v="3"/>
          </reference>
          <reference field="70" count="1" selected="0">
            <x v="0"/>
          </reference>
        </references>
      </pivotArea>
    </format>
    <format dxfId="246">
      <pivotArea outline="0" fieldPosition="0">
        <references count="4">
          <reference field="4294967294" count="1" selected="0">
            <x v="20"/>
          </reference>
          <reference field="0" count="1" selected="0">
            <x v="13"/>
          </reference>
          <reference field="4" count="1" selected="0">
            <x v="4"/>
          </reference>
          <reference field="70" count="1" selected="0">
            <x v="0"/>
          </reference>
        </references>
      </pivotArea>
    </format>
    <format dxfId="245">
      <pivotArea outline="0" fieldPosition="0">
        <references count="4">
          <reference field="4294967294" count="1" selected="0">
            <x v="26"/>
          </reference>
          <reference field="0" count="1" selected="0">
            <x v="13"/>
          </reference>
          <reference field="4" count="1" selected="0">
            <x v="4"/>
          </reference>
          <reference field="70" count="1" selected="0">
            <x v="0"/>
          </reference>
        </references>
      </pivotArea>
    </format>
    <format dxfId="244">
      <pivotArea outline="0" fieldPosition="0">
        <references count="4">
          <reference field="4294967294" count="1" selected="0">
            <x v="28"/>
          </reference>
          <reference field="0" count="1" selected="0">
            <x v="13"/>
          </reference>
          <reference field="4" count="1" selected="0">
            <x v="5"/>
          </reference>
          <reference field="70" count="1" selected="0">
            <x v="0"/>
          </reference>
        </references>
      </pivotArea>
    </format>
    <format dxfId="243">
      <pivotArea outline="0" fieldPosition="0">
        <references count="4">
          <reference field="4294967294" count="1" selected="0">
            <x v="31"/>
          </reference>
          <reference field="0" count="1" selected="0">
            <x v="13"/>
          </reference>
          <reference field="4" count="1" selected="0">
            <x v="4"/>
          </reference>
          <reference field="70" count="1" selected="0">
            <x v="0"/>
          </reference>
        </references>
      </pivotArea>
    </format>
    <format dxfId="242">
      <pivotArea outline="0" fieldPosition="0">
        <references count="4">
          <reference field="4294967294" count="1" selected="0">
            <x v="2"/>
          </reference>
          <reference field="0" count="1" selected="0">
            <x v="14"/>
          </reference>
          <reference field="4" count="1" selected="0">
            <x v="5"/>
          </reference>
          <reference field="70" count="1" selected="0">
            <x v="0"/>
          </reference>
        </references>
      </pivotArea>
    </format>
    <format dxfId="241">
      <pivotArea outline="0" fieldPosition="0">
        <references count="4">
          <reference field="4294967294" count="1" selected="0">
            <x v="8"/>
          </reference>
          <reference field="0" count="1" selected="0">
            <x v="14"/>
          </reference>
          <reference field="4" count="1" selected="0">
            <x v="5"/>
          </reference>
          <reference field="70" count="1" selected="0">
            <x v="0"/>
          </reference>
        </references>
      </pivotArea>
    </format>
    <format dxfId="240">
      <pivotArea outline="0" fieldPosition="0">
        <references count="4">
          <reference field="4294967294" count="1" selected="0">
            <x v="20"/>
          </reference>
          <reference field="0" count="1" selected="0">
            <x v="14"/>
          </reference>
          <reference field="4" count="1" selected="0">
            <x v="2"/>
          </reference>
          <reference field="70" count="1" selected="0">
            <x v="0"/>
          </reference>
        </references>
      </pivotArea>
    </format>
    <format dxfId="239">
      <pivotArea outline="0" fieldPosition="0">
        <references count="4">
          <reference field="4294967294" count="1" selected="0">
            <x v="26"/>
          </reference>
          <reference field="0" count="1" selected="0">
            <x v="14"/>
          </reference>
          <reference field="4" count="1" selected="0">
            <x v="2"/>
          </reference>
          <reference field="70" count="1" selected="0">
            <x v="0"/>
          </reference>
        </references>
      </pivotArea>
    </format>
    <format dxfId="238">
      <pivotArea outline="0" fieldPosition="0">
        <references count="4">
          <reference field="4294967294" count="1" selected="0">
            <x v="20"/>
          </reference>
          <reference field="0" count="1" selected="0">
            <x v="14"/>
          </reference>
          <reference field="4" count="1" selected="0">
            <x v="2"/>
          </reference>
          <reference field="70" count="1" selected="0">
            <x v="0"/>
          </reference>
        </references>
      </pivotArea>
    </format>
    <format dxfId="237">
      <pivotArea outline="0" fieldPosition="0">
        <references count="4">
          <reference field="4294967294" count="1" selected="0">
            <x v="2"/>
          </reference>
          <reference field="0" count="1" selected="0">
            <x v="15"/>
          </reference>
          <reference field="4" count="1" selected="0">
            <x v="7"/>
          </reference>
          <reference field="70" count="1" selected="0">
            <x v="1"/>
          </reference>
        </references>
      </pivotArea>
    </format>
    <format dxfId="236">
      <pivotArea outline="0" fieldPosition="0">
        <references count="4">
          <reference field="4294967294" count="1" selected="0">
            <x v="8"/>
          </reference>
          <reference field="0" count="1" selected="0">
            <x v="15"/>
          </reference>
          <reference field="4" count="1" selected="0">
            <x v="7"/>
          </reference>
          <reference field="70" count="1" selected="0">
            <x v="1"/>
          </reference>
        </references>
      </pivotArea>
    </format>
    <format dxfId="235">
      <pivotArea outline="0" fieldPosition="0">
        <references count="4">
          <reference field="4294967294" count="1" selected="0">
            <x v="23"/>
          </reference>
          <reference field="0" count="1" selected="0">
            <x v="15"/>
          </reference>
          <reference field="4" count="1" selected="0">
            <x v="2"/>
          </reference>
          <reference field="70" count="1" selected="0">
            <x v="0"/>
          </reference>
        </references>
      </pivotArea>
    </format>
    <format dxfId="234">
      <pivotArea outline="0" fieldPosition="0">
        <references count="4">
          <reference field="4294967294" count="1" selected="0">
            <x v="20"/>
          </reference>
          <reference field="0" count="1" selected="0">
            <x v="15"/>
          </reference>
          <reference field="4" count="1" selected="0">
            <x v="5"/>
          </reference>
          <reference field="70" count="1" selected="0">
            <x v="0"/>
          </reference>
        </references>
      </pivotArea>
    </format>
    <format dxfId="233">
      <pivotArea outline="0" fieldPosition="0">
        <references count="4">
          <reference field="4294967294" count="1" selected="0">
            <x v="20"/>
          </reference>
          <reference field="0" count="1" selected="0">
            <x v="15"/>
          </reference>
          <reference field="4" count="1" selected="0">
            <x v="4"/>
          </reference>
          <reference field="70" count="1" selected="0">
            <x v="0"/>
          </reference>
        </references>
      </pivotArea>
    </format>
    <format dxfId="232">
      <pivotArea outline="0" fieldPosition="0">
        <references count="4">
          <reference field="4294967294" count="1" selected="0">
            <x v="26"/>
          </reference>
          <reference field="0" count="1" selected="0">
            <x v="15"/>
          </reference>
          <reference field="4" count="1" selected="0">
            <x v="4"/>
          </reference>
          <reference field="70" count="1" selected="0">
            <x v="0"/>
          </reference>
        </references>
      </pivotArea>
    </format>
    <format dxfId="231">
      <pivotArea outline="0" fieldPosition="0">
        <references count="4">
          <reference field="4294967294" count="1" selected="0">
            <x v="20"/>
          </reference>
          <reference field="0" count="1" selected="0">
            <x v="15"/>
          </reference>
          <reference field="4" count="1" selected="0">
            <x v="2"/>
          </reference>
          <reference field="70" count="1" selected="0">
            <x v="0"/>
          </reference>
        </references>
      </pivotArea>
    </format>
    <format dxfId="230">
      <pivotArea outline="0" fieldPosition="0">
        <references count="4">
          <reference field="4294967294" count="1" selected="0">
            <x v="2"/>
          </reference>
          <reference field="0" count="1" selected="0">
            <x v="2"/>
          </reference>
          <reference field="4" count="1" selected="0">
            <x v="2"/>
          </reference>
          <reference field="70" count="1" selected="0">
            <x v="0"/>
          </reference>
        </references>
      </pivotArea>
    </format>
    <format dxfId="229">
      <pivotArea outline="0" fieldPosition="0">
        <references count="4">
          <reference field="4294967294" count="1" selected="0">
            <x v="8"/>
          </reference>
          <reference field="0" count="1" selected="0">
            <x v="2"/>
          </reference>
          <reference field="4" count="1" selected="0">
            <x v="2"/>
          </reference>
          <reference field="70" count="1" selected="0">
            <x v="0"/>
          </reference>
        </references>
      </pivotArea>
    </format>
    <format dxfId="228">
      <pivotArea outline="0" fieldPosition="0">
        <references count="4">
          <reference field="4294967294" count="7" selected="0">
            <x v="20"/>
            <x v="21"/>
            <x v="22"/>
            <x v="23"/>
            <x v="24"/>
            <x v="25"/>
            <x v="26"/>
          </reference>
          <reference field="0" count="1" selected="0">
            <x v="2"/>
          </reference>
          <reference field="4" count="1" selected="0">
            <x v="2"/>
          </reference>
          <reference field="70" count="1" selected="0">
            <x v="0"/>
          </reference>
        </references>
      </pivotArea>
    </format>
    <format dxfId="227">
      <pivotArea outline="0" fieldPosition="0">
        <references count="4">
          <reference field="4294967294" count="1" selected="0">
            <x v="16"/>
          </reference>
          <reference field="0" count="1" selected="0">
            <x v="8"/>
          </reference>
          <reference field="4" count="1" selected="0">
            <x v="3"/>
          </reference>
          <reference field="70" count="1" selected="0">
            <x v="0"/>
          </reference>
        </references>
      </pivotArea>
    </format>
    <format dxfId="226">
      <pivotArea outline="0" fieldPosition="0">
        <references count="4">
          <reference field="4294967294" count="1" selected="0">
            <x v="34"/>
          </reference>
          <reference field="0" count="1" selected="0">
            <x v="8"/>
          </reference>
          <reference field="4" count="1" selected="0">
            <x v="3"/>
          </reference>
          <reference field="70" count="1" selected="0">
            <x v="0"/>
          </reference>
        </references>
      </pivotArea>
    </format>
    <format dxfId="225">
      <pivotArea outline="0" fieldPosition="0">
        <references count="4">
          <reference field="4294967294" count="1" selected="0">
            <x v="2"/>
          </reference>
          <reference field="0" count="1" selected="0">
            <x v="0"/>
          </reference>
          <reference field="4" count="1" selected="0">
            <x v="12"/>
          </reference>
          <reference field="70" count="1" selected="0">
            <x v="2"/>
          </reference>
        </references>
      </pivotArea>
    </format>
    <format dxfId="224">
      <pivotArea outline="0" fieldPosition="0">
        <references count="4">
          <reference field="4294967294" count="2" selected="0">
            <x v="7"/>
            <x v="8"/>
          </reference>
          <reference field="0" count="1" selected="0">
            <x v="0"/>
          </reference>
          <reference field="4" count="1" selected="0">
            <x v="12"/>
          </reference>
          <reference field="70" count="1" selected="0">
            <x v="2"/>
          </reference>
        </references>
      </pivotArea>
    </format>
    <format dxfId="223">
      <pivotArea outline="0" fieldPosition="0">
        <references count="4">
          <reference field="4294967294" count="1" selected="0">
            <x v="10"/>
          </reference>
          <reference field="0" count="1" selected="0">
            <x v="0"/>
          </reference>
          <reference field="4" count="1" selected="0">
            <x v="0"/>
          </reference>
          <reference field="70" count="1" selected="0">
            <x v="0"/>
          </reference>
        </references>
      </pivotArea>
    </format>
    <format dxfId="222">
      <pivotArea outline="0" fieldPosition="0">
        <references count="4">
          <reference field="4294967294" count="1" selected="0">
            <x v="13"/>
          </reference>
          <reference field="0" count="1" selected="0">
            <x v="0"/>
          </reference>
          <reference field="4" count="1" selected="0">
            <x v="10"/>
          </reference>
          <reference field="70" count="1" selected="0">
            <x v="1"/>
          </reference>
        </references>
      </pivotArea>
    </format>
    <format dxfId="221">
      <pivotArea outline="0" fieldPosition="0">
        <references count="4">
          <reference field="4294967294" count="2" selected="0">
            <x v="22"/>
            <x v="23"/>
          </reference>
          <reference field="0" count="1" selected="0">
            <x v="0"/>
          </reference>
          <reference field="4" count="1" selected="0">
            <x v="3"/>
          </reference>
          <reference field="70" count="1" selected="0">
            <x v="0"/>
          </reference>
        </references>
      </pivotArea>
    </format>
    <format dxfId="220">
      <pivotArea outline="0" fieldPosition="0">
        <references count="4">
          <reference field="4294967294" count="2" selected="0">
            <x v="22"/>
            <x v="23"/>
          </reference>
          <reference field="0" count="1" selected="0">
            <x v="0"/>
          </reference>
          <reference field="4" count="1" selected="0">
            <x v="4"/>
          </reference>
          <reference field="70" count="1" selected="0">
            <x v="0"/>
          </reference>
        </references>
      </pivotArea>
    </format>
    <format dxfId="219">
      <pivotArea outline="0" fieldPosition="0">
        <references count="4">
          <reference field="4294967294" count="1" selected="0">
            <x v="2"/>
          </reference>
          <reference field="0" count="1" selected="0">
            <x v="1"/>
          </reference>
          <reference field="4" count="1" selected="0">
            <x v="9"/>
          </reference>
          <reference field="70" count="1" selected="0">
            <x v="1"/>
          </reference>
        </references>
      </pivotArea>
    </format>
    <format dxfId="218">
      <pivotArea outline="0" fieldPosition="0">
        <references count="4">
          <reference field="4294967294" count="2" selected="0">
            <x v="10"/>
            <x v="11"/>
          </reference>
          <reference field="0" count="1" selected="0">
            <x v="1"/>
          </reference>
          <reference field="4" count="1" selected="0">
            <x v="4"/>
          </reference>
          <reference field="70" count="1" selected="0">
            <x v="0"/>
          </reference>
        </references>
      </pivotArea>
    </format>
    <format dxfId="217">
      <pivotArea outline="0" fieldPosition="0">
        <references count="4">
          <reference field="4294967294" count="2" selected="0">
            <x v="10"/>
            <x v="11"/>
          </reference>
          <reference field="0" count="1" selected="0">
            <x v="1"/>
          </reference>
          <reference field="4" count="1" selected="0">
            <x v="5"/>
          </reference>
          <reference field="70" count="1" selected="0">
            <x v="0"/>
          </reference>
        </references>
      </pivotArea>
    </format>
    <format dxfId="216">
      <pivotArea outline="0" fieldPosition="0">
        <references count="4">
          <reference field="4294967294" count="1" selected="0">
            <x v="23"/>
          </reference>
          <reference field="0" count="1" selected="0">
            <x v="1"/>
          </reference>
          <reference field="4" count="1" selected="0">
            <x v="3"/>
          </reference>
          <reference field="70" count="1" selected="0">
            <x v="0"/>
          </reference>
        </references>
      </pivotArea>
    </format>
    <format dxfId="215">
      <pivotArea outline="0" fieldPosition="0">
        <references count="4">
          <reference field="4294967294" count="1" selected="0">
            <x v="26"/>
          </reference>
          <reference field="0" count="1" selected="0">
            <x v="1"/>
          </reference>
          <reference field="4" count="1" selected="0">
            <x v="3"/>
          </reference>
          <reference field="70" count="1" selected="0">
            <x v="0"/>
          </reference>
        </references>
      </pivotArea>
    </format>
    <format dxfId="214">
      <pivotArea outline="0" fieldPosition="0">
        <references count="4">
          <reference field="4294967294" count="1" selected="0">
            <x v="28"/>
          </reference>
          <reference field="0" count="1" selected="0">
            <x v="1"/>
          </reference>
          <reference field="4" count="1" selected="0">
            <x v="3"/>
          </reference>
          <reference field="70" count="1" selected="0">
            <x v="0"/>
          </reference>
        </references>
      </pivotArea>
    </format>
    <format dxfId="213">
      <pivotArea outline="0" fieldPosition="0">
        <references count="4">
          <reference field="4294967294" count="2" selected="0">
            <x v="4"/>
            <x v="5"/>
          </reference>
          <reference field="0" count="1" selected="0">
            <x v="3"/>
          </reference>
          <reference field="4" count="1" selected="0">
            <x v="3"/>
          </reference>
          <reference field="70" count="1" selected="0">
            <x v="0"/>
          </reference>
        </references>
      </pivotArea>
    </format>
    <format dxfId="212">
      <pivotArea outline="0" fieldPosition="0">
        <references count="4">
          <reference field="4294967294" count="1" selected="0">
            <x v="8"/>
          </reference>
          <reference field="0" count="1" selected="0">
            <x v="3"/>
          </reference>
          <reference field="4" count="1" selected="0">
            <x v="3"/>
          </reference>
          <reference field="70" count="1" selected="0">
            <x v="0"/>
          </reference>
        </references>
      </pivotArea>
    </format>
    <format dxfId="211">
      <pivotArea outline="0" fieldPosition="0">
        <references count="4">
          <reference field="4294967294" count="2" selected="0">
            <x v="10"/>
            <x v="11"/>
          </reference>
          <reference field="0" count="1" selected="0">
            <x v="3"/>
          </reference>
          <reference field="4" count="1" selected="0">
            <x v="2"/>
          </reference>
          <reference field="70" count="1" selected="0">
            <x v="0"/>
          </reference>
        </references>
      </pivotArea>
    </format>
    <format dxfId="210">
      <pivotArea outline="0" fieldPosition="0">
        <references count="4">
          <reference field="4294967294" count="1" selected="0">
            <x v="20"/>
          </reference>
          <reference field="0" count="1" selected="0">
            <x v="3"/>
          </reference>
          <reference field="4" count="1" selected="0">
            <x v="3"/>
          </reference>
          <reference field="70" count="1" selected="0">
            <x v="0"/>
          </reference>
        </references>
      </pivotArea>
    </format>
    <format dxfId="209">
      <pivotArea outline="0" fieldPosition="0">
        <references count="4">
          <reference field="4294967294" count="1" selected="0">
            <x v="26"/>
          </reference>
          <reference field="0" count="1" selected="0">
            <x v="3"/>
          </reference>
          <reference field="4" count="1" selected="0">
            <x v="2"/>
          </reference>
          <reference field="70" count="1" selected="0">
            <x v="0"/>
          </reference>
        </references>
      </pivotArea>
    </format>
    <format dxfId="208">
      <pivotArea outline="0" fieldPosition="0">
        <references count="4">
          <reference field="4294967294" count="1" selected="0">
            <x v="26"/>
          </reference>
          <reference field="0" count="1" selected="0">
            <x v="3"/>
          </reference>
          <reference field="4" count="1" selected="0">
            <x v="3"/>
          </reference>
          <reference field="70" count="1" selected="0">
            <x v="0"/>
          </reference>
        </references>
      </pivotArea>
    </format>
    <format dxfId="207">
      <pivotArea outline="0" fieldPosition="0">
        <references count="4">
          <reference field="4294967294" count="2" selected="0">
            <x v="28"/>
            <x v="29"/>
          </reference>
          <reference field="0" count="1" selected="0">
            <x v="3"/>
          </reference>
          <reference field="4" count="1" selected="0">
            <x v="2"/>
          </reference>
          <reference field="70" count="1" selected="0">
            <x v="0"/>
          </reference>
        </references>
      </pivotArea>
    </format>
    <format dxfId="206">
      <pivotArea outline="0" fieldPosition="0">
        <references count="4">
          <reference field="4294967294" count="1" selected="0">
            <x v="10"/>
          </reference>
          <reference field="0" count="1" selected="0">
            <x v="4"/>
          </reference>
          <reference field="4" count="1" selected="0">
            <x v="5"/>
          </reference>
          <reference field="70" count="1" selected="0">
            <x v="0"/>
          </reference>
        </references>
      </pivotArea>
    </format>
    <format dxfId="205">
      <pivotArea outline="0" fieldPosition="0">
        <references count="4">
          <reference field="4294967294" count="1" selected="0">
            <x v="8"/>
          </reference>
          <reference field="0" count="1" selected="0">
            <x v="4"/>
          </reference>
          <reference field="4" count="2" selected="0">
            <x v="7"/>
            <x v="8"/>
          </reference>
          <reference field="70" count="1" selected="0">
            <x v="1"/>
          </reference>
        </references>
      </pivotArea>
    </format>
    <format dxfId="204">
      <pivotArea outline="0" fieldPosition="0">
        <references count="4">
          <reference field="4294967294" count="2" selected="0">
            <x v="13"/>
            <x v="14"/>
          </reference>
          <reference field="0" count="1" selected="0">
            <x v="4"/>
          </reference>
          <reference field="4" count="1" selected="0">
            <x v="8"/>
          </reference>
          <reference field="70" count="1" selected="0">
            <x v="1"/>
          </reference>
        </references>
      </pivotArea>
    </format>
    <format dxfId="203">
      <pivotArea outline="0" fieldPosition="0">
        <references count="4">
          <reference field="4294967294" count="2" selected="0">
            <x v="10"/>
            <x v="11"/>
          </reference>
          <reference field="0" count="1" selected="0">
            <x v="4"/>
          </reference>
          <reference field="4" count="1" selected="0">
            <x v="9"/>
          </reference>
          <reference field="70" count="1" selected="0">
            <x v="1"/>
          </reference>
        </references>
      </pivotArea>
    </format>
    <format dxfId="202">
      <pivotArea outline="0" fieldPosition="0">
        <references count="4">
          <reference field="4294967294" count="1" selected="0">
            <x v="20"/>
          </reference>
          <reference field="0" count="1" selected="0">
            <x v="4"/>
          </reference>
          <reference field="4" count="1" selected="0">
            <x v="1"/>
          </reference>
          <reference field="70" count="1" selected="0">
            <x v="0"/>
          </reference>
        </references>
      </pivotArea>
    </format>
    <format dxfId="201">
      <pivotArea outline="0" fieldPosition="0">
        <references count="4">
          <reference field="4294967294" count="1" selected="0">
            <x v="26"/>
          </reference>
          <reference field="0" count="1" selected="0">
            <x v="4"/>
          </reference>
          <reference field="4" count="1" selected="0">
            <x v="1"/>
          </reference>
          <reference field="70" count="1" selected="0">
            <x v="0"/>
          </reference>
        </references>
      </pivotArea>
    </format>
    <format dxfId="200">
      <pivotArea outline="0" fieldPosition="0">
        <references count="4">
          <reference field="4294967294" count="1" selected="0">
            <x v="23"/>
          </reference>
          <reference field="0" count="1" selected="0">
            <x v="4"/>
          </reference>
          <reference field="4" count="1" selected="0">
            <x v="4"/>
          </reference>
          <reference field="70" count="1" selected="0">
            <x v="0"/>
          </reference>
        </references>
      </pivotArea>
    </format>
    <format dxfId="199">
      <pivotArea outline="0" fieldPosition="0">
        <references count="4">
          <reference field="4294967294" count="1" selected="0">
            <x v="26"/>
          </reference>
          <reference field="0" count="1" selected="0">
            <x v="4"/>
          </reference>
          <reference field="4" count="1" selected="0">
            <x v="4"/>
          </reference>
          <reference field="70" count="1" selected="0">
            <x v="0"/>
          </reference>
        </references>
      </pivotArea>
    </format>
    <format dxfId="198">
      <pivotArea outline="0" fieldPosition="0">
        <references count="4">
          <reference field="4294967294" count="1" selected="0">
            <x v="2"/>
          </reference>
          <reference field="0" count="1" selected="0">
            <x v="5"/>
          </reference>
          <reference field="4" count="3" selected="0">
            <x v="8"/>
            <x v="9"/>
            <x v="10"/>
          </reference>
          <reference field="70" count="1" selected="0">
            <x v="1"/>
          </reference>
        </references>
      </pivotArea>
    </format>
    <format dxfId="197">
      <pivotArea outline="0" fieldPosition="0">
        <references count="4">
          <reference field="4294967294" count="1" selected="0">
            <x v="5"/>
          </reference>
          <reference field="0" count="1" selected="0">
            <x v="5"/>
          </reference>
          <reference field="4" count="3" selected="0">
            <x v="8"/>
            <x v="9"/>
            <x v="10"/>
          </reference>
          <reference field="70" count="1" selected="0">
            <x v="1"/>
          </reference>
        </references>
      </pivotArea>
    </format>
    <format dxfId="196">
      <pivotArea outline="0" fieldPosition="0">
        <references count="4">
          <reference field="4294967294" count="1" selected="0">
            <x v="8"/>
          </reference>
          <reference field="0" count="1" selected="0">
            <x v="5"/>
          </reference>
          <reference field="4" count="3" selected="0">
            <x v="8"/>
            <x v="9"/>
            <x v="10"/>
          </reference>
          <reference field="70" count="1" selected="0">
            <x v="1"/>
          </reference>
        </references>
      </pivotArea>
    </format>
    <format dxfId="195">
      <pivotArea outline="0" fieldPosition="0">
        <references count="4">
          <reference field="4294967294" count="1" selected="0">
            <x v="2"/>
          </reference>
          <reference field="0" count="1" selected="0">
            <x v="5"/>
          </reference>
          <reference field="4" count="1" selected="0">
            <x v="11"/>
          </reference>
          <reference field="70" count="1" selected="0">
            <x v="2"/>
          </reference>
        </references>
      </pivotArea>
    </format>
    <format dxfId="194">
      <pivotArea outline="0" fieldPosition="0">
        <references count="4">
          <reference field="4294967294" count="1" selected="0">
            <x v="5"/>
          </reference>
          <reference field="0" count="1" selected="0">
            <x v="5"/>
          </reference>
          <reference field="4" count="1" selected="0">
            <x v="11"/>
          </reference>
          <reference field="70" count="1" selected="0">
            <x v="2"/>
          </reference>
        </references>
      </pivotArea>
    </format>
    <format dxfId="193">
      <pivotArea outline="0" fieldPosition="0">
        <references count="4">
          <reference field="4294967294" count="1" selected="0">
            <x v="8"/>
          </reference>
          <reference field="0" count="1" selected="0">
            <x v="5"/>
          </reference>
          <reference field="4" count="1" selected="0">
            <x v="11"/>
          </reference>
          <reference field="70" count="1" selected="0">
            <x v="2"/>
          </reference>
        </references>
      </pivotArea>
    </format>
    <format dxfId="192">
      <pivotArea outline="0" fieldPosition="0">
        <references count="4">
          <reference field="4294967294" count="1" selected="0">
            <x v="20"/>
          </reference>
          <reference field="0" count="1" selected="0">
            <x v="5"/>
          </reference>
          <reference field="4" count="1" selected="0">
            <x v="0"/>
          </reference>
          <reference field="70" count="1" selected="0">
            <x v="0"/>
          </reference>
        </references>
      </pivotArea>
    </format>
    <format dxfId="191">
      <pivotArea outline="0" fieldPosition="0">
        <references count="4">
          <reference field="4294967294" count="1" selected="0">
            <x v="20"/>
          </reference>
          <reference field="0" count="1" selected="0">
            <x v="5"/>
          </reference>
          <reference field="4" count="1" selected="0">
            <x v="3"/>
          </reference>
          <reference field="70" count="1" selected="0">
            <x v="0"/>
          </reference>
        </references>
      </pivotArea>
    </format>
    <format dxfId="190">
      <pivotArea outline="0" fieldPosition="0">
        <references count="4">
          <reference field="4294967294" count="1" selected="0">
            <x v="26"/>
          </reference>
          <reference field="0" count="1" selected="0">
            <x v="5"/>
          </reference>
          <reference field="4" count="1" selected="0">
            <x v="3"/>
          </reference>
          <reference field="70" count="1" selected="0">
            <x v="0"/>
          </reference>
        </references>
      </pivotArea>
    </format>
    <format dxfId="189">
      <pivotArea outline="0" fieldPosition="0">
        <references count="4">
          <reference field="4294967294" count="1" selected="0">
            <x v="26"/>
          </reference>
          <reference field="0" count="1" selected="0">
            <x v="7"/>
          </reference>
          <reference field="4" count="1" selected="0">
            <x v="2"/>
          </reference>
          <reference field="70" count="1" selected="0">
            <x v="0"/>
          </reference>
        </references>
      </pivotArea>
    </format>
    <format dxfId="188">
      <pivotArea outline="0" fieldPosition="0">
        <references count="4">
          <reference field="4294967294" count="1" selected="0">
            <x v="20"/>
          </reference>
          <reference field="0" count="1" selected="0">
            <x v="8"/>
          </reference>
          <reference field="4" count="2" selected="0">
            <x v="3"/>
            <x v="4"/>
          </reference>
          <reference field="70" count="1" selected="0">
            <x v="0"/>
          </reference>
        </references>
      </pivotArea>
    </format>
    <format dxfId="187">
      <pivotArea outline="0" fieldPosition="0">
        <references count="4">
          <reference field="4294967294" count="1" selected="0">
            <x v="26"/>
          </reference>
          <reference field="0" count="1" selected="0">
            <x v="8"/>
          </reference>
          <reference field="4" count="1" selected="0">
            <x v="3"/>
          </reference>
          <reference field="70" count="1" selected="0">
            <x v="0"/>
          </reference>
        </references>
      </pivotArea>
    </format>
    <format dxfId="186">
      <pivotArea outline="0" fieldPosition="0">
        <references count="4">
          <reference field="4294967294" count="1" selected="0">
            <x v="34"/>
          </reference>
          <reference field="0" count="1" selected="0">
            <x v="8"/>
          </reference>
          <reference field="4" count="1" selected="0">
            <x v="0"/>
          </reference>
          <reference field="70" count="1" selected="0">
            <x v="0"/>
          </reference>
        </references>
      </pivotArea>
    </format>
    <format dxfId="185">
      <pivotArea outline="0" fieldPosition="0">
        <references count="4">
          <reference field="4294967294" count="1" selected="0">
            <x v="2"/>
          </reference>
          <reference field="0" count="1" selected="0">
            <x v="9"/>
          </reference>
          <reference field="4" count="1" selected="0">
            <x v="3"/>
          </reference>
          <reference field="70" count="1" selected="0">
            <x v="0"/>
          </reference>
        </references>
      </pivotArea>
    </format>
    <format dxfId="184">
      <pivotArea outline="0" fieldPosition="0">
        <references count="4">
          <reference field="4294967294" count="1" selected="0">
            <x v="8"/>
          </reference>
          <reference field="0" count="1" selected="0">
            <x v="9"/>
          </reference>
          <reference field="4" count="1" selected="0">
            <x v="3"/>
          </reference>
          <reference field="70" count="1" selected="0">
            <x v="0"/>
          </reference>
        </references>
      </pivotArea>
    </format>
    <format dxfId="183">
      <pivotArea outline="0" fieldPosition="0">
        <references count="4">
          <reference field="4294967294" count="1" selected="0">
            <x v="2"/>
          </reference>
          <reference field="0" count="1" selected="0">
            <x v="9"/>
          </reference>
          <reference field="4" count="1" selected="0">
            <x v="8"/>
          </reference>
          <reference field="70" count="1" selected="0">
            <x v="1"/>
          </reference>
        </references>
      </pivotArea>
    </format>
    <format dxfId="182">
      <pivotArea outline="0" fieldPosition="0">
        <references count="4">
          <reference field="4294967294" count="1" selected="0">
            <x v="8"/>
          </reference>
          <reference field="0" count="1" selected="0">
            <x v="9"/>
          </reference>
          <reference field="4" count="1" selected="0">
            <x v="8"/>
          </reference>
          <reference field="70" count="1" selected="0">
            <x v="1"/>
          </reference>
        </references>
      </pivotArea>
    </format>
    <format dxfId="181">
      <pivotArea outline="0" fieldPosition="0">
        <references count="4">
          <reference field="4294967294" count="1" selected="0">
            <x v="23"/>
          </reference>
          <reference field="0" count="1" selected="0">
            <x v="9"/>
          </reference>
          <reference field="4" count="1" selected="0">
            <x v="3"/>
          </reference>
          <reference field="70" count="1" selected="0">
            <x v="0"/>
          </reference>
        </references>
      </pivotArea>
    </format>
    <format dxfId="180">
      <pivotArea outline="0" fieldPosition="0">
        <references count="4">
          <reference field="4294967294" count="1" selected="0">
            <x v="26"/>
          </reference>
          <reference field="0" count="1" selected="0">
            <x v="9"/>
          </reference>
          <reference field="4" count="1" selected="0">
            <x v="3"/>
          </reference>
          <reference field="70" count="1" selected="0">
            <x v="0"/>
          </reference>
        </references>
      </pivotArea>
    </format>
    <format dxfId="179">
      <pivotArea outline="0" fieldPosition="0">
        <references count="4">
          <reference field="4294967294" count="1" selected="0">
            <x v="2"/>
          </reference>
          <reference field="0" count="1" selected="0">
            <x v="10"/>
          </reference>
          <reference field="4" count="1" selected="0">
            <x v="2"/>
          </reference>
          <reference field="70" count="1" selected="0">
            <x v="0"/>
          </reference>
        </references>
      </pivotArea>
    </format>
    <format dxfId="178">
      <pivotArea outline="0" fieldPosition="0">
        <references count="4">
          <reference field="4294967294" count="1" selected="0">
            <x v="5"/>
          </reference>
          <reference field="0" count="1" selected="0">
            <x v="10"/>
          </reference>
          <reference field="4" count="1" selected="0">
            <x v="2"/>
          </reference>
          <reference field="70" count="1" selected="0">
            <x v="0"/>
          </reference>
        </references>
      </pivotArea>
    </format>
    <format dxfId="177">
      <pivotArea outline="0" fieldPosition="0">
        <references count="4">
          <reference field="4294967294" count="1" selected="0">
            <x v="20"/>
          </reference>
          <reference field="0" count="1" selected="0">
            <x v="10"/>
          </reference>
          <reference field="4" count="1" selected="0">
            <x v="0"/>
          </reference>
          <reference field="70" count="1" selected="0">
            <x v="0"/>
          </reference>
        </references>
      </pivotArea>
    </format>
    <format dxfId="176">
      <pivotArea outline="0" fieldPosition="0">
        <references count="4">
          <reference field="4294967294" count="1" selected="0">
            <x v="20"/>
          </reference>
          <reference field="0" count="1" selected="0">
            <x v="10"/>
          </reference>
          <reference field="4" count="1" selected="0">
            <x v="2"/>
          </reference>
          <reference field="70" count="1" selected="0">
            <x v="0"/>
          </reference>
        </references>
      </pivotArea>
    </format>
    <format dxfId="175">
      <pivotArea outline="0" fieldPosition="0">
        <references count="4">
          <reference field="4294967294" count="1" selected="0">
            <x v="20"/>
          </reference>
          <reference field="0" count="1" selected="0">
            <x v="10"/>
          </reference>
          <reference field="4" count="1" selected="0">
            <x v="3"/>
          </reference>
          <reference field="70" count="1" selected="0">
            <x v="0"/>
          </reference>
        </references>
      </pivotArea>
    </format>
    <format dxfId="174">
      <pivotArea outline="0" fieldPosition="0">
        <references count="4">
          <reference field="4294967294" count="1" selected="0">
            <x v="23"/>
          </reference>
          <reference field="0" count="1" selected="0">
            <x v="10"/>
          </reference>
          <reference field="4" count="1" selected="0">
            <x v="0"/>
          </reference>
          <reference field="70" count="1" selected="0">
            <x v="0"/>
          </reference>
        </references>
      </pivotArea>
    </format>
    <format dxfId="173">
      <pivotArea outline="0" fieldPosition="0">
        <references count="4">
          <reference field="4294967294" count="1" selected="0">
            <x v="23"/>
          </reference>
          <reference field="0" count="1" selected="0">
            <x v="10"/>
          </reference>
          <reference field="4" count="1" selected="0">
            <x v="2"/>
          </reference>
          <reference field="70" count="1" selected="0">
            <x v="0"/>
          </reference>
        </references>
      </pivotArea>
    </format>
    <format dxfId="172">
      <pivotArea outline="0" fieldPosition="0">
        <references count="4">
          <reference field="4294967294" count="1" selected="0">
            <x v="26"/>
          </reference>
          <reference field="0" count="1" selected="0">
            <x v="10"/>
          </reference>
          <reference field="4" count="1" selected="0">
            <x v="0"/>
          </reference>
          <reference field="70" count="1" selected="0">
            <x v="0"/>
          </reference>
        </references>
      </pivotArea>
    </format>
    <format dxfId="171">
      <pivotArea outline="0" fieldPosition="0">
        <references count="4">
          <reference field="4294967294" count="1" selected="0">
            <x v="26"/>
          </reference>
          <reference field="0" count="1" selected="0">
            <x v="10"/>
          </reference>
          <reference field="4" count="1" selected="0">
            <x v="3"/>
          </reference>
          <reference field="70" count="1" selected="0">
            <x v="0"/>
          </reference>
        </references>
      </pivotArea>
    </format>
    <format dxfId="170">
      <pivotArea outline="0" fieldPosition="0">
        <references count="4">
          <reference field="4294967294" count="2" selected="0">
            <x v="10"/>
            <x v="11"/>
          </reference>
          <reference field="0" count="1" selected="0">
            <x v="11"/>
          </reference>
          <reference field="4" count="1" selected="0">
            <x v="0"/>
          </reference>
          <reference field="70" count="1" selected="0">
            <x v="0"/>
          </reference>
        </references>
      </pivotArea>
    </format>
    <format dxfId="169">
      <pivotArea outline="0" fieldPosition="0">
        <references count="4">
          <reference field="4294967294" count="2" selected="0">
            <x v="10"/>
            <x v="11"/>
          </reference>
          <reference field="0" count="1" selected="0">
            <x v="11"/>
          </reference>
          <reference field="4" count="1" selected="0">
            <x v="5"/>
          </reference>
          <reference field="70" count="1" selected="0">
            <x v="0"/>
          </reference>
        </references>
      </pivotArea>
    </format>
    <format dxfId="168">
      <pivotArea outline="0" fieldPosition="0">
        <references count="4">
          <reference field="4294967294" count="2" selected="0">
            <x v="13"/>
            <x v="14"/>
          </reference>
          <reference field="0" count="1" selected="0">
            <x v="11"/>
          </reference>
          <reference field="4" count="1" selected="0">
            <x v="0"/>
          </reference>
          <reference field="70" count="1" selected="0">
            <x v="0"/>
          </reference>
        </references>
      </pivotArea>
    </format>
    <format dxfId="167">
      <pivotArea outline="0" fieldPosition="0">
        <references count="4">
          <reference field="4294967294" count="1" selected="0">
            <x v="2"/>
          </reference>
          <reference field="0" count="1" selected="0">
            <x v="11"/>
          </reference>
          <reference field="4" count="1" selected="0">
            <x v="10"/>
          </reference>
          <reference field="70" count="1" selected="0">
            <x v="1"/>
          </reference>
        </references>
      </pivotArea>
    </format>
    <format dxfId="166">
      <pivotArea outline="0" fieldPosition="0">
        <references count="4">
          <reference field="4294967294" count="1" selected="0">
            <x v="8"/>
          </reference>
          <reference field="0" count="1" selected="0">
            <x v="11"/>
          </reference>
          <reference field="4" count="1" selected="0">
            <x v="10"/>
          </reference>
          <reference field="70" count="1" selected="0">
            <x v="1"/>
          </reference>
        </references>
      </pivotArea>
    </format>
    <format dxfId="165">
      <pivotArea outline="0" fieldPosition="0">
        <references count="4">
          <reference field="4294967294" count="1" selected="0">
            <x v="20"/>
          </reference>
          <reference field="0" count="1" selected="0">
            <x v="11"/>
          </reference>
          <reference field="4" count="1" selected="0">
            <x v="5"/>
          </reference>
          <reference field="70" count="1" selected="0">
            <x v="0"/>
          </reference>
        </references>
      </pivotArea>
    </format>
    <format dxfId="164">
      <pivotArea outline="0" fieldPosition="0">
        <references count="4">
          <reference field="4294967294" count="1" selected="0">
            <x v="26"/>
          </reference>
          <reference field="0" count="1" selected="0">
            <x v="11"/>
          </reference>
          <reference field="4" count="1" selected="0">
            <x v="5"/>
          </reference>
          <reference field="70" count="1" selected="0">
            <x v="0"/>
          </reference>
        </references>
      </pivotArea>
    </format>
    <format dxfId="163">
      <pivotArea outline="0" fieldPosition="0">
        <references count="4">
          <reference field="4294967294" count="2" selected="0">
            <x v="28"/>
            <x v="29"/>
          </reference>
          <reference field="0" count="1" selected="0">
            <x v="11"/>
          </reference>
          <reference field="4" count="1" selected="0">
            <x v="5"/>
          </reference>
          <reference field="70" count="1" selected="0">
            <x v="0"/>
          </reference>
        </references>
      </pivotArea>
    </format>
    <format dxfId="162">
      <pivotArea outline="0" fieldPosition="0">
        <references count="4">
          <reference field="4294967294" count="1" selected="0">
            <x v="31"/>
          </reference>
          <reference field="0" count="1" selected="0">
            <x v="11"/>
          </reference>
          <reference field="4" count="1" selected="0">
            <x v="5"/>
          </reference>
          <reference field="70" count="1" selected="0">
            <x v="0"/>
          </reference>
        </references>
      </pivotArea>
    </format>
    <format dxfId="161">
      <pivotArea outline="0" fieldPosition="0">
        <references count="4">
          <reference field="4294967294" count="2" selected="0">
            <x v="10"/>
            <x v="11"/>
          </reference>
          <reference field="0" count="1" selected="0">
            <x v="12"/>
          </reference>
          <reference field="4" count="1" selected="0">
            <x v="9"/>
          </reference>
          <reference field="70" count="1" selected="0">
            <x v="1"/>
          </reference>
        </references>
      </pivotArea>
    </format>
    <format dxfId="160">
      <pivotArea outline="0" fieldPosition="0">
        <references count="4">
          <reference field="4294967294" count="1" selected="0">
            <x v="22"/>
          </reference>
          <reference field="0" count="1" selected="0">
            <x v="12"/>
          </reference>
          <reference field="4" count="1" selected="0">
            <x v="4"/>
          </reference>
          <reference field="70" count="1" selected="0">
            <x v="0"/>
          </reference>
        </references>
      </pivotArea>
    </format>
    <format dxfId="159">
      <pivotArea outline="0" fieldPosition="0">
        <references count="4">
          <reference field="4294967294" count="1" selected="0">
            <x v="2"/>
          </reference>
          <reference field="0" count="1" selected="0">
            <x v="13"/>
          </reference>
          <reference field="4" count="1" selected="0">
            <x v="3"/>
          </reference>
          <reference field="70" count="1" selected="0">
            <x v="0"/>
          </reference>
        </references>
      </pivotArea>
    </format>
    <format dxfId="158">
      <pivotArea outline="0" fieldPosition="0">
        <references count="4">
          <reference field="4294967294" count="1" selected="0">
            <x v="20"/>
          </reference>
          <reference field="0" count="1" selected="0">
            <x v="13"/>
          </reference>
          <reference field="4" count="3" selected="0">
            <x v="3"/>
            <x v="4"/>
            <x v="5"/>
          </reference>
          <reference field="70" count="1" selected="0">
            <x v="0"/>
          </reference>
        </references>
      </pivotArea>
    </format>
    <format dxfId="157">
      <pivotArea outline="0" fieldPosition="0">
        <references count="4">
          <reference field="4294967294" count="1" selected="0">
            <x v="23"/>
          </reference>
          <reference field="0" count="1" selected="0">
            <x v="13"/>
          </reference>
          <reference field="4" count="2" selected="0">
            <x v="2"/>
            <x v="3"/>
          </reference>
          <reference field="70" count="1" selected="0">
            <x v="0"/>
          </reference>
        </references>
      </pivotArea>
    </format>
    <format dxfId="156">
      <pivotArea outline="0" fieldPosition="0">
        <references count="4">
          <reference field="4294967294" count="1" selected="0">
            <x v="26"/>
          </reference>
          <reference field="0" count="1" selected="0">
            <x v="13"/>
          </reference>
          <reference field="4" count="2" selected="0">
            <x v="4"/>
            <x v="5"/>
          </reference>
          <reference field="70" count="1" selected="0">
            <x v="0"/>
          </reference>
        </references>
      </pivotArea>
    </format>
    <format dxfId="155">
      <pivotArea outline="0" fieldPosition="0">
        <references count="4">
          <reference field="4294967294" count="1" selected="0">
            <x v="26"/>
          </reference>
          <reference field="0" count="1" selected="0">
            <x v="13"/>
          </reference>
          <reference field="4" count="1" selected="0">
            <x v="2"/>
          </reference>
          <reference field="70" count="1" selected="0">
            <x v="0"/>
          </reference>
        </references>
      </pivotArea>
    </format>
    <format dxfId="154">
      <pivotArea outline="0" fieldPosition="0">
        <references count="4">
          <reference field="4294967294" count="2" selected="0">
            <x v="28"/>
            <x v="29"/>
          </reference>
          <reference field="0" count="1" selected="0">
            <x v="13"/>
          </reference>
          <reference field="4" count="1" selected="0">
            <x v="5"/>
          </reference>
          <reference field="70" count="1" selected="0">
            <x v="0"/>
          </reference>
        </references>
      </pivotArea>
    </format>
    <format dxfId="153">
      <pivotArea outline="0" fieldPosition="0">
        <references count="4">
          <reference field="4294967294" count="1" selected="0">
            <x v="25"/>
          </reference>
          <reference field="0" count="1" selected="0">
            <x v="14"/>
          </reference>
          <reference field="4" count="1" selected="0">
            <x v="1"/>
          </reference>
          <reference field="70" count="1" selected="0">
            <x v="0"/>
          </reference>
        </references>
      </pivotArea>
    </format>
    <format dxfId="152">
      <pivotArea outline="0" fieldPosition="0">
        <references count="4">
          <reference field="4294967294" count="1" selected="0">
            <x v="31"/>
          </reference>
          <reference field="0" count="1" selected="0">
            <x v="14"/>
          </reference>
          <reference field="4" count="1" selected="0">
            <x v="0"/>
          </reference>
          <reference field="70" count="1" selected="0">
            <x v="0"/>
          </reference>
        </references>
      </pivotArea>
    </format>
    <format dxfId="151">
      <pivotArea outline="0" fieldPosition="0">
        <references count="4">
          <reference field="4294967294" count="1" selected="0">
            <x v="2"/>
          </reference>
          <reference field="0" count="1" selected="0">
            <x v="15"/>
          </reference>
          <reference field="4" count="1" selected="0">
            <x v="5"/>
          </reference>
          <reference field="70" count="1" selected="0">
            <x v="0"/>
          </reference>
        </references>
      </pivotArea>
    </format>
    <format dxfId="150">
      <pivotArea outline="0" fieldPosition="0">
        <references count="4">
          <reference field="4294967294" count="1" selected="0">
            <x v="20"/>
          </reference>
          <reference field="0" count="1" selected="0">
            <x v="15"/>
          </reference>
          <reference field="4" count="1" selected="0">
            <x v="2"/>
          </reference>
          <reference field="70" count="1" selected="0">
            <x v="0"/>
          </reference>
        </references>
      </pivotArea>
    </format>
    <format dxfId="149">
      <pivotArea outline="0" fieldPosition="0">
        <references count="4">
          <reference field="4294967294" count="1" selected="0">
            <x v="26"/>
          </reference>
          <reference field="0" count="1" selected="0">
            <x v="15"/>
          </reference>
          <reference field="4" count="1" selected="0">
            <x v="2"/>
          </reference>
          <reference field="70" count="1" selected="0">
            <x v="0"/>
          </reference>
        </references>
      </pivotArea>
    </format>
    <format dxfId="148">
      <pivotArea outline="0" fieldPosition="0">
        <references count="4">
          <reference field="4294967294" count="1" selected="0">
            <x v="20"/>
          </reference>
          <reference field="0" count="1" selected="0">
            <x v="15"/>
          </reference>
          <reference field="4" count="1" selected="0">
            <x v="5"/>
          </reference>
          <reference field="70" count="1" selected="0">
            <x v="0"/>
          </reference>
        </references>
      </pivotArea>
    </format>
    <format dxfId="147">
      <pivotArea outline="0" fieldPosition="0">
        <references count="4">
          <reference field="4294967294" count="1" selected="0">
            <x v="26"/>
          </reference>
          <reference field="0" count="1" selected="0">
            <x v="15"/>
          </reference>
          <reference field="4" count="1" selected="0">
            <x v="5"/>
          </reference>
          <reference field="70"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931706C-3A98-4461-94F0-D8A772FF535B}" name="PivotTable2" cacheId="1" dataOnRows="1" applyNumberFormats="0" applyBorderFormats="0" applyFontFormats="0" applyPatternFormats="0" applyAlignmentFormats="0" applyWidthHeightFormats="1" dataCaption="Data" updatedVersion="6" asteriskTotals="1" showMemberPropertyTips="0" useAutoFormatting="1" rowGrandTotals="0" colGrandTotals="0" itemPrintTitles="1" createdVersion="1" indent="0" compact="0" compactData="0" gridDropZones="1">
  <location ref="A3:V133" firstHeaderRow="1" firstDataRow="3" firstDataCol="2"/>
  <pivotFields count="74">
    <pivotField axis="axisRow" compact="0" outline="0" subtotalTop="0" showAll="0" includeNewItemsInFilter="1" sortType="ascending">
      <items count="17">
        <item x="0"/>
        <item x="1"/>
        <item x="2"/>
        <item x="3"/>
        <item x="4"/>
        <item x="5"/>
        <item x="6"/>
        <item x="7"/>
        <item x="8"/>
        <item x="9"/>
        <item x="10"/>
        <item x="11"/>
        <item x="12"/>
        <item x="13"/>
        <item x="14"/>
        <item x="15"/>
        <item t="default"/>
      </items>
    </pivotField>
    <pivotField compact="0" outline="0" subtotalTop="0" showAll="0" includeNewItemsInFilter="1"/>
    <pivotField compact="0" outline="0" subtotalTop="0" showAll="0" includeNewItemsInFilter="1" defaultSubtotal="0"/>
    <pivotField compact="0" outline="0" subtotalTop="0" showAll="0" includeNewItemsInFilter="1"/>
    <pivotField axis="axisCol" compact="0" outline="0" subtotalTop="0" showAll="0" includeNewItemsInFilter="1" defaultSubtotal="0">
      <items count="16">
        <item x="0"/>
        <item x="1"/>
        <item x="2"/>
        <item x="3"/>
        <item x="4"/>
        <item x="5"/>
        <item x="11"/>
        <item m="1" x="15"/>
        <item x="14"/>
        <item x="13"/>
        <item x="12"/>
        <item x="6"/>
        <item x="7"/>
        <item x="8"/>
        <item x="9"/>
        <item x="10"/>
      </items>
    </pivotField>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dataField="1"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 axis="axisCol" compact="0" outline="0" subtotalTop="0" showAll="0" includeNewItemsInFilter="1">
      <items count="7">
        <item n="Four-Year" x="3"/>
        <item x="2"/>
        <item x="1"/>
        <item n="Two-Year" x="4"/>
        <item n="Techncial" x="5"/>
        <item x="0"/>
        <item t="default"/>
      </items>
    </pivotField>
    <pivotField compact="0" outline="0" subtotalTop="0" dragToRow="0" dragToCol="0" dragToPage="0" showAll="0" includeNewItemsInFilter="1" defaultSubtotal="0"/>
    <pivotField compact="0" outline="0" subtotalTop="0" dragToRow="0" dragToCol="0" dragToPage="0" showAll="0" includeNewItemsInFilter="1" defaultSubtotal="0"/>
    <pivotField compact="0" outline="0" subtotalTop="0" dragToRow="0" dragToCol="0" dragToPage="0" showAll="0" includeNewItemsInFilter="1" defaultSubtotal="0"/>
  </pivotFields>
  <rowFields count="2">
    <field x="0"/>
    <field x="-2"/>
  </rowFields>
  <rowItems count="128">
    <i>
      <x/>
      <x/>
    </i>
    <i r="1" i="1">
      <x v="1"/>
    </i>
    <i r="1" i="2">
      <x v="2"/>
    </i>
    <i r="1" i="3">
      <x v="3"/>
    </i>
    <i r="1" i="4">
      <x v="4"/>
    </i>
    <i r="1" i="5">
      <x v="5"/>
    </i>
    <i r="1" i="6">
      <x v="6"/>
    </i>
    <i r="1" i="7">
      <x v="7"/>
    </i>
    <i>
      <x v="1"/>
      <x/>
    </i>
    <i r="1" i="1">
      <x v="1"/>
    </i>
    <i r="1" i="2">
      <x v="2"/>
    </i>
    <i r="1" i="3">
      <x v="3"/>
    </i>
    <i r="1" i="4">
      <x v="4"/>
    </i>
    <i r="1" i="5">
      <x v="5"/>
    </i>
    <i r="1" i="6">
      <x v="6"/>
    </i>
    <i r="1" i="7">
      <x v="7"/>
    </i>
    <i>
      <x v="2"/>
      <x/>
    </i>
    <i r="1" i="1">
      <x v="1"/>
    </i>
    <i r="1" i="2">
      <x v="2"/>
    </i>
    <i r="1" i="3">
      <x v="3"/>
    </i>
    <i r="1" i="4">
      <x v="4"/>
    </i>
    <i r="1" i="5">
      <x v="5"/>
    </i>
    <i r="1" i="6">
      <x v="6"/>
    </i>
    <i r="1" i="7">
      <x v="7"/>
    </i>
    <i>
      <x v="3"/>
      <x/>
    </i>
    <i r="1" i="1">
      <x v="1"/>
    </i>
    <i r="1" i="2">
      <x v="2"/>
    </i>
    <i r="1" i="3">
      <x v="3"/>
    </i>
    <i r="1" i="4">
      <x v="4"/>
    </i>
    <i r="1" i="5">
      <x v="5"/>
    </i>
    <i r="1" i="6">
      <x v="6"/>
    </i>
    <i r="1" i="7">
      <x v="7"/>
    </i>
    <i>
      <x v="4"/>
      <x/>
    </i>
    <i r="1" i="1">
      <x v="1"/>
    </i>
    <i r="1" i="2">
      <x v="2"/>
    </i>
    <i r="1" i="3">
      <x v="3"/>
    </i>
    <i r="1" i="4">
      <x v="4"/>
    </i>
    <i r="1" i="5">
      <x v="5"/>
    </i>
    <i r="1" i="6">
      <x v="6"/>
    </i>
    <i r="1" i="7">
      <x v="7"/>
    </i>
    <i>
      <x v="5"/>
      <x/>
    </i>
    <i r="1" i="1">
      <x v="1"/>
    </i>
    <i r="1" i="2">
      <x v="2"/>
    </i>
    <i r="1" i="3">
      <x v="3"/>
    </i>
    <i r="1" i="4">
      <x v="4"/>
    </i>
    <i r="1" i="5">
      <x v="5"/>
    </i>
    <i r="1" i="6">
      <x v="6"/>
    </i>
    <i r="1" i="7">
      <x v="7"/>
    </i>
    <i>
      <x v="6"/>
      <x/>
    </i>
    <i r="1" i="1">
      <x v="1"/>
    </i>
    <i r="1" i="2">
      <x v="2"/>
    </i>
    <i r="1" i="3">
      <x v="3"/>
    </i>
    <i r="1" i="4">
      <x v="4"/>
    </i>
    <i r="1" i="5">
      <x v="5"/>
    </i>
    <i r="1" i="6">
      <x v="6"/>
    </i>
    <i r="1" i="7">
      <x v="7"/>
    </i>
    <i>
      <x v="7"/>
      <x/>
    </i>
    <i r="1" i="1">
      <x v="1"/>
    </i>
    <i r="1" i="2">
      <x v="2"/>
    </i>
    <i r="1" i="3">
      <x v="3"/>
    </i>
    <i r="1" i="4">
      <x v="4"/>
    </i>
    <i r="1" i="5">
      <x v="5"/>
    </i>
    <i r="1" i="6">
      <x v="6"/>
    </i>
    <i r="1" i="7">
      <x v="7"/>
    </i>
    <i>
      <x v="8"/>
      <x/>
    </i>
    <i r="1" i="1">
      <x v="1"/>
    </i>
    <i r="1" i="2">
      <x v="2"/>
    </i>
    <i r="1" i="3">
      <x v="3"/>
    </i>
    <i r="1" i="4">
      <x v="4"/>
    </i>
    <i r="1" i="5">
      <x v="5"/>
    </i>
    <i r="1" i="6">
      <x v="6"/>
    </i>
    <i r="1" i="7">
      <x v="7"/>
    </i>
    <i>
      <x v="9"/>
      <x/>
    </i>
    <i r="1" i="1">
      <x v="1"/>
    </i>
    <i r="1" i="2">
      <x v="2"/>
    </i>
    <i r="1" i="3">
      <x v="3"/>
    </i>
    <i r="1" i="4">
      <x v="4"/>
    </i>
    <i r="1" i="5">
      <x v="5"/>
    </i>
    <i r="1" i="6">
      <x v="6"/>
    </i>
    <i r="1" i="7">
      <x v="7"/>
    </i>
    <i>
      <x v="10"/>
      <x/>
    </i>
    <i r="1" i="1">
      <x v="1"/>
    </i>
    <i r="1" i="2">
      <x v="2"/>
    </i>
    <i r="1" i="3">
      <x v="3"/>
    </i>
    <i r="1" i="4">
      <x v="4"/>
    </i>
    <i r="1" i="5">
      <x v="5"/>
    </i>
    <i r="1" i="6">
      <x v="6"/>
    </i>
    <i r="1" i="7">
      <x v="7"/>
    </i>
    <i>
      <x v="11"/>
      <x/>
    </i>
    <i r="1" i="1">
      <x v="1"/>
    </i>
    <i r="1" i="2">
      <x v="2"/>
    </i>
    <i r="1" i="3">
      <x v="3"/>
    </i>
    <i r="1" i="4">
      <x v="4"/>
    </i>
    <i r="1" i="5">
      <x v="5"/>
    </i>
    <i r="1" i="6">
      <x v="6"/>
    </i>
    <i r="1" i="7">
      <x v="7"/>
    </i>
    <i>
      <x v="12"/>
      <x/>
    </i>
    <i r="1" i="1">
      <x v="1"/>
    </i>
    <i r="1" i="2">
      <x v="2"/>
    </i>
    <i r="1" i="3">
      <x v="3"/>
    </i>
    <i r="1" i="4">
      <x v="4"/>
    </i>
    <i r="1" i="5">
      <x v="5"/>
    </i>
    <i r="1" i="6">
      <x v="6"/>
    </i>
    <i r="1" i="7">
      <x v="7"/>
    </i>
    <i>
      <x v="13"/>
      <x/>
    </i>
    <i r="1" i="1">
      <x v="1"/>
    </i>
    <i r="1" i="2">
      <x v="2"/>
    </i>
    <i r="1" i="3">
      <x v="3"/>
    </i>
    <i r="1" i="4">
      <x v="4"/>
    </i>
    <i r="1" i="5">
      <x v="5"/>
    </i>
    <i r="1" i="6">
      <x v="6"/>
    </i>
    <i r="1" i="7">
      <x v="7"/>
    </i>
    <i>
      <x v="14"/>
      <x/>
    </i>
    <i r="1" i="1">
      <x v="1"/>
    </i>
    <i r="1" i="2">
      <x v="2"/>
    </i>
    <i r="1" i="3">
      <x v="3"/>
    </i>
    <i r="1" i="4">
      <x v="4"/>
    </i>
    <i r="1" i="5">
      <x v="5"/>
    </i>
    <i r="1" i="6">
      <x v="6"/>
    </i>
    <i r="1" i="7">
      <x v="7"/>
    </i>
    <i>
      <x v="15"/>
      <x/>
    </i>
    <i r="1" i="1">
      <x v="1"/>
    </i>
    <i r="1" i="2">
      <x v="2"/>
    </i>
    <i r="1" i="3">
      <x v="3"/>
    </i>
    <i r="1" i="4">
      <x v="4"/>
    </i>
    <i r="1" i="5">
      <x v="5"/>
    </i>
    <i r="1" i="6">
      <x v="6"/>
    </i>
    <i r="1" i="7">
      <x v="7"/>
    </i>
  </rowItems>
  <colFields count="2">
    <field x="70"/>
    <field x="4"/>
  </colFields>
  <colItems count="20">
    <i>
      <x/>
      <x/>
    </i>
    <i r="1">
      <x v="1"/>
    </i>
    <i r="1">
      <x v="2"/>
    </i>
    <i r="1">
      <x v="3"/>
    </i>
    <i r="1">
      <x v="4"/>
    </i>
    <i r="1">
      <x v="5"/>
    </i>
    <i r="1">
      <x v="6"/>
    </i>
    <i t="default">
      <x/>
    </i>
    <i>
      <x v="2"/>
      <x v="8"/>
    </i>
    <i t="default">
      <x v="2"/>
    </i>
    <i>
      <x v="3"/>
      <x v="10"/>
    </i>
    <i r="1">
      <x v="11"/>
    </i>
    <i r="1">
      <x v="12"/>
    </i>
    <i r="1">
      <x v="13"/>
    </i>
    <i t="default">
      <x v="3"/>
    </i>
    <i>
      <x v="4"/>
      <x v="14"/>
    </i>
    <i r="1">
      <x v="15"/>
    </i>
    <i t="default">
      <x v="4"/>
    </i>
    <i>
      <x v="5"/>
      <x v="9"/>
    </i>
    <i t="default">
      <x v="5"/>
    </i>
  </colItems>
  <dataFields count="8">
    <dataField name="Sum of OLD-Tot UG SCH Calc" fld="5" baseField="0" baseItem="0"/>
    <dataField name="Sum of NEW-Tot UG SCH Calc" fld="6" baseField="0" baseItem="0"/>
    <dataField name="Sum of Old UG E-Learning" fld="63" baseField="0" baseItem="0"/>
    <dataField name="Sum of New UG E-Learning" fld="65" baseField="0" baseItem="0"/>
    <dataField name="Sum of Old-Tot G SCH Calc" fld="19" baseField="0" baseItem="0"/>
    <dataField name="Sum of New-Tot G SCH Calc" fld="20" baseField="0" baseItem="0"/>
    <dataField name="Sum of Old G E-Learning" fld="64" baseField="0" baseItem="0"/>
    <dataField name="Sum of New G E-Learning" fld="66" baseField="0" baseItem="0"/>
  </dataFields>
  <formats count="147">
    <format dxfId="146">
      <pivotArea field="4" type="button" dataOnly="0" labelOnly="1" outline="0" axis="axisCol" fieldPosition="1"/>
    </format>
    <format dxfId="145">
      <pivotArea type="topRight" dataOnly="0" labelOnly="1" outline="0" fieldPosition="0"/>
    </format>
    <format dxfId="144">
      <pivotArea dataOnly="0" labelOnly="1" grandCol="1" outline="0" fieldPosition="0"/>
    </format>
    <format dxfId="143">
      <pivotArea dataOnly="0" labelOnly="1" outline="0" offset="IV256" fieldPosition="0">
        <references count="1">
          <reference field="0" count="1">
            <x v="3"/>
          </reference>
        </references>
      </pivotArea>
    </format>
    <format dxfId="142">
      <pivotArea dataOnly="0" labelOnly="1" outline="0" offset="IV256" fieldPosition="0">
        <references count="1">
          <reference field="0" count="1">
            <x v="4"/>
          </reference>
        </references>
      </pivotArea>
    </format>
    <format dxfId="141">
      <pivotArea dataOnly="0" labelOnly="1" outline="0" offset="IV256" fieldPosition="0">
        <references count="1">
          <reference field="0" count="1">
            <x v="5"/>
          </reference>
        </references>
      </pivotArea>
    </format>
    <format dxfId="140">
      <pivotArea dataOnly="0" labelOnly="1" outline="0" offset="IV256" fieldPosition="0">
        <references count="1">
          <reference field="0" count="1">
            <x v="7"/>
          </reference>
        </references>
      </pivotArea>
    </format>
    <format dxfId="139">
      <pivotArea dataOnly="0" labelOnly="1" outline="0" offset="IV256" fieldPosition="0">
        <references count="1">
          <reference field="0" count="1">
            <x v="8"/>
          </reference>
        </references>
      </pivotArea>
    </format>
    <format dxfId="138">
      <pivotArea dataOnly="0" labelOnly="1" outline="0" offset="IV256" fieldPosition="0">
        <references count="1">
          <reference field="0" count="1">
            <x v="9"/>
          </reference>
        </references>
      </pivotArea>
    </format>
    <format dxfId="137">
      <pivotArea dataOnly="0" labelOnly="1" outline="0" offset="IV256" fieldPosition="0">
        <references count="1">
          <reference field="0" count="1">
            <x v="10"/>
          </reference>
        </references>
      </pivotArea>
    </format>
    <format dxfId="136">
      <pivotArea dataOnly="0" labelOnly="1" outline="0" offset="IV256" fieldPosition="0">
        <references count="1">
          <reference field="0" count="1">
            <x v="11"/>
          </reference>
        </references>
      </pivotArea>
    </format>
    <format dxfId="135">
      <pivotArea dataOnly="0" labelOnly="1" outline="0" offset="IV256" fieldPosition="0">
        <references count="1">
          <reference field="0" count="1">
            <x v="12"/>
          </reference>
        </references>
      </pivotArea>
    </format>
    <format dxfId="134">
      <pivotArea dataOnly="0" labelOnly="1" outline="0" offset="IV256" fieldPosition="0">
        <references count="1">
          <reference field="0" count="1">
            <x v="13"/>
          </reference>
        </references>
      </pivotArea>
    </format>
    <format dxfId="133">
      <pivotArea type="origin" dataOnly="0" labelOnly="1" outline="0" offset="A2:B2" fieldPosition="0"/>
    </format>
    <format dxfId="132">
      <pivotArea dataOnly="0" labelOnly="1" outline="0" fieldPosition="0">
        <references count="1">
          <reference field="0" count="0"/>
        </references>
      </pivotArea>
    </format>
    <format dxfId="131">
      <pivotArea dataOnly="0" labelOnly="1" outline="0" offset="IV1" fieldPosition="0">
        <references count="1">
          <reference field="0" count="1">
            <x v="0"/>
          </reference>
        </references>
      </pivotArea>
    </format>
    <format dxfId="130">
      <pivotArea type="origin" dataOnly="0" labelOnly="1" outline="0" fieldPosition="0"/>
    </format>
    <format dxfId="129">
      <pivotArea field="0" type="button" dataOnly="0" labelOnly="1" outline="0" axis="axisRow" fieldPosition="0"/>
    </format>
    <format dxfId="128">
      <pivotArea dataOnly="0" labelOnly="1" outline="0" offset="IV5:IV6" fieldPosition="0">
        <references count="1">
          <reference field="0" count="1">
            <x v="1"/>
          </reference>
        </references>
      </pivotArea>
    </format>
    <format dxfId="127">
      <pivotArea dataOnly="0" labelOnly="1" outline="0" offset="IV7:IV8" fieldPosition="0">
        <references count="1">
          <reference field="0" count="1">
            <x v="1"/>
          </reference>
        </references>
      </pivotArea>
    </format>
    <format dxfId="126">
      <pivotArea dataOnly="0" labelOnly="1" outline="0" offset="IV9:IV10" fieldPosition="0">
        <references count="1">
          <reference field="0" count="1">
            <x v="1"/>
          </reference>
        </references>
      </pivotArea>
    </format>
    <format dxfId="125">
      <pivotArea dataOnly="0" labelOnly="1" outline="0" offset="IV11:IV12" fieldPosition="0">
        <references count="1">
          <reference field="0" count="1">
            <x v="1"/>
          </reference>
        </references>
      </pivotArea>
    </format>
    <format dxfId="124">
      <pivotArea dataOnly="0" labelOnly="1" outline="0" offset="IV256" fieldPosition="0">
        <references count="1">
          <reference field="0" count="1">
            <x v="0"/>
          </reference>
        </references>
      </pivotArea>
    </format>
    <format dxfId="123">
      <pivotArea dataOnly="0" labelOnly="1" grandCol="1" outline="0" offset="IV256" fieldPosition="0"/>
    </format>
    <format dxfId="122">
      <pivotArea dataOnly="0" labelOnly="1" outline="0" offset="IV256" fieldPosition="0">
        <references count="1">
          <reference field="0" count="1">
            <x v="1"/>
          </reference>
        </references>
      </pivotArea>
    </format>
    <format dxfId="121">
      <pivotArea dataOnly="0" labelOnly="1" outline="0" offset="IV1" fieldPosition="0">
        <references count="1">
          <reference field="0" count="1">
            <x v="0"/>
          </reference>
        </references>
      </pivotArea>
    </format>
    <format dxfId="120">
      <pivotArea dataOnly="0" labelOnly="1" outline="0" offset="IV1" fieldPosition="0">
        <references count="1">
          <reference field="0" count="1">
            <x v="1"/>
          </reference>
        </references>
      </pivotArea>
    </format>
    <format dxfId="119">
      <pivotArea dataOnly="0" labelOnly="1" outline="0" offset="IV1" fieldPosition="0">
        <references count="1">
          <reference field="0" count="1">
            <x v="3"/>
          </reference>
        </references>
      </pivotArea>
    </format>
    <format dxfId="118">
      <pivotArea dataOnly="0" labelOnly="1" outline="0" offset="IV1" fieldPosition="0">
        <references count="1">
          <reference field="0" count="1">
            <x v="4"/>
          </reference>
        </references>
      </pivotArea>
    </format>
    <format dxfId="117">
      <pivotArea dataOnly="0" labelOnly="1" outline="0" offset="IV256" fieldPosition="0">
        <references count="1">
          <reference field="0" count="1">
            <x v="15"/>
          </reference>
        </references>
      </pivotArea>
    </format>
    <format dxfId="116">
      <pivotArea outline="0" fieldPosition="0">
        <references count="1">
          <reference field="0" count="1" selected="0">
            <x v="0"/>
          </reference>
        </references>
      </pivotArea>
    </format>
    <format dxfId="115">
      <pivotArea dataOnly="0" labelOnly="1" outline="0" fieldPosition="0">
        <references count="1">
          <reference field="0" count="1">
            <x v="0"/>
          </reference>
        </references>
      </pivotArea>
    </format>
    <format dxfId="114">
      <pivotArea dataOnly="0" labelOnly="1" outline="0" fieldPosition="0">
        <references count="2">
          <reference field="4294967294" count="0"/>
          <reference field="0" count="1" selected="0">
            <x v="0"/>
          </reference>
        </references>
      </pivotArea>
    </format>
    <format dxfId="113">
      <pivotArea type="all" dataOnly="0" outline="0" fieldPosition="0"/>
    </format>
    <format dxfId="112">
      <pivotArea outline="0" fieldPosition="0"/>
    </format>
    <format dxfId="111">
      <pivotArea outline="0" fieldPosition="0">
        <references count="2">
          <reference field="4294967294" count="1" selected="0">
            <x v="0"/>
          </reference>
          <reference field="0" count="1" selected="0">
            <x v="4"/>
          </reference>
        </references>
      </pivotArea>
    </format>
    <format dxfId="110">
      <pivotArea outline="0" fieldPosition="0">
        <references count="2">
          <reference field="4294967294" count="1" selected="0">
            <x v="0"/>
          </reference>
          <reference field="0" count="1" selected="0">
            <x v="5"/>
          </reference>
        </references>
      </pivotArea>
    </format>
    <format dxfId="109">
      <pivotArea outline="0" fieldPosition="0">
        <references count="2">
          <reference field="4294967294" count="1" selected="0">
            <x v="0"/>
          </reference>
          <reference field="0" count="1" selected="0">
            <x v="7"/>
          </reference>
        </references>
      </pivotArea>
    </format>
    <format dxfId="108">
      <pivotArea outline="0" fieldPosition="0">
        <references count="2">
          <reference field="4294967294" count="1" selected="0">
            <x v="1"/>
          </reference>
          <reference field="0" count="1" selected="0">
            <x v="4"/>
          </reference>
        </references>
      </pivotArea>
    </format>
    <format dxfId="107">
      <pivotArea outline="0" fieldPosition="0">
        <references count="2">
          <reference field="4294967294" count="1" selected="0">
            <x v="1"/>
          </reference>
          <reference field="0" count="1" selected="0">
            <x v="5"/>
          </reference>
        </references>
      </pivotArea>
    </format>
    <format dxfId="106">
      <pivotArea outline="0" fieldPosition="0">
        <references count="2">
          <reference field="4294967294" count="1" selected="0">
            <x v="2"/>
          </reference>
          <reference field="0" count="1" selected="0">
            <x v="4"/>
          </reference>
        </references>
      </pivotArea>
    </format>
    <format dxfId="105">
      <pivotArea outline="0" fieldPosition="0">
        <references count="2">
          <reference field="4294967294" count="1" selected="0">
            <x v="2"/>
          </reference>
          <reference field="0" count="1" selected="0">
            <x v="5"/>
          </reference>
        </references>
      </pivotArea>
    </format>
    <format dxfId="104">
      <pivotArea outline="0" fieldPosition="0">
        <references count="2">
          <reference field="4294967294" count="1" selected="0">
            <x v="2"/>
          </reference>
          <reference field="0" count="1" selected="0">
            <x v="7"/>
          </reference>
        </references>
      </pivotArea>
    </format>
    <format dxfId="103">
      <pivotArea outline="0" fieldPosition="0">
        <references count="2">
          <reference field="4294967294" count="1" selected="0">
            <x v="3"/>
          </reference>
          <reference field="0" count="1" selected="0">
            <x v="5"/>
          </reference>
        </references>
      </pivotArea>
    </format>
    <format dxfId="102">
      <pivotArea outline="0" fieldPosition="0">
        <references count="2">
          <reference field="4294967294" count="1" selected="0">
            <x v="3"/>
          </reference>
          <reference field="0" count="1" selected="0">
            <x v="4"/>
          </reference>
        </references>
      </pivotArea>
    </format>
    <format dxfId="101">
      <pivotArea outline="0" fieldPosition="0">
        <references count="1">
          <reference field="0" count="1" selected="0">
            <x v="0"/>
          </reference>
        </references>
      </pivotArea>
    </format>
    <format dxfId="100">
      <pivotArea dataOnly="0" labelOnly="1" outline="0" fieldPosition="0">
        <references count="1">
          <reference field="0" count="1">
            <x v="0"/>
          </reference>
        </references>
      </pivotArea>
    </format>
    <format dxfId="99">
      <pivotArea dataOnly="0" labelOnly="1" outline="0" fieldPosition="0">
        <references count="2">
          <reference field="4294967294" count="0"/>
          <reference field="0" count="1" selected="0">
            <x v="0"/>
          </reference>
        </references>
      </pivotArea>
    </format>
    <format dxfId="98">
      <pivotArea outline="0" fieldPosition="0">
        <references count="1">
          <reference field="0" count="1" selected="0">
            <x v="15"/>
          </reference>
        </references>
      </pivotArea>
    </format>
    <format dxfId="97">
      <pivotArea dataOnly="0" labelOnly="1" outline="0" fieldPosition="0">
        <references count="1">
          <reference field="0" count="1">
            <x v="15"/>
          </reference>
        </references>
      </pivotArea>
    </format>
    <format dxfId="96">
      <pivotArea dataOnly="0" labelOnly="1" outline="0" fieldPosition="0">
        <references count="2">
          <reference field="4294967294" count="0"/>
          <reference field="0" count="1" selected="0">
            <x v="15"/>
          </reference>
        </references>
      </pivotArea>
    </format>
    <format dxfId="95">
      <pivotArea outline="0" fieldPosition="0">
        <references count="1">
          <reference field="0" count="1" selected="0">
            <x v="12"/>
          </reference>
        </references>
      </pivotArea>
    </format>
    <format dxfId="94">
      <pivotArea dataOnly="0" labelOnly="1" outline="0" fieldPosition="0">
        <references count="1">
          <reference field="0" count="1">
            <x v="12"/>
          </reference>
        </references>
      </pivotArea>
    </format>
    <format dxfId="93">
      <pivotArea dataOnly="0" labelOnly="1" outline="0" fieldPosition="0">
        <references count="2">
          <reference field="4294967294" count="0"/>
          <reference field="0" count="1" selected="0">
            <x v="12"/>
          </reference>
        </references>
      </pivotArea>
    </format>
    <format dxfId="92">
      <pivotArea outline="0" fieldPosition="0"/>
    </format>
    <format dxfId="91">
      <pivotArea field="-2" type="button" dataOnly="0" labelOnly="1" outline="0" axis="axisRow" fieldPosition="1"/>
    </format>
    <format dxfId="90">
      <pivotArea field="4" type="button" dataOnly="0" labelOnly="1" outline="0" axis="axisCol" fieldPosition="1"/>
    </format>
    <format dxfId="89">
      <pivotArea type="topRight" dataOnly="0" labelOnly="1" outline="0" fieldPosition="0"/>
    </format>
    <format dxfId="88">
      <pivotArea dataOnly="0" labelOnly="1" outline="0" fieldPosition="0">
        <references count="2">
          <reference field="4294967294" count="8">
            <x v="0"/>
            <x v="1"/>
            <x v="2"/>
            <x v="3"/>
            <x v="4"/>
            <x v="5"/>
            <x v="6"/>
            <x v="7"/>
          </reference>
          <reference field="0" count="1" selected="0">
            <x v="0"/>
          </reference>
        </references>
      </pivotArea>
    </format>
    <format dxfId="87">
      <pivotArea dataOnly="0" labelOnly="1" outline="0" fieldPosition="0">
        <references count="2">
          <reference field="4294967294" count="8">
            <x v="0"/>
            <x v="1"/>
            <x v="2"/>
            <x v="3"/>
            <x v="4"/>
            <x v="5"/>
            <x v="6"/>
            <x v="7"/>
          </reference>
          <reference field="0" count="1" selected="0">
            <x v="1"/>
          </reference>
        </references>
      </pivotArea>
    </format>
    <format dxfId="86">
      <pivotArea dataOnly="0" labelOnly="1" outline="0" fieldPosition="0">
        <references count="2">
          <reference field="4294967294" count="8">
            <x v="0"/>
            <x v="1"/>
            <x v="2"/>
            <x v="3"/>
            <x v="4"/>
            <x v="5"/>
            <x v="6"/>
            <x v="7"/>
          </reference>
          <reference field="0" count="1" selected="0">
            <x v="3"/>
          </reference>
        </references>
      </pivotArea>
    </format>
    <format dxfId="85">
      <pivotArea dataOnly="0" labelOnly="1" outline="0" fieldPosition="0">
        <references count="2">
          <reference field="4294967294" count="8">
            <x v="0"/>
            <x v="1"/>
            <x v="2"/>
            <x v="3"/>
            <x v="4"/>
            <x v="5"/>
            <x v="6"/>
            <x v="7"/>
          </reference>
          <reference field="0" count="1" selected="0">
            <x v="4"/>
          </reference>
        </references>
      </pivotArea>
    </format>
    <format dxfId="84">
      <pivotArea dataOnly="0" labelOnly="1" outline="0" fieldPosition="0">
        <references count="2">
          <reference field="4294967294" count="8">
            <x v="0"/>
            <x v="1"/>
            <x v="2"/>
            <x v="3"/>
            <x v="4"/>
            <x v="5"/>
            <x v="6"/>
            <x v="7"/>
          </reference>
          <reference field="0" count="1" selected="0">
            <x v="5"/>
          </reference>
        </references>
      </pivotArea>
    </format>
    <format dxfId="83">
      <pivotArea dataOnly="0" labelOnly="1" outline="0" fieldPosition="0">
        <references count="2">
          <reference field="4294967294" count="8">
            <x v="0"/>
            <x v="1"/>
            <x v="2"/>
            <x v="3"/>
            <x v="4"/>
            <x v="5"/>
            <x v="6"/>
            <x v="7"/>
          </reference>
          <reference field="0" count="1" selected="0">
            <x v="7"/>
          </reference>
        </references>
      </pivotArea>
    </format>
    <format dxfId="82">
      <pivotArea dataOnly="0" labelOnly="1" outline="0" fieldPosition="0">
        <references count="2">
          <reference field="4294967294" count="8">
            <x v="0"/>
            <x v="1"/>
            <x v="2"/>
            <x v="3"/>
            <x v="4"/>
            <x v="5"/>
            <x v="6"/>
            <x v="7"/>
          </reference>
          <reference field="0" count="1" selected="0">
            <x v="8"/>
          </reference>
        </references>
      </pivotArea>
    </format>
    <format dxfId="81">
      <pivotArea dataOnly="0" labelOnly="1" outline="0" fieldPosition="0">
        <references count="2">
          <reference field="4294967294" count="8">
            <x v="0"/>
            <x v="1"/>
            <x v="2"/>
            <x v="3"/>
            <x v="4"/>
            <x v="5"/>
            <x v="6"/>
            <x v="7"/>
          </reference>
          <reference field="0" count="1" selected="0">
            <x v="9"/>
          </reference>
        </references>
      </pivotArea>
    </format>
    <format dxfId="80">
      <pivotArea dataOnly="0" labelOnly="1" outline="0" fieldPosition="0">
        <references count="2">
          <reference field="4294967294" count="8">
            <x v="0"/>
            <x v="1"/>
            <x v="2"/>
            <x v="3"/>
            <x v="4"/>
            <x v="5"/>
            <x v="6"/>
            <x v="7"/>
          </reference>
          <reference field="0" count="1" selected="0">
            <x v="10"/>
          </reference>
        </references>
      </pivotArea>
    </format>
    <format dxfId="79">
      <pivotArea dataOnly="0" labelOnly="1" outline="0" fieldPosition="0">
        <references count="2">
          <reference field="4294967294" count="8">
            <x v="0"/>
            <x v="1"/>
            <x v="2"/>
            <x v="3"/>
            <x v="4"/>
            <x v="5"/>
            <x v="6"/>
            <x v="7"/>
          </reference>
          <reference field="0" count="1" selected="0">
            <x v="11"/>
          </reference>
        </references>
      </pivotArea>
    </format>
    <format dxfId="78">
      <pivotArea dataOnly="0" labelOnly="1" outline="0" fieldPosition="0">
        <references count="2">
          <reference field="4294967294" count="8">
            <x v="0"/>
            <x v="1"/>
            <x v="2"/>
            <x v="3"/>
            <x v="4"/>
            <x v="5"/>
            <x v="6"/>
            <x v="7"/>
          </reference>
          <reference field="0" count="1" selected="0">
            <x v="12"/>
          </reference>
        </references>
      </pivotArea>
    </format>
    <format dxfId="77">
      <pivotArea dataOnly="0" labelOnly="1" outline="0" fieldPosition="0">
        <references count="2">
          <reference field="4294967294" count="8">
            <x v="0"/>
            <x v="1"/>
            <x v="2"/>
            <x v="3"/>
            <x v="4"/>
            <x v="5"/>
            <x v="6"/>
            <x v="7"/>
          </reference>
          <reference field="0" count="1" selected="0">
            <x v="13"/>
          </reference>
        </references>
      </pivotArea>
    </format>
    <format dxfId="76">
      <pivotArea dataOnly="0" labelOnly="1" outline="0" fieldPosition="0">
        <references count="2">
          <reference field="4294967294" count="8">
            <x v="0"/>
            <x v="1"/>
            <x v="2"/>
            <x v="3"/>
            <x v="4"/>
            <x v="5"/>
            <x v="6"/>
            <x v="7"/>
          </reference>
          <reference field="0" count="1" selected="0">
            <x v="15"/>
          </reference>
        </references>
      </pivotArea>
    </format>
    <format dxfId="75">
      <pivotArea outline="0" fieldPosition="0"/>
    </format>
    <format dxfId="74">
      <pivotArea field="-2" type="button" dataOnly="0" labelOnly="1" outline="0" axis="axisRow" fieldPosition="1"/>
    </format>
    <format dxfId="73">
      <pivotArea field="4" type="button" dataOnly="0" labelOnly="1" outline="0" axis="axisCol" fieldPosition="1"/>
    </format>
    <format dxfId="72">
      <pivotArea type="topRight" dataOnly="0" labelOnly="1" outline="0" fieldPosition="0"/>
    </format>
    <format dxfId="71">
      <pivotArea dataOnly="0" labelOnly="1" outline="0" fieldPosition="0">
        <references count="2">
          <reference field="4294967294" count="8">
            <x v="0"/>
            <x v="1"/>
            <x v="2"/>
            <x v="3"/>
            <x v="4"/>
            <x v="5"/>
            <x v="6"/>
            <x v="7"/>
          </reference>
          <reference field="0" count="1" selected="0">
            <x v="0"/>
          </reference>
        </references>
      </pivotArea>
    </format>
    <format dxfId="70">
      <pivotArea dataOnly="0" labelOnly="1" outline="0" fieldPosition="0">
        <references count="2">
          <reference field="4294967294" count="8">
            <x v="0"/>
            <x v="1"/>
            <x v="2"/>
            <x v="3"/>
            <x v="4"/>
            <x v="5"/>
            <x v="6"/>
            <x v="7"/>
          </reference>
          <reference field="0" count="1" selected="0">
            <x v="1"/>
          </reference>
        </references>
      </pivotArea>
    </format>
    <format dxfId="69">
      <pivotArea dataOnly="0" labelOnly="1" outline="0" fieldPosition="0">
        <references count="2">
          <reference field="4294967294" count="8">
            <x v="0"/>
            <x v="1"/>
            <x v="2"/>
            <x v="3"/>
            <x v="4"/>
            <x v="5"/>
            <x v="6"/>
            <x v="7"/>
          </reference>
          <reference field="0" count="1" selected="0">
            <x v="3"/>
          </reference>
        </references>
      </pivotArea>
    </format>
    <format dxfId="68">
      <pivotArea dataOnly="0" labelOnly="1" outline="0" fieldPosition="0">
        <references count="2">
          <reference field="4294967294" count="8">
            <x v="0"/>
            <x v="1"/>
            <x v="2"/>
            <x v="3"/>
            <x v="4"/>
            <x v="5"/>
            <x v="6"/>
            <x v="7"/>
          </reference>
          <reference field="0" count="1" selected="0">
            <x v="4"/>
          </reference>
        </references>
      </pivotArea>
    </format>
    <format dxfId="67">
      <pivotArea dataOnly="0" labelOnly="1" outline="0" fieldPosition="0">
        <references count="2">
          <reference field="4294967294" count="8">
            <x v="0"/>
            <x v="1"/>
            <x v="2"/>
            <x v="3"/>
            <x v="4"/>
            <x v="5"/>
            <x v="6"/>
            <x v="7"/>
          </reference>
          <reference field="0" count="1" selected="0">
            <x v="5"/>
          </reference>
        </references>
      </pivotArea>
    </format>
    <format dxfId="66">
      <pivotArea dataOnly="0" labelOnly="1" outline="0" fieldPosition="0">
        <references count="2">
          <reference field="4294967294" count="8">
            <x v="0"/>
            <x v="1"/>
            <x v="2"/>
            <x v="3"/>
            <x v="4"/>
            <x v="5"/>
            <x v="6"/>
            <x v="7"/>
          </reference>
          <reference field="0" count="1" selected="0">
            <x v="7"/>
          </reference>
        </references>
      </pivotArea>
    </format>
    <format dxfId="65">
      <pivotArea dataOnly="0" labelOnly="1" outline="0" fieldPosition="0">
        <references count="2">
          <reference field="4294967294" count="8">
            <x v="0"/>
            <x v="1"/>
            <x v="2"/>
            <x v="3"/>
            <x v="4"/>
            <x v="5"/>
            <x v="6"/>
            <x v="7"/>
          </reference>
          <reference field="0" count="1" selected="0">
            <x v="8"/>
          </reference>
        </references>
      </pivotArea>
    </format>
    <format dxfId="64">
      <pivotArea dataOnly="0" labelOnly="1" outline="0" fieldPosition="0">
        <references count="2">
          <reference field="4294967294" count="8">
            <x v="0"/>
            <x v="1"/>
            <x v="2"/>
            <x v="3"/>
            <x v="4"/>
            <x v="5"/>
            <x v="6"/>
            <x v="7"/>
          </reference>
          <reference field="0" count="1" selected="0">
            <x v="9"/>
          </reference>
        </references>
      </pivotArea>
    </format>
    <format dxfId="63">
      <pivotArea dataOnly="0" labelOnly="1" outline="0" fieldPosition="0">
        <references count="2">
          <reference field="4294967294" count="8">
            <x v="0"/>
            <x v="1"/>
            <x v="2"/>
            <x v="3"/>
            <x v="4"/>
            <x v="5"/>
            <x v="6"/>
            <x v="7"/>
          </reference>
          <reference field="0" count="1" selected="0">
            <x v="10"/>
          </reference>
        </references>
      </pivotArea>
    </format>
    <format dxfId="62">
      <pivotArea dataOnly="0" labelOnly="1" outline="0" fieldPosition="0">
        <references count="2">
          <reference field="4294967294" count="8">
            <x v="0"/>
            <x v="1"/>
            <x v="2"/>
            <x v="3"/>
            <x v="4"/>
            <x v="5"/>
            <x v="6"/>
            <x v="7"/>
          </reference>
          <reference field="0" count="1" selected="0">
            <x v="11"/>
          </reference>
        </references>
      </pivotArea>
    </format>
    <format dxfId="61">
      <pivotArea dataOnly="0" labelOnly="1" outline="0" fieldPosition="0">
        <references count="2">
          <reference field="4294967294" count="8">
            <x v="0"/>
            <x v="1"/>
            <x v="2"/>
            <x v="3"/>
            <x v="4"/>
            <x v="5"/>
            <x v="6"/>
            <x v="7"/>
          </reference>
          <reference field="0" count="1" selected="0">
            <x v="12"/>
          </reference>
        </references>
      </pivotArea>
    </format>
    <format dxfId="60">
      <pivotArea dataOnly="0" labelOnly="1" outline="0" fieldPosition="0">
        <references count="2">
          <reference field="4294967294" count="8">
            <x v="0"/>
            <x v="1"/>
            <x v="2"/>
            <x v="3"/>
            <x v="4"/>
            <x v="5"/>
            <x v="6"/>
            <x v="7"/>
          </reference>
          <reference field="0" count="1" selected="0">
            <x v="13"/>
          </reference>
        </references>
      </pivotArea>
    </format>
    <format dxfId="59">
      <pivotArea dataOnly="0" labelOnly="1" outline="0" fieldPosition="0">
        <references count="2">
          <reference field="4294967294" count="8">
            <x v="0"/>
            <x v="1"/>
            <x v="2"/>
            <x v="3"/>
            <x v="4"/>
            <x v="5"/>
            <x v="6"/>
            <x v="7"/>
          </reference>
          <reference field="0" count="1" selected="0">
            <x v="15"/>
          </reference>
        </references>
      </pivotArea>
    </format>
    <format dxfId="58">
      <pivotArea type="all" dataOnly="0" outline="0" fieldPosition="0"/>
    </format>
    <format dxfId="57">
      <pivotArea type="all" dataOnly="0" outline="0" fieldPosition="0"/>
    </format>
    <format dxfId="56">
      <pivotArea outline="0" fieldPosition="0"/>
    </format>
    <format dxfId="55">
      <pivotArea dataOnly="0" labelOnly="1" outline="0" fieldPosition="0">
        <references count="1">
          <reference field="0" count="0"/>
        </references>
      </pivotArea>
    </format>
    <format dxfId="54">
      <pivotArea dataOnly="0" labelOnly="1" outline="0" fieldPosition="0">
        <references count="2">
          <reference field="4294967294" count="8">
            <x v="0"/>
            <x v="1"/>
            <x v="2"/>
            <x v="3"/>
            <x v="4"/>
            <x v="5"/>
            <x v="6"/>
            <x v="7"/>
          </reference>
          <reference field="0" count="1" selected="0">
            <x v="0"/>
          </reference>
        </references>
      </pivotArea>
    </format>
    <format dxfId="53">
      <pivotArea dataOnly="0" labelOnly="1" outline="0" fieldPosition="0">
        <references count="2">
          <reference field="4294967294" count="8">
            <x v="0"/>
            <x v="1"/>
            <x v="2"/>
            <x v="3"/>
            <x v="4"/>
            <x v="5"/>
            <x v="6"/>
            <x v="7"/>
          </reference>
          <reference field="0" count="1" selected="0">
            <x v="1"/>
          </reference>
        </references>
      </pivotArea>
    </format>
    <format dxfId="52">
      <pivotArea dataOnly="0" labelOnly="1" outline="0" fieldPosition="0">
        <references count="2">
          <reference field="4294967294" count="8">
            <x v="0"/>
            <x v="1"/>
            <x v="2"/>
            <x v="3"/>
            <x v="4"/>
            <x v="5"/>
            <x v="6"/>
            <x v="7"/>
          </reference>
          <reference field="0" count="1" selected="0">
            <x v="2"/>
          </reference>
        </references>
      </pivotArea>
    </format>
    <format dxfId="51">
      <pivotArea dataOnly="0" labelOnly="1" outline="0" fieldPosition="0">
        <references count="2">
          <reference field="4294967294" count="8">
            <x v="0"/>
            <x v="1"/>
            <x v="2"/>
            <x v="3"/>
            <x v="4"/>
            <x v="5"/>
            <x v="6"/>
            <x v="7"/>
          </reference>
          <reference field="0" count="1" selected="0">
            <x v="3"/>
          </reference>
        </references>
      </pivotArea>
    </format>
    <format dxfId="50">
      <pivotArea dataOnly="0" labelOnly="1" outline="0" fieldPosition="0">
        <references count="2">
          <reference field="4294967294" count="8">
            <x v="0"/>
            <x v="1"/>
            <x v="2"/>
            <x v="3"/>
            <x v="4"/>
            <x v="5"/>
            <x v="6"/>
            <x v="7"/>
          </reference>
          <reference field="0" count="1" selected="0">
            <x v="4"/>
          </reference>
        </references>
      </pivotArea>
    </format>
    <format dxfId="49">
      <pivotArea dataOnly="0" labelOnly="1" outline="0" fieldPosition="0">
        <references count="2">
          <reference field="4294967294" count="8">
            <x v="0"/>
            <x v="1"/>
            <x v="2"/>
            <x v="3"/>
            <x v="4"/>
            <x v="5"/>
            <x v="6"/>
            <x v="7"/>
          </reference>
          <reference field="0" count="1" selected="0">
            <x v="5"/>
          </reference>
        </references>
      </pivotArea>
    </format>
    <format dxfId="48">
      <pivotArea dataOnly="0" labelOnly="1" outline="0" fieldPosition="0">
        <references count="2">
          <reference field="4294967294" count="8">
            <x v="0"/>
            <x v="1"/>
            <x v="2"/>
            <x v="3"/>
            <x v="4"/>
            <x v="5"/>
            <x v="6"/>
            <x v="7"/>
          </reference>
          <reference field="0" count="1" selected="0">
            <x v="6"/>
          </reference>
        </references>
      </pivotArea>
    </format>
    <format dxfId="47">
      <pivotArea dataOnly="0" labelOnly="1" outline="0" fieldPosition="0">
        <references count="2">
          <reference field="4294967294" count="8">
            <x v="0"/>
            <x v="1"/>
            <x v="2"/>
            <x v="3"/>
            <x v="4"/>
            <x v="5"/>
            <x v="6"/>
            <x v="7"/>
          </reference>
          <reference field="0" count="1" selected="0">
            <x v="7"/>
          </reference>
        </references>
      </pivotArea>
    </format>
    <format dxfId="46">
      <pivotArea dataOnly="0" labelOnly="1" outline="0" fieldPosition="0">
        <references count="2">
          <reference field="4294967294" count="8">
            <x v="0"/>
            <x v="1"/>
            <x v="2"/>
            <x v="3"/>
            <x v="4"/>
            <x v="5"/>
            <x v="6"/>
            <x v="7"/>
          </reference>
          <reference field="0" count="1" selected="0">
            <x v="8"/>
          </reference>
        </references>
      </pivotArea>
    </format>
    <format dxfId="45">
      <pivotArea dataOnly="0" labelOnly="1" outline="0" fieldPosition="0">
        <references count="2">
          <reference field="4294967294" count="8">
            <x v="0"/>
            <x v="1"/>
            <x v="2"/>
            <x v="3"/>
            <x v="4"/>
            <x v="5"/>
            <x v="6"/>
            <x v="7"/>
          </reference>
          <reference field="0" count="1" selected="0">
            <x v="9"/>
          </reference>
        </references>
      </pivotArea>
    </format>
    <format dxfId="44">
      <pivotArea dataOnly="0" labelOnly="1" outline="0" fieldPosition="0">
        <references count="2">
          <reference field="4294967294" count="8">
            <x v="0"/>
            <x v="1"/>
            <x v="2"/>
            <x v="3"/>
            <x v="4"/>
            <x v="5"/>
            <x v="6"/>
            <x v="7"/>
          </reference>
          <reference field="0" count="1" selected="0">
            <x v="10"/>
          </reference>
        </references>
      </pivotArea>
    </format>
    <format dxfId="43">
      <pivotArea dataOnly="0" labelOnly="1" outline="0" fieldPosition="0">
        <references count="2">
          <reference field="4294967294" count="8">
            <x v="0"/>
            <x v="1"/>
            <x v="2"/>
            <x v="3"/>
            <x v="4"/>
            <x v="5"/>
            <x v="6"/>
            <x v="7"/>
          </reference>
          <reference field="0" count="1" selected="0">
            <x v="11"/>
          </reference>
        </references>
      </pivotArea>
    </format>
    <format dxfId="42">
      <pivotArea dataOnly="0" labelOnly="1" outline="0" fieldPosition="0">
        <references count="2">
          <reference field="4294967294" count="8">
            <x v="0"/>
            <x v="1"/>
            <x v="2"/>
            <x v="3"/>
            <x v="4"/>
            <x v="5"/>
            <x v="6"/>
            <x v="7"/>
          </reference>
          <reference field="0" count="1" selected="0">
            <x v="12"/>
          </reference>
        </references>
      </pivotArea>
    </format>
    <format dxfId="41">
      <pivotArea dataOnly="0" labelOnly="1" outline="0" fieldPosition="0">
        <references count="2">
          <reference field="4294967294" count="8">
            <x v="0"/>
            <x v="1"/>
            <x v="2"/>
            <x v="3"/>
            <x v="4"/>
            <x v="5"/>
            <x v="6"/>
            <x v="7"/>
          </reference>
          <reference field="0" count="1" selected="0">
            <x v="13"/>
          </reference>
        </references>
      </pivotArea>
    </format>
    <format dxfId="40">
      <pivotArea dataOnly="0" labelOnly="1" outline="0" fieldPosition="0">
        <references count="2">
          <reference field="4294967294" count="8">
            <x v="0"/>
            <x v="1"/>
            <x v="2"/>
            <x v="3"/>
            <x v="4"/>
            <x v="5"/>
            <x v="6"/>
            <x v="7"/>
          </reference>
          <reference field="0" count="1" selected="0">
            <x v="14"/>
          </reference>
        </references>
      </pivotArea>
    </format>
    <format dxfId="39">
      <pivotArea dataOnly="0" labelOnly="1" outline="0" fieldPosition="0">
        <references count="2">
          <reference field="4294967294" count="8">
            <x v="0"/>
            <x v="1"/>
            <x v="2"/>
            <x v="3"/>
            <x v="4"/>
            <x v="5"/>
            <x v="6"/>
            <x v="7"/>
          </reference>
          <reference field="0" count="1" selected="0">
            <x v="15"/>
          </reference>
        </references>
      </pivotArea>
    </format>
    <format dxfId="38">
      <pivotArea outline="0" fieldPosition="0"/>
    </format>
    <format dxfId="37">
      <pivotArea dataOnly="0" labelOnly="1" outline="0" fieldPosition="0">
        <references count="1">
          <reference field="0" count="0"/>
        </references>
      </pivotArea>
    </format>
    <format dxfId="36">
      <pivotArea dataOnly="0" labelOnly="1" outline="0" fieldPosition="0">
        <references count="2">
          <reference field="4294967294" count="8">
            <x v="0"/>
            <x v="1"/>
            <x v="2"/>
            <x v="3"/>
            <x v="4"/>
            <x v="5"/>
            <x v="6"/>
            <x v="7"/>
          </reference>
          <reference field="0" count="1" selected="0">
            <x v="0"/>
          </reference>
        </references>
      </pivotArea>
    </format>
    <format dxfId="35">
      <pivotArea dataOnly="0" labelOnly="1" outline="0" fieldPosition="0">
        <references count="2">
          <reference field="4294967294" count="8">
            <x v="0"/>
            <x v="1"/>
            <x v="2"/>
            <x v="3"/>
            <x v="4"/>
            <x v="5"/>
            <x v="6"/>
            <x v="7"/>
          </reference>
          <reference field="0" count="1" selected="0">
            <x v="1"/>
          </reference>
        </references>
      </pivotArea>
    </format>
    <format dxfId="34">
      <pivotArea dataOnly="0" labelOnly="1" outline="0" fieldPosition="0">
        <references count="2">
          <reference field="4294967294" count="8">
            <x v="0"/>
            <x v="1"/>
            <x v="2"/>
            <x v="3"/>
            <x v="4"/>
            <x v="5"/>
            <x v="6"/>
            <x v="7"/>
          </reference>
          <reference field="0" count="1" selected="0">
            <x v="2"/>
          </reference>
        </references>
      </pivotArea>
    </format>
    <format dxfId="33">
      <pivotArea dataOnly="0" labelOnly="1" outline="0" fieldPosition="0">
        <references count="2">
          <reference field="4294967294" count="8">
            <x v="0"/>
            <x v="1"/>
            <x v="2"/>
            <x v="3"/>
            <x v="4"/>
            <x v="5"/>
            <x v="6"/>
            <x v="7"/>
          </reference>
          <reference field="0" count="1" selected="0">
            <x v="3"/>
          </reference>
        </references>
      </pivotArea>
    </format>
    <format dxfId="32">
      <pivotArea dataOnly="0" labelOnly="1" outline="0" fieldPosition="0">
        <references count="2">
          <reference field="4294967294" count="8">
            <x v="0"/>
            <x v="1"/>
            <x v="2"/>
            <x v="3"/>
            <x v="4"/>
            <x v="5"/>
            <x v="6"/>
            <x v="7"/>
          </reference>
          <reference field="0" count="1" selected="0">
            <x v="4"/>
          </reference>
        </references>
      </pivotArea>
    </format>
    <format dxfId="31">
      <pivotArea dataOnly="0" labelOnly="1" outline="0" fieldPosition="0">
        <references count="2">
          <reference field="4294967294" count="8">
            <x v="0"/>
            <x v="1"/>
            <x v="2"/>
            <x v="3"/>
            <x v="4"/>
            <x v="5"/>
            <x v="6"/>
            <x v="7"/>
          </reference>
          <reference field="0" count="1" selected="0">
            <x v="5"/>
          </reference>
        </references>
      </pivotArea>
    </format>
    <format dxfId="30">
      <pivotArea dataOnly="0" labelOnly="1" outline="0" fieldPosition="0">
        <references count="2">
          <reference field="4294967294" count="8">
            <x v="0"/>
            <x v="1"/>
            <x v="2"/>
            <x v="3"/>
            <x v="4"/>
            <x v="5"/>
            <x v="6"/>
            <x v="7"/>
          </reference>
          <reference field="0" count="1" selected="0">
            <x v="6"/>
          </reference>
        </references>
      </pivotArea>
    </format>
    <format dxfId="29">
      <pivotArea dataOnly="0" labelOnly="1" outline="0" fieldPosition="0">
        <references count="2">
          <reference field="4294967294" count="8">
            <x v="0"/>
            <x v="1"/>
            <x v="2"/>
            <x v="3"/>
            <x v="4"/>
            <x v="5"/>
            <x v="6"/>
            <x v="7"/>
          </reference>
          <reference field="0" count="1" selected="0">
            <x v="7"/>
          </reference>
        </references>
      </pivotArea>
    </format>
    <format dxfId="28">
      <pivotArea dataOnly="0" labelOnly="1" outline="0" fieldPosition="0">
        <references count="2">
          <reference field="4294967294" count="8">
            <x v="0"/>
            <x v="1"/>
            <x v="2"/>
            <x v="3"/>
            <x v="4"/>
            <x v="5"/>
            <x v="6"/>
            <x v="7"/>
          </reference>
          <reference field="0" count="1" selected="0">
            <x v="8"/>
          </reference>
        </references>
      </pivotArea>
    </format>
    <format dxfId="27">
      <pivotArea dataOnly="0" labelOnly="1" outline="0" fieldPosition="0">
        <references count="2">
          <reference field="4294967294" count="8">
            <x v="0"/>
            <x v="1"/>
            <x v="2"/>
            <x v="3"/>
            <x v="4"/>
            <x v="5"/>
            <x v="6"/>
            <x v="7"/>
          </reference>
          <reference field="0" count="1" selected="0">
            <x v="9"/>
          </reference>
        </references>
      </pivotArea>
    </format>
    <format dxfId="26">
      <pivotArea dataOnly="0" labelOnly="1" outline="0" fieldPosition="0">
        <references count="2">
          <reference field="4294967294" count="8">
            <x v="0"/>
            <x v="1"/>
            <x v="2"/>
            <x v="3"/>
            <x v="4"/>
            <x v="5"/>
            <x v="6"/>
            <x v="7"/>
          </reference>
          <reference field="0" count="1" selected="0">
            <x v="10"/>
          </reference>
        </references>
      </pivotArea>
    </format>
    <format dxfId="25">
      <pivotArea dataOnly="0" labelOnly="1" outline="0" fieldPosition="0">
        <references count="2">
          <reference field="4294967294" count="8">
            <x v="0"/>
            <x v="1"/>
            <x v="2"/>
            <x v="3"/>
            <x v="4"/>
            <x v="5"/>
            <x v="6"/>
            <x v="7"/>
          </reference>
          <reference field="0" count="1" selected="0">
            <x v="11"/>
          </reference>
        </references>
      </pivotArea>
    </format>
    <format dxfId="24">
      <pivotArea dataOnly="0" labelOnly="1" outline="0" fieldPosition="0">
        <references count="2">
          <reference field="4294967294" count="8">
            <x v="0"/>
            <x v="1"/>
            <x v="2"/>
            <x v="3"/>
            <x v="4"/>
            <x v="5"/>
            <x v="6"/>
            <x v="7"/>
          </reference>
          <reference field="0" count="1" selected="0">
            <x v="12"/>
          </reference>
        </references>
      </pivotArea>
    </format>
    <format dxfId="23">
      <pivotArea dataOnly="0" labelOnly="1" outline="0" fieldPosition="0">
        <references count="2">
          <reference field="4294967294" count="8">
            <x v="0"/>
            <x v="1"/>
            <x v="2"/>
            <x v="3"/>
            <x v="4"/>
            <x v="5"/>
            <x v="6"/>
            <x v="7"/>
          </reference>
          <reference field="0" count="1" selected="0">
            <x v="13"/>
          </reference>
        </references>
      </pivotArea>
    </format>
    <format dxfId="22">
      <pivotArea dataOnly="0" labelOnly="1" outline="0" fieldPosition="0">
        <references count="2">
          <reference field="4294967294" count="8">
            <x v="0"/>
            <x v="1"/>
            <x v="2"/>
            <x v="3"/>
            <x v="4"/>
            <x v="5"/>
            <x v="6"/>
            <x v="7"/>
          </reference>
          <reference field="0" count="1" selected="0">
            <x v="14"/>
          </reference>
        </references>
      </pivotArea>
    </format>
    <format dxfId="21">
      <pivotArea dataOnly="0" labelOnly="1" outline="0" fieldPosition="0">
        <references count="2">
          <reference field="4294967294" count="8">
            <x v="0"/>
            <x v="1"/>
            <x v="2"/>
            <x v="3"/>
            <x v="4"/>
            <x v="5"/>
            <x v="6"/>
            <x v="7"/>
          </reference>
          <reference field="0" count="1" selected="0">
            <x v="15"/>
          </reference>
        </references>
      </pivotArea>
    </format>
    <format dxfId="20">
      <pivotArea field="0" type="button" dataOnly="0" labelOnly="1" outline="0" axis="axisRow" fieldPosition="0"/>
    </format>
    <format dxfId="19">
      <pivotArea field="-2" type="button" dataOnly="0" labelOnly="1" outline="0" axis="axisRow" fieldPosition="1"/>
    </format>
    <format dxfId="18">
      <pivotArea outline="0" fieldPosition="0">
        <references count="2">
          <reference field="4294967294" count="1" selected="0">
            <x v="7"/>
          </reference>
          <reference field="0" count="1" selected="0">
            <x v="0"/>
          </reference>
        </references>
      </pivotArea>
    </format>
    <format dxfId="17">
      <pivotArea dataOnly="0" labelOnly="1" outline="0" offset="IV256" fieldPosition="0">
        <references count="1">
          <reference field="0" count="1">
            <x v="0"/>
          </reference>
        </references>
      </pivotArea>
    </format>
    <format dxfId="16">
      <pivotArea dataOnly="0" labelOnly="1" outline="0" fieldPosition="0">
        <references count="2">
          <reference field="4294967294" count="1">
            <x v="7"/>
          </reference>
          <reference field="0" count="1" selected="0">
            <x v="0"/>
          </reference>
        </references>
      </pivotArea>
    </format>
    <format dxfId="15">
      <pivotArea outline="0" fieldPosition="0">
        <references count="2">
          <reference field="4294967294" count="1" selected="0">
            <x v="1"/>
          </reference>
          <reference field="0" count="1" selected="0">
            <x v="0"/>
          </reference>
        </references>
      </pivotArea>
    </format>
    <format dxfId="14">
      <pivotArea dataOnly="0" labelOnly="1" outline="0" fieldPosition="0">
        <references count="2">
          <reference field="4294967294" count="1">
            <x v="1"/>
          </reference>
          <reference field="0" count="1" selected="0">
            <x v="0"/>
          </reference>
        </references>
      </pivotArea>
    </format>
    <format dxfId="13">
      <pivotArea outline="0" fieldPosition="0">
        <references count="2">
          <reference field="4294967294" count="1" selected="0">
            <x v="3"/>
          </reference>
          <reference field="0" count="1" selected="0">
            <x v="0"/>
          </reference>
        </references>
      </pivotArea>
    </format>
    <format dxfId="12">
      <pivotArea dataOnly="0" labelOnly="1" outline="0" fieldPosition="0">
        <references count="2">
          <reference field="4294967294" count="1">
            <x v="3"/>
          </reference>
          <reference field="0" count="1" selected="0">
            <x v="0"/>
          </reference>
        </references>
      </pivotArea>
    </format>
    <format dxfId="11">
      <pivotArea outline="0" fieldPosition="0">
        <references count="2">
          <reference field="4294967294" count="1" selected="0">
            <x v="5"/>
          </reference>
          <reference field="0" count="1" selected="0">
            <x v="0"/>
          </reference>
        </references>
      </pivotArea>
    </format>
    <format dxfId="10">
      <pivotArea dataOnly="0" labelOnly="1" outline="0" fieldPosition="0">
        <references count="2">
          <reference field="4294967294" count="1">
            <x v="5"/>
          </reference>
          <reference field="0" count="1" selected="0">
            <x v="0"/>
          </reference>
        </references>
      </pivotArea>
    </format>
    <format dxfId="9">
      <pivotArea type="topRight" dataOnly="0" labelOnly="1" outline="0" offset="F1" fieldPosition="0"/>
    </format>
    <format dxfId="8">
      <pivotArea outline="0" fieldPosition="0">
        <references count="2">
          <reference field="4" count="1" selected="0">
            <x v="13"/>
          </reference>
          <reference field="70" count="1" selected="0">
            <x v="3"/>
          </reference>
        </references>
      </pivotArea>
    </format>
    <format dxfId="7">
      <pivotArea type="topRight" dataOnly="0" labelOnly="1" outline="0" offset="K1" fieldPosition="0"/>
    </format>
    <format dxfId="6">
      <pivotArea dataOnly="0" labelOnly="1" outline="0" offset="IV256" fieldPosition="0">
        <references count="1">
          <reference field="70" count="1">
            <x v="3"/>
          </reference>
        </references>
      </pivotArea>
    </format>
    <format dxfId="5">
      <pivotArea dataOnly="0" labelOnly="1" outline="0" fieldPosition="0">
        <references count="2">
          <reference field="4" count="1">
            <x v="13"/>
          </reference>
          <reference field="70" count="1" selected="0">
            <x v="3"/>
          </reference>
        </references>
      </pivotArea>
    </format>
    <format dxfId="4">
      <pivotArea outline="0" fieldPosition="0">
        <references count="2">
          <reference field="4" count="1" selected="0">
            <x v="15"/>
          </reference>
          <reference field="70" count="1" selected="0">
            <x v="4"/>
          </reference>
        </references>
      </pivotArea>
    </format>
    <format dxfId="3">
      <pivotArea type="topRight" dataOnly="0" labelOnly="1" outline="0" offset="N1" fieldPosition="0"/>
    </format>
    <format dxfId="2">
      <pivotArea dataOnly="0" labelOnly="1" outline="0" offset="IV256" fieldPosition="0">
        <references count="1">
          <reference field="70" count="1">
            <x v="4"/>
          </reference>
        </references>
      </pivotArea>
    </format>
    <format dxfId="1">
      <pivotArea dataOnly="0" labelOnly="1" outline="0" fieldPosition="0">
        <references count="2">
          <reference field="4" count="1">
            <x v="15"/>
          </reference>
          <reference field="70" count="1" selected="0">
            <x v="4"/>
          </reference>
        </references>
      </pivotArea>
    </format>
    <format dxfId="0">
      <pivotArea outline="0" fieldPosition="0">
        <references count="4">
          <reference field="4294967294" count="1" selected="0">
            <x v="2"/>
          </reference>
          <reference field="0" count="1" selected="0">
            <x v="11"/>
          </reference>
          <reference field="4" count="1" selected="0">
            <x v="2"/>
          </reference>
          <reference field="70" count="1" selected="0">
            <x v="0"/>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Type13gr2" connectionId="14" xr16:uid="{00000000-0016-0000-0500-000013000000}"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Type13gr4" connectionId="18" xr16:uid="{00000000-0016-0000-0500-00000A000000}"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Type13gr5_2" connectionId="21" xr16:uid="{00000000-0016-0000-0500-000009000000}"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Type13ug2" connectionId="24" xr16:uid="{00000000-0016-0000-0500-00000800000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Type13ug4" connectionId="28" xr16:uid="{00000000-0016-0000-0500-00000700000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Type13ug1_1" connectionId="23" xr16:uid="{00000000-0016-0000-0500-000006000000}"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Type13gr5_1" connectionId="20" xr16:uid="{00000000-0016-0000-0500-000005000000}"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Type13gr2_1" connectionId="15" xr16:uid="{00000000-0016-0000-0500-000004000000}"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Type13ug1" connectionId="22" xr16:uid="{00000000-0016-0000-0500-000003000000}"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Type13gr3_1" connectionId="17" xr16:uid="{00000000-0016-0000-0500-000002000000}"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Type13gr1" connectionId="12" xr16:uid="{00000000-0016-0000-0500-000001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Type13ug5_1" connectionId="31" xr16:uid="{00000000-0016-0000-0500-000012000000}"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Type13gr1_1" connectionId="13" xr16:uid="{00000000-0016-0000-0500-000000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Type13ug5" connectionId="30" xr16:uid="{00000000-0016-0000-0500-000011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Type13ug3_1" connectionId="27" xr16:uid="{00000000-0016-0000-0500-00001000000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Type13ug2_1" connectionId="25" xr16:uid="{00000000-0016-0000-0500-00000F000000}"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Type13gr4_1" connectionId="19" xr16:uid="{00000000-0016-0000-0500-00000E000000}"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Type13ug3" connectionId="26" xr16:uid="{00000000-0016-0000-0500-00000D000000}"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Type13ug4_1" connectionId="29" xr16:uid="{00000000-0016-0000-0500-00000C000000}"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Type13gr3" connectionId="16" xr16:uid="{00000000-0016-0000-0500-00000B000000}"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6.xml"/><Relationship Id="rId13" Type="http://schemas.openxmlformats.org/officeDocument/2006/relationships/queryTable" Target="../queryTables/queryTable11.xml"/><Relationship Id="rId18" Type="http://schemas.openxmlformats.org/officeDocument/2006/relationships/queryTable" Target="../queryTables/queryTable16.xml"/><Relationship Id="rId3" Type="http://schemas.openxmlformats.org/officeDocument/2006/relationships/queryTable" Target="../queryTables/queryTable1.xml"/><Relationship Id="rId21" Type="http://schemas.openxmlformats.org/officeDocument/2006/relationships/queryTable" Target="../queryTables/queryTable19.xml"/><Relationship Id="rId7" Type="http://schemas.openxmlformats.org/officeDocument/2006/relationships/queryTable" Target="../queryTables/queryTable5.xml"/><Relationship Id="rId12" Type="http://schemas.openxmlformats.org/officeDocument/2006/relationships/queryTable" Target="../queryTables/queryTable10.xml"/><Relationship Id="rId17" Type="http://schemas.openxmlformats.org/officeDocument/2006/relationships/queryTable" Target="../queryTables/queryTable15.xml"/><Relationship Id="rId2" Type="http://schemas.openxmlformats.org/officeDocument/2006/relationships/vmlDrawing" Target="../drawings/vmlDrawing4.vml"/><Relationship Id="rId16" Type="http://schemas.openxmlformats.org/officeDocument/2006/relationships/queryTable" Target="../queryTables/queryTable14.xml"/><Relationship Id="rId20" Type="http://schemas.openxmlformats.org/officeDocument/2006/relationships/queryTable" Target="../queryTables/queryTable18.xml"/><Relationship Id="rId1" Type="http://schemas.openxmlformats.org/officeDocument/2006/relationships/printerSettings" Target="../printerSettings/printerSettings6.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5" Type="http://schemas.openxmlformats.org/officeDocument/2006/relationships/queryTable" Target="../queryTables/queryTable13.xml"/><Relationship Id="rId23" Type="http://schemas.openxmlformats.org/officeDocument/2006/relationships/comments" Target="../comments4.xml"/><Relationship Id="rId10" Type="http://schemas.openxmlformats.org/officeDocument/2006/relationships/queryTable" Target="../queryTables/queryTable8.xml"/><Relationship Id="rId19" Type="http://schemas.openxmlformats.org/officeDocument/2006/relationships/queryTable" Target="../queryTables/queryTable17.xml"/><Relationship Id="rId4" Type="http://schemas.openxmlformats.org/officeDocument/2006/relationships/queryTable" Target="../queryTables/queryTable2.xml"/><Relationship Id="rId9" Type="http://schemas.openxmlformats.org/officeDocument/2006/relationships/queryTable" Target="../queryTables/queryTable7.xml"/><Relationship Id="rId14" Type="http://schemas.openxmlformats.org/officeDocument/2006/relationships/queryTable" Target="../queryTables/queryTable12.xml"/><Relationship Id="rId22" Type="http://schemas.openxmlformats.org/officeDocument/2006/relationships/queryTable" Target="../queryTables/queryTable20.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D1FFA-C168-485F-A28F-D03EDE11AFD2}">
  <sheetPr>
    <tabColor rgb="FFC00000"/>
  </sheetPr>
  <dimension ref="A1:AN116"/>
  <sheetViews>
    <sheetView showZeros="0" view="pageBreakPreview" topLeftCell="A58" zoomScaleNormal="100" zoomScaleSheetLayoutView="100" workbookViewId="0">
      <selection activeCell="D110" sqref="D110"/>
    </sheetView>
  </sheetViews>
  <sheetFormatPr defaultRowHeight="15"/>
  <cols>
    <col min="1" max="1" width="12.7109375" style="289" customWidth="1"/>
    <col min="2" max="12" width="7.140625" style="289" customWidth="1"/>
    <col min="13" max="13" width="7.140625" style="290" customWidth="1"/>
    <col min="14" max="16" width="7.140625" style="289" customWidth="1"/>
    <col min="17" max="23" width="9.140625" style="289"/>
    <col min="24" max="24" width="13.28515625" style="289" customWidth="1"/>
    <col min="25" max="16384" width="9.140625" style="289"/>
  </cols>
  <sheetData>
    <row r="1" spans="1:33" ht="18">
      <c r="A1" s="650" t="s">
        <v>977</v>
      </c>
      <c r="B1" s="650"/>
      <c r="C1" s="650"/>
      <c r="D1" s="650"/>
      <c r="E1" s="650"/>
      <c r="F1" s="650"/>
      <c r="G1" s="650"/>
      <c r="H1" s="650"/>
      <c r="I1" s="650"/>
      <c r="J1" s="650"/>
      <c r="K1" s="650"/>
      <c r="L1" s="650"/>
      <c r="M1" s="650"/>
      <c r="N1" s="650"/>
      <c r="O1" s="650"/>
      <c r="P1" s="650"/>
    </row>
    <row r="2" spans="1:33" s="478" customFormat="1" ht="12.75">
      <c r="A2" s="479"/>
      <c r="B2" s="475"/>
      <c r="C2" s="475"/>
      <c r="D2" s="475"/>
      <c r="E2" s="475"/>
      <c r="F2" s="475"/>
      <c r="G2" s="475"/>
      <c r="H2" s="475"/>
      <c r="I2" s="475"/>
      <c r="J2" s="475"/>
      <c r="K2" s="475"/>
      <c r="L2" s="475"/>
      <c r="M2" s="480"/>
      <c r="N2" s="475"/>
      <c r="O2" s="475"/>
      <c r="P2" s="475"/>
    </row>
    <row r="3" spans="1:33" ht="15.75">
      <c r="A3" s="481" t="s">
        <v>1016</v>
      </c>
      <c r="B3" s="475"/>
      <c r="C3" s="475"/>
      <c r="D3" s="475"/>
      <c r="E3" s="475"/>
      <c r="F3" s="475"/>
      <c r="G3" s="579"/>
      <c r="H3" s="579"/>
      <c r="I3" s="579"/>
      <c r="J3" s="579"/>
      <c r="K3" s="579"/>
      <c r="L3" s="579"/>
      <c r="M3" s="628"/>
      <c r="N3" s="579"/>
      <c r="O3" s="579"/>
      <c r="P3" s="579"/>
    </row>
    <row r="4" spans="1:33">
      <c r="A4" s="629"/>
      <c r="B4" s="584"/>
      <c r="C4" s="584"/>
      <c r="D4" s="584"/>
      <c r="E4" s="584"/>
      <c r="F4" s="584"/>
      <c r="G4" s="584"/>
      <c r="H4" s="584"/>
      <c r="I4" s="584"/>
      <c r="J4" s="584"/>
      <c r="K4" s="584"/>
      <c r="L4" s="584"/>
    </row>
    <row r="5" spans="1:33" s="589" customFormat="1">
      <c r="A5" s="630"/>
      <c r="B5" s="657" t="s">
        <v>877</v>
      </c>
      <c r="C5" s="657"/>
      <c r="D5" s="657"/>
      <c r="E5" s="657"/>
      <c r="F5" s="657"/>
      <c r="G5" s="657"/>
      <c r="H5" s="658"/>
      <c r="I5" s="659" t="s">
        <v>763</v>
      </c>
      <c r="J5" s="657"/>
      <c r="K5" s="657"/>
      <c r="L5" s="657"/>
      <c r="M5" s="657"/>
      <c r="N5" s="499" t="s">
        <v>765</v>
      </c>
      <c r="O5" s="490"/>
      <c r="P5" s="490"/>
      <c r="R5" s="289"/>
      <c r="S5" s="289"/>
      <c r="T5" s="289"/>
      <c r="U5" s="289"/>
      <c r="V5" s="289"/>
      <c r="W5" s="289"/>
      <c r="X5" s="289"/>
      <c r="Y5" s="289"/>
      <c r="Z5" s="289"/>
      <c r="AA5" s="289"/>
      <c r="AB5" s="289"/>
      <c r="AC5" s="289"/>
      <c r="AD5" s="289"/>
      <c r="AE5" s="289"/>
      <c r="AF5" s="289"/>
      <c r="AG5" s="289"/>
    </row>
    <row r="6" spans="1:33" s="595" customFormat="1" ht="24.75">
      <c r="A6" s="631"/>
      <c r="B6" s="632">
        <v>1</v>
      </c>
      <c r="C6" s="632">
        <v>2</v>
      </c>
      <c r="D6" s="632">
        <v>3</v>
      </c>
      <c r="E6" s="632">
        <v>4</v>
      </c>
      <c r="F6" s="632">
        <v>5</v>
      </c>
      <c r="G6" s="632">
        <v>6</v>
      </c>
      <c r="H6" s="633" t="s">
        <v>992</v>
      </c>
      <c r="I6" s="634" t="s">
        <v>979</v>
      </c>
      <c r="J6" s="632">
        <v>1</v>
      </c>
      <c r="K6" s="632">
        <v>2</v>
      </c>
      <c r="L6" s="632">
        <v>3</v>
      </c>
      <c r="M6" s="635" t="s">
        <v>980</v>
      </c>
      <c r="N6" s="635">
        <v>1</v>
      </c>
      <c r="O6" s="632">
        <v>2</v>
      </c>
      <c r="P6" s="635" t="s">
        <v>980</v>
      </c>
      <c r="R6" s="289"/>
      <c r="S6" s="289"/>
      <c r="T6" s="289"/>
      <c r="U6" s="289"/>
      <c r="V6" s="289"/>
      <c r="W6" s="289"/>
      <c r="X6" s="289"/>
      <c r="Y6" s="289"/>
      <c r="Z6" s="289"/>
      <c r="AA6" s="289"/>
      <c r="AB6" s="289"/>
      <c r="AC6" s="289"/>
      <c r="AD6" s="289"/>
      <c r="AE6" s="289"/>
      <c r="AF6" s="289"/>
      <c r="AG6" s="289"/>
    </row>
    <row r="7" spans="1:33">
      <c r="A7" s="478" t="s">
        <v>894</v>
      </c>
      <c r="B7" s="596">
        <f>+'NEW...Tables 91-112'!B41+'NEW...Tables 91-112'!C41</f>
        <v>92.362644083383444</v>
      </c>
      <c r="C7" s="596">
        <f>+'NEW...Tables 91-112'!B72+'NEW...Tables 91-112'!C72</f>
        <v>82.183093388199595</v>
      </c>
      <c r="D7" s="596">
        <f>+'NEW...Tables 91-112'!B102+'NEW...Tables 91-112'!C102</f>
        <v>82.445914708593321</v>
      </c>
      <c r="E7" s="596">
        <f>+'NEW...Tables 91-112'!B133+'NEW...Tables 91-112'!C133</f>
        <v>85.86291868212102</v>
      </c>
      <c r="F7" s="596">
        <f>+'NEW...Tables 91-112'!B164+'NEW...Tables 91-112'!C164</f>
        <v>92.168434419490595</v>
      </c>
      <c r="G7" s="596">
        <f>+'NEW...Tables 91-112'!B194+'NEW...Tables 91-112'!C194</f>
        <v>24.672746626772923</v>
      </c>
      <c r="H7" s="601">
        <f>+'NEW...Tables 91-112'!B9+'NEW...Tables 91-112'!C9</f>
        <v>86.35091974766604</v>
      </c>
      <c r="I7" s="598">
        <f>+'NEW...Tables 91-112'!B256+'NEW...Tables 91-112'!C256</f>
        <v>0</v>
      </c>
      <c r="J7" s="596">
        <f>+'NEW...Tables 91-112'!B287+'NEW...Tables 91-112'!C287</f>
        <v>69.29225840271846</v>
      </c>
      <c r="K7" s="596">
        <f>+'NEW...Tables 91-112'!B318+'NEW...Tables 91-112'!C318</f>
        <v>81.284715128301571</v>
      </c>
      <c r="L7" s="596">
        <f>+'NEW...Tables 91-112'!B349+'NEW...Tables 91-112'!C349</f>
        <v>74.420521602930265</v>
      </c>
      <c r="M7" s="598">
        <f>+'NEW...Tables 91-112'!B225+'NEW...Tables 91-112'!C225</f>
        <v>77.425358274288271</v>
      </c>
      <c r="N7" s="599">
        <f>+'NEW...Tables 91-112'!B410+'NEW...Tables 91-112'!C410</f>
        <v>87.908496732026137</v>
      </c>
      <c r="O7" s="511">
        <f>+'NEW...Tables 91-112'!B440+'NEW...Tables 91-112'!C440</f>
        <v>91.449732928257973</v>
      </c>
      <c r="P7" s="598">
        <f>+'NEW...Tables 91-112'!B380+'NEW...Tables 91-112'!C380</f>
        <v>89.914189637527144</v>
      </c>
      <c r="Q7" s="478"/>
      <c r="R7" s="478"/>
      <c r="V7" s="478"/>
    </row>
    <row r="8" spans="1:33">
      <c r="A8" s="478" t="s">
        <v>895</v>
      </c>
      <c r="B8" s="596">
        <f>+'NEW...Tables 91-112'!B42+'NEW...Tables 91-112'!C42</f>
        <v>91.216034267893264</v>
      </c>
      <c r="C8" s="596">
        <f>+'NEW...Tables 91-112'!B73+'NEW...Tables 91-112'!C73</f>
        <v>66.885403096532983</v>
      </c>
      <c r="D8" s="596">
        <f>+'NEW...Tables 91-112'!B103+'NEW...Tables 91-112'!C103</f>
        <v>78.820479738181589</v>
      </c>
      <c r="E8" s="596">
        <f>+'NEW...Tables 91-112'!B134+'NEW...Tables 91-112'!C134</f>
        <v>78.140423052351508</v>
      </c>
      <c r="F8" s="596">
        <f>+'NEW...Tables 91-112'!B165+'NEW...Tables 91-112'!C165</f>
        <v>73.770540384358938</v>
      </c>
      <c r="G8" s="596">
        <f>+'NEW...Tables 91-112'!B195+'NEW...Tables 91-112'!C195</f>
        <v>80.673323158902193</v>
      </c>
      <c r="H8" s="601">
        <f>+'NEW...Tables 91-112'!B10+'NEW...Tables 91-112'!C10</f>
        <v>81.521925155406521</v>
      </c>
      <c r="I8" s="598">
        <f>+'NEW...Tables 91-112'!B257+'NEW...Tables 91-112'!C257</f>
        <v>0</v>
      </c>
      <c r="J8" s="596">
        <f>+'NEW...Tables 91-112'!B288+'NEW...Tables 91-112'!C288</f>
        <v>68.559599579805962</v>
      </c>
      <c r="K8" s="596">
        <f>+'NEW...Tables 91-112'!B319+'NEW...Tables 91-112'!C319</f>
        <v>77.946850905615008</v>
      </c>
      <c r="L8" s="596">
        <f>+'NEW...Tables 91-112'!B350+'NEW...Tables 91-112'!C350</f>
        <v>74.143428997896734</v>
      </c>
      <c r="M8" s="598">
        <f>+'NEW...Tables 91-112'!B226+'NEW...Tables 91-112'!C226</f>
        <v>73.051109288435129</v>
      </c>
      <c r="N8" s="599">
        <f>+'NEW...Tables 91-112'!B411+'NEW...Tables 91-112'!C411</f>
        <v>0</v>
      </c>
      <c r="O8" s="511">
        <f>+'NEW...Tables 91-112'!B441+'NEW...Tables 91-112'!C441</f>
        <v>0</v>
      </c>
      <c r="P8" s="598">
        <f>+'NEW...Tables 91-112'!B381+'NEW...Tables 91-112'!C381</f>
        <v>0</v>
      </c>
    </row>
    <row r="9" spans="1:33">
      <c r="A9" s="478" t="s">
        <v>896</v>
      </c>
      <c r="B9" s="596">
        <f>+'NEW...Tables 91-112'!B43+'NEW...Tables 91-112'!C43</f>
        <v>96.59201035566447</v>
      </c>
      <c r="C9" s="596">
        <f>+'NEW...Tables 91-112'!B74+'NEW...Tables 91-112'!C74</f>
        <v>0</v>
      </c>
      <c r="D9" s="596">
        <f>+'NEW...Tables 91-112'!B104+'NEW...Tables 91-112'!C104</f>
        <v>95.960528684002526</v>
      </c>
      <c r="E9" s="596">
        <f>+'NEW...Tables 91-112'!B135+'NEW...Tables 91-112'!C135</f>
        <v>0</v>
      </c>
      <c r="F9" s="596">
        <f>+'NEW...Tables 91-112'!B166+'NEW...Tables 91-112'!C166</f>
        <v>0</v>
      </c>
      <c r="G9" s="596">
        <f>+'NEW...Tables 91-112'!B196+'NEW...Tables 91-112'!C196</f>
        <v>0</v>
      </c>
      <c r="H9" s="601">
        <f>+'NEW...Tables 91-112'!B11+'NEW...Tables 91-112'!C11</f>
        <v>96.477650690085696</v>
      </c>
      <c r="I9" s="598">
        <f>+'NEW...Tables 91-112'!B258+'NEW...Tables 91-112'!C258</f>
        <v>0</v>
      </c>
      <c r="J9" s="596">
        <f>+'NEW...Tables 91-112'!B289+'NEW...Tables 91-112'!C289</f>
        <v>0</v>
      </c>
      <c r="K9" s="596">
        <f>+'NEW...Tables 91-112'!B320+'NEW...Tables 91-112'!C320</f>
        <v>86.055778335633576</v>
      </c>
      <c r="L9" s="596">
        <f>+'NEW...Tables 91-112'!B351+'NEW...Tables 91-112'!C351</f>
        <v>0</v>
      </c>
      <c r="M9" s="598">
        <f>+'NEW...Tables 91-112'!B227+'NEW...Tables 91-112'!C227</f>
        <v>86.055778335633576</v>
      </c>
      <c r="N9" s="599">
        <f>+'NEW...Tables 91-112'!B412+'NEW...Tables 91-112'!C412</f>
        <v>0</v>
      </c>
      <c r="O9" s="511">
        <f>+'NEW...Tables 91-112'!B442+'NEW...Tables 91-112'!C442</f>
        <v>0</v>
      </c>
      <c r="P9" s="598">
        <f>+'NEW...Tables 91-112'!B382+'NEW...Tables 91-112'!C382</f>
        <v>0</v>
      </c>
    </row>
    <row r="10" spans="1:33">
      <c r="A10" s="478" t="s">
        <v>897</v>
      </c>
      <c r="B10" s="596">
        <f>+'NEW...Tables 91-112'!B44+'NEW...Tables 91-112'!C44</f>
        <v>75.257112791570421</v>
      </c>
      <c r="C10" s="596">
        <f>+'NEW...Tables 91-112'!B75+'NEW...Tables 91-112'!C75</f>
        <v>0</v>
      </c>
      <c r="D10" s="596">
        <f>+'NEW...Tables 91-112'!B105+'NEW...Tables 91-112'!C105</f>
        <v>86.419912969752488</v>
      </c>
      <c r="E10" s="596">
        <f>+'NEW...Tables 91-112'!B136+'NEW...Tables 91-112'!C136</f>
        <v>79.841925196037096</v>
      </c>
      <c r="F10" s="596">
        <f>+'NEW...Tables 91-112'!B167+'NEW...Tables 91-112'!C167</f>
        <v>0</v>
      </c>
      <c r="G10" s="596">
        <f>+'NEW...Tables 91-112'!B197+'NEW...Tables 91-112'!C197</f>
        <v>100</v>
      </c>
      <c r="H10" s="601">
        <f>+'NEW...Tables 91-112'!B12+'NEW...Tables 91-112'!C12</f>
        <v>76.903761286658423</v>
      </c>
      <c r="I10" s="598">
        <f>+'NEW...Tables 91-112'!B259+'NEW...Tables 91-112'!C259</f>
        <v>75.409279313352414</v>
      </c>
      <c r="J10" s="596">
        <f>+'NEW...Tables 91-112'!B290+'NEW...Tables 91-112'!C290</f>
        <v>74.738344328448505</v>
      </c>
      <c r="K10" s="596">
        <f>+'NEW...Tables 91-112'!B321+'NEW...Tables 91-112'!C321</f>
        <v>74.406549246328751</v>
      </c>
      <c r="L10" s="596">
        <f>+'NEW...Tables 91-112'!B352+'NEW...Tables 91-112'!C352</f>
        <v>74.086785388566213</v>
      </c>
      <c r="M10" s="598">
        <f>+'NEW...Tables 91-112'!B228+'NEW...Tables 91-112'!C228</f>
        <v>75.289621167772609</v>
      </c>
      <c r="N10" s="599">
        <f>+'NEW...Tables 91-112'!B413+'NEW...Tables 91-112'!C413</f>
        <v>0</v>
      </c>
      <c r="O10" s="511">
        <f>+'NEW...Tables 91-112'!B443+'NEW...Tables 91-112'!C443</f>
        <v>0</v>
      </c>
      <c r="P10" s="598">
        <f>+'NEW...Tables 91-112'!B383+'NEW...Tables 91-112'!C383</f>
        <v>0</v>
      </c>
    </row>
    <row r="11" spans="1:33">
      <c r="A11" s="478"/>
      <c r="B11" s="596"/>
      <c r="C11" s="596"/>
      <c r="D11" s="596"/>
      <c r="E11" s="596"/>
      <c r="F11" s="596"/>
      <c r="G11" s="596"/>
      <c r="H11" s="601"/>
      <c r="I11" s="598"/>
      <c r="J11" s="596"/>
      <c r="K11" s="596"/>
      <c r="L11" s="596"/>
      <c r="M11" s="598"/>
      <c r="N11" s="599"/>
      <c r="O11" s="511"/>
      <c r="P11" s="598"/>
    </row>
    <row r="12" spans="1:33">
      <c r="A12" s="478" t="s">
        <v>898</v>
      </c>
      <c r="B12" s="596">
        <f>+'NEW...Tables 91-112'!B46+'NEW...Tables 91-112'!C46</f>
        <v>88.753375150276952</v>
      </c>
      <c r="C12" s="596">
        <f>+'NEW...Tables 91-112'!B77+'NEW...Tables 91-112'!C77</f>
        <v>98.726593471877891</v>
      </c>
      <c r="D12" s="596">
        <f>+'NEW...Tables 91-112'!B107+'NEW...Tables 91-112'!C107</f>
        <v>79.580531950864554</v>
      </c>
      <c r="E12" s="596">
        <f>+'NEW...Tables 91-112'!B138+'NEW...Tables 91-112'!C138</f>
        <v>85.894076240748419</v>
      </c>
      <c r="F12" s="596">
        <f>+'NEW...Tables 91-112'!B169+'NEW...Tables 91-112'!C169</f>
        <v>84.713024850925351</v>
      </c>
      <c r="G12" s="596">
        <f>+'NEW...Tables 91-112'!B199+'NEW...Tables 91-112'!C199</f>
        <v>88.064745011086472</v>
      </c>
      <c r="H12" s="601">
        <f>+'NEW...Tables 91-112'!B14+'NEW...Tables 91-112'!C14</f>
        <v>85.95032024940609</v>
      </c>
      <c r="I12" s="598">
        <f>+'NEW...Tables 91-112'!B261+'NEW...Tables 91-112'!C261</f>
        <v>77.996537891430762</v>
      </c>
      <c r="J12" s="596">
        <f>+'NEW...Tables 91-112'!B292+'NEW...Tables 91-112'!C292</f>
        <v>0</v>
      </c>
      <c r="K12" s="596">
        <f>+'NEW...Tables 91-112'!B323+'NEW...Tables 91-112'!C323</f>
        <v>78.220180629087508</v>
      </c>
      <c r="L12" s="596">
        <f>+'NEW...Tables 91-112'!B354+'NEW...Tables 91-112'!C354</f>
        <v>69.32580990368713</v>
      </c>
      <c r="M12" s="598">
        <f>+'NEW...Tables 91-112'!B230+'NEW...Tables 91-112'!C230</f>
        <v>77.366958622772572</v>
      </c>
      <c r="N12" s="599">
        <f>+'NEW...Tables 91-112'!B415+'NEW...Tables 91-112'!C415</f>
        <v>67.727248573176553</v>
      </c>
      <c r="O12" s="511">
        <f>+'NEW...Tables 91-112'!B445+'NEW...Tables 91-112'!C445</f>
        <v>0</v>
      </c>
      <c r="P12" s="598">
        <f>+'NEW...Tables 91-112'!B385+'NEW...Tables 91-112'!C385</f>
        <v>67.727248573176553</v>
      </c>
    </row>
    <row r="13" spans="1:33">
      <c r="A13" s="478" t="s">
        <v>899</v>
      </c>
      <c r="B13" s="596">
        <f>+'NEW...Tables 91-112'!B47+'NEW...Tables 91-112'!C47</f>
        <v>91.82033941885031</v>
      </c>
      <c r="C13" s="596">
        <f>+'NEW...Tables 91-112'!B78+'NEW...Tables 91-112'!C78</f>
        <v>0</v>
      </c>
      <c r="D13" s="596">
        <f>+'NEW...Tables 91-112'!B108+'NEW...Tables 91-112'!C108</f>
        <v>80.976002596631105</v>
      </c>
      <c r="E13" s="596">
        <f>+'NEW...Tables 91-112'!B139+'NEW...Tables 91-112'!C139</f>
        <v>75.690865361017032</v>
      </c>
      <c r="F13" s="596">
        <f>+'NEW...Tables 91-112'!B170+'NEW...Tables 91-112'!C170</f>
        <v>0</v>
      </c>
      <c r="G13" s="596">
        <f>+'NEW...Tables 91-112'!B200+'NEW...Tables 91-112'!C200</f>
        <v>0</v>
      </c>
      <c r="H13" s="601">
        <f>+'NEW...Tables 91-112'!B15+'NEW...Tables 91-112'!C15</f>
        <v>85.191388354266621</v>
      </c>
      <c r="I13" s="598">
        <f>+'NEW...Tables 91-112'!B262+'NEW...Tables 91-112'!C262</f>
        <v>0</v>
      </c>
      <c r="J13" s="596">
        <f>+'NEW...Tables 91-112'!B293+'NEW...Tables 91-112'!C293</f>
        <v>68.36971298125016</v>
      </c>
      <c r="K13" s="596">
        <f>+'NEW...Tables 91-112'!B324+'NEW...Tables 91-112'!C324</f>
        <v>56.863376242351968</v>
      </c>
      <c r="L13" s="596">
        <f>+'NEW...Tables 91-112'!B355+'NEW...Tables 91-112'!C355</f>
        <v>45.212259890407658</v>
      </c>
      <c r="M13" s="598">
        <f>+'NEW...Tables 91-112'!B231+'NEW...Tables 91-112'!C231</f>
        <v>59.721774281993561</v>
      </c>
      <c r="N13" s="599">
        <f>+'NEW...Tables 91-112'!B416+'NEW...Tables 91-112'!C416</f>
        <v>67.879671058932999</v>
      </c>
      <c r="O13" s="511">
        <f>+'NEW...Tables 91-112'!B446+'NEW...Tables 91-112'!C446</f>
        <v>0</v>
      </c>
      <c r="P13" s="598">
        <f>+'NEW...Tables 91-112'!B386+'NEW...Tables 91-112'!C386</f>
        <v>67.879671058932999</v>
      </c>
    </row>
    <row r="14" spans="1:33">
      <c r="A14" s="478" t="s">
        <v>900</v>
      </c>
      <c r="B14" s="596">
        <f>+'NEW...Tables 91-112'!B48+'NEW...Tables 91-112'!C48</f>
        <v>97.687609075043625</v>
      </c>
      <c r="C14" s="596">
        <f>+'NEW...Tables 91-112'!B79+'NEW...Tables 91-112'!C79</f>
        <v>89.944207906532498</v>
      </c>
      <c r="D14" s="596">
        <f>+'NEW...Tables 91-112'!B109+'NEW...Tables 91-112'!C109</f>
        <v>87.595253345264368</v>
      </c>
      <c r="E14" s="596">
        <f>+'NEW...Tables 91-112'!B140+'NEW...Tables 91-112'!C140</f>
        <v>77.496965312882708</v>
      </c>
      <c r="F14" s="596">
        <f>+'NEW...Tables 91-112'!B171+'NEW...Tables 91-112'!C171</f>
        <v>87.671232876712324</v>
      </c>
      <c r="G14" s="596">
        <f>+'NEW...Tables 91-112'!B201+'NEW...Tables 91-112'!C201</f>
        <v>74.513438368860108</v>
      </c>
      <c r="H14" s="601">
        <f>+'NEW...Tables 91-112'!B16+'NEW...Tables 91-112'!C16</f>
        <v>87.983309624839151</v>
      </c>
      <c r="I14" s="598">
        <f>+'NEW...Tables 91-112'!B263+'NEW...Tables 91-112'!C263</f>
        <v>0</v>
      </c>
      <c r="J14" s="596">
        <f>+'NEW...Tables 91-112'!B294+'NEW...Tables 91-112'!C294</f>
        <v>84.42167969294799</v>
      </c>
      <c r="K14" s="596">
        <f>+'NEW...Tables 91-112'!B325+'NEW...Tables 91-112'!C325</f>
        <v>88.537090831292403</v>
      </c>
      <c r="L14" s="596">
        <f>+'NEW...Tables 91-112'!B356+'NEW...Tables 91-112'!C356</f>
        <v>75.817453761510151</v>
      </c>
      <c r="M14" s="598">
        <f>+'NEW...Tables 91-112'!B232+'NEW...Tables 91-112'!C232</f>
        <v>84.365469666345135</v>
      </c>
      <c r="N14" s="599">
        <f>+'NEW...Tables 91-112'!B417+'NEW...Tables 91-112'!C417</f>
        <v>89.965644174715678</v>
      </c>
      <c r="O14" s="511">
        <f>+'NEW...Tables 91-112'!B447+'NEW...Tables 91-112'!C447</f>
        <v>0</v>
      </c>
      <c r="P14" s="598">
        <f>+'NEW...Tables 91-112'!B387+'NEW...Tables 91-112'!C387</f>
        <v>89.965644174715678</v>
      </c>
    </row>
    <row r="15" spans="1:33">
      <c r="A15" s="478" t="s">
        <v>901</v>
      </c>
      <c r="B15" s="596">
        <f>+'NEW...Tables 91-112'!B49+'NEW...Tables 91-112'!C49</f>
        <v>96.075285717898964</v>
      </c>
      <c r="C15" s="596">
        <f>+'NEW...Tables 91-112'!B80+'NEW...Tables 91-112'!C80</f>
        <v>89.134668615557402</v>
      </c>
      <c r="D15" s="596">
        <f>+'NEW...Tables 91-112'!B110+'NEW...Tables 91-112'!C110</f>
        <v>87.612997562956934</v>
      </c>
      <c r="E15" s="596">
        <f>+'NEW...Tables 91-112'!B141+'NEW...Tables 91-112'!C141</f>
        <v>85.414035170893428</v>
      </c>
      <c r="F15" s="596">
        <f>+'NEW...Tables 91-112'!B172+'NEW...Tables 91-112'!C172</f>
        <v>79.108242005704852</v>
      </c>
      <c r="G15" s="596">
        <f>+'NEW...Tables 91-112'!B202+'NEW...Tables 91-112'!C202</f>
        <v>100</v>
      </c>
      <c r="H15" s="601">
        <f>+'NEW...Tables 91-112'!B17+'NEW...Tables 91-112'!C17</f>
        <v>71.275807483261673</v>
      </c>
      <c r="I15" s="598">
        <f>+'NEW...Tables 91-112'!B264+'NEW...Tables 91-112'!C264</f>
        <v>0</v>
      </c>
      <c r="J15" s="596">
        <f>+'NEW...Tables 91-112'!B295+'NEW...Tables 91-112'!C295</f>
        <v>83.409529536629435</v>
      </c>
      <c r="K15" s="596">
        <f>+'NEW...Tables 91-112'!B326+'NEW...Tables 91-112'!C326</f>
        <v>75.429100867290998</v>
      </c>
      <c r="L15" s="596">
        <f>+'NEW...Tables 91-112'!B357+'NEW...Tables 91-112'!C357</f>
        <v>79.47175367119776</v>
      </c>
      <c r="M15" s="598">
        <f>+'NEW...Tables 91-112'!B233+'NEW...Tables 91-112'!C233</f>
        <v>81.610834608762559</v>
      </c>
      <c r="N15" s="599">
        <f>+'NEW...Tables 91-112'!B418+'NEW...Tables 91-112'!C418</f>
        <v>0</v>
      </c>
      <c r="O15" s="511">
        <f>+'NEW...Tables 91-112'!B448+'NEW...Tables 91-112'!C448</f>
        <v>0</v>
      </c>
      <c r="P15" s="598">
        <f>+'NEW...Tables 91-112'!B388+'NEW...Tables 91-112'!C388</f>
        <v>0</v>
      </c>
    </row>
    <row r="16" spans="1:33">
      <c r="A16" s="478"/>
      <c r="B16" s="596"/>
      <c r="C16" s="596"/>
      <c r="D16" s="596"/>
      <c r="E16" s="596"/>
      <c r="F16" s="596"/>
      <c r="G16" s="596"/>
      <c r="H16" s="601"/>
      <c r="I16" s="598"/>
      <c r="J16" s="596"/>
      <c r="K16" s="596"/>
      <c r="L16" s="596"/>
      <c r="M16" s="598"/>
      <c r="N16" s="599"/>
      <c r="O16" s="511"/>
      <c r="P16" s="598"/>
    </row>
    <row r="17" spans="1:40" ht="15.75" customHeight="1">
      <c r="A17" s="478" t="s">
        <v>902</v>
      </c>
      <c r="B17" s="596">
        <f>+'NEW...Tables 91-112'!B51+'NEW...Tables 91-112'!C51</f>
        <v>87.455031036206876</v>
      </c>
      <c r="C17" s="596">
        <f>+'NEW...Tables 91-112'!B82+'NEW...Tables 91-112'!C82</f>
        <v>87.826822822015544</v>
      </c>
      <c r="D17" s="596">
        <f>+'NEW...Tables 91-112'!B112+'NEW...Tables 91-112'!C112</f>
        <v>0</v>
      </c>
      <c r="E17" s="596">
        <f>+'NEW...Tables 91-112'!B143+'NEW...Tables 91-112'!C143</f>
        <v>80.635971666153381</v>
      </c>
      <c r="F17" s="596">
        <f>+'NEW...Tables 91-112'!B174+'NEW...Tables 91-112'!C174</f>
        <v>50.154359967444073</v>
      </c>
      <c r="G17" s="596">
        <f>+'NEW...Tables 91-112'!B204+'NEW...Tables 91-112'!C204</f>
        <v>0</v>
      </c>
      <c r="H17" s="601">
        <f>+'NEW...Tables 91-112'!B19+'NEW...Tables 91-112'!C19</f>
        <v>85.374221289663026</v>
      </c>
      <c r="I17" s="598">
        <f>+'NEW...Tables 91-112'!B266+'NEW...Tables 91-112'!C266</f>
        <v>0</v>
      </c>
      <c r="J17" s="596">
        <f>+'NEW...Tables 91-112'!B297+'NEW...Tables 91-112'!C297</f>
        <v>74.678741209555994</v>
      </c>
      <c r="K17" s="596">
        <f>+'NEW...Tables 91-112'!B328+'NEW...Tables 91-112'!C328</f>
        <v>74.000594670521764</v>
      </c>
      <c r="L17" s="596">
        <f>+'NEW...Tables 91-112'!B359+'NEW...Tables 91-112'!C359</f>
        <v>84.244178220487271</v>
      </c>
      <c r="M17" s="598">
        <f>+'NEW...Tables 91-112'!B235+'NEW...Tables 91-112'!C235</f>
        <v>74.870713078229485</v>
      </c>
      <c r="N17" s="599">
        <f>+'NEW...Tables 91-112'!B420+'NEW...Tables 91-112'!C420</f>
        <v>0</v>
      </c>
      <c r="O17" s="511">
        <f>+'NEW...Tables 91-112'!B450+'NEW...Tables 91-112'!C450</f>
        <v>0</v>
      </c>
      <c r="P17" s="598">
        <f>+'NEW...Tables 91-112'!B390+'NEW...Tables 91-112'!C390</f>
        <v>0</v>
      </c>
    </row>
    <row r="18" spans="1:40" ht="15.75" customHeight="1">
      <c r="A18" s="478" t="s">
        <v>903</v>
      </c>
      <c r="B18" s="596">
        <f>+'NEW...Tables 91-112'!B52+'NEW...Tables 91-112'!C52</f>
        <v>86.882221134956893</v>
      </c>
      <c r="C18" s="596">
        <f>+'NEW...Tables 91-112'!B83+'NEW...Tables 91-112'!C83</f>
        <v>79.406196835859021</v>
      </c>
      <c r="D18" s="596">
        <f>+'NEW...Tables 91-112'!B113+'NEW...Tables 91-112'!C113</f>
        <v>86.51894839526517</v>
      </c>
      <c r="E18" s="596">
        <f>+'NEW...Tables 91-112'!B144+'NEW...Tables 91-112'!C144</f>
        <v>69.913765138408309</v>
      </c>
      <c r="F18" s="596">
        <f>+'NEW...Tables 91-112'!B175+'NEW...Tables 91-112'!C175</f>
        <v>75.719620215509849</v>
      </c>
      <c r="G18" s="596">
        <f>+'NEW...Tables 91-112'!B205+'NEW...Tables 91-112'!C205</f>
        <v>89.277192216965062</v>
      </c>
      <c r="H18" s="601">
        <f>+'NEW...Tables 91-112'!B20+'NEW...Tables 91-112'!C20</f>
        <v>84.795399387868372</v>
      </c>
      <c r="I18" s="598">
        <f>+'NEW...Tables 91-112'!B267+'NEW...Tables 91-112'!C267</f>
        <v>0</v>
      </c>
      <c r="J18" s="596">
        <f>+'NEW...Tables 91-112'!B298+'NEW...Tables 91-112'!C298</f>
        <v>58.671260277144249</v>
      </c>
      <c r="K18" s="596">
        <f>+'NEW...Tables 91-112'!B329+'NEW...Tables 91-112'!C329</f>
        <v>52.646552781584511</v>
      </c>
      <c r="L18" s="596">
        <f>+'NEW...Tables 91-112'!B360+'NEW...Tables 91-112'!C360</f>
        <v>47.622553768649482</v>
      </c>
      <c r="M18" s="598">
        <f>+'NEW...Tables 91-112'!B236+'NEW...Tables 91-112'!C236</f>
        <v>54.879682203270008</v>
      </c>
      <c r="N18" s="599">
        <f>+'NEW...Tables 91-112'!B421+'NEW...Tables 91-112'!C421</f>
        <v>0</v>
      </c>
      <c r="O18" s="511">
        <f>+'NEW...Tables 91-112'!B451+'NEW...Tables 91-112'!C451</f>
        <v>0</v>
      </c>
      <c r="P18" s="598">
        <f>+'NEW...Tables 91-112'!B391+'NEW...Tables 91-112'!C391</f>
        <v>0</v>
      </c>
    </row>
    <row r="19" spans="1:40" ht="15.75" customHeight="1">
      <c r="A19" s="478" t="s">
        <v>904</v>
      </c>
      <c r="B19" s="596">
        <f>+'NEW...Tables 91-112'!B53+'NEW...Tables 91-112'!C53</f>
        <v>87.205171864602946</v>
      </c>
      <c r="C19" s="596">
        <f>+'NEW...Tables 91-112'!B84+'NEW...Tables 91-112'!C84</f>
        <v>0</v>
      </c>
      <c r="D19" s="596">
        <f>+'NEW...Tables 91-112'!B114+'NEW...Tables 91-112'!C114</f>
        <v>78.321271658620304</v>
      </c>
      <c r="E19" s="596">
        <f>+'NEW...Tables 91-112'!B145+'NEW...Tables 91-112'!C145</f>
        <v>62.702529540050023</v>
      </c>
      <c r="F19" s="596">
        <f>+'NEW...Tables 91-112'!B176+'NEW...Tables 91-112'!C176</f>
        <v>79.836895951095471</v>
      </c>
      <c r="G19" s="596">
        <f>+'NEW...Tables 91-112'!B206+'NEW...Tables 91-112'!C206</f>
        <v>76.992217166825753</v>
      </c>
      <c r="H19" s="601">
        <f>+'NEW...Tables 91-112'!B21+'NEW...Tables 91-112'!C21</f>
        <v>82.43137636760396</v>
      </c>
      <c r="I19" s="598">
        <f>+'NEW...Tables 91-112'!B268+'NEW...Tables 91-112'!C268</f>
        <v>66.971595801334857</v>
      </c>
      <c r="J19" s="596">
        <f>+'NEW...Tables 91-112'!B299+'NEW...Tables 91-112'!C299</f>
        <v>69.818212783471509</v>
      </c>
      <c r="K19" s="596">
        <f>+'NEW...Tables 91-112'!B330+'NEW...Tables 91-112'!C330</f>
        <v>71.468803085671539</v>
      </c>
      <c r="L19" s="596">
        <f>+'NEW...Tables 91-112'!B361+'NEW...Tables 91-112'!C361</f>
        <v>73.009778173802943</v>
      </c>
      <c r="M19" s="598">
        <f>+'NEW...Tables 91-112'!B237+'NEW...Tables 91-112'!C237</f>
        <v>70.48344541948137</v>
      </c>
      <c r="N19" s="599">
        <f>+'NEW...Tables 91-112'!B422+'NEW...Tables 91-112'!C422</f>
        <v>0</v>
      </c>
      <c r="O19" s="511">
        <f>+'NEW...Tables 91-112'!B452+'NEW...Tables 91-112'!C452</f>
        <v>0</v>
      </c>
      <c r="P19" s="598">
        <f>+'NEW...Tables 91-112'!B392+'NEW...Tables 91-112'!C392</f>
        <v>0</v>
      </c>
    </row>
    <row r="20" spans="1:40" ht="15.75" customHeight="1">
      <c r="A20" s="478" t="s">
        <v>905</v>
      </c>
      <c r="B20" s="596">
        <f>+'NEW...Tables 91-112'!B54+'NEW...Tables 91-112'!C54</f>
        <v>93.308180735017743</v>
      </c>
      <c r="C20" s="596">
        <f>+'NEW...Tables 91-112'!B85+'NEW...Tables 91-112'!C85</f>
        <v>0</v>
      </c>
      <c r="D20" s="596">
        <f>+'NEW...Tables 91-112'!B115+'NEW...Tables 91-112'!C115</f>
        <v>95.046046186144167</v>
      </c>
      <c r="E20" s="596">
        <f>+'NEW...Tables 91-112'!B146+'NEW...Tables 91-112'!C146</f>
        <v>0</v>
      </c>
      <c r="F20" s="596">
        <f>+'NEW...Tables 91-112'!B177+'NEW...Tables 91-112'!C177</f>
        <v>89.899360856262348</v>
      </c>
      <c r="G20" s="596">
        <f>+'NEW...Tables 91-112'!B207+'NEW...Tables 91-112'!C207</f>
        <v>87.509711591079537</v>
      </c>
      <c r="H20" s="601">
        <f>+'NEW...Tables 91-112'!B22+'NEW...Tables 91-112'!C22</f>
        <v>92.257658145764381</v>
      </c>
      <c r="I20" s="598">
        <f>+'NEW...Tables 91-112'!B269+'NEW...Tables 91-112'!C269</f>
        <v>0</v>
      </c>
      <c r="J20" s="596">
        <f>+'NEW...Tables 91-112'!B300+'NEW...Tables 91-112'!C300</f>
        <v>68.261879923857308</v>
      </c>
      <c r="K20" s="596">
        <f>+'NEW...Tables 91-112'!B331+'NEW...Tables 91-112'!C331</f>
        <v>70.581310018503586</v>
      </c>
      <c r="L20" s="596">
        <f>+'NEW...Tables 91-112'!B362+'NEW...Tables 91-112'!C362</f>
        <v>79.615291704369128</v>
      </c>
      <c r="M20" s="598">
        <f>+'NEW...Tables 91-112'!B238+'NEW...Tables 91-112'!C238</f>
        <v>70.266510933146677</v>
      </c>
      <c r="N20" s="599">
        <f>+'NEW...Tables 91-112'!B423+'NEW...Tables 91-112'!C423</f>
        <v>0</v>
      </c>
      <c r="O20" s="511">
        <f>+'NEW...Tables 91-112'!B453+'NEW...Tables 91-112'!C453</f>
        <v>0</v>
      </c>
      <c r="P20" s="598">
        <f>+'NEW...Tables 91-112'!B393+'NEW...Tables 91-112'!C393</f>
        <v>0</v>
      </c>
    </row>
    <row r="21" spans="1:40" ht="15.75" customHeight="1">
      <c r="A21" s="478"/>
      <c r="B21" s="596"/>
      <c r="C21" s="596"/>
      <c r="D21" s="596"/>
      <c r="E21" s="596"/>
      <c r="F21" s="596"/>
      <c r="G21" s="596"/>
      <c r="H21" s="601"/>
      <c r="I21" s="598"/>
      <c r="J21" s="596"/>
      <c r="K21" s="596"/>
      <c r="L21" s="596"/>
      <c r="M21" s="598"/>
      <c r="N21" s="599"/>
      <c r="O21" s="511"/>
      <c r="P21" s="598"/>
    </row>
    <row r="22" spans="1:40" ht="15.75" customHeight="1">
      <c r="A22" s="478" t="s">
        <v>906</v>
      </c>
      <c r="B22" s="596">
        <f>+'NEW...Tables 91-112'!B56+'NEW...Tables 91-112'!C56</f>
        <v>86.797941417712494</v>
      </c>
      <c r="C22" s="596">
        <f>+'NEW...Tables 91-112'!B87+'NEW...Tables 91-112'!C87</f>
        <v>78.016612276357435</v>
      </c>
      <c r="D22" s="596">
        <f>+'NEW...Tables 91-112'!B117+'NEW...Tables 91-112'!C117</f>
        <v>75.691256522297408</v>
      </c>
      <c r="E22" s="596">
        <f>+'NEW...Tables 91-112'!B148+'NEW...Tables 91-112'!C148</f>
        <v>0</v>
      </c>
      <c r="F22" s="596">
        <f>+'NEW...Tables 91-112'!B179+'NEW...Tables 91-112'!C179</f>
        <v>86.679405745560501</v>
      </c>
      <c r="G22" s="596">
        <f>+'NEW...Tables 91-112'!B209+'NEW...Tables 91-112'!C209</f>
        <v>0</v>
      </c>
      <c r="H22" s="601">
        <f>+'NEW...Tables 91-112'!B24+'NEW...Tables 91-112'!C24</f>
        <v>80.530842980515359</v>
      </c>
      <c r="I22" s="598">
        <f>+'NEW...Tables 91-112'!B271+'NEW...Tables 91-112'!C271</f>
        <v>0</v>
      </c>
      <c r="J22" s="596">
        <f>+'NEW...Tables 91-112'!B302+'NEW...Tables 91-112'!C302</f>
        <v>75.144563948504157</v>
      </c>
      <c r="K22" s="596">
        <f>+'NEW...Tables 91-112'!B333+'NEW...Tables 91-112'!C333</f>
        <v>73.723267298726</v>
      </c>
      <c r="L22" s="596">
        <f>+'NEW...Tables 91-112'!B364+'NEW...Tables 91-112'!C364</f>
        <v>73.472649538498416</v>
      </c>
      <c r="M22" s="598">
        <f>+'NEW...Tables 91-112'!B240+'NEW...Tables 91-112'!C240</f>
        <v>74.47298735121403</v>
      </c>
      <c r="N22" s="599">
        <f>+'NEW...Tables 91-112'!B425+'NEW...Tables 91-112'!C425</f>
        <v>0</v>
      </c>
      <c r="O22" s="511">
        <f>+'NEW...Tables 91-112'!B455+'NEW...Tables 91-112'!C455</f>
        <v>0</v>
      </c>
      <c r="P22" s="598">
        <f>+'NEW...Tables 91-112'!B395+'NEW...Tables 91-112'!C395</f>
        <v>0</v>
      </c>
    </row>
    <row r="23" spans="1:40" ht="15.75" customHeight="1">
      <c r="A23" s="478" t="s">
        <v>907</v>
      </c>
      <c r="B23" s="596">
        <f>+'NEW...Tables 91-112'!B57+'NEW...Tables 91-112'!C57</f>
        <v>85.450188401310811</v>
      </c>
      <c r="C23" s="596">
        <f>+'NEW...Tables 91-112'!B88+'NEW...Tables 91-112'!C88</f>
        <v>86.49512769330893</v>
      </c>
      <c r="D23" s="596">
        <f>+'NEW...Tables 91-112'!B118+'NEW...Tables 91-112'!C118</f>
        <v>80.494765197081662</v>
      </c>
      <c r="E23" s="596">
        <f>+'NEW...Tables 91-112'!B149+'NEW...Tables 91-112'!C149</f>
        <v>50.694013701084785</v>
      </c>
      <c r="F23" s="596">
        <f>+'NEW...Tables 91-112'!B180+'NEW...Tables 91-112'!C180</f>
        <v>66.892587387607577</v>
      </c>
      <c r="G23" s="596">
        <f>+'NEW...Tables 91-112'!B210+'NEW...Tables 91-112'!C210</f>
        <v>0</v>
      </c>
      <c r="H23" s="601">
        <f>+'NEW...Tables 91-112'!B25+'NEW...Tables 91-112'!C25</f>
        <v>83.020828983584849</v>
      </c>
      <c r="I23" s="598">
        <f>+'NEW...Tables 91-112'!B272+'NEW...Tables 91-112'!C272</f>
        <v>76.582509615302413</v>
      </c>
      <c r="J23" s="596">
        <f>+'NEW...Tables 91-112'!B303+'NEW...Tables 91-112'!C303</f>
        <v>74.38366588809815</v>
      </c>
      <c r="K23" s="596">
        <f>+'NEW...Tables 91-112'!B334+'NEW...Tables 91-112'!C334</f>
        <v>72.739130699051202</v>
      </c>
      <c r="L23" s="596">
        <f>+'NEW...Tables 91-112'!B365+'NEW...Tables 91-112'!C365</f>
        <v>64.757488492324427</v>
      </c>
      <c r="M23" s="598">
        <f>+'NEW...Tables 91-112'!B241+'NEW...Tables 91-112'!C241</f>
        <v>73.91150906099594</v>
      </c>
      <c r="N23" s="599">
        <f>+'NEW...Tables 91-112'!B426+'NEW...Tables 91-112'!C426</f>
        <v>0</v>
      </c>
      <c r="O23" s="511">
        <f>+'NEW...Tables 91-112'!B456+'NEW...Tables 91-112'!C456</f>
        <v>0</v>
      </c>
      <c r="P23" s="598">
        <f>+'NEW...Tables 91-112'!B396+'NEW...Tables 91-112'!C396</f>
        <v>0</v>
      </c>
    </row>
    <row r="24" spans="1:40" ht="15.75" customHeight="1">
      <c r="A24" s="478" t="s">
        <v>908</v>
      </c>
      <c r="B24" s="596">
        <f>+'NEW...Tables 91-112'!B58+'NEW...Tables 91-112'!C58</f>
        <v>91.459934778937722</v>
      </c>
      <c r="C24" s="596">
        <f>+'NEW...Tables 91-112'!B89+'NEW...Tables 91-112'!C89</f>
        <v>99.757999952780466</v>
      </c>
      <c r="D24" s="596">
        <f>+'NEW...Tables 91-112'!B119+'NEW...Tables 91-112'!C119</f>
        <v>92.81843677803613</v>
      </c>
      <c r="E24" s="596">
        <f>+'NEW...Tables 91-112'!B150+'NEW...Tables 91-112'!C150</f>
        <v>0</v>
      </c>
      <c r="F24" s="596">
        <f>+'NEW...Tables 91-112'!B181+'NEW...Tables 91-112'!C181</f>
        <v>100</v>
      </c>
      <c r="G24" s="596">
        <f>+'NEW...Tables 91-112'!B211+'NEW...Tables 91-112'!C211</f>
        <v>80.31345949308664</v>
      </c>
      <c r="H24" s="601">
        <f>+'NEW...Tables 91-112'!B26+'NEW...Tables 91-112'!C26</f>
        <v>92.29568754708832</v>
      </c>
      <c r="I24" s="598">
        <f>+'NEW...Tables 91-112'!B273+'NEW...Tables 91-112'!C273</f>
        <v>0</v>
      </c>
      <c r="J24" s="596">
        <f>+'NEW...Tables 91-112'!B304+'NEW...Tables 91-112'!C304</f>
        <v>72.33904325035013</v>
      </c>
      <c r="K24" s="596">
        <f>+'NEW...Tables 91-112'!B335+'NEW...Tables 91-112'!C335</f>
        <v>68.708696393581192</v>
      </c>
      <c r="L24" s="596">
        <f>+'NEW...Tables 91-112'!B366+'NEW...Tables 91-112'!C366</f>
        <v>64.260294534218517</v>
      </c>
      <c r="M24" s="598">
        <f>+'NEW...Tables 91-112'!B242+'NEW...Tables 91-112'!C242</f>
        <v>70.538214567176638</v>
      </c>
      <c r="N24" s="599">
        <f>+'NEW...Tables 91-112'!B427+'NEW...Tables 91-112'!C427</f>
        <v>0</v>
      </c>
      <c r="O24" s="511">
        <f>+'NEW...Tables 91-112'!B457+'NEW...Tables 91-112'!C457</f>
        <v>0</v>
      </c>
      <c r="P24" s="598">
        <f>+'NEW...Tables 91-112'!B397+'NEW...Tables 91-112'!C397</f>
        <v>0</v>
      </c>
    </row>
    <row r="25" spans="1:40" ht="15.75" customHeight="1">
      <c r="A25" s="484" t="s">
        <v>909</v>
      </c>
      <c r="B25" s="602">
        <f>+'NEW...Tables 91-112'!B59+'NEW...Tables 91-112'!C59</f>
        <v>89.431700440582816</v>
      </c>
      <c r="C25" s="602">
        <f>+'NEW...Tables 91-112'!B90+'NEW...Tables 91-112'!C90</f>
        <v>0</v>
      </c>
      <c r="D25" s="602">
        <f>+'NEW...Tables 91-112'!B120+'NEW...Tables 91-112'!C120</f>
        <v>85.427147082630427</v>
      </c>
      <c r="E25" s="602">
        <f>+'NEW...Tables 91-112'!B151+'NEW...Tables 91-112'!C151</f>
        <v>0</v>
      </c>
      <c r="F25" s="602">
        <f>+'NEW...Tables 91-112'!B182+'NEW...Tables 91-112'!C182</f>
        <v>86.164017495871832</v>
      </c>
      <c r="G25" s="602">
        <f>+'NEW...Tables 91-112'!B212+'NEW...Tables 91-112'!C212</f>
        <v>74.039737981763182</v>
      </c>
      <c r="H25" s="603">
        <f>+'NEW...Tables 91-112'!B27+'NEW...Tables 91-112'!C27</f>
        <v>85.579330916960728</v>
      </c>
      <c r="I25" s="604">
        <f>+'NEW...Tables 91-112'!B274+'NEW...Tables 91-112'!C274</f>
        <v>91.233262456180682</v>
      </c>
      <c r="J25" s="602">
        <f>+'NEW...Tables 91-112'!B305+'NEW...Tables 91-112'!C305</f>
        <v>0</v>
      </c>
      <c r="K25" s="602">
        <f>+'NEW...Tables 91-112'!B336+'NEW...Tables 91-112'!C336</f>
        <v>0</v>
      </c>
      <c r="L25" s="602">
        <f>+'NEW...Tables 91-112'!B367+'NEW...Tables 91-112'!C367</f>
        <v>73.203768195021752</v>
      </c>
      <c r="M25" s="604">
        <f>+'NEW...Tables 91-112'!B243+'NEW...Tables 91-112'!C243</f>
        <v>75.01537431032142</v>
      </c>
      <c r="N25" s="606">
        <f>+'NEW...Tables 91-112'!B428+'NEW...Tables 91-112'!C428</f>
        <v>0</v>
      </c>
      <c r="O25" s="523">
        <f>+'NEW...Tables 91-112'!B458+'NEW...Tables 91-112'!C458</f>
        <v>0</v>
      </c>
      <c r="P25" s="604">
        <f>+'NEW...Tables 91-112'!B398+'NEW...Tables 91-112'!C398</f>
        <v>0</v>
      </c>
      <c r="R25" s="636"/>
      <c r="S25" s="636"/>
      <c r="T25" s="636"/>
      <c r="U25" s="637"/>
      <c r="V25" s="637"/>
      <c r="W25" s="637"/>
    </row>
    <row r="26" spans="1:40" s="524" customFormat="1" ht="29.25" customHeight="1">
      <c r="A26" s="654" t="s">
        <v>993</v>
      </c>
      <c r="B26" s="654"/>
      <c r="C26" s="654"/>
      <c r="D26" s="654"/>
      <c r="E26" s="654"/>
      <c r="F26" s="654"/>
      <c r="G26" s="654"/>
      <c r="H26" s="654"/>
      <c r="I26" s="654"/>
      <c r="J26" s="654"/>
      <c r="K26" s="654"/>
      <c r="L26" s="654"/>
      <c r="M26" s="654"/>
      <c r="N26" s="654"/>
      <c r="O26" s="654"/>
      <c r="P26" s="654"/>
    </row>
    <row r="27" spans="1:40" s="524" customFormat="1" ht="11.25">
      <c r="A27" s="540"/>
      <c r="J27" s="540"/>
      <c r="M27" s="540"/>
    </row>
    <row r="28" spans="1:40" s="524" customFormat="1" ht="11.25">
      <c r="M28" s="607"/>
      <c r="P28" s="532" t="s">
        <v>1015</v>
      </c>
    </row>
    <row r="29" spans="1:40" ht="18">
      <c r="A29" s="650" t="s">
        <v>982</v>
      </c>
      <c r="B29" s="650"/>
      <c r="C29" s="650"/>
      <c r="D29" s="650"/>
      <c r="E29" s="650"/>
      <c r="F29" s="650"/>
      <c r="G29" s="650"/>
      <c r="H29" s="650"/>
      <c r="I29" s="650"/>
      <c r="J29" s="650"/>
      <c r="K29" s="650"/>
      <c r="L29" s="650"/>
      <c r="M29" s="650"/>
      <c r="N29" s="650"/>
      <c r="O29" s="650"/>
      <c r="P29" s="650"/>
    </row>
    <row r="30" spans="1:40" s="478" customFormat="1" ht="12.75">
      <c r="A30" s="479"/>
      <c r="B30" s="475"/>
      <c r="C30" s="475"/>
      <c r="D30" s="475"/>
      <c r="E30" s="475"/>
      <c r="F30" s="475"/>
      <c r="G30" s="475"/>
      <c r="H30" s="475"/>
      <c r="I30" s="475"/>
      <c r="J30" s="475"/>
      <c r="K30" s="475"/>
      <c r="L30" s="475"/>
      <c r="M30" s="480"/>
    </row>
    <row r="31" spans="1:40" ht="15.75">
      <c r="A31" s="660" t="s">
        <v>1017</v>
      </c>
      <c r="B31" s="660"/>
      <c r="C31" s="660"/>
      <c r="D31" s="660"/>
      <c r="E31" s="660"/>
      <c r="F31" s="660"/>
      <c r="G31" s="660"/>
      <c r="H31" s="660"/>
      <c r="I31" s="660"/>
      <c r="J31" s="660"/>
      <c r="K31" s="660"/>
      <c r="L31" s="660"/>
      <c r="M31" s="660"/>
      <c r="N31" s="660"/>
      <c r="O31" s="660"/>
      <c r="P31" s="660"/>
      <c r="Q31" s="512"/>
      <c r="R31" s="638"/>
      <c r="S31" s="512"/>
      <c r="T31" s="512"/>
      <c r="U31" s="512"/>
      <c r="V31" s="512"/>
      <c r="W31" s="512"/>
      <c r="X31" s="512"/>
      <c r="Y31" s="512"/>
      <c r="Z31" s="290"/>
      <c r="AA31" s="290"/>
      <c r="AB31" s="290"/>
    </row>
    <row r="32" spans="1:40" s="478" customFormat="1" ht="9.75" customHeight="1">
      <c r="A32" s="479"/>
      <c r="B32" s="475"/>
      <c r="C32" s="475"/>
      <c r="D32" s="475"/>
      <c r="E32" s="475"/>
      <c r="F32" s="475"/>
      <c r="G32" s="475"/>
      <c r="H32" s="475"/>
      <c r="I32" s="475"/>
      <c r="J32" s="475"/>
      <c r="K32" s="475"/>
      <c r="L32" s="475"/>
      <c r="M32" s="480"/>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row>
    <row r="33" spans="1:40" s="589" customFormat="1" ht="18" customHeight="1">
      <c r="A33" s="630"/>
      <c r="B33" s="490" t="s">
        <v>877</v>
      </c>
      <c r="C33" s="490"/>
      <c r="D33" s="490"/>
      <c r="E33" s="490"/>
      <c r="F33" s="490"/>
      <c r="G33" s="490"/>
      <c r="H33" s="500"/>
      <c r="I33" s="499" t="s">
        <v>763</v>
      </c>
      <c r="J33" s="490"/>
      <c r="K33" s="490"/>
      <c r="L33" s="490"/>
      <c r="M33" s="490"/>
      <c r="N33" s="499" t="s">
        <v>765</v>
      </c>
      <c r="O33" s="490"/>
      <c r="P33" s="490"/>
      <c r="Q33" s="639" t="s">
        <v>995</v>
      </c>
      <c r="R33" s="640"/>
      <c r="S33" s="640"/>
      <c r="T33" s="638"/>
      <c r="U33" s="638"/>
      <c r="V33" s="638"/>
      <c r="W33" s="638"/>
      <c r="X33" s="638"/>
      <c r="Y33" s="638"/>
      <c r="Z33" s="638"/>
      <c r="AA33" s="638"/>
      <c r="AB33" s="638"/>
      <c r="AC33" s="638"/>
      <c r="AD33" s="638"/>
      <c r="AE33" s="638"/>
      <c r="AF33" s="638"/>
      <c r="AG33" s="638"/>
      <c r="AH33" s="638"/>
      <c r="AI33" s="638"/>
      <c r="AJ33" s="638"/>
      <c r="AK33" s="638"/>
      <c r="AL33" s="638"/>
      <c r="AM33" s="638"/>
      <c r="AN33" s="638"/>
    </row>
    <row r="34" spans="1:40" s="595" customFormat="1" ht="26.25" customHeight="1">
      <c r="A34" s="631"/>
      <c r="B34" s="632">
        <v>1</v>
      </c>
      <c r="C34" s="632">
        <v>2</v>
      </c>
      <c r="D34" s="632">
        <v>3</v>
      </c>
      <c r="E34" s="632">
        <v>4</v>
      </c>
      <c r="F34" s="632">
        <v>5</v>
      </c>
      <c r="G34" s="632">
        <v>6</v>
      </c>
      <c r="H34" s="633" t="s">
        <v>992</v>
      </c>
      <c r="I34" s="634" t="s">
        <v>979</v>
      </c>
      <c r="J34" s="632">
        <v>1</v>
      </c>
      <c r="K34" s="632">
        <v>2</v>
      </c>
      <c r="L34" s="632">
        <v>3</v>
      </c>
      <c r="M34" s="635" t="s">
        <v>980</v>
      </c>
      <c r="N34" s="635">
        <v>1</v>
      </c>
      <c r="O34" s="632">
        <v>2</v>
      </c>
      <c r="P34" s="635" t="s">
        <v>980</v>
      </c>
      <c r="Q34" s="639" t="s">
        <v>996</v>
      </c>
      <c r="R34" s="639" t="s">
        <v>997</v>
      </c>
      <c r="S34" s="639" t="s">
        <v>892</v>
      </c>
      <c r="T34" s="620"/>
      <c r="U34" s="620"/>
      <c r="V34" s="620"/>
      <c r="W34" s="620"/>
      <c r="X34" s="620"/>
      <c r="Y34" s="620"/>
      <c r="Z34" s="620"/>
      <c r="AA34" s="620"/>
      <c r="AB34" s="620"/>
      <c r="AC34" s="620"/>
      <c r="AD34" s="620"/>
      <c r="AE34" s="620"/>
      <c r="AF34" s="620"/>
      <c r="AG34" s="620"/>
      <c r="AH34" s="620"/>
      <c r="AI34" s="620"/>
      <c r="AJ34" s="620"/>
      <c r="AK34" s="620"/>
      <c r="AL34" s="620"/>
      <c r="AM34" s="620"/>
      <c r="AN34" s="620"/>
    </row>
    <row r="35" spans="1:40" ht="15.75" customHeight="1">
      <c r="A35" s="478" t="s">
        <v>894</v>
      </c>
      <c r="B35" s="596">
        <f>+'NEW...Tables 91-112'!D41</f>
        <v>7.6373559166165546</v>
      </c>
      <c r="C35" s="596">
        <f>+'NEW...Tables 91-112'!D72</f>
        <v>17.816906611800412</v>
      </c>
      <c r="D35" s="596">
        <f>+'NEW...Tables 91-112'!D102</f>
        <v>17.554085291406675</v>
      </c>
      <c r="E35" s="596">
        <f>+'NEW...Tables 91-112'!D133</f>
        <v>14.137081317878982</v>
      </c>
      <c r="F35" s="596">
        <f>+'NEW...Tables 91-112'!D164</f>
        <v>7.8315655805094062</v>
      </c>
      <c r="G35" s="596">
        <f>+'NEW...Tables 91-112'!D194</f>
        <v>75.32725337322708</v>
      </c>
      <c r="H35" s="601">
        <f>+'NEW...Tables 91-112'!D9</f>
        <v>13.649080252333965</v>
      </c>
      <c r="I35" s="598">
        <f>+'NEW...Tables 91-112'!D256</f>
        <v>0</v>
      </c>
      <c r="J35" s="596">
        <f>+'NEW...Tables 91-112'!D287</f>
        <v>30.70774159728154</v>
      </c>
      <c r="K35" s="596">
        <f>+'NEW...Tables 91-112'!D318</f>
        <v>18.489594769794184</v>
      </c>
      <c r="L35" s="596">
        <f>+'NEW...Tables 91-112'!D349</f>
        <v>25.568812916810781</v>
      </c>
      <c r="M35" s="598">
        <f>+'NEW...Tables 91-112'!D225</f>
        <v>22.437666882777453</v>
      </c>
      <c r="N35" s="599">
        <f>+'NEW...Tables 91-112'!D410</f>
        <v>12.091503267973856</v>
      </c>
      <c r="O35" s="511">
        <f>+'NEW...Tables 91-112'!D440</f>
        <v>8.5502670717420219</v>
      </c>
      <c r="P35" s="598">
        <f>+'NEW...Tables 91-112'!D380</f>
        <v>10.085810362472868</v>
      </c>
      <c r="Q35" s="641">
        <f>+'NEW...Tables 87-90'!H35-[1]OLD...Tables!H34</f>
        <v>1.6088232739749753</v>
      </c>
      <c r="R35" s="641">
        <f>+'NEW...Tables 87-90'!M35-[1]OLD...Tables!M34</f>
        <v>2.2471857483910789</v>
      </c>
      <c r="S35" s="641">
        <f>+'NEW...Tables 87-90'!P35-[1]OLD...Tables!P34</f>
        <v>3.8037590804215862</v>
      </c>
      <c r="T35" s="514"/>
      <c r="U35" s="642"/>
      <c r="V35" s="642"/>
      <c r="W35" s="642"/>
      <c r="X35" s="512"/>
      <c r="Y35" s="514"/>
      <c r="Z35" s="514"/>
      <c r="AA35" s="514"/>
      <c r="AB35" s="290"/>
      <c r="AC35" s="512"/>
      <c r="AD35" s="514"/>
      <c r="AE35" s="514"/>
      <c r="AF35" s="514"/>
      <c r="AG35" s="642"/>
      <c r="AH35" s="642"/>
      <c r="AI35" s="642"/>
      <c r="AJ35" s="512"/>
      <c r="AK35" s="514"/>
      <c r="AL35" s="514"/>
      <c r="AM35" s="514"/>
      <c r="AN35" s="290"/>
    </row>
    <row r="36" spans="1:40" ht="15.75" customHeight="1">
      <c r="A36" s="478" t="s">
        <v>895</v>
      </c>
      <c r="B36" s="596">
        <f>+'NEW...Tables 91-112'!D42</f>
        <v>8.2701352053756505</v>
      </c>
      <c r="C36" s="596">
        <f>+'NEW...Tables 91-112'!D73</f>
        <v>33.114596903467017</v>
      </c>
      <c r="D36" s="596">
        <f>+'NEW...Tables 91-112'!D103</f>
        <v>21.179389142822679</v>
      </c>
      <c r="E36" s="596">
        <f>+'NEW...Tables 91-112'!D134</f>
        <v>21.859576947648502</v>
      </c>
      <c r="F36" s="596">
        <f>+'NEW...Tables 91-112'!D165</f>
        <v>26.229459615641066</v>
      </c>
      <c r="G36" s="596">
        <f>+'NEW...Tables 91-112'!D195</f>
        <v>19.326676841097804</v>
      </c>
      <c r="H36" s="601">
        <f>+'NEW...Tables 91-112'!D10</f>
        <v>18.319356657123269</v>
      </c>
      <c r="I36" s="598">
        <f>+'NEW...Tables 91-112'!D257</f>
        <v>0</v>
      </c>
      <c r="J36" s="596">
        <f>+'NEW...Tables 91-112'!D288</f>
        <v>31.440400420194027</v>
      </c>
      <c r="K36" s="596">
        <f>+'NEW...Tables 91-112'!D319</f>
        <v>22.053149094384978</v>
      </c>
      <c r="L36" s="596">
        <f>+'NEW...Tables 91-112'!D350</f>
        <v>25.856571002103262</v>
      </c>
      <c r="M36" s="598">
        <f>+'NEW...Tables 91-112'!D226</f>
        <v>26.948890711564882</v>
      </c>
      <c r="N36" s="599">
        <f>+'NEW...Tables 91-112'!D411</f>
        <v>0</v>
      </c>
      <c r="O36" s="511">
        <f>+'NEW...Tables 91-112'!D441</f>
        <v>0</v>
      </c>
      <c r="P36" s="598">
        <f>+'NEW...Tables 91-112'!D381</f>
        <v>0</v>
      </c>
      <c r="Q36" s="641">
        <f>+'NEW...Tables 87-90'!H36-[1]OLD...Tables!H35</f>
        <v>1.8884216814046333</v>
      </c>
      <c r="R36" s="641">
        <f>+'NEW...Tables 87-90'!M36-[1]OLD...Tables!M35</f>
        <v>2.0272987098902853</v>
      </c>
      <c r="S36" s="641">
        <f>+'NEW...Tables 87-90'!P36-[1]OLD...Tables!P35</f>
        <v>0</v>
      </c>
      <c r="T36" s="514"/>
      <c r="U36" s="642"/>
      <c r="V36" s="642"/>
      <c r="W36" s="642"/>
      <c r="X36" s="512"/>
      <c r="Y36" s="514"/>
      <c r="Z36" s="514"/>
      <c r="AA36" s="514"/>
      <c r="AB36" s="290"/>
      <c r="AC36" s="512"/>
      <c r="AD36" s="514"/>
      <c r="AE36" s="514"/>
      <c r="AF36" s="514"/>
      <c r="AG36" s="642"/>
      <c r="AH36" s="642"/>
      <c r="AI36" s="642"/>
      <c r="AJ36" s="512"/>
      <c r="AK36" s="514"/>
      <c r="AL36" s="514"/>
      <c r="AM36" s="514"/>
      <c r="AN36" s="290"/>
    </row>
    <row r="37" spans="1:40" ht="15.75" customHeight="1">
      <c r="A37" s="478" t="s">
        <v>896</v>
      </c>
      <c r="B37" s="596">
        <f>+'NEW...Tables 91-112'!D43</f>
        <v>3.4079896443355344</v>
      </c>
      <c r="C37" s="596">
        <f>+'NEW...Tables 91-112'!D74</f>
        <v>0</v>
      </c>
      <c r="D37" s="596">
        <f>+'NEW...Tables 91-112'!D104</f>
        <v>4.0394713159974645</v>
      </c>
      <c r="E37" s="596">
        <f>+'NEW...Tables 91-112'!D135</f>
        <v>0</v>
      </c>
      <c r="F37" s="596">
        <f>+'NEW...Tables 91-112'!D166</f>
        <v>0</v>
      </c>
      <c r="G37" s="596">
        <f>+'NEW...Tables 91-112'!D196</f>
        <v>0</v>
      </c>
      <c r="H37" s="601">
        <f>+'NEW...Tables 91-112'!D11</f>
        <v>3.5223493099143042</v>
      </c>
      <c r="I37" s="598">
        <f>+'NEW...Tables 91-112'!D258</f>
        <v>0</v>
      </c>
      <c r="J37" s="596">
        <f>+'NEW...Tables 91-112'!D289</f>
        <v>0</v>
      </c>
      <c r="K37" s="596">
        <f>+'NEW...Tables 91-112'!D320</f>
        <v>13.944221664366417</v>
      </c>
      <c r="L37" s="596">
        <f>+'NEW...Tables 91-112'!D351</f>
        <v>0</v>
      </c>
      <c r="M37" s="598">
        <f>+'NEW...Tables 91-112'!D227</f>
        <v>13.944221664366417</v>
      </c>
      <c r="N37" s="599">
        <f>+'NEW...Tables 91-112'!D412</f>
        <v>0</v>
      </c>
      <c r="O37" s="511">
        <f>+'NEW...Tables 91-112'!D442</f>
        <v>0</v>
      </c>
      <c r="P37" s="598">
        <f>+'NEW...Tables 91-112'!D382</f>
        <v>0</v>
      </c>
      <c r="Q37" s="641">
        <f>+'NEW...Tables 87-90'!H37-[1]OLD...Tables!H36</f>
        <v>0.86164049493399331</v>
      </c>
      <c r="R37" s="641">
        <f>+'NEW...Tables 87-90'!M37-[1]OLD...Tables!M36</f>
        <v>3.3385533377971015</v>
      </c>
      <c r="S37" s="641">
        <f>+'NEW...Tables 87-90'!P37-[1]OLD...Tables!P36</f>
        <v>0</v>
      </c>
      <c r="T37" s="514"/>
      <c r="U37" s="642"/>
      <c r="V37" s="643"/>
      <c r="W37" s="642"/>
      <c r="X37" s="512"/>
      <c r="Y37" s="514"/>
      <c r="Z37" s="514"/>
      <c r="AA37" s="514"/>
      <c r="AB37" s="290"/>
      <c r="AC37" s="512"/>
      <c r="AD37" s="514"/>
      <c r="AE37" s="514"/>
      <c r="AF37" s="514"/>
      <c r="AG37" s="642"/>
      <c r="AH37" s="642"/>
      <c r="AI37" s="642"/>
      <c r="AJ37" s="512"/>
      <c r="AK37" s="514"/>
      <c r="AL37" s="514"/>
      <c r="AM37" s="514"/>
      <c r="AN37" s="290"/>
    </row>
    <row r="38" spans="1:40" ht="15.75" customHeight="1">
      <c r="A38" s="478" t="s">
        <v>936</v>
      </c>
      <c r="B38" s="596">
        <f>+'NEW...Tables 91-112'!D44</f>
        <v>24.646396860521278</v>
      </c>
      <c r="C38" s="596">
        <f>+'NEW...Tables 91-112'!D75</f>
        <v>0</v>
      </c>
      <c r="D38" s="596">
        <f>+'NEW...Tables 91-112'!D105</f>
        <v>13.580087030247508</v>
      </c>
      <c r="E38" s="596">
        <f>+'NEW...Tables 91-112'!D136</f>
        <v>20.158074803962904</v>
      </c>
      <c r="F38" s="596">
        <f>+'NEW...Tables 91-112'!D167</f>
        <v>0</v>
      </c>
      <c r="G38" s="596">
        <f>+'NEW...Tables 91-112'!D197</f>
        <v>0</v>
      </c>
      <c r="H38" s="601">
        <f>+'NEW...Tables 91-112'!D12</f>
        <v>23.01646958891325</v>
      </c>
      <c r="I38" s="598">
        <f>+'NEW...Tables 91-112'!D259</f>
        <v>24.557112025686489</v>
      </c>
      <c r="J38" s="596">
        <f>+'NEW...Tables 91-112'!D290</f>
        <v>25.261655671551498</v>
      </c>
      <c r="K38" s="596">
        <f>+'NEW...Tables 91-112'!D321</f>
        <v>25.593450753671252</v>
      </c>
      <c r="L38" s="596">
        <f>+'NEW...Tables 91-112'!D352</f>
        <v>25.913214611433784</v>
      </c>
      <c r="M38" s="598">
        <f>+'NEW...Tables 91-112'!D228</f>
        <v>24.682373307431764</v>
      </c>
      <c r="N38" s="599">
        <f>+'NEW...Tables 91-112'!D413</f>
        <v>0</v>
      </c>
      <c r="O38" s="511">
        <f>+'NEW...Tables 91-112'!D443</f>
        <v>0</v>
      </c>
      <c r="P38" s="598">
        <f>+'NEW...Tables 91-112'!D383</f>
        <v>0</v>
      </c>
      <c r="Q38" s="641">
        <f>+'NEW...Tables 87-90'!H38-[1]OLD...Tables!H37</f>
        <v>5.7428020095278427</v>
      </c>
      <c r="R38" s="641">
        <f>+'NEW...Tables 87-90'!M38-[1]OLD...Tables!M37</f>
        <v>3.2554154970833125</v>
      </c>
      <c r="S38" s="641">
        <f>+'NEW...Tables 87-90'!P38-[1]OLD...Tables!P37</f>
        <v>0</v>
      </c>
      <c r="T38" s="514"/>
      <c r="U38" s="642"/>
      <c r="V38" s="642"/>
      <c r="W38" s="642"/>
      <c r="X38" s="512"/>
      <c r="Y38" s="514"/>
      <c r="Z38" s="514"/>
      <c r="AA38" s="514"/>
      <c r="AB38" s="290"/>
      <c r="AC38" s="512"/>
      <c r="AD38" s="514"/>
      <c r="AE38" s="514"/>
      <c r="AF38" s="514"/>
      <c r="AG38" s="642"/>
      <c r="AH38" s="642"/>
      <c r="AI38" s="642"/>
      <c r="AJ38" s="512"/>
      <c r="AK38" s="514"/>
      <c r="AL38" s="514"/>
      <c r="AM38" s="514"/>
      <c r="AN38" s="290"/>
    </row>
    <row r="39" spans="1:40" ht="15.75" customHeight="1">
      <c r="A39" s="478"/>
      <c r="B39" s="596"/>
      <c r="C39" s="596"/>
      <c r="D39" s="596"/>
      <c r="E39" s="596"/>
      <c r="F39" s="596"/>
      <c r="G39" s="596"/>
      <c r="H39" s="601"/>
      <c r="I39" s="598"/>
      <c r="J39" s="596"/>
      <c r="K39" s="596"/>
      <c r="L39" s="596"/>
      <c r="M39" s="598"/>
      <c r="N39" s="599"/>
      <c r="O39" s="511"/>
      <c r="P39" s="598"/>
      <c r="Q39" s="641"/>
      <c r="R39" s="641"/>
      <c r="S39" s="641"/>
      <c r="T39" s="514"/>
      <c r="U39" s="642"/>
      <c r="V39" s="642"/>
      <c r="W39" s="642"/>
      <c r="X39" s="512"/>
      <c r="Y39" s="514"/>
      <c r="Z39" s="514"/>
      <c r="AA39" s="514"/>
      <c r="AB39" s="290"/>
      <c r="AC39" s="512"/>
      <c r="AD39" s="514"/>
      <c r="AE39" s="514"/>
      <c r="AF39" s="514"/>
      <c r="AG39" s="642"/>
      <c r="AH39" s="642"/>
      <c r="AI39" s="642"/>
      <c r="AJ39" s="512"/>
      <c r="AK39" s="514"/>
      <c r="AL39" s="514"/>
      <c r="AM39" s="514"/>
      <c r="AN39" s="290"/>
    </row>
    <row r="40" spans="1:40" ht="15.75" customHeight="1">
      <c r="A40" s="478" t="s">
        <v>898</v>
      </c>
      <c r="B40" s="596">
        <f>+'NEW...Tables 91-112'!D46</f>
        <v>11.246624849723052</v>
      </c>
      <c r="C40" s="596">
        <f>+'NEW...Tables 91-112'!D77</f>
        <v>1.2734065281221081</v>
      </c>
      <c r="D40" s="596">
        <f>+'NEW...Tables 91-112'!D107</f>
        <v>20.419468049135443</v>
      </c>
      <c r="E40" s="596">
        <f>+'NEW...Tables 91-112'!D138</f>
        <v>14.10592375925159</v>
      </c>
      <c r="F40" s="596">
        <f>+'NEW...Tables 91-112'!D169</f>
        <v>15.286975149074655</v>
      </c>
      <c r="G40" s="596">
        <f>+'NEW...Tables 91-112'!D199</f>
        <v>11.935254988913526</v>
      </c>
      <c r="H40" s="601">
        <f>+'NEW...Tables 91-112'!D14</f>
        <v>14.049679750593905</v>
      </c>
      <c r="I40" s="598">
        <f>+'NEW...Tables 91-112'!D261</f>
        <v>22.003462108569238</v>
      </c>
      <c r="J40" s="596">
        <f>+'NEW...Tables 91-112'!D292</f>
        <v>0</v>
      </c>
      <c r="K40" s="596">
        <f>+'NEW...Tables 91-112'!D323</f>
        <v>21.779819370912488</v>
      </c>
      <c r="L40" s="596">
        <f>+'NEW...Tables 91-112'!D354</f>
        <v>30.67419009631287</v>
      </c>
      <c r="M40" s="598">
        <f>+'NEW...Tables 91-112'!D230</f>
        <v>22.633041377227425</v>
      </c>
      <c r="N40" s="599">
        <f>+'NEW...Tables 91-112'!D415</f>
        <v>32.272751426823454</v>
      </c>
      <c r="O40" s="511">
        <f>+'NEW...Tables 91-112'!D445</f>
        <v>0</v>
      </c>
      <c r="P40" s="598">
        <f>+'NEW...Tables 91-112'!D385</f>
        <v>32.272751426823454</v>
      </c>
      <c r="Q40" s="641">
        <f>+'NEW...Tables 87-90'!H40-[1]OLD...Tables!H39</f>
        <v>4.2571088683672844</v>
      </c>
      <c r="R40" s="641">
        <f>+'NEW...Tables 87-90'!M40-[1]OLD...Tables!M39</f>
        <v>2.9530144280072115</v>
      </c>
      <c r="S40" s="641">
        <f>+'NEW...Tables 87-90'!P40-[1]OLD...Tables!P39</f>
        <v>1.3567098002135189</v>
      </c>
      <c r="T40" s="514"/>
      <c r="U40" s="642"/>
      <c r="V40" s="642"/>
      <c r="W40" s="642"/>
      <c r="X40" s="512"/>
      <c r="Y40" s="514"/>
      <c r="Z40" s="514"/>
      <c r="AA40" s="514"/>
      <c r="AB40" s="290"/>
      <c r="AC40" s="512"/>
      <c r="AD40" s="514"/>
      <c r="AE40" s="514"/>
      <c r="AF40" s="514"/>
      <c r="AG40" s="642"/>
      <c r="AH40" s="642"/>
      <c r="AI40" s="642"/>
      <c r="AJ40" s="512"/>
      <c r="AK40" s="514"/>
      <c r="AL40" s="514"/>
      <c r="AM40" s="514"/>
      <c r="AN40" s="290"/>
    </row>
    <row r="41" spans="1:40" ht="15.75" customHeight="1">
      <c r="A41" s="478" t="s">
        <v>899</v>
      </c>
      <c r="B41" s="596">
        <f>+'NEW...Tables 91-112'!D47</f>
        <v>8.1796605811496992</v>
      </c>
      <c r="C41" s="596">
        <f>+'NEW...Tables 91-112'!D78</f>
        <v>0</v>
      </c>
      <c r="D41" s="596">
        <f>+'NEW...Tables 91-112'!D108</f>
        <v>19.023997403368881</v>
      </c>
      <c r="E41" s="596">
        <f>+'NEW...Tables 91-112'!D139</f>
        <v>24.309134638982968</v>
      </c>
      <c r="F41" s="596">
        <f>+'NEW...Tables 91-112'!D170</f>
        <v>0</v>
      </c>
      <c r="G41" s="596">
        <f>+'NEW...Tables 91-112'!D200</f>
        <v>0</v>
      </c>
      <c r="H41" s="601">
        <f>+'NEW...Tables 91-112'!D15</f>
        <v>14.808611645733377</v>
      </c>
      <c r="I41" s="598">
        <f>+'NEW...Tables 91-112'!D262</f>
        <v>0</v>
      </c>
      <c r="J41" s="596">
        <f>+'NEW...Tables 91-112'!D293</f>
        <v>31.630287018749843</v>
      </c>
      <c r="K41" s="596">
        <f>+'NEW...Tables 91-112'!D324</f>
        <v>43.136623757648032</v>
      </c>
      <c r="L41" s="596">
        <f>+'NEW...Tables 91-112'!D355</f>
        <v>54.787740109592342</v>
      </c>
      <c r="M41" s="598">
        <f>+'NEW...Tables 91-112'!D231</f>
        <v>40.278225718006439</v>
      </c>
      <c r="N41" s="599">
        <f>+'NEW...Tables 91-112'!D416</f>
        <v>32.120328941067008</v>
      </c>
      <c r="O41" s="511">
        <f>+'NEW...Tables 91-112'!D446</f>
        <v>0</v>
      </c>
      <c r="P41" s="598">
        <f>+'NEW...Tables 91-112'!D386</f>
        <v>32.120328941067008</v>
      </c>
      <c r="Q41" s="641">
        <f>+'NEW...Tables 87-90'!H41-[1]OLD...Tables!H40</f>
        <v>1.1623859655127013</v>
      </c>
      <c r="R41" s="641">
        <f>+'NEW...Tables 87-90'!M41-[1]OLD...Tables!M40</f>
        <v>4.8800242372954798</v>
      </c>
      <c r="S41" s="641">
        <f>+'NEW...Tables 87-90'!P41-[1]OLD...Tables!P40</f>
        <v>3.753280503628222</v>
      </c>
      <c r="T41" s="514"/>
      <c r="U41" s="642"/>
      <c r="V41" s="642"/>
      <c r="W41" s="642"/>
      <c r="X41" s="512"/>
      <c r="Y41" s="514"/>
      <c r="Z41" s="514"/>
      <c r="AA41" s="514"/>
      <c r="AB41" s="290"/>
      <c r="AC41" s="512"/>
      <c r="AD41" s="514"/>
      <c r="AE41" s="514"/>
      <c r="AF41" s="514"/>
      <c r="AG41" s="642"/>
      <c r="AH41" s="642"/>
      <c r="AI41" s="642"/>
      <c r="AJ41" s="512"/>
      <c r="AK41" s="514"/>
      <c r="AL41" s="514"/>
      <c r="AM41" s="514"/>
      <c r="AN41" s="290"/>
    </row>
    <row r="42" spans="1:40" ht="15.75" customHeight="1">
      <c r="A42" s="478" t="s">
        <v>900</v>
      </c>
      <c r="B42" s="596">
        <f>+'NEW...Tables 91-112'!D48</f>
        <v>2.3123909249563783</v>
      </c>
      <c r="C42" s="596">
        <f>+'NEW...Tables 91-112'!D79</f>
        <v>10.055792093467476</v>
      </c>
      <c r="D42" s="596">
        <f>+'NEW...Tables 91-112'!D109</f>
        <v>12.404746654735648</v>
      </c>
      <c r="E42" s="596">
        <f>+'NEW...Tables 91-112'!D140</f>
        <v>22.50303468711731</v>
      </c>
      <c r="F42" s="596">
        <f>+'NEW...Tables 91-112'!D171</f>
        <v>12.328767123287671</v>
      </c>
      <c r="G42" s="596">
        <f>+'NEW...Tables 91-112'!D201</f>
        <v>25.486561631139892</v>
      </c>
      <c r="H42" s="601">
        <f>+'NEW...Tables 91-112'!D16</f>
        <v>12.016690375160842</v>
      </c>
      <c r="I42" s="598">
        <f>+'NEW...Tables 91-112'!D263</f>
        <v>0</v>
      </c>
      <c r="J42" s="596">
        <f>+'NEW...Tables 91-112'!D294</f>
        <v>15.578320307052007</v>
      </c>
      <c r="K42" s="596">
        <f>+'NEW...Tables 91-112'!D325</f>
        <v>11.462909168707586</v>
      </c>
      <c r="L42" s="596">
        <f>+'NEW...Tables 91-112'!D356</f>
        <v>24.182546238489856</v>
      </c>
      <c r="M42" s="598">
        <f>+'NEW...Tables 91-112'!D232</f>
        <v>15.634530333654851</v>
      </c>
      <c r="N42" s="599">
        <f>+'NEW...Tables 91-112'!D417</f>
        <v>10.034355825284333</v>
      </c>
      <c r="O42" s="511">
        <f>+'NEW...Tables 91-112'!D447</f>
        <v>0</v>
      </c>
      <c r="P42" s="598">
        <f>+'NEW...Tables 91-112'!D387</f>
        <v>10.034355825284333</v>
      </c>
      <c r="Q42" s="641">
        <f>+'NEW...Tables 87-90'!H42-[1]OLD...Tables!H41</f>
        <v>12.016690375160842</v>
      </c>
      <c r="R42" s="641">
        <f>+'NEW...Tables 87-90'!M42-[1]OLD...Tables!M41</f>
        <v>15.634530333654851</v>
      </c>
      <c r="S42" s="641">
        <f>+'NEW...Tables 87-90'!P42-[1]OLD...Tables!P41</f>
        <v>10.034355825284333</v>
      </c>
      <c r="T42" s="514"/>
      <c r="U42" s="642"/>
      <c r="V42" s="642"/>
      <c r="W42" s="642"/>
      <c r="X42" s="512"/>
      <c r="Y42" s="514"/>
      <c r="Z42" s="514"/>
      <c r="AA42" s="514"/>
      <c r="AB42" s="290"/>
      <c r="AC42" s="512"/>
      <c r="AD42" s="514"/>
      <c r="AE42" s="514"/>
      <c r="AF42" s="514"/>
      <c r="AG42" s="642"/>
      <c r="AH42" s="642"/>
      <c r="AI42" s="642"/>
      <c r="AJ42" s="512"/>
      <c r="AK42" s="514"/>
      <c r="AL42" s="514"/>
      <c r="AM42" s="514"/>
      <c r="AN42" s="290"/>
    </row>
    <row r="43" spans="1:40" ht="15.75" customHeight="1">
      <c r="A43" s="478" t="s">
        <v>901</v>
      </c>
      <c r="B43" s="596">
        <f>+'NEW...Tables 91-112'!D49</f>
        <v>3.9247142821010339</v>
      </c>
      <c r="C43" s="596">
        <f>+'NEW...Tables 91-112'!D80</f>
        <v>10.865331384442594</v>
      </c>
      <c r="D43" s="596">
        <f>+'NEW...Tables 91-112'!D110</f>
        <v>12.387002437043055</v>
      </c>
      <c r="E43" s="596">
        <f>+'NEW...Tables 91-112'!D141</f>
        <v>14.585964829106572</v>
      </c>
      <c r="F43" s="596">
        <f>+'NEW...Tables 91-112'!D172</f>
        <v>20.891757994295151</v>
      </c>
      <c r="G43" s="596">
        <f>+'NEW...Tables 91-112'!D202</f>
        <v>0</v>
      </c>
      <c r="H43" s="601">
        <f>+'NEW...Tables 91-112'!D17</f>
        <v>28.724192516738327</v>
      </c>
      <c r="I43" s="598">
        <f>+'NEW...Tables 91-112'!D264</f>
        <v>0</v>
      </c>
      <c r="J43" s="596">
        <f>+'NEW...Tables 91-112'!D295</f>
        <v>16.590470463370572</v>
      </c>
      <c r="K43" s="596">
        <f>+'NEW...Tables 91-112'!D326</f>
        <v>24.561321206505951</v>
      </c>
      <c r="L43" s="596">
        <f>+'NEW...Tables 91-112'!D357</f>
        <v>20.528246328802243</v>
      </c>
      <c r="M43" s="598">
        <f>+'NEW...Tables 91-112'!D233</f>
        <v>18.387291447243122</v>
      </c>
      <c r="N43" s="599">
        <f>+'NEW...Tables 91-112'!D418</f>
        <v>0</v>
      </c>
      <c r="O43" s="511">
        <f>+'NEW...Tables 91-112'!D448</f>
        <v>0</v>
      </c>
      <c r="P43" s="598">
        <f>+'NEW...Tables 91-112'!D388</f>
        <v>0</v>
      </c>
      <c r="Q43" s="641">
        <f>+'NEW...Tables 87-90'!H43-[1]OLD...Tables!H42</f>
        <v>4.7639060068017791</v>
      </c>
      <c r="R43" s="641">
        <f>+'NEW...Tables 87-90'!M43-[1]OLD...Tables!M42</f>
        <v>2.1006333800279506</v>
      </c>
      <c r="S43" s="641">
        <f>+'NEW...Tables 87-90'!P43-[1]OLD...Tables!P42</f>
        <v>0</v>
      </c>
      <c r="T43" s="514"/>
      <c r="U43" s="643"/>
      <c r="V43" s="642"/>
      <c r="W43" s="642"/>
      <c r="X43" s="512"/>
      <c r="Y43" s="514"/>
      <c r="Z43" s="514"/>
      <c r="AA43" s="514"/>
      <c r="AB43" s="290"/>
      <c r="AC43" s="512"/>
      <c r="AD43" s="514"/>
      <c r="AE43" s="514"/>
      <c r="AF43" s="514"/>
      <c r="AG43" s="642"/>
      <c r="AH43" s="642"/>
      <c r="AI43" s="642"/>
      <c r="AJ43" s="512"/>
      <c r="AK43" s="514"/>
      <c r="AL43" s="514"/>
      <c r="AM43" s="514"/>
      <c r="AN43" s="290"/>
    </row>
    <row r="44" spans="1:40" ht="15.75" customHeight="1">
      <c r="A44" s="478"/>
      <c r="B44" s="596"/>
      <c r="C44" s="596"/>
      <c r="D44" s="596"/>
      <c r="E44" s="596"/>
      <c r="F44" s="596"/>
      <c r="G44" s="596"/>
      <c r="H44" s="601"/>
      <c r="I44" s="598"/>
      <c r="J44" s="596"/>
      <c r="K44" s="596"/>
      <c r="L44" s="596"/>
      <c r="M44" s="598"/>
      <c r="N44" s="599"/>
      <c r="O44" s="511"/>
      <c r="P44" s="598"/>
      <c r="Q44" s="641"/>
      <c r="R44" s="641"/>
      <c r="S44" s="641"/>
      <c r="T44" s="514"/>
      <c r="U44" s="643"/>
      <c r="V44" s="642"/>
      <c r="W44" s="642"/>
      <c r="X44" s="512"/>
      <c r="Y44" s="514"/>
      <c r="Z44" s="514"/>
      <c r="AA44" s="514"/>
      <c r="AB44" s="290"/>
      <c r="AC44" s="512"/>
      <c r="AD44" s="514"/>
      <c r="AE44" s="514"/>
      <c r="AF44" s="514"/>
      <c r="AG44" s="642"/>
      <c r="AH44" s="642"/>
      <c r="AI44" s="642"/>
      <c r="AJ44" s="512"/>
      <c r="AK44" s="514"/>
      <c r="AL44" s="514"/>
      <c r="AM44" s="514"/>
      <c r="AN44" s="290"/>
    </row>
    <row r="45" spans="1:40" ht="15.75" customHeight="1">
      <c r="A45" s="478" t="s">
        <v>951</v>
      </c>
      <c r="B45" s="596">
        <f>+'NEW...Tables 91-112'!D51</f>
        <v>12.544968963793124</v>
      </c>
      <c r="C45" s="596">
        <f>+'NEW...Tables 91-112'!D82</f>
        <v>12.010237236714154</v>
      </c>
      <c r="D45" s="596">
        <f>+'NEW...Tables 91-112'!D112</f>
        <v>0</v>
      </c>
      <c r="E45" s="596">
        <f>+'NEW...Tables 91-112'!D143</f>
        <v>18.949703572528488</v>
      </c>
      <c r="F45" s="596">
        <f>+'NEW...Tables 91-112'!D174</f>
        <v>49.84564003255592</v>
      </c>
      <c r="G45" s="596">
        <f>+'NEW...Tables 91-112'!D204</f>
        <v>0</v>
      </c>
      <c r="H45" s="601">
        <f>+'NEW...Tables 91-112'!D19</f>
        <v>14.513700214912838</v>
      </c>
      <c r="I45" s="598">
        <f>+'NEW...Tables 91-112'!D266</f>
        <v>0</v>
      </c>
      <c r="J45" s="596">
        <f>+'NEW...Tables 91-112'!D297</f>
        <v>25.321258790444006</v>
      </c>
      <c r="K45" s="596">
        <f>+'NEW...Tables 91-112'!D328</f>
        <v>25.999405329478225</v>
      </c>
      <c r="L45" s="596">
        <f>+'NEW...Tables 91-112'!D359</f>
        <v>15.755821779512722</v>
      </c>
      <c r="M45" s="598">
        <f>+'NEW...Tables 91-112'!D235</f>
        <v>25.129286921770511</v>
      </c>
      <c r="N45" s="599">
        <f>+'NEW...Tables 91-112'!D420</f>
        <v>0</v>
      </c>
      <c r="O45" s="511">
        <f>+'NEW...Tables 91-112'!D450</f>
        <v>0</v>
      </c>
      <c r="P45" s="598">
        <f>+'NEW...Tables 91-112'!D390</f>
        <v>0</v>
      </c>
      <c r="Q45" s="641">
        <f>+'NEW...Tables 87-90'!H45-[1]OLD...Tables!H44</f>
        <v>2.7876222158238111</v>
      </c>
      <c r="R45" s="641">
        <f>+'NEW...Tables 87-90'!M45-[1]OLD...Tables!M44</f>
        <v>2.660449867479425</v>
      </c>
      <c r="S45" s="641">
        <f>+'NEW...Tables 87-90'!P45-[1]OLD...Tables!P44</f>
        <v>0</v>
      </c>
      <c r="T45" s="514"/>
      <c r="U45" s="642"/>
      <c r="V45" s="642"/>
      <c r="W45" s="642"/>
      <c r="X45" s="512"/>
      <c r="Y45" s="514"/>
      <c r="Z45" s="514"/>
      <c r="AA45" s="514"/>
      <c r="AB45" s="290"/>
      <c r="AC45" s="512"/>
      <c r="AD45" s="514"/>
      <c r="AE45" s="514"/>
      <c r="AF45" s="514"/>
      <c r="AG45" s="642"/>
      <c r="AH45" s="642"/>
      <c r="AI45" s="642"/>
      <c r="AJ45" s="512"/>
      <c r="AK45" s="514"/>
      <c r="AL45" s="514"/>
      <c r="AM45" s="514"/>
      <c r="AN45" s="290"/>
    </row>
    <row r="46" spans="1:40" ht="15.75" customHeight="1">
      <c r="A46" s="478" t="s">
        <v>903</v>
      </c>
      <c r="B46" s="596">
        <f>+'NEW...Tables 91-112'!D52</f>
        <v>13.117778865043116</v>
      </c>
      <c r="C46" s="596">
        <f>+'NEW...Tables 91-112'!D83</f>
        <v>20.593803164140994</v>
      </c>
      <c r="D46" s="596">
        <f>+'NEW...Tables 91-112'!D113</f>
        <v>13.481051604734816</v>
      </c>
      <c r="E46" s="596">
        <f>+'NEW...Tables 91-112'!D144</f>
        <v>30.086234861591691</v>
      </c>
      <c r="F46" s="596">
        <f>+'NEW...Tables 91-112'!D175</f>
        <v>24.280379784490151</v>
      </c>
      <c r="G46" s="596">
        <f>+'NEW...Tables 91-112'!D205</f>
        <v>10.722807783034947</v>
      </c>
      <c r="H46" s="601">
        <f>+'NEW...Tables 91-112'!D20</f>
        <v>15.204600612131625</v>
      </c>
      <c r="I46" s="598">
        <f>+'NEW...Tables 91-112'!D267</f>
        <v>0</v>
      </c>
      <c r="J46" s="596">
        <f>+'NEW...Tables 91-112'!D298</f>
        <v>41.328739722855751</v>
      </c>
      <c r="K46" s="596">
        <f>+'NEW...Tables 91-112'!D329</f>
        <v>47.353447218415496</v>
      </c>
      <c r="L46" s="596">
        <f>+'NEW...Tables 91-112'!D360</f>
        <v>52.377446231350511</v>
      </c>
      <c r="M46" s="598">
        <f>+'NEW...Tables 91-112'!D236</f>
        <v>45.120317796729999</v>
      </c>
      <c r="N46" s="599">
        <f>+'NEW...Tables 91-112'!D421</f>
        <v>0</v>
      </c>
      <c r="O46" s="511">
        <f>+'NEW...Tables 91-112'!D451</f>
        <v>0</v>
      </c>
      <c r="P46" s="598">
        <f>+'NEW...Tables 91-112'!D391</f>
        <v>0</v>
      </c>
      <c r="Q46" s="641">
        <f>+'NEW...Tables 87-90'!H46-[1]OLD...Tables!H45</f>
        <v>3.3594411382810758</v>
      </c>
      <c r="R46" s="641">
        <f>+'NEW...Tables 87-90'!M46-[1]OLD...Tables!M45</f>
        <v>6.1003441853763363</v>
      </c>
      <c r="S46" s="641">
        <f>+'NEW...Tables 87-90'!P46-[1]OLD...Tables!P45</f>
        <v>0</v>
      </c>
      <c r="T46" s="514"/>
      <c r="U46" s="642"/>
      <c r="V46" s="642"/>
      <c r="W46" s="642"/>
      <c r="X46" s="512"/>
      <c r="Y46" s="514"/>
      <c r="Z46" s="514"/>
      <c r="AA46" s="514"/>
      <c r="AB46" s="290"/>
      <c r="AC46" s="512"/>
      <c r="AD46" s="514"/>
      <c r="AE46" s="514"/>
      <c r="AF46" s="514"/>
      <c r="AG46" s="642"/>
      <c r="AH46" s="642"/>
      <c r="AI46" s="642"/>
      <c r="AJ46" s="512"/>
      <c r="AK46" s="514"/>
      <c r="AL46" s="514"/>
      <c r="AM46" s="514"/>
      <c r="AN46" s="290"/>
    </row>
    <row r="47" spans="1:40" ht="15.75" customHeight="1">
      <c r="A47" s="478" t="s">
        <v>904</v>
      </c>
      <c r="B47" s="596">
        <f>+'NEW...Tables 91-112'!D53</f>
        <v>12.72278358785182</v>
      </c>
      <c r="C47" s="596">
        <f>+'NEW...Tables 91-112'!D84</f>
        <v>0</v>
      </c>
      <c r="D47" s="596">
        <f>+'NEW...Tables 91-112'!D114</f>
        <v>21.678728341379696</v>
      </c>
      <c r="E47" s="596">
        <f>+'NEW...Tables 91-112'!D145</f>
        <v>37.29747045994997</v>
      </c>
      <c r="F47" s="596">
        <f>+'NEW...Tables 91-112'!D176</f>
        <v>20.163104048904522</v>
      </c>
      <c r="G47" s="596">
        <f>+'NEW...Tables 91-112'!D206</f>
        <v>23.007782833174236</v>
      </c>
      <c r="H47" s="601">
        <f>+'NEW...Tables 91-112'!D21</f>
        <v>17.532670192101229</v>
      </c>
      <c r="I47" s="598">
        <f>+'NEW...Tables 91-112'!D268</f>
        <v>33.023924826175467</v>
      </c>
      <c r="J47" s="596">
        <f>+'NEW...Tables 91-112'!D299</f>
        <v>30.181787216528495</v>
      </c>
      <c r="K47" s="596">
        <f>+'NEW...Tables 91-112'!D330</f>
        <v>28.531196914328458</v>
      </c>
      <c r="L47" s="596">
        <f>+'NEW...Tables 91-112'!D361</f>
        <v>26.990221826197061</v>
      </c>
      <c r="M47" s="598">
        <f>+'NEW...Tables 91-112'!D237</f>
        <v>29.515876716032775</v>
      </c>
      <c r="N47" s="599">
        <f>+'NEW...Tables 91-112'!D422</f>
        <v>0</v>
      </c>
      <c r="O47" s="511">
        <f>+'NEW...Tables 91-112'!D452</f>
        <v>0</v>
      </c>
      <c r="P47" s="598">
        <f>+'NEW...Tables 91-112'!D392</f>
        <v>0</v>
      </c>
      <c r="Q47" s="641">
        <f>+'NEW...Tables 87-90'!H47-[1]OLD...Tables!H46</f>
        <v>1.7430364854711531</v>
      </c>
      <c r="R47" s="641">
        <f>+'NEW...Tables 87-90'!M47-[1]OLD...Tables!M46</f>
        <v>3.8692578985502877</v>
      </c>
      <c r="S47" s="641">
        <f>+'NEW...Tables 87-90'!P47-[1]OLD...Tables!P46</f>
        <v>0</v>
      </c>
      <c r="T47" s="514"/>
      <c r="U47" s="642"/>
      <c r="V47" s="642"/>
      <c r="W47" s="642"/>
      <c r="X47" s="512"/>
      <c r="Y47" s="514"/>
      <c r="Z47" s="514"/>
      <c r="AA47" s="514"/>
      <c r="AB47" s="290"/>
      <c r="AC47" s="512"/>
      <c r="AD47" s="514"/>
      <c r="AE47" s="514"/>
      <c r="AF47" s="514"/>
      <c r="AG47" s="642"/>
      <c r="AH47" s="642"/>
      <c r="AI47" s="642"/>
      <c r="AJ47" s="512"/>
      <c r="AK47" s="514"/>
      <c r="AL47" s="514"/>
      <c r="AM47" s="514"/>
      <c r="AN47" s="290"/>
    </row>
    <row r="48" spans="1:40" ht="15.75" customHeight="1">
      <c r="A48" s="478" t="s">
        <v>905</v>
      </c>
      <c r="B48" s="596">
        <f>+'NEW...Tables 91-112'!D54</f>
        <v>6.6918192649822545</v>
      </c>
      <c r="C48" s="596">
        <f>+'NEW...Tables 91-112'!D85</f>
        <v>0</v>
      </c>
      <c r="D48" s="596">
        <f>+'NEW...Tables 91-112'!D115</f>
        <v>4.9539538138558425</v>
      </c>
      <c r="E48" s="596">
        <f>+'NEW...Tables 91-112'!D146</f>
        <v>0</v>
      </c>
      <c r="F48" s="596">
        <f>+'NEW...Tables 91-112'!D177</f>
        <v>10.100639143737652</v>
      </c>
      <c r="G48" s="596">
        <f>+'NEW...Tables 91-112'!D207</f>
        <v>12.490288408920476</v>
      </c>
      <c r="H48" s="601">
        <f>+'NEW...Tables 91-112'!D22</f>
        <v>7.7423418542356268</v>
      </c>
      <c r="I48" s="598">
        <f>+'NEW...Tables 91-112'!D269</f>
        <v>0</v>
      </c>
      <c r="J48" s="596">
        <f>+'NEW...Tables 91-112'!D300</f>
        <v>31.7381200761427</v>
      </c>
      <c r="K48" s="596">
        <f>+'NEW...Tables 91-112'!D331</f>
        <v>29.418689981496406</v>
      </c>
      <c r="L48" s="596">
        <f>+'NEW...Tables 91-112'!D362</f>
        <v>20.384708295630883</v>
      </c>
      <c r="M48" s="598">
        <f>+'NEW...Tables 91-112'!D238</f>
        <v>29.73348906685332</v>
      </c>
      <c r="N48" s="599">
        <f>+'NEW...Tables 91-112'!D423</f>
        <v>0</v>
      </c>
      <c r="O48" s="511">
        <f>+'NEW...Tables 91-112'!D453</f>
        <v>0</v>
      </c>
      <c r="P48" s="598">
        <f>+'NEW...Tables 91-112'!D393</f>
        <v>0</v>
      </c>
      <c r="Q48" s="641">
        <f>+'NEW...Tables 87-90'!H48-[1]OLD...Tables!H47</f>
        <v>0.52661091748912714</v>
      </c>
      <c r="R48" s="641">
        <f>+'NEW...Tables 87-90'!M48-[1]OLD...Tables!M47</f>
        <v>5.8664591487706659</v>
      </c>
      <c r="S48" s="641">
        <f>+'NEW...Tables 87-90'!P48-[1]OLD...Tables!P47</f>
        <v>0</v>
      </c>
      <c r="T48" s="514"/>
      <c r="U48" s="642"/>
      <c r="V48" s="642"/>
      <c r="W48" s="642"/>
      <c r="X48" s="512"/>
      <c r="Y48" s="514"/>
      <c r="Z48" s="514"/>
      <c r="AA48" s="514"/>
      <c r="AB48" s="290"/>
      <c r="AC48" s="290"/>
      <c r="AD48" s="290"/>
      <c r="AE48" s="290"/>
      <c r="AF48" s="290"/>
      <c r="AG48" s="290"/>
      <c r="AH48" s="290"/>
      <c r="AI48" s="290"/>
      <c r="AJ48" s="290"/>
      <c r="AK48" s="290"/>
      <c r="AL48" s="290"/>
      <c r="AM48" s="290"/>
      <c r="AN48" s="290"/>
    </row>
    <row r="49" spans="1:40" ht="15.75" customHeight="1">
      <c r="A49" s="478"/>
      <c r="B49" s="596"/>
      <c r="C49" s="596"/>
      <c r="D49" s="596"/>
      <c r="E49" s="596"/>
      <c r="F49" s="596"/>
      <c r="G49" s="596"/>
      <c r="H49" s="601"/>
      <c r="I49" s="598"/>
      <c r="J49" s="596"/>
      <c r="K49" s="596"/>
      <c r="L49" s="596"/>
      <c r="M49" s="598"/>
      <c r="N49" s="599"/>
      <c r="O49" s="511"/>
      <c r="P49" s="598"/>
      <c r="Q49" s="641"/>
      <c r="R49" s="641"/>
      <c r="S49" s="641"/>
      <c r="T49" s="514"/>
      <c r="U49" s="642"/>
      <c r="V49" s="642"/>
      <c r="W49" s="642"/>
      <c r="X49" s="512"/>
      <c r="Y49" s="514"/>
      <c r="Z49" s="514"/>
      <c r="AA49" s="514"/>
      <c r="AB49" s="290"/>
      <c r="AC49" s="290"/>
      <c r="AD49" s="290"/>
      <c r="AE49" s="290"/>
      <c r="AF49" s="290"/>
      <c r="AG49" s="290"/>
      <c r="AH49" s="290"/>
      <c r="AI49" s="290"/>
      <c r="AJ49" s="290"/>
      <c r="AK49" s="290"/>
      <c r="AL49" s="290"/>
      <c r="AM49" s="290"/>
      <c r="AN49" s="290"/>
    </row>
    <row r="50" spans="1:40" ht="15.75" customHeight="1">
      <c r="A50" s="478" t="s">
        <v>906</v>
      </c>
      <c r="B50" s="596">
        <f>+'NEW...Tables 91-112'!D56</f>
        <v>12.637690691942833</v>
      </c>
      <c r="C50" s="596">
        <f>+'NEW...Tables 91-112'!D87</f>
        <v>21.525443185358895</v>
      </c>
      <c r="D50" s="596">
        <f>+'NEW...Tables 91-112'!D117</f>
        <v>23.46665214024739</v>
      </c>
      <c r="E50" s="596">
        <f>+'NEW...Tables 91-112'!D148</f>
        <v>0</v>
      </c>
      <c r="F50" s="596">
        <f>+'NEW...Tables 91-112'!D179</f>
        <v>13.151329641359544</v>
      </c>
      <c r="G50" s="596">
        <f>+'NEW...Tables 91-112'!D209</f>
        <v>0</v>
      </c>
      <c r="H50" s="601">
        <f>+'NEW...Tables 91-112'!D24</f>
        <v>18.824504618299517</v>
      </c>
      <c r="I50" s="598">
        <f>+'NEW...Tables 91-112'!D271</f>
        <v>0</v>
      </c>
      <c r="J50" s="596">
        <f>+'NEW...Tables 91-112'!D302</f>
        <v>24.767953572040916</v>
      </c>
      <c r="K50" s="596">
        <f>+'NEW...Tables 91-112'!D333</f>
        <v>26.121500549866777</v>
      </c>
      <c r="L50" s="596">
        <f>+'NEW...Tables 91-112'!D364</f>
        <v>26.201702161665402</v>
      </c>
      <c r="M50" s="598">
        <f>+'NEW...Tables 91-112'!D240</f>
        <v>25.402734776488266</v>
      </c>
      <c r="N50" s="599">
        <f>+'NEW...Tables 91-112'!D425</f>
        <v>0</v>
      </c>
      <c r="O50" s="511">
        <f>+'NEW...Tables 91-112'!D455</f>
        <v>0</v>
      </c>
      <c r="P50" s="598">
        <f>+'NEW...Tables 91-112'!D395</f>
        <v>0</v>
      </c>
      <c r="Q50" s="641">
        <f>+'NEW...Tables 87-90'!H50-[1]OLD...Tables!H49</f>
        <v>2.3371280648436148</v>
      </c>
      <c r="R50" s="641">
        <f>+'NEW...Tables 87-90'!M50-[1]OLD...Tables!M49</f>
        <v>-0.54964422297798166</v>
      </c>
      <c r="S50" s="641">
        <f>+'NEW...Tables 87-90'!P50-[1]OLD...Tables!P49</f>
        <v>0</v>
      </c>
      <c r="T50" s="514"/>
      <c r="U50" s="642"/>
      <c r="V50" s="642"/>
      <c r="W50" s="642"/>
      <c r="X50" s="512"/>
      <c r="Y50" s="514"/>
      <c r="Z50" s="514"/>
      <c r="AA50" s="514"/>
      <c r="AB50" s="290"/>
      <c r="AC50" s="290"/>
      <c r="AD50" s="290"/>
      <c r="AE50" s="290"/>
      <c r="AF50" s="290"/>
      <c r="AG50" s="290"/>
      <c r="AH50" s="290"/>
      <c r="AI50" s="290"/>
      <c r="AJ50" s="290"/>
      <c r="AK50" s="290"/>
      <c r="AL50" s="290"/>
      <c r="AM50" s="290"/>
      <c r="AN50" s="290"/>
    </row>
    <row r="51" spans="1:40" s="524" customFormat="1" ht="16.5" customHeight="1">
      <c r="A51" s="478" t="s">
        <v>907</v>
      </c>
      <c r="B51" s="596">
        <f>+'NEW...Tables 91-112'!D57</f>
        <v>14.549811598689196</v>
      </c>
      <c r="C51" s="596">
        <f>+'NEW...Tables 91-112'!D88</f>
        <v>13.504872306691068</v>
      </c>
      <c r="D51" s="596">
        <f>+'NEW...Tables 91-112'!D118</f>
        <v>19.505234802918345</v>
      </c>
      <c r="E51" s="596">
        <f>+'NEW...Tables 91-112'!D149</f>
        <v>49.305986298915215</v>
      </c>
      <c r="F51" s="596">
        <f>+'NEW...Tables 91-112'!D180</f>
        <v>33.10741261239243</v>
      </c>
      <c r="G51" s="596">
        <f>+'NEW...Tables 91-112'!D210</f>
        <v>0</v>
      </c>
      <c r="H51" s="601">
        <f>+'NEW...Tables 91-112'!D25</f>
        <v>16.979171016415151</v>
      </c>
      <c r="I51" s="598">
        <f>+'NEW...Tables 91-112'!D272</f>
        <v>23.417490384697594</v>
      </c>
      <c r="J51" s="596">
        <f>+'NEW...Tables 91-112'!D303</f>
        <v>25.616334111901843</v>
      </c>
      <c r="K51" s="596">
        <f>+'NEW...Tables 91-112'!D334</f>
        <v>27.260869300948801</v>
      </c>
      <c r="L51" s="596">
        <f>+'NEW...Tables 91-112'!D365</f>
        <v>35.242511507675559</v>
      </c>
      <c r="M51" s="598">
        <f>+'NEW...Tables 91-112'!D241</f>
        <v>26.088490939004053</v>
      </c>
      <c r="N51" s="599">
        <f>+'NEW...Tables 91-112'!D426</f>
        <v>0</v>
      </c>
      <c r="O51" s="511">
        <f>+'NEW...Tables 91-112'!D456</f>
        <v>0</v>
      </c>
      <c r="P51" s="598">
        <f>+'NEW...Tables 91-112'!D396</f>
        <v>0</v>
      </c>
      <c r="Q51" s="641">
        <f>+'NEW...Tables 87-90'!H51-[1]OLD...Tables!H50</f>
        <v>3.3560911792641921</v>
      </c>
      <c r="R51" s="641">
        <f>+'NEW...Tables 87-90'!M51-[1]OLD...Tables!M50</f>
        <v>1.9900304311671277</v>
      </c>
      <c r="S51" s="641">
        <f>+'NEW...Tables 87-90'!P51-[1]OLD...Tables!P50</f>
        <v>0</v>
      </c>
      <c r="T51" s="514"/>
      <c r="U51" s="642"/>
      <c r="V51" s="642"/>
      <c r="W51" s="642"/>
      <c r="X51" s="512"/>
      <c r="Y51" s="514"/>
      <c r="Z51" s="514"/>
      <c r="AA51" s="514"/>
      <c r="AB51" s="290"/>
      <c r="AC51" s="289"/>
      <c r="AD51" s="289"/>
      <c r="AE51" s="289"/>
      <c r="AF51" s="289"/>
      <c r="AG51" s="289"/>
      <c r="AH51" s="289"/>
      <c r="AI51" s="289"/>
      <c r="AJ51" s="289"/>
      <c r="AK51" s="289"/>
      <c r="AL51" s="289"/>
      <c r="AM51" s="289"/>
      <c r="AN51" s="289"/>
    </row>
    <row r="52" spans="1:40" s="524" customFormat="1" ht="14.25" customHeight="1">
      <c r="A52" s="478" t="s">
        <v>908</v>
      </c>
      <c r="B52" s="596">
        <f>+'NEW...Tables 91-112'!D58</f>
        <v>8.5400652210622798</v>
      </c>
      <c r="C52" s="596">
        <f>+'NEW...Tables 91-112'!D89</f>
        <v>0.2420000472195214</v>
      </c>
      <c r="D52" s="596">
        <f>+'NEW...Tables 91-112'!D119</f>
        <v>7.1815632219638701</v>
      </c>
      <c r="E52" s="596">
        <f>+'NEW...Tables 91-112'!D150</f>
        <v>0</v>
      </c>
      <c r="F52" s="596">
        <f>+'NEW...Tables 91-112'!D181</f>
        <v>0</v>
      </c>
      <c r="G52" s="596">
        <f>+'NEW...Tables 91-112'!D211</f>
        <v>19.686540506913367</v>
      </c>
      <c r="H52" s="601">
        <f>+'NEW...Tables 91-112'!D26</f>
        <v>7.7043124529116964</v>
      </c>
      <c r="I52" s="598">
        <f>+'NEW...Tables 91-112'!D273</f>
        <v>0</v>
      </c>
      <c r="J52" s="596">
        <f>+'NEW...Tables 91-112'!D304</f>
        <v>27.66095674964988</v>
      </c>
      <c r="K52" s="596">
        <f>+'NEW...Tables 91-112'!D335</f>
        <v>31.291303606418801</v>
      </c>
      <c r="L52" s="596">
        <f>+'NEW...Tables 91-112'!D366</f>
        <v>35.739705465781476</v>
      </c>
      <c r="M52" s="598">
        <f>+'NEW...Tables 91-112'!D242</f>
        <v>29.461785432823373</v>
      </c>
      <c r="N52" s="599">
        <f>+'NEW...Tables 91-112'!D427</f>
        <v>0</v>
      </c>
      <c r="O52" s="511">
        <f>+'NEW...Tables 91-112'!D457</f>
        <v>0</v>
      </c>
      <c r="P52" s="598">
        <f>+'NEW...Tables 91-112'!D397</f>
        <v>0</v>
      </c>
      <c r="Q52" s="641">
        <f>+'NEW...Tables 87-90'!H52-[1]OLD...Tables!H51</f>
        <v>1.4927366616668625</v>
      </c>
      <c r="R52" s="641">
        <f>+'NEW...Tables 87-90'!M52-[1]OLD...Tables!M51</f>
        <v>1.3425748116864256</v>
      </c>
      <c r="S52" s="641">
        <f>+'NEW...Tables 87-90'!P52-[1]OLD...Tables!P51</f>
        <v>0</v>
      </c>
      <c r="T52" s="514"/>
      <c r="U52" s="642"/>
      <c r="V52" s="642"/>
      <c r="W52" s="642"/>
      <c r="X52" s="512"/>
      <c r="Y52" s="514"/>
      <c r="Z52" s="514"/>
      <c r="AA52" s="514"/>
      <c r="AB52" s="290"/>
      <c r="AC52" s="289"/>
      <c r="AD52" s="289"/>
      <c r="AE52" s="289"/>
      <c r="AF52" s="289"/>
      <c r="AG52" s="289"/>
      <c r="AH52" s="289"/>
      <c r="AI52" s="289"/>
      <c r="AJ52" s="289"/>
      <c r="AK52" s="289"/>
      <c r="AL52" s="289"/>
      <c r="AM52" s="289"/>
      <c r="AN52" s="289"/>
    </row>
    <row r="53" spans="1:40" s="524" customFormat="1" ht="15" customHeight="1">
      <c r="A53" s="478" t="s">
        <v>909</v>
      </c>
      <c r="B53" s="596">
        <f>+'NEW...Tables 91-112'!D59</f>
        <v>10.56829955941719</v>
      </c>
      <c r="C53" s="596">
        <f>+'NEW...Tables 91-112'!D90</f>
        <v>0</v>
      </c>
      <c r="D53" s="596">
        <f>+'NEW...Tables 91-112'!D120</f>
        <v>14.572852917369563</v>
      </c>
      <c r="E53" s="596">
        <f>+'NEW...Tables 91-112'!D151</f>
        <v>0</v>
      </c>
      <c r="F53" s="596">
        <f>+'NEW...Tables 91-112'!D182</f>
        <v>13.835982504128168</v>
      </c>
      <c r="G53" s="596">
        <f>+'NEW...Tables 91-112'!D212</f>
        <v>25.960262018236815</v>
      </c>
      <c r="H53" s="601">
        <f>+'NEW...Tables 91-112'!D27</f>
        <v>14.420669083039268</v>
      </c>
      <c r="I53" s="598">
        <f>+'NEW...Tables 91-112'!D274</f>
        <v>8.7667375438193211</v>
      </c>
      <c r="J53" s="596">
        <f>+'NEW...Tables 91-112'!D305</f>
        <v>0</v>
      </c>
      <c r="K53" s="596">
        <f>+'NEW...Tables 91-112'!D336</f>
        <v>0</v>
      </c>
      <c r="L53" s="596">
        <f>+'NEW...Tables 91-112'!D367</f>
        <v>26.796231804978255</v>
      </c>
      <c r="M53" s="598">
        <f>+'NEW...Tables 91-112'!D243</f>
        <v>24.98462568967857</v>
      </c>
      <c r="N53" s="599">
        <f>+'NEW...Tables 91-112'!D428</f>
        <v>0</v>
      </c>
      <c r="O53" s="511">
        <f>+'NEW...Tables 91-112'!D458</f>
        <v>0</v>
      </c>
      <c r="P53" s="598">
        <f>+'NEW...Tables 91-112'!D398</f>
        <v>0</v>
      </c>
      <c r="Q53" s="641">
        <f>+'NEW...Tables 87-90'!H53-[1]OLD...Tables!H52</f>
        <v>2.8232411656881595</v>
      </c>
      <c r="R53" s="641">
        <f>+'NEW...Tables 87-90'!M53-[1]OLD...Tables!M52</f>
        <v>4.4592886371448657</v>
      </c>
      <c r="S53" s="641">
        <f>+'NEW...Tables 87-90'!P53-[1]OLD...Tables!P52</f>
        <v>0</v>
      </c>
      <c r="T53" s="514"/>
      <c r="U53" s="642"/>
      <c r="V53" s="642"/>
      <c r="W53" s="642"/>
      <c r="X53" s="512"/>
      <c r="Y53" s="514"/>
      <c r="Z53" s="514"/>
      <c r="AA53" s="514"/>
      <c r="AB53" s="290"/>
      <c r="AC53" s="289"/>
      <c r="AD53" s="289"/>
      <c r="AE53" s="289"/>
      <c r="AF53" s="289"/>
      <c r="AG53" s="289"/>
      <c r="AH53" s="289"/>
      <c r="AI53" s="289"/>
      <c r="AJ53" s="289"/>
      <c r="AK53" s="289"/>
      <c r="AL53" s="289"/>
      <c r="AM53" s="289"/>
      <c r="AN53" s="289"/>
    </row>
    <row r="54" spans="1:40" s="524" customFormat="1" ht="28.5" customHeight="1">
      <c r="A54" s="654" t="s">
        <v>993</v>
      </c>
      <c r="B54" s="654"/>
      <c r="C54" s="654"/>
      <c r="D54" s="654"/>
      <c r="E54" s="654"/>
      <c r="F54" s="654"/>
      <c r="G54" s="654"/>
      <c r="H54" s="654"/>
      <c r="I54" s="654"/>
      <c r="J54" s="654"/>
      <c r="K54" s="654"/>
      <c r="L54" s="654"/>
      <c r="M54" s="654"/>
      <c r="N54" s="654"/>
      <c r="O54" s="654"/>
      <c r="P54" s="654"/>
      <c r="Q54" s="540"/>
      <c r="R54" s="540"/>
      <c r="S54" s="540"/>
      <c r="T54" s="540"/>
      <c r="U54" s="540"/>
      <c r="V54" s="540"/>
      <c r="W54" s="540"/>
      <c r="X54" s="540"/>
      <c r="Y54" s="540"/>
      <c r="Z54" s="540"/>
      <c r="AA54" s="540"/>
      <c r="AB54" s="540"/>
    </row>
    <row r="55" spans="1:40" s="524" customFormat="1" ht="27" customHeight="1">
      <c r="A55" s="651" t="s">
        <v>983</v>
      </c>
      <c r="B55" s="652"/>
      <c r="C55" s="652"/>
      <c r="D55" s="652"/>
      <c r="E55" s="652"/>
      <c r="F55" s="652"/>
      <c r="G55" s="652"/>
      <c r="H55" s="652"/>
      <c r="I55" s="652"/>
      <c r="J55" s="652"/>
      <c r="K55" s="652"/>
      <c r="L55" s="652"/>
      <c r="M55" s="652"/>
      <c r="N55" s="652"/>
      <c r="O55" s="652"/>
      <c r="P55" s="652"/>
      <c r="Q55" s="540"/>
      <c r="R55" s="540"/>
      <c r="S55" s="540"/>
      <c r="T55" s="540"/>
      <c r="U55" s="540"/>
      <c r="V55" s="540"/>
      <c r="W55" s="540"/>
      <c r="X55" s="540"/>
      <c r="Y55" s="540"/>
      <c r="Z55" s="540"/>
      <c r="AA55" s="540"/>
      <c r="AB55" s="540"/>
    </row>
    <row r="56" spans="1:40" s="478" customFormat="1" ht="3" customHeight="1">
      <c r="A56" s="529"/>
      <c r="B56" s="644"/>
      <c r="C56" s="644"/>
      <c r="D56" s="644"/>
      <c r="E56" s="644"/>
      <c r="F56" s="644"/>
      <c r="G56" s="644"/>
      <c r="H56" s="644"/>
      <c r="I56" s="644"/>
      <c r="J56" s="644"/>
      <c r="K56" s="644"/>
      <c r="L56" s="644"/>
      <c r="M56" s="644"/>
      <c r="N56" s="644"/>
      <c r="O56" s="644"/>
      <c r="P56" s="64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row>
    <row r="57" spans="1:40">
      <c r="A57" s="524"/>
      <c r="B57" s="524"/>
      <c r="C57" s="524"/>
      <c r="D57" s="524"/>
      <c r="E57" s="524"/>
      <c r="F57" s="524"/>
      <c r="G57" s="524"/>
      <c r="H57" s="524"/>
      <c r="I57" s="524"/>
      <c r="J57" s="524"/>
      <c r="K57" s="524"/>
      <c r="L57" s="524"/>
      <c r="M57" s="607"/>
      <c r="N57" s="524"/>
      <c r="O57" s="524"/>
      <c r="P57" s="532" t="s">
        <v>1015</v>
      </c>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row>
    <row r="58" spans="1:40" ht="18">
      <c r="A58" s="472" t="s">
        <v>984</v>
      </c>
      <c r="B58" s="473"/>
      <c r="C58" s="473"/>
      <c r="D58" s="473"/>
      <c r="E58" s="473"/>
      <c r="F58" s="473"/>
      <c r="G58" s="579"/>
      <c r="H58" s="579"/>
      <c r="I58" s="613" t="s">
        <v>320</v>
      </c>
      <c r="J58" s="613"/>
      <c r="K58" s="613"/>
      <c r="L58" s="613"/>
      <c r="M58" s="645"/>
    </row>
    <row r="59" spans="1:40" ht="9.75" customHeight="1">
      <c r="A59" s="479"/>
      <c r="B59" s="475"/>
      <c r="C59" s="475"/>
      <c r="D59" s="475"/>
      <c r="E59" s="475"/>
      <c r="F59" s="475"/>
      <c r="G59" s="475"/>
      <c r="H59" s="475"/>
      <c r="I59" s="616"/>
      <c r="J59" s="616"/>
      <c r="K59" s="616"/>
      <c r="L59" s="616"/>
      <c r="M59" s="617"/>
      <c r="N59" s="478"/>
      <c r="O59" s="478"/>
      <c r="P59" s="478"/>
      <c r="Q59" s="478"/>
      <c r="R59" s="478"/>
      <c r="S59" s="478"/>
      <c r="T59" s="478"/>
      <c r="U59" s="478"/>
      <c r="V59" s="478"/>
      <c r="W59" s="478"/>
      <c r="X59" s="478"/>
      <c r="Y59" s="478"/>
      <c r="Z59" s="478"/>
      <c r="AA59" s="478"/>
      <c r="AB59" s="478"/>
      <c r="AC59" s="478"/>
      <c r="AD59" s="478"/>
      <c r="AE59" s="478"/>
      <c r="AF59" s="478"/>
      <c r="AG59" s="478"/>
      <c r="AH59" s="478"/>
      <c r="AI59" s="478"/>
      <c r="AJ59" s="478"/>
      <c r="AK59" s="478"/>
      <c r="AL59" s="478"/>
      <c r="AM59" s="478"/>
      <c r="AN59" s="478"/>
    </row>
    <row r="60" spans="1:40" ht="18">
      <c r="A60" s="481" t="s">
        <v>985</v>
      </c>
      <c r="B60" s="473"/>
      <c r="C60" s="473"/>
      <c r="D60" s="473"/>
      <c r="E60" s="473"/>
      <c r="F60" s="473"/>
      <c r="G60" s="579"/>
      <c r="H60" s="579"/>
      <c r="I60" s="613" t="s">
        <v>320</v>
      </c>
      <c r="J60" s="613"/>
      <c r="K60" s="613"/>
      <c r="L60" s="613"/>
      <c r="M60" s="645"/>
    </row>
    <row r="61" spans="1:40" s="589" customFormat="1" ht="15.75">
      <c r="A61" s="481" t="s">
        <v>986</v>
      </c>
      <c r="B61" s="475"/>
      <c r="C61" s="475"/>
      <c r="D61" s="475"/>
      <c r="E61" s="475"/>
      <c r="F61" s="475"/>
      <c r="G61" s="579"/>
      <c r="H61" s="579"/>
      <c r="I61" s="613" t="s">
        <v>320</v>
      </c>
      <c r="J61" s="613"/>
      <c r="K61" s="613"/>
      <c r="L61" s="613"/>
      <c r="M61" s="645"/>
      <c r="N61" s="289"/>
      <c r="O61" s="289"/>
      <c r="P61" s="289"/>
      <c r="Q61" s="289"/>
      <c r="R61" s="289"/>
      <c r="S61" s="289"/>
      <c r="T61" s="289"/>
      <c r="U61" s="289"/>
      <c r="V61" s="289"/>
      <c r="W61" s="289"/>
      <c r="X61" s="289"/>
      <c r="Y61" s="289"/>
      <c r="Z61" s="289"/>
      <c r="AA61" s="289"/>
      <c r="AB61" s="289"/>
      <c r="AC61" s="289"/>
      <c r="AD61" s="289"/>
      <c r="AE61" s="289"/>
      <c r="AF61" s="289"/>
      <c r="AG61" s="289"/>
      <c r="AH61" s="289"/>
      <c r="AI61" s="289"/>
      <c r="AJ61" s="289"/>
      <c r="AK61" s="289"/>
      <c r="AL61" s="289"/>
      <c r="AM61" s="289"/>
      <c r="AN61" s="289"/>
    </row>
    <row r="62" spans="1:40" s="595" customFormat="1" ht="15.75">
      <c r="A62" s="481" t="s">
        <v>1018</v>
      </c>
      <c r="B62" s="475"/>
      <c r="C62" s="475"/>
      <c r="D62" s="475"/>
      <c r="E62" s="475"/>
      <c r="F62" s="475"/>
      <c r="G62" s="579"/>
      <c r="H62" s="579"/>
      <c r="I62" s="613" t="s">
        <v>320</v>
      </c>
      <c r="J62" s="613"/>
      <c r="K62" s="613"/>
      <c r="L62" s="613"/>
      <c r="M62" s="645"/>
      <c r="N62" s="289"/>
      <c r="O62" s="289"/>
      <c r="P62" s="289"/>
      <c r="Q62" s="289"/>
      <c r="R62" s="289"/>
      <c r="S62" s="289"/>
      <c r="T62" s="289"/>
      <c r="U62" s="289"/>
      <c r="V62" s="289"/>
      <c r="W62" s="289"/>
      <c r="X62" s="289"/>
      <c r="Y62" s="289"/>
      <c r="Z62" s="289"/>
      <c r="AA62" s="289"/>
      <c r="AB62" s="289"/>
      <c r="AC62" s="289"/>
      <c r="AD62" s="289"/>
      <c r="AE62" s="289"/>
      <c r="AF62" s="289"/>
      <c r="AG62" s="289"/>
      <c r="AH62" s="289"/>
      <c r="AI62" s="289"/>
      <c r="AJ62" s="289"/>
      <c r="AK62" s="289"/>
      <c r="AL62" s="289"/>
      <c r="AM62" s="289"/>
      <c r="AN62" s="289"/>
    </row>
    <row r="63" spans="1:40" ht="12" customHeight="1">
      <c r="A63" s="629"/>
      <c r="B63" s="584"/>
      <c r="C63" s="584"/>
      <c r="D63" s="584"/>
      <c r="E63" s="584"/>
      <c r="F63" s="584"/>
      <c r="G63" s="584"/>
      <c r="H63" s="584"/>
      <c r="I63" s="290"/>
      <c r="J63" s="290"/>
      <c r="K63" s="290"/>
      <c r="L63" s="290"/>
    </row>
    <row r="64" spans="1:40" ht="15.75" customHeight="1">
      <c r="A64" s="646"/>
      <c r="B64" s="490" t="s">
        <v>877</v>
      </c>
      <c r="C64" s="490"/>
      <c r="D64" s="490"/>
      <c r="E64" s="490"/>
      <c r="F64" s="490"/>
      <c r="G64" s="490"/>
      <c r="H64" s="490"/>
      <c r="I64" s="620" t="s">
        <v>320</v>
      </c>
      <c r="J64" s="620"/>
      <c r="K64" s="620"/>
      <c r="L64" s="620"/>
      <c r="M64" s="620"/>
      <c r="N64" s="589"/>
      <c r="O64" s="589"/>
      <c r="P64" s="589"/>
      <c r="Q64" s="589"/>
      <c r="R64" s="589"/>
      <c r="S64" s="589"/>
      <c r="T64" s="589"/>
      <c r="U64" s="589"/>
      <c r="V64" s="589"/>
      <c r="W64" s="589"/>
      <c r="X64" s="589"/>
      <c r="Y64" s="589"/>
      <c r="Z64" s="589"/>
      <c r="AA64" s="589"/>
      <c r="AB64" s="589"/>
      <c r="AC64" s="589"/>
      <c r="AD64" s="589"/>
      <c r="AE64" s="589"/>
      <c r="AF64" s="589"/>
      <c r="AG64" s="589"/>
      <c r="AH64" s="589"/>
      <c r="AI64" s="589"/>
      <c r="AJ64" s="589"/>
      <c r="AK64" s="589"/>
      <c r="AL64" s="589"/>
      <c r="AM64" s="589"/>
      <c r="AN64" s="589"/>
    </row>
    <row r="65" spans="1:40" ht="15.75" customHeight="1">
      <c r="A65" s="647"/>
      <c r="B65" s="632">
        <v>1</v>
      </c>
      <c r="C65" s="632">
        <v>2</v>
      </c>
      <c r="D65" s="632">
        <v>3</v>
      </c>
      <c r="E65" s="632">
        <v>4</v>
      </c>
      <c r="F65" s="632">
        <v>5</v>
      </c>
      <c r="G65" s="632">
        <v>6</v>
      </c>
      <c r="H65" s="635" t="s">
        <v>992</v>
      </c>
      <c r="I65" s="620"/>
      <c r="J65" s="620"/>
      <c r="K65" s="620"/>
      <c r="L65" s="620"/>
      <c r="M65" s="620"/>
      <c r="N65" s="595"/>
      <c r="O65" s="595"/>
      <c r="P65" s="595"/>
      <c r="Q65" s="595"/>
      <c r="R65" s="595"/>
      <c r="S65" s="595"/>
      <c r="T65" s="595"/>
      <c r="U65" s="595"/>
      <c r="V65" s="595"/>
      <c r="W65" s="595"/>
      <c r="X65" s="595"/>
      <c r="Y65" s="595"/>
      <c r="Z65" s="595"/>
      <c r="AA65" s="595"/>
      <c r="AB65" s="595"/>
      <c r="AC65" s="595"/>
      <c r="AD65" s="595"/>
      <c r="AE65" s="595"/>
      <c r="AF65" s="595"/>
      <c r="AG65" s="595"/>
      <c r="AH65" s="595"/>
      <c r="AI65" s="595"/>
      <c r="AJ65" s="595"/>
      <c r="AK65" s="595"/>
      <c r="AL65" s="595"/>
      <c r="AM65" s="595"/>
      <c r="AN65" s="595"/>
    </row>
    <row r="66" spans="1:40" ht="15.75" customHeight="1">
      <c r="A66" s="478" t="s">
        <v>894</v>
      </c>
      <c r="B66" s="621">
        <f>+'NEW...Tables 91-112'!J41+'NEW...Tables 91-112'!K41</f>
        <v>80.579180642069943</v>
      </c>
      <c r="C66" s="621">
        <f>+'NEW...Tables 91-112'!J72+'NEW...Tables 91-112'!K72</f>
        <v>66.489098797298041</v>
      </c>
      <c r="D66" s="621">
        <f>+'NEW...Tables 91-112'!J102+'NEW...Tables 91-112'!K102</f>
        <v>62.082906328447457</v>
      </c>
      <c r="E66" s="621">
        <f>+'NEW...Tables 91-112'!J133+'NEW...Tables 91-112'!K133</f>
        <v>68.261662109536829</v>
      </c>
      <c r="F66" s="621">
        <f>+'NEW...Tables 91-112'!J164+'NEW...Tables 91-112'!K164</f>
        <v>19.98945389518089</v>
      </c>
      <c r="G66" s="621">
        <f>+'NEW...Tables 91-112'!J194+'NEW...Tables 91-112'!K194</f>
        <v>0</v>
      </c>
      <c r="H66" s="600">
        <f>+'NEW...Tables 91-112'!J9+'NEW...Tables 91-112'!K9</f>
        <v>67.267333014606336</v>
      </c>
      <c r="I66" s="622"/>
      <c r="J66" s="622"/>
      <c r="K66" s="622"/>
      <c r="L66" s="622"/>
      <c r="M66" s="622"/>
    </row>
    <row r="67" spans="1:40" ht="15.75" customHeight="1">
      <c r="A67" s="478" t="s">
        <v>895</v>
      </c>
      <c r="B67" s="624">
        <f>+'NEW...Tables 91-112'!J42+'NEW...Tables 91-112'!K42</f>
        <v>70.848831194423227</v>
      </c>
      <c r="C67" s="624">
        <f>+'NEW...Tables 91-112'!J73+'NEW...Tables 91-112'!K73</f>
        <v>76.098926957831324</v>
      </c>
      <c r="D67" s="624">
        <f>+'NEW...Tables 91-112'!J103+'NEW...Tables 91-112'!K103</f>
        <v>34.102599462180237</v>
      </c>
      <c r="E67" s="624">
        <f>+'NEW...Tables 91-112'!J134+'NEW...Tables 91-112'!K134</f>
        <v>26.88704309645664</v>
      </c>
      <c r="F67" s="624">
        <f>+'NEW...Tables 91-112'!J165+'NEW...Tables 91-112'!K165</f>
        <v>16.81728014106238</v>
      </c>
      <c r="G67" s="624">
        <f>+'NEW...Tables 91-112'!J195+'NEW...Tables 91-112'!K195</f>
        <v>66.099635479951402</v>
      </c>
      <c r="H67" s="598">
        <f>+'NEW...Tables 91-112'!J10+'NEW...Tables 91-112'!K10</f>
        <v>56.298794363630101</v>
      </c>
      <c r="I67" s="622"/>
      <c r="J67" s="622"/>
      <c r="K67" s="622"/>
      <c r="L67" s="622"/>
      <c r="M67" s="622"/>
    </row>
    <row r="68" spans="1:40" ht="15.75" customHeight="1">
      <c r="A68" s="478" t="s">
        <v>896</v>
      </c>
      <c r="B68" s="624">
        <f>+'NEW...Tables 91-112'!J43+'NEW...Tables 91-112'!K43</f>
        <v>90.239859089260733</v>
      </c>
      <c r="C68" s="624">
        <f>+'NEW...Tables 91-112'!J74+'NEW...Tables 91-112'!K74</f>
        <v>0</v>
      </c>
      <c r="D68" s="624">
        <f>+'NEW...Tables 91-112'!J104+'NEW...Tables 91-112'!K104</f>
        <v>94.63065408395704</v>
      </c>
      <c r="E68" s="624">
        <f>+'NEW...Tables 91-112'!J135+'NEW...Tables 91-112'!K135</f>
        <v>0</v>
      </c>
      <c r="F68" s="624">
        <f>+'NEW...Tables 91-112'!J166+'NEW...Tables 91-112'!K166</f>
        <v>0</v>
      </c>
      <c r="G68" s="624">
        <f>+'NEW...Tables 91-112'!J196+'NEW...Tables 91-112'!K196</f>
        <v>0</v>
      </c>
      <c r="H68" s="598">
        <f>+'NEW...Tables 91-112'!J11+'NEW...Tables 91-112'!K11</f>
        <v>90.661150573725706</v>
      </c>
      <c r="I68" s="622"/>
      <c r="J68" s="622"/>
      <c r="K68" s="622"/>
      <c r="L68" s="622"/>
      <c r="M68" s="622"/>
    </row>
    <row r="69" spans="1:40" ht="15.75" customHeight="1">
      <c r="A69" s="478" t="s">
        <v>897</v>
      </c>
      <c r="B69" s="624">
        <f>+'NEW...Tables 91-112'!J44+'NEW...Tables 91-112'!K44</f>
        <v>76.085053203828977</v>
      </c>
      <c r="C69" s="624">
        <f>+'NEW...Tables 91-112'!J75+'NEW...Tables 91-112'!K75</f>
        <v>0</v>
      </c>
      <c r="D69" s="624">
        <f>+'NEW...Tables 91-112'!J105+'NEW...Tables 91-112'!K105</f>
        <v>66.362797388226227</v>
      </c>
      <c r="E69" s="624">
        <f>+'NEW...Tables 91-112'!J136+'NEW...Tables 91-112'!K136</f>
        <v>68.742147846625457</v>
      </c>
      <c r="F69" s="624">
        <f>+'NEW...Tables 91-112'!J167+'NEW...Tables 91-112'!K167</f>
        <v>0</v>
      </c>
      <c r="G69" s="624">
        <f>+'NEW...Tables 91-112'!J197+'NEW...Tables 91-112'!K197</f>
        <v>100</v>
      </c>
      <c r="H69" s="598">
        <f>+'NEW...Tables 91-112'!J12+'NEW...Tables 91-112'!K12</f>
        <v>75.060746317698161</v>
      </c>
      <c r="I69" s="622"/>
      <c r="J69" s="622"/>
      <c r="K69" s="622"/>
      <c r="L69" s="622"/>
      <c r="M69" s="622"/>
    </row>
    <row r="70" spans="1:40" ht="15.75" customHeight="1">
      <c r="A70" s="478"/>
      <c r="B70" s="624"/>
      <c r="C70" s="624"/>
      <c r="D70" s="624"/>
      <c r="E70" s="624"/>
      <c r="F70" s="624"/>
      <c r="G70" s="624"/>
      <c r="H70" s="598"/>
      <c r="I70" s="622"/>
      <c r="J70" s="622"/>
      <c r="K70" s="622"/>
      <c r="L70" s="622"/>
      <c r="M70" s="622"/>
    </row>
    <row r="71" spans="1:40" ht="15.75" customHeight="1">
      <c r="A71" s="478" t="s">
        <v>898</v>
      </c>
      <c r="B71" s="624">
        <f>+'NEW...Tables 91-112'!J46+'NEW...Tables 91-112'!K46</f>
        <v>95.573924655112876</v>
      </c>
      <c r="C71" s="624">
        <f>+'NEW...Tables 91-112'!J77+'NEW...Tables 91-112'!K77</f>
        <v>88.929789956763727</v>
      </c>
      <c r="D71" s="624">
        <f>+'NEW...Tables 91-112'!J107+'NEW...Tables 91-112'!K107</f>
        <v>36.412330869019392</v>
      </c>
      <c r="E71" s="624">
        <f>+'NEW...Tables 91-112'!J138+'NEW...Tables 91-112'!K138</f>
        <v>82.394575436660375</v>
      </c>
      <c r="F71" s="624">
        <f>+'NEW...Tables 91-112'!J169+'NEW...Tables 91-112'!K169</f>
        <v>59.421098795949284</v>
      </c>
      <c r="G71" s="624">
        <f>+'NEW...Tables 91-112'!J199+'NEW...Tables 91-112'!K199</f>
        <v>0</v>
      </c>
      <c r="H71" s="598">
        <f>+'NEW...Tables 91-112'!J14+'NEW...Tables 91-112'!K14</f>
        <v>82.088076568884063</v>
      </c>
      <c r="I71" s="622"/>
      <c r="J71" s="622"/>
      <c r="K71" s="622"/>
      <c r="L71" s="622"/>
      <c r="M71" s="622"/>
    </row>
    <row r="72" spans="1:40" ht="15.75" customHeight="1">
      <c r="A72" s="478" t="s">
        <v>899</v>
      </c>
      <c r="B72" s="624">
        <f>+'NEW...Tables 91-112'!J47+'NEW...Tables 91-112'!K47</f>
        <v>81.97987318211932</v>
      </c>
      <c r="C72" s="624">
        <f>+'NEW...Tables 91-112'!J78+'NEW...Tables 91-112'!K78</f>
        <v>0</v>
      </c>
      <c r="D72" s="624">
        <f>+'NEW...Tables 91-112'!J108+'NEW...Tables 91-112'!K108</f>
        <v>49.838007400185312</v>
      </c>
      <c r="E72" s="624">
        <f>+'NEW...Tables 91-112'!J139+'NEW...Tables 91-112'!K139</f>
        <v>81.293402777777786</v>
      </c>
      <c r="F72" s="624">
        <f>+'NEW...Tables 91-112'!J170+'NEW...Tables 91-112'!K170</f>
        <v>0</v>
      </c>
      <c r="G72" s="624">
        <f>+'NEW...Tables 91-112'!J200+'NEW...Tables 91-112'!K200</f>
        <v>0</v>
      </c>
      <c r="H72" s="598">
        <f>+'NEW...Tables 91-112'!J15+'NEW...Tables 91-112'!K15</f>
        <v>65.690485687110723</v>
      </c>
      <c r="I72" s="622"/>
      <c r="J72" s="622"/>
      <c r="K72" s="622"/>
      <c r="L72" s="622"/>
      <c r="M72" s="622"/>
    </row>
    <row r="73" spans="1:40" ht="15.75" customHeight="1">
      <c r="A73" s="478" t="s">
        <v>900</v>
      </c>
      <c r="B73" s="624">
        <f>+'NEW...Tables 91-112'!J48+'NEW...Tables 91-112'!K48</f>
        <v>95.69128787878789</v>
      </c>
      <c r="C73" s="624">
        <f>+'NEW...Tables 91-112'!J79+'NEW...Tables 91-112'!K79</f>
        <v>85.071515494325141</v>
      </c>
      <c r="D73" s="624">
        <f>+'NEW...Tables 91-112'!J109+'NEW...Tables 91-112'!K109</f>
        <v>73.154368069289916</v>
      </c>
      <c r="E73" s="624">
        <f>+'NEW...Tables 91-112'!J140+'NEW...Tables 91-112'!K140</f>
        <v>47.359967438561767</v>
      </c>
      <c r="F73" s="624">
        <f>+'NEW...Tables 91-112'!J171+'NEW...Tables 91-112'!K171</f>
        <v>82.383419689119222</v>
      </c>
      <c r="G73" s="624">
        <f>+'NEW...Tables 91-112'!J201+'NEW...Tables 91-112'!K201</f>
        <v>0</v>
      </c>
      <c r="H73" s="598">
        <f>+'NEW...Tables 91-112'!J16+'NEW...Tables 91-112'!K16</f>
        <v>77.097492773615812</v>
      </c>
      <c r="I73" s="622"/>
      <c r="J73" s="622"/>
      <c r="K73" s="622"/>
      <c r="L73" s="622"/>
      <c r="M73" s="622"/>
    </row>
    <row r="74" spans="1:40" ht="15.75" customHeight="1">
      <c r="A74" s="478" t="s">
        <v>901</v>
      </c>
      <c r="B74" s="624">
        <f>+'NEW...Tables 91-112'!J49+'NEW...Tables 91-112'!K49</f>
        <v>92.456698210806252</v>
      </c>
      <c r="C74" s="624">
        <f>+'NEW...Tables 91-112'!J80+'NEW...Tables 91-112'!K80</f>
        <v>79.000866889904984</v>
      </c>
      <c r="D74" s="624">
        <f>+'NEW...Tables 91-112'!J110+'NEW...Tables 91-112'!K110</f>
        <v>78.528291268020268</v>
      </c>
      <c r="E74" s="624">
        <f>+'NEW...Tables 91-112'!J141+'NEW...Tables 91-112'!K141</f>
        <v>64.132758735885616</v>
      </c>
      <c r="F74" s="624">
        <f>+'NEW...Tables 91-112'!J172+'NEW...Tables 91-112'!K172</f>
        <v>85.673249551166975</v>
      </c>
      <c r="G74" s="624">
        <f>+'NEW...Tables 91-112'!J202+'NEW...Tables 91-112'!K202</f>
        <v>100</v>
      </c>
      <c r="H74" s="598">
        <f>+'NEW...Tables 91-112'!J17+'NEW...Tables 91-112'!K17</f>
        <v>55.872651891955826</v>
      </c>
      <c r="I74" s="622"/>
      <c r="J74" s="622"/>
      <c r="K74" s="622"/>
      <c r="L74" s="622"/>
      <c r="M74" s="622"/>
    </row>
    <row r="75" spans="1:40" ht="15.75" customHeight="1">
      <c r="A75" s="478"/>
      <c r="B75" s="624"/>
      <c r="C75" s="624"/>
      <c r="D75" s="624"/>
      <c r="E75" s="624"/>
      <c r="F75" s="624"/>
      <c r="G75" s="624"/>
      <c r="H75" s="598"/>
      <c r="I75" s="622"/>
      <c r="J75" s="622"/>
      <c r="K75" s="622"/>
      <c r="L75" s="622"/>
      <c r="M75" s="622"/>
    </row>
    <row r="76" spans="1:40" ht="15.75" customHeight="1">
      <c r="A76" s="478" t="s">
        <v>902</v>
      </c>
      <c r="B76" s="624">
        <f>+'NEW...Tables 91-112'!J51+'NEW...Tables 91-112'!K51</f>
        <v>71.846411425717108</v>
      </c>
      <c r="C76" s="624">
        <f>+'NEW...Tables 91-112'!J82+'NEW...Tables 91-112'!K82</f>
        <v>79.495714070880751</v>
      </c>
      <c r="D76" s="624">
        <f>+'NEW...Tables 91-112'!J112+'NEW...Tables 91-112'!K112</f>
        <v>0</v>
      </c>
      <c r="E76" s="624">
        <f>+'NEW...Tables 91-112'!J143+'NEW...Tables 91-112'!K143</f>
        <v>24.535142948136897</v>
      </c>
      <c r="F76" s="624">
        <f>+'NEW...Tables 91-112'!J174+'NEW...Tables 91-112'!K174</f>
        <v>62.512915891713163</v>
      </c>
      <c r="G76" s="624">
        <f>+'NEW...Tables 91-112'!J204+'NEW...Tables 91-112'!K204</f>
        <v>0</v>
      </c>
      <c r="H76" s="598">
        <f>+'NEW...Tables 91-112'!J19+'NEW...Tables 91-112'!K19</f>
        <v>67.060076525580854</v>
      </c>
      <c r="I76" s="622"/>
      <c r="J76" s="622"/>
      <c r="K76" s="622"/>
      <c r="L76" s="622"/>
      <c r="M76" s="622"/>
    </row>
    <row r="77" spans="1:40" ht="15.75" customHeight="1">
      <c r="A77" s="478" t="s">
        <v>903</v>
      </c>
      <c r="B77" s="624">
        <f>+'NEW...Tables 91-112'!J52+'NEW...Tables 91-112'!K52</f>
        <v>80.788526683481251</v>
      </c>
      <c r="C77" s="624">
        <f>+'NEW...Tables 91-112'!J83+'NEW...Tables 91-112'!K83</f>
        <v>47.915143554602793</v>
      </c>
      <c r="D77" s="624">
        <f>+'NEW...Tables 91-112'!J113+'NEW...Tables 91-112'!K113</f>
        <v>69.775069699378065</v>
      </c>
      <c r="E77" s="624">
        <f>+'NEW...Tables 91-112'!J144+'NEW...Tables 91-112'!K144</f>
        <v>57.38804182964796</v>
      </c>
      <c r="F77" s="624">
        <f>+'NEW...Tables 91-112'!J175+'NEW...Tables 91-112'!K175</f>
        <v>58.535300316122232</v>
      </c>
      <c r="G77" s="624">
        <f>+'NEW...Tables 91-112'!J205+'NEW...Tables 91-112'!K205</f>
        <v>89.815817984832066</v>
      </c>
      <c r="H77" s="598">
        <f>+'NEW...Tables 91-112'!J20+'NEW...Tables 91-112'!K20</f>
        <v>73.860876064383532</v>
      </c>
      <c r="I77" s="622"/>
      <c r="J77" s="622"/>
      <c r="K77" s="622"/>
      <c r="L77" s="622"/>
      <c r="M77" s="622"/>
    </row>
    <row r="78" spans="1:40" ht="15.75" customHeight="1">
      <c r="A78" s="478" t="s">
        <v>904</v>
      </c>
      <c r="B78" s="624">
        <f>+'NEW...Tables 91-112'!J53+'NEW...Tables 91-112'!K53</f>
        <v>83.668636039523278</v>
      </c>
      <c r="C78" s="624">
        <f>+'NEW...Tables 91-112'!J84+'NEW...Tables 91-112'!K84</f>
        <v>0</v>
      </c>
      <c r="D78" s="624">
        <f>+'NEW...Tables 91-112'!J114+'NEW...Tables 91-112'!K114</f>
        <v>81.286240318279937</v>
      </c>
      <c r="E78" s="624">
        <f>+'NEW...Tables 91-112'!J145+'NEW...Tables 91-112'!K145</f>
        <v>34.257102934326966</v>
      </c>
      <c r="F78" s="624">
        <f>+'NEW...Tables 91-112'!J176+'NEW...Tables 91-112'!K176</f>
        <v>46.882931106086481</v>
      </c>
      <c r="G78" s="624">
        <f>+'NEW...Tables 91-112'!J206+'NEW...Tables 91-112'!K206</f>
        <v>100</v>
      </c>
      <c r="H78" s="598">
        <f>+'NEW...Tables 91-112'!J21+'NEW...Tables 91-112'!K21</f>
        <v>77.334713332100492</v>
      </c>
      <c r="I78" s="622"/>
      <c r="J78" s="622"/>
      <c r="K78" s="622"/>
      <c r="L78" s="622"/>
      <c r="M78" s="622"/>
    </row>
    <row r="79" spans="1:40" ht="15.75" customHeight="1">
      <c r="A79" s="478" t="s">
        <v>905</v>
      </c>
      <c r="B79" s="624">
        <f>+'NEW...Tables 91-112'!J54+'NEW...Tables 91-112'!K54</f>
        <v>80.57431335125419</v>
      </c>
      <c r="C79" s="624">
        <f>+'NEW...Tables 91-112'!J85+'NEW...Tables 91-112'!K85</f>
        <v>0</v>
      </c>
      <c r="D79" s="624">
        <f>+'NEW...Tables 91-112'!J115+'NEW...Tables 91-112'!K115</f>
        <v>86.346000116984143</v>
      </c>
      <c r="E79" s="624">
        <f>+'NEW...Tables 91-112'!J146+'NEW...Tables 91-112'!K146</f>
        <v>0</v>
      </c>
      <c r="F79" s="624">
        <f>+'NEW...Tables 91-112'!J177+'NEW...Tables 91-112'!K177</f>
        <v>65.203517494712628</v>
      </c>
      <c r="G79" s="624">
        <f>+'NEW...Tables 91-112'!J207+'NEW...Tables 91-112'!K207</f>
        <v>41.660290742157613</v>
      </c>
      <c r="H79" s="598">
        <f>+'NEW...Tables 91-112'!J22+'NEW...Tables 91-112'!K22</f>
        <v>79.783449418671836</v>
      </c>
      <c r="I79" s="622"/>
      <c r="J79" s="622"/>
      <c r="K79" s="622"/>
      <c r="L79" s="622"/>
      <c r="M79" s="622"/>
    </row>
    <row r="80" spans="1:40" ht="15.75" customHeight="1">
      <c r="A80" s="478"/>
      <c r="B80" s="624"/>
      <c r="C80" s="624"/>
      <c r="D80" s="624"/>
      <c r="E80" s="624"/>
      <c r="F80" s="624"/>
      <c r="G80" s="624"/>
      <c r="H80" s="598"/>
      <c r="I80" s="622"/>
      <c r="J80" s="622"/>
      <c r="K80" s="622"/>
      <c r="L80" s="622"/>
      <c r="M80" s="622"/>
    </row>
    <row r="81" spans="1:40" ht="15.75" customHeight="1">
      <c r="A81" s="478" t="s">
        <v>906</v>
      </c>
      <c r="B81" s="624">
        <f>+'NEW...Tables 91-112'!J56+'NEW...Tables 91-112'!K56</f>
        <v>71.802875016637827</v>
      </c>
      <c r="C81" s="624">
        <f>+'NEW...Tables 91-112'!J87+'NEW...Tables 91-112'!K87</f>
        <v>54.587729754389059</v>
      </c>
      <c r="D81" s="624">
        <f>+'NEW...Tables 91-112'!J117+'NEW...Tables 91-112'!K117</f>
        <v>51.652828688777987</v>
      </c>
      <c r="E81" s="624">
        <f>+'NEW...Tables 91-112'!J148+'NEW...Tables 91-112'!K148</f>
        <v>0</v>
      </c>
      <c r="F81" s="624">
        <f>+'NEW...Tables 91-112'!J179+'NEW...Tables 91-112'!K179</f>
        <v>11.622629275409306</v>
      </c>
      <c r="G81" s="624">
        <f>+'NEW...Tables 91-112'!J209+'NEW...Tables 91-112'!K209</f>
        <v>0</v>
      </c>
      <c r="H81" s="598">
        <f>+'NEW...Tables 91-112'!J24+'NEW...Tables 91-112'!K24</f>
        <v>61.115273976517209</v>
      </c>
      <c r="I81" s="622"/>
      <c r="J81" s="622"/>
      <c r="K81" s="622"/>
      <c r="L81" s="622"/>
      <c r="M81" s="622"/>
    </row>
    <row r="82" spans="1:40" s="524" customFormat="1">
      <c r="A82" s="478" t="s">
        <v>907</v>
      </c>
      <c r="B82" s="624">
        <f>+'NEW...Tables 91-112'!J57+'NEW...Tables 91-112'!K57</f>
        <v>82.676396257266049</v>
      </c>
      <c r="C82" s="624">
        <f>+'NEW...Tables 91-112'!J88+'NEW...Tables 91-112'!K88</f>
        <v>65.219569359585648</v>
      </c>
      <c r="D82" s="624">
        <f>+'NEW...Tables 91-112'!J118+'NEW...Tables 91-112'!K118</f>
        <v>45.946305939491836</v>
      </c>
      <c r="E82" s="624">
        <f>+'NEW...Tables 91-112'!J149+'NEW...Tables 91-112'!K149</f>
        <v>30.067203910045674</v>
      </c>
      <c r="F82" s="624">
        <f>+'NEW...Tables 91-112'!J180+'NEW...Tables 91-112'!K180</f>
        <v>36.063264549610778</v>
      </c>
      <c r="G82" s="624">
        <f>+'NEW...Tables 91-112'!J210+'NEW...Tables 91-112'!K210</f>
        <v>0</v>
      </c>
      <c r="H82" s="598">
        <f>+'NEW...Tables 91-112'!J25+'NEW...Tables 91-112'!K25</f>
        <v>68.058631476592055</v>
      </c>
      <c r="I82" s="622"/>
      <c r="J82" s="622"/>
      <c r="K82" s="622"/>
      <c r="L82" s="622"/>
      <c r="M82" s="622"/>
      <c r="N82" s="289"/>
      <c r="O82" s="289"/>
      <c r="P82" s="289"/>
      <c r="Q82" s="289"/>
      <c r="R82" s="289"/>
      <c r="S82" s="289"/>
      <c r="T82" s="289"/>
      <c r="U82" s="289"/>
      <c r="V82" s="289"/>
      <c r="W82" s="289"/>
      <c r="X82" s="289"/>
      <c r="Y82" s="289"/>
      <c r="Z82" s="289"/>
      <c r="AA82" s="289"/>
      <c r="AB82" s="289"/>
      <c r="AC82" s="289"/>
      <c r="AD82" s="289"/>
      <c r="AE82" s="289"/>
      <c r="AF82" s="289"/>
      <c r="AG82" s="289"/>
      <c r="AH82" s="289"/>
      <c r="AI82" s="289"/>
      <c r="AJ82" s="289"/>
      <c r="AK82" s="289"/>
      <c r="AL82" s="289"/>
      <c r="AM82" s="289"/>
      <c r="AN82" s="289"/>
    </row>
    <row r="83" spans="1:40" s="524" customFormat="1">
      <c r="A83" s="478" t="s">
        <v>908</v>
      </c>
      <c r="B83" s="624">
        <f>+'NEW...Tables 91-112'!J58+'NEW...Tables 91-112'!K58</f>
        <v>87.505283593313266</v>
      </c>
      <c r="C83" s="624">
        <f>+'NEW...Tables 91-112'!J89+'NEW...Tables 91-112'!K89</f>
        <v>95.840602490801984</v>
      </c>
      <c r="D83" s="624">
        <f>+'NEW...Tables 91-112'!J119+'NEW...Tables 91-112'!K119</f>
        <v>80.571955082061621</v>
      </c>
      <c r="E83" s="624">
        <f>+'NEW...Tables 91-112'!J150+'NEW...Tables 91-112'!K150</f>
        <v>0</v>
      </c>
      <c r="F83" s="624">
        <f>+'NEW...Tables 91-112'!J181+'NEW...Tables 91-112'!K181</f>
        <v>100</v>
      </c>
      <c r="G83" s="624">
        <f>+'NEW...Tables 91-112'!J211+'NEW...Tables 91-112'!K211</f>
        <v>0</v>
      </c>
      <c r="H83" s="598">
        <f>+'NEW...Tables 91-112'!J26+'NEW...Tables 91-112'!K26</f>
        <v>87.412104151687984</v>
      </c>
      <c r="I83" s="622"/>
      <c r="J83" s="622"/>
      <c r="K83" s="622"/>
      <c r="L83" s="622"/>
      <c r="M83" s="622"/>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row>
    <row r="84" spans="1:40" s="524" customFormat="1">
      <c r="A84" s="484" t="s">
        <v>909</v>
      </c>
      <c r="B84" s="602">
        <f>+'NEW...Tables 91-112'!J59+'NEW...Tables 91-112'!K59</f>
        <v>69.445877509765324</v>
      </c>
      <c r="C84" s="602">
        <f>+'NEW...Tables 91-112'!J90+'NEW...Tables 91-112'!K90</f>
        <v>0</v>
      </c>
      <c r="D84" s="602">
        <f>+'NEW...Tables 91-112'!J120+'NEW...Tables 91-112'!K120</f>
        <v>77.374373290793073</v>
      </c>
      <c r="E84" s="602">
        <f>+'NEW...Tables 91-112'!J151+'NEW...Tables 91-112'!K151</f>
        <v>0</v>
      </c>
      <c r="F84" s="602">
        <f>+'NEW...Tables 91-112'!J182+'NEW...Tables 91-112'!K182</f>
        <v>47.252857429316222</v>
      </c>
      <c r="G84" s="602">
        <f>+'NEW...Tables 91-112'!J212+'NEW...Tables 91-112'!K212</f>
        <v>75.335968379446641</v>
      </c>
      <c r="H84" s="604">
        <f>+'NEW...Tables 91-112'!J27+'NEW...Tables 91-112'!K27</f>
        <v>70.097103004291839</v>
      </c>
      <c r="I84" s="622"/>
      <c r="J84" s="622"/>
      <c r="K84" s="622"/>
      <c r="L84" s="622"/>
      <c r="M84" s="622"/>
      <c r="N84" s="289"/>
      <c r="O84" s="289"/>
      <c r="P84" s="289"/>
      <c r="Q84" s="289"/>
      <c r="R84" s="289"/>
      <c r="S84" s="289"/>
      <c r="T84" s="289"/>
      <c r="U84" s="289"/>
      <c r="V84" s="289"/>
      <c r="W84" s="289"/>
      <c r="X84" s="289"/>
      <c r="Y84" s="289"/>
      <c r="Z84" s="289"/>
      <c r="AA84" s="289"/>
      <c r="AB84" s="289"/>
      <c r="AC84" s="289"/>
      <c r="AD84" s="289"/>
      <c r="AE84" s="289"/>
      <c r="AF84" s="289"/>
      <c r="AG84" s="289"/>
      <c r="AH84" s="289"/>
      <c r="AI84" s="289"/>
      <c r="AJ84" s="289"/>
      <c r="AK84" s="289"/>
      <c r="AL84" s="289"/>
      <c r="AM84" s="289"/>
      <c r="AN84" s="289"/>
    </row>
    <row r="85" spans="1:40" s="478" customFormat="1" ht="35.25" customHeight="1">
      <c r="A85" s="653" t="s">
        <v>999</v>
      </c>
      <c r="B85" s="653"/>
      <c r="C85" s="653"/>
      <c r="D85" s="653"/>
      <c r="E85" s="653"/>
      <c r="F85" s="653"/>
      <c r="G85" s="653"/>
      <c r="H85" s="653"/>
      <c r="I85" s="524"/>
      <c r="J85" s="524"/>
      <c r="K85" s="524"/>
      <c r="L85" s="524"/>
      <c r="M85" s="540"/>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row>
    <row r="86" spans="1:40">
      <c r="A86" s="524"/>
      <c r="B86" s="524"/>
      <c r="C86" s="524"/>
      <c r="D86" s="524"/>
      <c r="E86" s="524"/>
      <c r="F86" s="524"/>
      <c r="G86" s="524"/>
      <c r="H86" s="532" t="s">
        <v>1015</v>
      </c>
      <c r="I86" s="524"/>
      <c r="J86" s="524"/>
      <c r="K86" s="524"/>
      <c r="L86" s="524"/>
      <c r="M86" s="540"/>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row>
    <row r="87" spans="1:40" ht="18">
      <c r="A87" s="472" t="s">
        <v>988</v>
      </c>
      <c r="B87" s="473"/>
      <c r="C87" s="473"/>
      <c r="D87" s="473"/>
      <c r="E87" s="473"/>
      <c r="F87" s="473"/>
      <c r="G87" s="579"/>
      <c r="H87" s="579"/>
      <c r="I87" s="613" t="s">
        <v>320</v>
      </c>
      <c r="J87" s="613"/>
      <c r="K87" s="613"/>
      <c r="L87" s="613"/>
      <c r="M87" s="645"/>
    </row>
    <row r="88" spans="1:40">
      <c r="A88" s="479"/>
      <c r="B88" s="475"/>
      <c r="C88" s="475"/>
      <c r="D88" s="475"/>
      <c r="E88" s="475"/>
      <c r="F88" s="475"/>
      <c r="G88" s="475"/>
      <c r="H88" s="475"/>
      <c r="I88" s="616"/>
      <c r="J88" s="616"/>
      <c r="K88" s="616"/>
      <c r="L88" s="616"/>
      <c r="M88" s="617"/>
      <c r="N88" s="478"/>
      <c r="O88" s="478"/>
      <c r="P88" s="478"/>
      <c r="Q88" s="478"/>
      <c r="R88" s="478"/>
      <c r="S88" s="478"/>
      <c r="T88" s="478"/>
      <c r="U88" s="478"/>
      <c r="V88" s="478"/>
      <c r="W88" s="478"/>
      <c r="X88" s="478"/>
      <c r="Y88" s="478"/>
      <c r="Z88" s="478"/>
      <c r="AA88" s="478"/>
      <c r="AB88" s="478"/>
      <c r="AC88" s="478"/>
      <c r="AD88" s="478"/>
      <c r="AE88" s="478"/>
      <c r="AF88" s="478"/>
      <c r="AG88" s="478"/>
      <c r="AH88" s="478"/>
      <c r="AI88" s="478"/>
      <c r="AJ88" s="478"/>
      <c r="AK88" s="478"/>
      <c r="AL88" s="478"/>
      <c r="AM88" s="478"/>
      <c r="AN88" s="478"/>
    </row>
    <row r="89" spans="1:40" s="595" customFormat="1" ht="18">
      <c r="A89" s="481" t="s">
        <v>989</v>
      </c>
      <c r="B89" s="473"/>
      <c r="C89" s="473"/>
      <c r="D89" s="473"/>
      <c r="E89" s="473"/>
      <c r="F89" s="473"/>
      <c r="G89" s="579"/>
      <c r="H89" s="579"/>
      <c r="I89" s="613" t="s">
        <v>320</v>
      </c>
      <c r="J89" s="613"/>
      <c r="K89" s="613"/>
      <c r="L89" s="613"/>
      <c r="M89" s="645"/>
      <c r="N89" s="289"/>
      <c r="O89" s="289"/>
      <c r="P89" s="289"/>
      <c r="Q89" s="289"/>
      <c r="R89" s="289"/>
      <c r="S89" s="289"/>
      <c r="T89" s="289"/>
      <c r="U89" s="289"/>
      <c r="V89" s="289"/>
      <c r="W89" s="289"/>
      <c r="X89" s="289"/>
      <c r="Y89" s="289"/>
      <c r="Z89" s="289"/>
      <c r="AA89" s="289"/>
      <c r="AB89" s="289"/>
      <c r="AC89" s="289"/>
      <c r="AD89" s="289"/>
      <c r="AE89" s="289"/>
      <c r="AF89" s="289"/>
      <c r="AG89" s="289"/>
      <c r="AH89" s="289"/>
      <c r="AI89" s="289"/>
      <c r="AJ89" s="289"/>
      <c r="AK89" s="289"/>
      <c r="AL89" s="289"/>
      <c r="AM89" s="289"/>
      <c r="AN89" s="289"/>
    </row>
    <row r="90" spans="1:40" s="595" customFormat="1" ht="15.75">
      <c r="A90" s="481" t="s">
        <v>1018</v>
      </c>
      <c r="B90" s="475"/>
      <c r="C90" s="475"/>
      <c r="D90" s="475"/>
      <c r="E90" s="475"/>
      <c r="F90" s="475"/>
      <c r="G90" s="579"/>
      <c r="H90" s="579"/>
      <c r="I90" s="613" t="s">
        <v>320</v>
      </c>
      <c r="J90" s="613"/>
      <c r="K90" s="613"/>
      <c r="L90" s="613"/>
      <c r="M90" s="645"/>
      <c r="N90" s="289"/>
      <c r="O90" s="289"/>
      <c r="P90" s="289"/>
      <c r="Q90" s="289"/>
      <c r="R90" s="289"/>
      <c r="S90" s="289"/>
      <c r="T90" s="289"/>
      <c r="U90" s="289"/>
      <c r="V90" s="289"/>
      <c r="W90" s="289"/>
      <c r="X90" s="289"/>
      <c r="Y90" s="289"/>
      <c r="Z90" s="289"/>
      <c r="AA90" s="289"/>
      <c r="AB90" s="289"/>
      <c r="AC90" s="289"/>
      <c r="AD90" s="289"/>
      <c r="AE90" s="289"/>
      <c r="AF90" s="289"/>
      <c r="AG90" s="289"/>
      <c r="AH90" s="289"/>
      <c r="AI90" s="289"/>
      <c r="AJ90" s="289"/>
      <c r="AK90" s="289"/>
      <c r="AL90" s="289"/>
      <c r="AM90" s="289"/>
      <c r="AN90" s="289"/>
    </row>
    <row r="91" spans="1:40" ht="11.25" customHeight="1">
      <c r="A91" s="648"/>
      <c r="B91" s="616"/>
      <c r="C91" s="616"/>
      <c r="D91" s="616"/>
      <c r="E91" s="616"/>
      <c r="F91" s="616"/>
      <c r="G91" s="613"/>
      <c r="H91" s="613"/>
      <c r="I91" s="613"/>
      <c r="J91" s="613"/>
      <c r="K91" s="613"/>
      <c r="L91" s="613"/>
      <c r="M91" s="645"/>
    </row>
    <row r="92" spans="1:40" ht="15.75" customHeight="1">
      <c r="A92" s="631"/>
      <c r="B92" s="490" t="s">
        <v>877</v>
      </c>
      <c r="C92" s="490"/>
      <c r="D92" s="490"/>
      <c r="E92" s="490"/>
      <c r="F92" s="490"/>
      <c r="G92" s="490"/>
      <c r="H92" s="490"/>
      <c r="I92" s="620"/>
      <c r="J92" s="620"/>
      <c r="K92" s="620"/>
      <c r="L92" s="620"/>
      <c r="M92" s="620"/>
      <c r="N92" s="620"/>
      <c r="O92" s="595"/>
      <c r="P92" s="595"/>
      <c r="Q92" s="595"/>
      <c r="R92" s="595"/>
      <c r="S92" s="595"/>
      <c r="T92" s="595"/>
      <c r="U92" s="595"/>
      <c r="V92" s="595"/>
      <c r="W92" s="595"/>
      <c r="X92" s="595"/>
      <c r="Y92" s="595"/>
      <c r="Z92" s="595"/>
      <c r="AA92" s="595"/>
      <c r="AB92" s="595"/>
      <c r="AC92" s="595"/>
      <c r="AD92" s="595"/>
      <c r="AE92" s="595"/>
      <c r="AF92" s="595"/>
      <c r="AG92" s="595"/>
      <c r="AH92" s="595"/>
      <c r="AI92" s="595"/>
      <c r="AJ92" s="595"/>
      <c r="AK92" s="595"/>
      <c r="AL92" s="595"/>
      <c r="AM92" s="595"/>
      <c r="AN92" s="595"/>
    </row>
    <row r="93" spans="1:40" ht="15.75" customHeight="1">
      <c r="A93" s="631"/>
      <c r="B93" s="632">
        <v>1</v>
      </c>
      <c r="C93" s="632">
        <v>2</v>
      </c>
      <c r="D93" s="632">
        <v>3</v>
      </c>
      <c r="E93" s="632">
        <v>4</v>
      </c>
      <c r="F93" s="632">
        <v>5</v>
      </c>
      <c r="G93" s="632">
        <v>6</v>
      </c>
      <c r="H93" s="635" t="s">
        <v>992</v>
      </c>
      <c r="I93" s="620"/>
      <c r="J93" s="620"/>
      <c r="K93" s="620"/>
      <c r="L93" s="620"/>
      <c r="M93" s="620"/>
      <c r="N93" s="620"/>
      <c r="O93" s="595"/>
      <c r="P93" s="595"/>
      <c r="Q93" s="595"/>
      <c r="R93" s="595"/>
      <c r="S93" s="595"/>
      <c r="T93" s="595"/>
      <c r="U93" s="595"/>
      <c r="V93" s="595"/>
      <c r="W93" s="595"/>
      <c r="X93" s="595"/>
      <c r="Y93" s="595"/>
      <c r="Z93" s="595"/>
      <c r="AA93" s="595"/>
      <c r="AB93" s="595"/>
      <c r="AC93" s="595"/>
      <c r="AD93" s="595"/>
      <c r="AE93" s="595"/>
      <c r="AF93" s="595"/>
      <c r="AG93" s="595"/>
      <c r="AH93" s="595"/>
      <c r="AI93" s="595"/>
      <c r="AJ93" s="595"/>
      <c r="AK93" s="595"/>
      <c r="AL93" s="595"/>
      <c r="AM93" s="595"/>
      <c r="AN93" s="595"/>
    </row>
    <row r="94" spans="1:40" ht="15.75" customHeight="1">
      <c r="A94" s="478" t="s">
        <v>894</v>
      </c>
      <c r="B94" s="621">
        <f>+'NEW...Tables 91-112'!L41</f>
        <v>19.420819357930039</v>
      </c>
      <c r="C94" s="621">
        <f>+'NEW...Tables 91-112'!L72</f>
        <v>33.510901202701959</v>
      </c>
      <c r="D94" s="621">
        <f>+'NEW...Tables 91-112'!L102</f>
        <v>37.917093671552543</v>
      </c>
      <c r="E94" s="621">
        <f>+'NEW...Tables 91-112'!L133</f>
        <v>31.738337890463171</v>
      </c>
      <c r="F94" s="621">
        <f>+'NEW...Tables 91-112'!L164</f>
        <v>80.010546104819113</v>
      </c>
      <c r="G94" s="621">
        <f>+'NEW...Tables 91-112'!L194</f>
        <v>100</v>
      </c>
      <c r="H94" s="600">
        <f>+'NEW...Tables 91-112'!L9</f>
        <v>32.732666985393664</v>
      </c>
      <c r="I94" s="622"/>
      <c r="J94" s="622"/>
      <c r="K94" s="622"/>
      <c r="L94" s="622"/>
      <c r="M94" s="622"/>
      <c r="N94" s="290"/>
    </row>
    <row r="95" spans="1:40" ht="15.75" customHeight="1">
      <c r="A95" s="478" t="s">
        <v>895</v>
      </c>
      <c r="B95" s="624">
        <f>+'NEW...Tables 91-112'!L42</f>
        <v>29.151168805576766</v>
      </c>
      <c r="C95" s="624">
        <f>+'NEW...Tables 91-112'!L73</f>
        <v>23.901073042168676</v>
      </c>
      <c r="D95" s="624">
        <f>+'NEW...Tables 91-112'!L103</f>
        <v>65.897400537819763</v>
      </c>
      <c r="E95" s="624">
        <f>+'NEW...Tables 91-112'!L134</f>
        <v>73.112956903543363</v>
      </c>
      <c r="F95" s="624">
        <f>+'NEW...Tables 91-112'!L165</f>
        <v>83.182719858937631</v>
      </c>
      <c r="G95" s="624">
        <f>+'NEW...Tables 91-112'!L195</f>
        <v>33.900364520048605</v>
      </c>
      <c r="H95" s="598">
        <f>+'NEW...Tables 91-112'!L10</f>
        <v>43.701205636369899</v>
      </c>
      <c r="I95" s="622"/>
      <c r="J95" s="622"/>
      <c r="K95" s="622"/>
      <c r="L95" s="622"/>
      <c r="M95" s="622"/>
      <c r="N95" s="290"/>
    </row>
    <row r="96" spans="1:40" ht="15.75" customHeight="1">
      <c r="A96" s="478" t="s">
        <v>896</v>
      </c>
      <c r="B96" s="624">
        <f>+'NEW...Tables 91-112'!L43</f>
        <v>9.7601409107392634</v>
      </c>
      <c r="C96" s="624">
        <f>+'NEW...Tables 91-112'!L74</f>
        <v>0</v>
      </c>
      <c r="D96" s="624">
        <f>+'NEW...Tables 91-112'!L104</f>
        <v>5.3693459160429553</v>
      </c>
      <c r="E96" s="624">
        <f>+'NEW...Tables 91-112'!L135</f>
        <v>0</v>
      </c>
      <c r="F96" s="624">
        <f>+'NEW...Tables 91-112'!L166</f>
        <v>0</v>
      </c>
      <c r="G96" s="624">
        <f>+'NEW...Tables 91-112'!L196</f>
        <v>0</v>
      </c>
      <c r="H96" s="598">
        <f>+'NEW...Tables 91-112'!L11</f>
        <v>9.3388494262742956</v>
      </c>
      <c r="I96" s="622"/>
      <c r="J96" s="622"/>
      <c r="K96" s="622"/>
      <c r="L96" s="622"/>
      <c r="M96" s="622"/>
      <c r="N96" s="290"/>
    </row>
    <row r="97" spans="1:40" ht="15.75" customHeight="1">
      <c r="A97" s="478" t="s">
        <v>936</v>
      </c>
      <c r="B97" s="624">
        <f>+'NEW...Tables 91-112'!L44</f>
        <v>23.86608869477314</v>
      </c>
      <c r="C97" s="624">
        <f>+'NEW...Tables 91-112'!L75</f>
        <v>0</v>
      </c>
      <c r="D97" s="624">
        <f>+'NEW...Tables 91-112'!L105</f>
        <v>33.63720261177378</v>
      </c>
      <c r="E97" s="624">
        <f>+'NEW...Tables 91-112'!L136</f>
        <v>31.257852153374543</v>
      </c>
      <c r="F97" s="624">
        <f>+'NEW...Tables 91-112'!L167</f>
        <v>0</v>
      </c>
      <c r="G97" s="624">
        <f>+'NEW...Tables 91-112'!L197</f>
        <v>0</v>
      </c>
      <c r="H97" s="598">
        <f>+'NEW...Tables 91-112'!L12</f>
        <v>24.895767837512221</v>
      </c>
      <c r="I97" s="622"/>
      <c r="J97" s="622"/>
      <c r="K97" s="622"/>
      <c r="L97" s="622"/>
      <c r="M97" s="622"/>
      <c r="N97" s="290"/>
    </row>
    <row r="98" spans="1:40" ht="15.75" customHeight="1">
      <c r="A98" s="478"/>
      <c r="B98" s="624"/>
      <c r="C98" s="624"/>
      <c r="D98" s="624"/>
      <c r="E98" s="624"/>
      <c r="F98" s="624"/>
      <c r="G98" s="624"/>
      <c r="H98" s="598"/>
      <c r="I98" s="622"/>
      <c r="J98" s="622"/>
      <c r="K98" s="622"/>
      <c r="L98" s="622"/>
      <c r="M98" s="622"/>
      <c r="N98" s="290"/>
    </row>
    <row r="99" spans="1:40" ht="15.75" customHeight="1">
      <c r="A99" s="478" t="s">
        <v>898</v>
      </c>
      <c r="B99" s="624">
        <f>+'NEW...Tables 91-112'!L46</f>
        <v>4.4260753448871242</v>
      </c>
      <c r="C99" s="624">
        <f>+'NEW...Tables 91-112'!L77</f>
        <v>11.070210043236278</v>
      </c>
      <c r="D99" s="624">
        <f>+'NEW...Tables 91-112'!L107</f>
        <v>63.587669130980608</v>
      </c>
      <c r="E99" s="624">
        <f>+'NEW...Tables 91-112'!L138</f>
        <v>17.605424563339628</v>
      </c>
      <c r="F99" s="624">
        <f>+'NEW...Tables 91-112'!L169</f>
        <v>40.578901204050716</v>
      </c>
      <c r="G99" s="624">
        <f>+'NEW...Tables 91-112'!L199</f>
        <v>100</v>
      </c>
      <c r="H99" s="598">
        <f>+'NEW...Tables 91-112'!L14</f>
        <v>17.911923431115937</v>
      </c>
      <c r="I99" s="622"/>
      <c r="J99" s="622"/>
      <c r="K99" s="622"/>
      <c r="L99" s="622"/>
      <c r="M99" s="622"/>
      <c r="N99" s="290"/>
    </row>
    <row r="100" spans="1:40" ht="15.75" customHeight="1">
      <c r="A100" s="478" t="s">
        <v>899</v>
      </c>
      <c r="B100" s="624">
        <f>+'NEW...Tables 91-112'!L47</f>
        <v>18.020126817880694</v>
      </c>
      <c r="C100" s="624">
        <f>+'NEW...Tables 91-112'!L78</f>
        <v>0</v>
      </c>
      <c r="D100" s="624">
        <f>+'NEW...Tables 91-112'!L108</f>
        <v>50.161992599814695</v>
      </c>
      <c r="E100" s="624">
        <f>+'NEW...Tables 91-112'!L139</f>
        <v>18.706597222222221</v>
      </c>
      <c r="F100" s="624">
        <f>+'NEW...Tables 91-112'!L170</f>
        <v>0</v>
      </c>
      <c r="G100" s="624">
        <f>+'NEW...Tables 91-112'!L200</f>
        <v>0</v>
      </c>
      <c r="H100" s="598">
        <f>+'NEW...Tables 91-112'!L15</f>
        <v>34.30951431288927</v>
      </c>
      <c r="I100" s="622"/>
      <c r="J100" s="622"/>
      <c r="K100" s="622"/>
      <c r="L100" s="622"/>
      <c r="M100" s="622"/>
      <c r="N100" s="290"/>
    </row>
    <row r="101" spans="1:40" ht="15.75" customHeight="1">
      <c r="A101" s="478" t="s">
        <v>900</v>
      </c>
      <c r="B101" s="624">
        <f>+'NEW...Tables 91-112'!L48</f>
        <v>4.3087121212121087</v>
      </c>
      <c r="C101" s="624">
        <f>+'NEW...Tables 91-112'!L79</f>
        <v>14.928484505674867</v>
      </c>
      <c r="D101" s="624">
        <f>+'NEW...Tables 91-112'!L109</f>
        <v>26.845631930710073</v>
      </c>
      <c r="E101" s="624">
        <f>+'NEW...Tables 91-112'!L140</f>
        <v>52.640032561438247</v>
      </c>
      <c r="F101" s="624">
        <f>+'NEW...Tables 91-112'!L171</f>
        <v>17.616580310880789</v>
      </c>
      <c r="G101" s="624">
        <f>+'NEW...Tables 91-112'!L201</f>
        <v>0</v>
      </c>
      <c r="H101" s="598">
        <f>+'NEW...Tables 91-112'!L16</f>
        <v>22.902507226384198</v>
      </c>
      <c r="I101" s="622"/>
      <c r="J101" s="622"/>
      <c r="K101" s="622"/>
      <c r="L101" s="622"/>
      <c r="M101" s="622"/>
      <c r="N101" s="290"/>
    </row>
    <row r="102" spans="1:40" ht="15.75" customHeight="1">
      <c r="A102" s="478" t="s">
        <v>901</v>
      </c>
      <c r="B102" s="624">
        <f>+'NEW...Tables 91-112'!L49</f>
        <v>7.5433017891937526</v>
      </c>
      <c r="C102" s="624">
        <f>+'NEW...Tables 91-112'!L80</f>
        <v>20.999133110095016</v>
      </c>
      <c r="D102" s="624">
        <f>+'NEW...Tables 91-112'!L110</f>
        <v>21.471708731979739</v>
      </c>
      <c r="E102" s="624">
        <f>+'NEW...Tables 91-112'!L141</f>
        <v>35.867241264114384</v>
      </c>
      <c r="F102" s="624">
        <f>+'NEW...Tables 91-112'!L172</f>
        <v>14.326750448833034</v>
      </c>
      <c r="G102" s="624">
        <f>+'NEW...Tables 91-112'!L202</f>
        <v>0</v>
      </c>
      <c r="H102" s="598">
        <f>+'NEW...Tables 91-112'!L17</f>
        <v>44.127348108044181</v>
      </c>
      <c r="I102" s="622"/>
      <c r="J102" s="622"/>
      <c r="K102" s="622"/>
      <c r="L102" s="622"/>
      <c r="M102" s="622"/>
      <c r="N102" s="290"/>
    </row>
    <row r="103" spans="1:40" ht="15.75" customHeight="1">
      <c r="A103" s="478"/>
      <c r="B103" s="624"/>
      <c r="C103" s="624"/>
      <c r="D103" s="624"/>
      <c r="E103" s="624"/>
      <c r="F103" s="624"/>
      <c r="G103" s="624"/>
      <c r="H103" s="598"/>
      <c r="I103" s="622"/>
      <c r="J103" s="622"/>
      <c r="K103" s="622"/>
      <c r="L103" s="622"/>
      <c r="M103" s="622"/>
      <c r="N103" s="290"/>
    </row>
    <row r="104" spans="1:40" ht="15.75" customHeight="1">
      <c r="A104" s="478" t="s">
        <v>902</v>
      </c>
      <c r="B104" s="624" t="s">
        <v>320</v>
      </c>
      <c r="C104" s="624">
        <f>+'NEW...Tables 91-112'!L82</f>
        <v>20.483232242217653</v>
      </c>
      <c r="D104" s="624">
        <f>+'NEW...Tables 91-112'!L112</f>
        <v>0</v>
      </c>
      <c r="E104" s="624">
        <f>+'NEW...Tables 91-112'!L143</f>
        <v>75.207623900634516</v>
      </c>
      <c r="F104" s="624">
        <f>+'NEW...Tables 91-112'!L174</f>
        <v>37.487084108286837</v>
      </c>
      <c r="G104" s="624">
        <f>+'NEW...Tables 91-112'!L204</f>
        <v>0</v>
      </c>
      <c r="H104" s="598">
        <f>+'NEW...Tables 91-112'!L19</f>
        <v>32.829474182478009</v>
      </c>
      <c r="I104" s="622"/>
      <c r="J104" s="622"/>
      <c r="K104" s="622"/>
      <c r="L104" s="622"/>
      <c r="M104" s="622"/>
      <c r="N104" s="290"/>
    </row>
    <row r="105" spans="1:40" ht="15.75" customHeight="1">
      <c r="A105" s="478" t="s">
        <v>903</v>
      </c>
      <c r="B105" s="624">
        <f>+'NEW...Tables 91-112'!L52</f>
        <v>19.211473316518745</v>
      </c>
      <c r="C105" s="624">
        <f>+'NEW...Tables 91-112'!L83</f>
        <v>52.084856445397214</v>
      </c>
      <c r="D105" s="624">
        <f>+'NEW...Tables 91-112'!L113</f>
        <v>30.224930300621935</v>
      </c>
      <c r="E105" s="624">
        <f>+'NEW...Tables 91-112'!L144</f>
        <v>42.61195817035204</v>
      </c>
      <c r="F105" s="624">
        <f>+'NEW...Tables 91-112'!L175</f>
        <v>41.464699683877768</v>
      </c>
      <c r="G105" s="624">
        <f>+'NEW...Tables 91-112'!L205</f>
        <v>10.184182015167931</v>
      </c>
      <c r="H105" s="598">
        <f>+'NEW...Tables 91-112'!L20</f>
        <v>26.139123935616475</v>
      </c>
      <c r="I105" s="622"/>
      <c r="J105" s="622"/>
      <c r="K105" s="622"/>
      <c r="L105" s="622"/>
      <c r="M105" s="622"/>
      <c r="N105" s="290"/>
    </row>
    <row r="106" spans="1:40" ht="15.75" customHeight="1">
      <c r="A106" s="478" t="s">
        <v>904</v>
      </c>
      <c r="B106" s="624">
        <f>+'NEW...Tables 91-112'!L53</f>
        <v>15.990968048623138</v>
      </c>
      <c r="C106" s="624">
        <f>+'NEW...Tables 91-112'!L84</f>
        <v>0</v>
      </c>
      <c r="D106" s="624">
        <f>+'NEW...Tables 91-112'!L114</f>
        <v>18.713759681720067</v>
      </c>
      <c r="E106" s="624">
        <f>+'NEW...Tables 91-112'!L145</f>
        <v>65.742897065673034</v>
      </c>
      <c r="F106" s="624">
        <f>+'NEW...Tables 91-112'!L176</f>
        <v>53.117068893913526</v>
      </c>
      <c r="G106" s="624">
        <f>+'NEW...Tables 91-112'!L206</f>
        <v>0</v>
      </c>
      <c r="H106" s="598">
        <f>+'NEW...Tables 91-112'!L21</f>
        <v>22.426073625121543</v>
      </c>
      <c r="I106" s="622"/>
      <c r="J106" s="622"/>
      <c r="K106" s="622"/>
      <c r="L106" s="622"/>
      <c r="M106" s="622"/>
      <c r="N106" s="290"/>
    </row>
    <row r="107" spans="1:40" ht="15.75" customHeight="1">
      <c r="A107" s="478" t="s">
        <v>905</v>
      </c>
      <c r="B107" s="624">
        <f>+'NEW...Tables 91-112'!L54</f>
        <v>19.425686648745796</v>
      </c>
      <c r="C107" s="624">
        <f>+'NEW...Tables 91-112'!L85</f>
        <v>0</v>
      </c>
      <c r="D107" s="624">
        <f>+'NEW...Tables 91-112'!L115</f>
        <v>13.653999883015851</v>
      </c>
      <c r="E107" s="624">
        <f>+'NEW...Tables 91-112'!L146</f>
        <v>0</v>
      </c>
      <c r="F107" s="624">
        <f>+'NEW...Tables 91-112'!L177</f>
        <v>34.796482505287372</v>
      </c>
      <c r="G107" s="624">
        <f>+'NEW...Tables 91-112'!L207</f>
        <v>58.339709257842387</v>
      </c>
      <c r="H107" s="598">
        <f>+'NEW...Tables 91-112'!L22</f>
        <v>20.216550581328164</v>
      </c>
      <c r="I107" s="622"/>
      <c r="J107" s="622"/>
      <c r="K107" s="622"/>
      <c r="L107" s="622"/>
      <c r="M107" s="622"/>
      <c r="N107" s="290"/>
    </row>
    <row r="108" spans="1:40" ht="15.75" customHeight="1">
      <c r="A108" s="478"/>
      <c r="B108" s="624"/>
      <c r="C108" s="624"/>
      <c r="D108" s="624"/>
      <c r="E108" s="624"/>
      <c r="F108" s="624"/>
      <c r="G108" s="624"/>
      <c r="H108" s="598"/>
      <c r="I108" s="622"/>
      <c r="J108" s="622"/>
      <c r="K108" s="622"/>
      <c r="L108" s="622"/>
      <c r="M108" s="622"/>
      <c r="N108" s="290"/>
    </row>
    <row r="109" spans="1:40" ht="15.75" customHeight="1">
      <c r="A109" s="478" t="s">
        <v>906</v>
      </c>
      <c r="B109" s="624">
        <f>+'NEW...Tables 91-112'!L56</f>
        <v>24.291228537202183</v>
      </c>
      <c r="C109" s="624">
        <f>+'NEW...Tables 91-112'!L87</f>
        <v>40.608950303886516</v>
      </c>
      <c r="D109" s="624">
        <f>+'NEW...Tables 91-112'!L117</f>
        <v>44.129532305789873</v>
      </c>
      <c r="E109" s="624">
        <f>+'NEW...Tables 91-112'!L148</f>
        <v>0</v>
      </c>
      <c r="F109" s="624">
        <f>+'NEW...Tables 91-112'!L179</f>
        <v>88.328740476576428</v>
      </c>
      <c r="G109" s="624">
        <f>+'NEW...Tables 91-112'!L209</f>
        <v>0</v>
      </c>
      <c r="H109" s="598">
        <f>+'NEW...Tables 91-112'!L24</f>
        <v>34.771109431853546</v>
      </c>
      <c r="I109" s="622"/>
      <c r="J109" s="622"/>
      <c r="K109" s="622"/>
      <c r="L109" s="622"/>
      <c r="M109" s="622"/>
      <c r="N109" s="290"/>
    </row>
    <row r="110" spans="1:40" ht="15.75" customHeight="1">
      <c r="A110" s="478" t="s">
        <v>907</v>
      </c>
      <c r="B110" s="624">
        <f>+'NEW...Tables 91-112'!L57</f>
        <v>17.323603742733955</v>
      </c>
      <c r="C110" s="624">
        <f>+'NEW...Tables 91-112'!L88</f>
        <v>34.780430640414359</v>
      </c>
      <c r="D110" s="624">
        <f>+'NEW...Tables 91-112'!L118</f>
        <v>54.053694060508164</v>
      </c>
      <c r="E110" s="624">
        <f>+'NEW...Tables 91-112'!L149</f>
        <v>69.932796089954323</v>
      </c>
      <c r="F110" s="624">
        <f>+'NEW...Tables 91-112'!L180</f>
        <v>63.936735450389222</v>
      </c>
      <c r="G110" s="624">
        <f>+'NEW...Tables 91-112'!L210</f>
        <v>0</v>
      </c>
      <c r="H110" s="598">
        <f>+'NEW...Tables 91-112'!L25</f>
        <v>31.941368523407949</v>
      </c>
      <c r="I110" s="622"/>
      <c r="J110" s="622"/>
      <c r="K110" s="622"/>
      <c r="L110" s="622"/>
      <c r="M110" s="622"/>
      <c r="N110" s="290"/>
    </row>
    <row r="111" spans="1:40" s="524" customFormat="1" ht="15.75" customHeight="1">
      <c r="A111" s="478" t="s">
        <v>908</v>
      </c>
      <c r="B111" s="624">
        <f>+'NEW...Tables 91-112'!L58</f>
        <v>12.494716406686734</v>
      </c>
      <c r="C111" s="624">
        <f>+'NEW...Tables 91-112'!L89</f>
        <v>4.1593975091980031</v>
      </c>
      <c r="D111" s="624">
        <f>+'NEW...Tables 91-112'!L119</f>
        <v>19.428044917938379</v>
      </c>
      <c r="E111" s="624">
        <f>+'NEW...Tables 91-112'!L150</f>
        <v>0</v>
      </c>
      <c r="F111" s="624">
        <f>+'NEW...Tables 91-112'!L181</f>
        <v>0</v>
      </c>
      <c r="G111" s="624">
        <f>+'NEW...Tables 91-112'!L211</f>
        <v>0</v>
      </c>
      <c r="H111" s="598">
        <f>+'NEW...Tables 91-112'!L26</f>
        <v>12.587895848312007</v>
      </c>
      <c r="I111" s="622"/>
      <c r="J111" s="622"/>
      <c r="K111" s="622"/>
      <c r="L111" s="622"/>
      <c r="M111" s="622"/>
      <c r="N111" s="290"/>
      <c r="O111" s="289"/>
      <c r="P111" s="289"/>
      <c r="Q111" s="289"/>
      <c r="R111" s="289"/>
      <c r="S111" s="289"/>
      <c r="T111" s="289"/>
      <c r="U111" s="289"/>
      <c r="V111" s="289"/>
      <c r="W111" s="289"/>
      <c r="X111" s="289"/>
      <c r="Y111" s="289"/>
      <c r="Z111" s="289"/>
      <c r="AA111" s="289"/>
      <c r="AB111" s="289"/>
      <c r="AC111" s="289"/>
      <c r="AD111" s="289"/>
      <c r="AE111" s="289"/>
      <c r="AF111" s="289"/>
      <c r="AG111" s="289"/>
      <c r="AH111" s="289"/>
      <c r="AI111" s="289"/>
      <c r="AJ111" s="289"/>
      <c r="AK111" s="289"/>
      <c r="AL111" s="289"/>
      <c r="AM111" s="289"/>
      <c r="AN111" s="289"/>
    </row>
    <row r="112" spans="1:40" s="524" customFormat="1" ht="13.5" customHeight="1">
      <c r="A112" s="512" t="s">
        <v>909</v>
      </c>
      <c r="B112" s="624">
        <f>+'NEW...Tables 91-112'!L59</f>
        <v>30.554122490234683</v>
      </c>
      <c r="C112" s="624">
        <f>+'NEW...Tables 91-112'!L90</f>
        <v>0</v>
      </c>
      <c r="D112" s="624">
        <f>+'NEW...Tables 91-112'!L120</f>
        <v>22.625626709206927</v>
      </c>
      <c r="E112" s="624">
        <f>+'NEW...Tables 91-112'!L151</f>
        <v>0</v>
      </c>
      <c r="F112" s="624">
        <f>+'NEW...Tables 91-112'!L182</f>
        <v>52.747142570683778</v>
      </c>
      <c r="G112" s="624">
        <f>+'NEW...Tables 91-112'!L212</f>
        <v>24.664031620553359</v>
      </c>
      <c r="H112" s="598">
        <f>+'NEW...Tables 91-112'!L27</f>
        <v>29.902896995708151</v>
      </c>
      <c r="I112" s="622"/>
      <c r="J112" s="622"/>
      <c r="K112" s="622"/>
      <c r="L112" s="622"/>
      <c r="M112" s="622"/>
      <c r="N112" s="290"/>
      <c r="O112" s="289"/>
      <c r="P112" s="289"/>
      <c r="Q112" s="289"/>
      <c r="R112" s="289"/>
      <c r="S112" s="289"/>
      <c r="T112" s="289"/>
      <c r="U112" s="289"/>
      <c r="V112" s="289"/>
      <c r="W112" s="289"/>
      <c r="X112" s="289"/>
      <c r="Y112" s="289"/>
      <c r="Z112" s="289"/>
      <c r="AA112" s="289"/>
      <c r="AB112" s="289"/>
      <c r="AC112" s="289"/>
      <c r="AD112" s="289"/>
      <c r="AE112" s="289"/>
      <c r="AF112" s="289"/>
      <c r="AG112" s="289"/>
      <c r="AH112" s="289"/>
      <c r="AI112" s="289"/>
      <c r="AJ112" s="289"/>
      <c r="AK112" s="289"/>
      <c r="AL112" s="289"/>
      <c r="AM112" s="289"/>
      <c r="AN112" s="289"/>
    </row>
    <row r="113" spans="1:40" s="524" customFormat="1" ht="35.25" customHeight="1">
      <c r="A113" s="654" t="s">
        <v>999</v>
      </c>
      <c r="B113" s="654"/>
      <c r="C113" s="654"/>
      <c r="D113" s="654"/>
      <c r="E113" s="654"/>
      <c r="F113" s="654"/>
      <c r="G113" s="654"/>
      <c r="H113" s="654"/>
      <c r="I113" s="649"/>
      <c r="J113" s="649"/>
      <c r="K113" s="649"/>
      <c r="L113" s="649"/>
      <c r="M113" s="649"/>
      <c r="N113" s="540"/>
    </row>
    <row r="114" spans="1:40" ht="27" customHeight="1">
      <c r="A114" s="655" t="s">
        <v>990</v>
      </c>
      <c r="B114" s="656"/>
      <c r="C114" s="656"/>
      <c r="D114" s="656"/>
      <c r="E114" s="656"/>
      <c r="F114" s="656"/>
      <c r="G114" s="656"/>
      <c r="H114" s="656"/>
      <c r="I114" s="540"/>
      <c r="J114" s="540"/>
      <c r="K114" s="540"/>
      <c r="L114" s="540"/>
      <c r="M114" s="540"/>
      <c r="N114" s="540"/>
      <c r="O114" s="524"/>
      <c r="P114" s="524"/>
      <c r="Q114" s="524"/>
      <c r="R114" s="524"/>
      <c r="S114" s="524"/>
      <c r="T114" s="524"/>
      <c r="U114" s="524"/>
      <c r="V114" s="524"/>
      <c r="W114" s="524"/>
      <c r="X114" s="524"/>
      <c r="Y114" s="524"/>
      <c r="Z114" s="524"/>
      <c r="AA114" s="524"/>
      <c r="AB114" s="524"/>
      <c r="AC114" s="524"/>
      <c r="AD114" s="524"/>
      <c r="AE114" s="524"/>
      <c r="AF114" s="524"/>
      <c r="AG114" s="524"/>
      <c r="AH114" s="524"/>
      <c r="AI114" s="524"/>
      <c r="AJ114" s="524"/>
      <c r="AK114" s="524"/>
      <c r="AL114" s="524"/>
      <c r="AM114" s="524"/>
      <c r="AN114" s="524"/>
    </row>
    <row r="115" spans="1:40" ht="9.75" customHeight="1">
      <c r="A115" s="529"/>
      <c r="B115" s="644"/>
      <c r="C115" s="644"/>
      <c r="D115" s="644"/>
      <c r="E115" s="644"/>
      <c r="F115" s="644"/>
      <c r="G115" s="644"/>
      <c r="H115" s="644"/>
      <c r="I115" s="644"/>
      <c r="J115" s="644"/>
      <c r="K115" s="644"/>
      <c r="L115" s="644"/>
      <c r="M115" s="644"/>
      <c r="N115" s="644"/>
      <c r="O115" s="644"/>
      <c r="P115" s="644"/>
      <c r="Q115" s="524"/>
      <c r="R115" s="524"/>
      <c r="S115" s="524"/>
      <c r="T115" s="524"/>
      <c r="U115" s="524"/>
      <c r="V115" s="524"/>
      <c r="W115" s="524"/>
      <c r="X115" s="524"/>
      <c r="Y115" s="524"/>
      <c r="Z115" s="524"/>
      <c r="AA115" s="524"/>
      <c r="AB115" s="524"/>
      <c r="AC115" s="524"/>
      <c r="AD115" s="524"/>
      <c r="AE115" s="524"/>
      <c r="AF115" s="524"/>
      <c r="AG115" s="524"/>
      <c r="AH115" s="524"/>
      <c r="AI115" s="524"/>
      <c r="AJ115" s="524"/>
      <c r="AK115" s="524"/>
      <c r="AL115" s="524"/>
      <c r="AM115" s="524"/>
      <c r="AN115" s="524"/>
    </row>
    <row r="116" spans="1:40">
      <c r="A116" s="524"/>
      <c r="B116" s="524"/>
      <c r="C116" s="524"/>
      <c r="D116" s="524"/>
      <c r="E116" s="524"/>
      <c r="F116" s="524"/>
      <c r="G116" s="524"/>
      <c r="H116" s="532" t="s">
        <v>1015</v>
      </c>
      <c r="I116" s="540"/>
      <c r="J116" s="540"/>
      <c r="K116" s="540"/>
      <c r="L116" s="540"/>
      <c r="M116" s="540"/>
      <c r="N116" s="540"/>
      <c r="O116" s="524"/>
      <c r="P116" s="524"/>
      <c r="Q116" s="524"/>
      <c r="R116" s="524"/>
      <c r="S116" s="524"/>
      <c r="T116" s="524"/>
      <c r="U116" s="524"/>
      <c r="V116" s="524"/>
      <c r="W116" s="524"/>
      <c r="X116" s="524"/>
      <c r="Y116" s="524"/>
      <c r="Z116" s="524"/>
      <c r="AA116" s="524"/>
      <c r="AB116" s="524"/>
      <c r="AC116" s="524"/>
      <c r="AD116" s="524"/>
      <c r="AE116" s="524"/>
      <c r="AF116" s="524"/>
      <c r="AG116" s="524"/>
      <c r="AH116" s="524"/>
      <c r="AI116" s="524"/>
      <c r="AJ116" s="524"/>
      <c r="AK116" s="524"/>
      <c r="AL116" s="524"/>
      <c r="AM116" s="524"/>
      <c r="AN116" s="524"/>
    </row>
  </sheetData>
  <mergeCells count="11">
    <mergeCell ref="A1:P1"/>
    <mergeCell ref="A55:P55"/>
    <mergeCell ref="A85:H85"/>
    <mergeCell ref="A113:H113"/>
    <mergeCell ref="A114:H114"/>
    <mergeCell ref="B5:H5"/>
    <mergeCell ref="I5:M5"/>
    <mergeCell ref="A26:P26"/>
    <mergeCell ref="A29:P29"/>
    <mergeCell ref="A31:P31"/>
    <mergeCell ref="A54:P54"/>
  </mergeCells>
  <pageMargins left="0.7" right="0.7" top="0.75" bottom="0.75" header="0.3" footer="0.3"/>
  <pageSetup firstPageNumber="96" orientation="landscape" useFirstPageNumber="1" r:id="rId1"/>
  <headerFooter>
    <oddHeader>&amp;R&amp;"Arial,Regular"&amp;8SREB-State Data Exchange</oddHeader>
    <oddFooter>&amp;C&amp;P</oddFooter>
  </headerFooter>
  <rowBreaks count="3" manualBreakCount="3">
    <brk id="28" max="15" man="1"/>
    <brk id="57" max="15" man="1"/>
    <brk id="86" max="1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F626-746E-4DBD-BC8D-EA21FC623FDC}">
  <sheetPr>
    <tabColor rgb="FF006600"/>
  </sheetPr>
  <dimension ref="A1:Z882"/>
  <sheetViews>
    <sheetView workbookViewId="0">
      <selection activeCell="D28" sqref="D28"/>
    </sheetView>
  </sheetViews>
  <sheetFormatPr defaultColWidth="11.42578125" defaultRowHeight="15"/>
  <cols>
    <col min="1" max="1" width="7" style="362" customWidth="1"/>
    <col min="2" max="2" width="26.85546875" style="362" customWidth="1"/>
    <col min="3" max="3" width="11.42578125" style="362" bestFit="1" customWidth="1"/>
    <col min="4" max="9" width="11.42578125" style="363" bestFit="1" customWidth="1"/>
    <col min="10" max="10" width="14.5703125" style="363" bestFit="1" customWidth="1"/>
    <col min="11" max="11" width="4.85546875" style="363" bestFit="1" customWidth="1"/>
    <col min="12" max="12" width="7.85546875" style="363" bestFit="1" customWidth="1"/>
    <col min="13" max="15" width="11.140625" style="363" customWidth="1"/>
    <col min="16" max="16" width="11.140625" style="363" bestFit="1" customWidth="1"/>
    <col min="17" max="17" width="14.28515625" style="363" bestFit="1" customWidth="1"/>
    <col min="18" max="18" width="11.140625" style="363" customWidth="1"/>
    <col min="19" max="19" width="11.140625" style="363" bestFit="1" customWidth="1"/>
    <col min="20" max="20" width="14.28515625" style="362" bestFit="1" customWidth="1"/>
    <col min="21" max="21" width="6.5703125" style="362" bestFit="1" customWidth="1"/>
    <col min="22" max="22" width="7.85546875" style="362" bestFit="1" customWidth="1"/>
    <col min="23" max="23" width="10.140625" style="362" customWidth="1"/>
    <col min="24" max="25" width="11.140625" style="362" customWidth="1"/>
    <col min="26" max="26" width="10.140625" style="362" customWidth="1"/>
    <col min="27" max="16384" width="11.42578125" style="362"/>
  </cols>
  <sheetData>
    <row r="1" spans="1:26">
      <c r="A1" s="362" t="s">
        <v>876</v>
      </c>
    </row>
    <row r="2" spans="1:26">
      <c r="S2" s="364"/>
      <c r="T2" s="364"/>
    </row>
    <row r="3" spans="1:26">
      <c r="A3" s="446"/>
      <c r="B3" s="447"/>
      <c r="C3" s="446" t="s">
        <v>760</v>
      </c>
      <c r="D3" s="449" t="s">
        <v>31</v>
      </c>
      <c r="E3" s="449"/>
      <c r="F3" s="449"/>
      <c r="G3" s="449"/>
      <c r="H3" s="449"/>
      <c r="I3" s="449"/>
      <c r="J3" s="448"/>
      <c r="K3" s="449"/>
      <c r="L3" s="449"/>
      <c r="M3" s="449"/>
      <c r="N3" s="449"/>
      <c r="O3" s="448"/>
      <c r="P3" s="449"/>
      <c r="Q3" s="449"/>
      <c r="R3" s="448"/>
      <c r="S3" s="449"/>
      <c r="T3" s="449"/>
      <c r="U3" s="449"/>
      <c r="V3" s="451"/>
      <c r="W3" s="368"/>
      <c r="X3" s="368"/>
      <c r="Y3" s="368"/>
      <c r="Z3" s="368"/>
    </row>
    <row r="4" spans="1:26">
      <c r="A4" s="450"/>
      <c r="B4" s="366"/>
      <c r="C4" s="446" t="s">
        <v>877</v>
      </c>
      <c r="D4" s="447"/>
      <c r="E4" s="447"/>
      <c r="F4" s="447"/>
      <c r="G4" s="447"/>
      <c r="H4" s="447"/>
      <c r="I4" s="447"/>
      <c r="J4" s="446" t="s">
        <v>878</v>
      </c>
      <c r="K4" s="446">
        <v>14</v>
      </c>
      <c r="L4" s="446" t="s">
        <v>913</v>
      </c>
      <c r="M4" s="446" t="s">
        <v>763</v>
      </c>
      <c r="N4" s="447"/>
      <c r="O4" s="447"/>
      <c r="P4" s="453"/>
      <c r="Q4" s="446" t="s">
        <v>764</v>
      </c>
      <c r="R4" s="446" t="s">
        <v>879</v>
      </c>
      <c r="S4" s="453"/>
      <c r="T4" s="446" t="s">
        <v>880</v>
      </c>
      <c r="U4" s="446">
        <v>99</v>
      </c>
      <c r="V4" s="452" t="s">
        <v>914</v>
      </c>
      <c r="W4" s="368"/>
      <c r="X4" s="368"/>
      <c r="Y4" s="368"/>
      <c r="Z4" s="368"/>
    </row>
    <row r="5" spans="1:26">
      <c r="A5" s="470" t="s">
        <v>24</v>
      </c>
      <c r="B5" s="471" t="s">
        <v>768</v>
      </c>
      <c r="C5" s="446">
        <v>1</v>
      </c>
      <c r="D5" s="453">
        <v>2</v>
      </c>
      <c r="E5" s="453">
        <v>3</v>
      </c>
      <c r="F5" s="453">
        <v>4</v>
      </c>
      <c r="G5" s="453">
        <v>5</v>
      </c>
      <c r="H5" s="453">
        <v>6</v>
      </c>
      <c r="I5" s="453">
        <v>15</v>
      </c>
      <c r="J5" s="454"/>
      <c r="K5" s="446">
        <v>14</v>
      </c>
      <c r="L5" s="454"/>
      <c r="M5" s="446">
        <v>7</v>
      </c>
      <c r="N5" s="453">
        <v>8</v>
      </c>
      <c r="O5" s="453">
        <v>9</v>
      </c>
      <c r="P5" s="453">
        <v>10</v>
      </c>
      <c r="Q5" s="454"/>
      <c r="R5" s="446">
        <v>12</v>
      </c>
      <c r="S5" s="453">
        <v>13</v>
      </c>
      <c r="T5" s="454"/>
      <c r="U5" s="446">
        <v>99</v>
      </c>
      <c r="V5" s="455"/>
      <c r="W5" s="368"/>
      <c r="X5" s="368"/>
      <c r="Y5" s="368"/>
      <c r="Z5" s="368"/>
    </row>
    <row r="6" spans="1:26" s="383" customFormat="1">
      <c r="A6" s="378" t="s">
        <v>60</v>
      </c>
      <c r="B6" s="379" t="s">
        <v>881</v>
      </c>
      <c r="C6" s="379">
        <v>1507132</v>
      </c>
      <c r="D6" s="379">
        <v>417025.5</v>
      </c>
      <c r="E6" s="379">
        <v>996973</v>
      </c>
      <c r="F6" s="379">
        <v>256501</v>
      </c>
      <c r="G6" s="379">
        <v>124077</v>
      </c>
      <c r="H6" s="379">
        <v>70416</v>
      </c>
      <c r="I6" s="379">
        <v>14189</v>
      </c>
      <c r="J6" s="459">
        <v>3386313.5</v>
      </c>
      <c r="K6" s="459"/>
      <c r="L6" s="459"/>
      <c r="M6" s="459"/>
      <c r="N6" s="379">
        <v>387428</v>
      </c>
      <c r="O6" s="379">
        <v>1066496</v>
      </c>
      <c r="P6" s="379">
        <v>337507</v>
      </c>
      <c r="Q6" s="459">
        <v>1791431</v>
      </c>
      <c r="R6" s="459">
        <v>36087</v>
      </c>
      <c r="S6" s="379">
        <v>53235</v>
      </c>
      <c r="T6" s="459">
        <v>89322</v>
      </c>
      <c r="U6" s="459"/>
      <c r="V6" s="460"/>
      <c r="W6" s="368"/>
      <c r="X6" s="368"/>
      <c r="Y6" s="368"/>
      <c r="Z6" s="368"/>
    </row>
    <row r="7" spans="1:26" s="383" customFormat="1">
      <c r="A7" s="384"/>
      <c r="B7" s="385" t="s">
        <v>882</v>
      </c>
      <c r="C7" s="385">
        <v>1561509</v>
      </c>
      <c r="D7" s="385">
        <v>439857.5</v>
      </c>
      <c r="E7" s="385">
        <v>1036095</v>
      </c>
      <c r="F7" s="385">
        <v>252011</v>
      </c>
      <c r="G7" s="385">
        <v>122849</v>
      </c>
      <c r="H7" s="385">
        <v>69518</v>
      </c>
      <c r="I7" s="385">
        <v>13766</v>
      </c>
      <c r="J7" s="461">
        <v>3495605.5</v>
      </c>
      <c r="K7" s="461"/>
      <c r="L7" s="461"/>
      <c r="M7" s="461"/>
      <c r="N7" s="385">
        <v>375801</v>
      </c>
      <c r="O7" s="385">
        <v>1047454</v>
      </c>
      <c r="P7" s="385">
        <v>328161.5</v>
      </c>
      <c r="Q7" s="461">
        <v>1751416.5</v>
      </c>
      <c r="R7" s="461">
        <v>38556</v>
      </c>
      <c r="S7" s="385">
        <v>50361</v>
      </c>
      <c r="T7" s="461">
        <v>88917</v>
      </c>
      <c r="U7" s="461"/>
      <c r="V7" s="462"/>
      <c r="W7" s="368"/>
      <c r="X7" s="368"/>
      <c r="Y7" s="368"/>
      <c r="Z7" s="368"/>
    </row>
    <row r="8" spans="1:26" s="383" customFormat="1">
      <c r="A8" s="384"/>
      <c r="B8" s="379" t="s">
        <v>883</v>
      </c>
      <c r="C8" s="379">
        <v>105775</v>
      </c>
      <c r="D8" s="379">
        <v>63788</v>
      </c>
      <c r="E8" s="379">
        <v>164727</v>
      </c>
      <c r="F8" s="379">
        <v>33925</v>
      </c>
      <c r="G8" s="379">
        <v>6289</v>
      </c>
      <c r="H8" s="379">
        <v>51480</v>
      </c>
      <c r="I8" s="379">
        <v>0</v>
      </c>
      <c r="J8" s="459">
        <v>425984</v>
      </c>
      <c r="K8" s="459">
        <v>0</v>
      </c>
      <c r="L8" s="459">
        <v>0</v>
      </c>
      <c r="M8" s="459">
        <v>0</v>
      </c>
      <c r="N8" s="379">
        <v>118833</v>
      </c>
      <c r="O8" s="379">
        <v>192055</v>
      </c>
      <c r="P8" s="379">
        <v>83435</v>
      </c>
      <c r="Q8" s="459">
        <v>394323</v>
      </c>
      <c r="R8" s="459">
        <v>2461</v>
      </c>
      <c r="S8" s="379">
        <v>0</v>
      </c>
      <c r="T8" s="459">
        <v>2461</v>
      </c>
      <c r="U8" s="459">
        <v>0</v>
      </c>
      <c r="V8" s="460">
        <v>0</v>
      </c>
      <c r="W8" s="368"/>
      <c r="X8" s="368"/>
      <c r="Y8" s="368"/>
      <c r="Z8" s="368"/>
    </row>
    <row r="9" spans="1:26" s="383" customFormat="1">
      <c r="A9" s="384"/>
      <c r="B9" s="385" t="s">
        <v>884</v>
      </c>
      <c r="C9" s="385">
        <v>119258</v>
      </c>
      <c r="D9" s="385">
        <v>78369</v>
      </c>
      <c r="E9" s="385">
        <v>181877</v>
      </c>
      <c r="F9" s="385">
        <v>35627</v>
      </c>
      <c r="G9" s="385">
        <v>9621</v>
      </c>
      <c r="H9" s="385">
        <v>52366</v>
      </c>
      <c r="I9" s="385">
        <v>0</v>
      </c>
      <c r="J9" s="461">
        <v>477118</v>
      </c>
      <c r="K9" s="461">
        <v>0</v>
      </c>
      <c r="L9" s="461">
        <v>0</v>
      </c>
      <c r="M9" s="461">
        <v>0</v>
      </c>
      <c r="N9" s="385">
        <v>115400</v>
      </c>
      <c r="O9" s="385">
        <v>193670</v>
      </c>
      <c r="P9" s="385">
        <v>83907</v>
      </c>
      <c r="Q9" s="461">
        <v>392977</v>
      </c>
      <c r="R9" s="461">
        <v>4662</v>
      </c>
      <c r="S9" s="385">
        <v>4306</v>
      </c>
      <c r="T9" s="461">
        <v>8968</v>
      </c>
      <c r="U9" s="461">
        <v>0</v>
      </c>
      <c r="V9" s="462">
        <v>0</v>
      </c>
      <c r="W9" s="368"/>
      <c r="X9" s="368"/>
      <c r="Y9" s="368"/>
      <c r="Z9" s="368"/>
    </row>
    <row r="10" spans="1:26" s="383" customFormat="1">
      <c r="A10" s="384"/>
      <c r="B10" s="379" t="s">
        <v>885</v>
      </c>
      <c r="C10" s="379">
        <v>198591</v>
      </c>
      <c r="D10" s="379">
        <v>70564</v>
      </c>
      <c r="E10" s="379">
        <v>105143</v>
      </c>
      <c r="F10" s="379">
        <v>25770</v>
      </c>
      <c r="G10" s="379">
        <v>41012</v>
      </c>
      <c r="H10" s="379">
        <v>0</v>
      </c>
      <c r="I10" s="379">
        <v>0</v>
      </c>
      <c r="J10" s="459">
        <v>441080</v>
      </c>
      <c r="K10" s="459"/>
      <c r="L10" s="459"/>
      <c r="M10" s="459"/>
      <c r="N10" s="379">
        <v>0</v>
      </c>
      <c r="O10" s="379">
        <v>0</v>
      </c>
      <c r="P10" s="379">
        <v>0</v>
      </c>
      <c r="Q10" s="459">
        <v>0</v>
      </c>
      <c r="R10" s="459">
        <v>0</v>
      </c>
      <c r="S10" s="379">
        <v>0</v>
      </c>
      <c r="T10" s="459">
        <v>0</v>
      </c>
      <c r="U10" s="459"/>
      <c r="V10" s="460"/>
      <c r="W10" s="368"/>
      <c r="X10" s="368"/>
      <c r="Y10" s="368"/>
      <c r="Z10" s="368"/>
    </row>
    <row r="11" spans="1:26" s="383" customFormat="1">
      <c r="A11" s="384"/>
      <c r="B11" s="385" t="s">
        <v>886</v>
      </c>
      <c r="C11" s="385">
        <v>200352</v>
      </c>
      <c r="D11" s="385">
        <v>72836</v>
      </c>
      <c r="E11" s="385">
        <v>106361</v>
      </c>
      <c r="F11" s="385">
        <v>24138</v>
      </c>
      <c r="G11" s="385">
        <v>43618</v>
      </c>
      <c r="H11" s="385">
        <v>309</v>
      </c>
      <c r="I11" s="385">
        <v>0</v>
      </c>
      <c r="J11" s="461">
        <v>447614</v>
      </c>
      <c r="K11" s="461"/>
      <c r="L11" s="461"/>
      <c r="M11" s="461"/>
      <c r="N11" s="385">
        <v>0</v>
      </c>
      <c r="O11" s="385">
        <v>0</v>
      </c>
      <c r="P11" s="385">
        <v>0</v>
      </c>
      <c r="Q11" s="461">
        <v>0</v>
      </c>
      <c r="R11" s="461">
        <v>0</v>
      </c>
      <c r="S11" s="385">
        <v>0</v>
      </c>
      <c r="T11" s="461">
        <v>0</v>
      </c>
      <c r="U11" s="461"/>
      <c r="V11" s="462"/>
      <c r="W11" s="368"/>
      <c r="X11" s="368"/>
      <c r="Y11" s="368"/>
      <c r="Z11" s="368"/>
    </row>
    <row r="12" spans="1:26" s="383" customFormat="1">
      <c r="A12" s="384"/>
      <c r="B12" s="379" t="s">
        <v>887</v>
      </c>
      <c r="C12" s="379">
        <v>36551</v>
      </c>
      <c r="D12" s="379">
        <v>19743</v>
      </c>
      <c r="E12" s="379">
        <v>39313</v>
      </c>
      <c r="F12" s="379">
        <v>8146</v>
      </c>
      <c r="G12" s="379">
        <v>31042</v>
      </c>
      <c r="H12" s="379">
        <v>0</v>
      </c>
      <c r="I12" s="379">
        <v>0</v>
      </c>
      <c r="J12" s="459">
        <v>134795</v>
      </c>
      <c r="K12" s="459">
        <v>0</v>
      </c>
      <c r="L12" s="459">
        <v>0</v>
      </c>
      <c r="M12" s="459">
        <v>0</v>
      </c>
      <c r="N12" s="379">
        <v>0</v>
      </c>
      <c r="O12" s="379">
        <v>0</v>
      </c>
      <c r="P12" s="379">
        <v>0</v>
      </c>
      <c r="Q12" s="459">
        <v>0</v>
      </c>
      <c r="R12" s="459">
        <v>0</v>
      </c>
      <c r="S12" s="379">
        <v>0</v>
      </c>
      <c r="T12" s="459">
        <v>0</v>
      </c>
      <c r="U12" s="459">
        <v>0</v>
      </c>
      <c r="V12" s="460">
        <v>0</v>
      </c>
      <c r="W12" s="368"/>
      <c r="X12" s="368"/>
      <c r="Y12" s="368"/>
      <c r="Z12" s="368"/>
    </row>
    <row r="13" spans="1:26" s="383" customFormat="1">
      <c r="A13" s="389"/>
      <c r="B13" s="385" t="s">
        <v>888</v>
      </c>
      <c r="C13" s="385">
        <v>38910</v>
      </c>
      <c r="D13" s="385">
        <v>24408</v>
      </c>
      <c r="E13" s="385">
        <v>40329</v>
      </c>
      <c r="F13" s="385">
        <v>7661</v>
      </c>
      <c r="G13" s="385">
        <v>34899</v>
      </c>
      <c r="H13" s="385">
        <v>309</v>
      </c>
      <c r="I13" s="385">
        <v>0</v>
      </c>
      <c r="J13" s="461">
        <v>146516</v>
      </c>
      <c r="K13" s="461">
        <v>0</v>
      </c>
      <c r="L13" s="461">
        <v>0</v>
      </c>
      <c r="M13" s="461">
        <v>0</v>
      </c>
      <c r="N13" s="385">
        <v>0</v>
      </c>
      <c r="O13" s="385">
        <v>0</v>
      </c>
      <c r="P13" s="385">
        <v>0</v>
      </c>
      <c r="Q13" s="461">
        <v>0</v>
      </c>
      <c r="R13" s="461">
        <v>0</v>
      </c>
      <c r="S13" s="385">
        <v>0</v>
      </c>
      <c r="T13" s="461">
        <v>0</v>
      </c>
      <c r="U13" s="461">
        <v>0</v>
      </c>
      <c r="V13" s="462">
        <v>0</v>
      </c>
      <c r="W13" s="368"/>
      <c r="X13" s="368"/>
      <c r="Y13" s="368"/>
      <c r="Z13" s="368"/>
    </row>
    <row r="14" spans="1:26" s="383" customFormat="1">
      <c r="A14" s="466" t="s">
        <v>102</v>
      </c>
      <c r="B14" s="379" t="s">
        <v>881</v>
      </c>
      <c r="C14" s="457">
        <v>629101</v>
      </c>
      <c r="D14" s="457">
        <v>212666</v>
      </c>
      <c r="E14" s="457">
        <v>768908</v>
      </c>
      <c r="F14" s="457">
        <v>175384</v>
      </c>
      <c r="G14" s="457">
        <v>68255</v>
      </c>
      <c r="H14" s="457">
        <v>237010</v>
      </c>
      <c r="I14" s="457">
        <v>20061</v>
      </c>
      <c r="J14" s="456">
        <v>2111385</v>
      </c>
      <c r="K14" s="456"/>
      <c r="L14" s="456"/>
      <c r="M14" s="456"/>
      <c r="N14" s="457">
        <v>319699</v>
      </c>
      <c r="O14" s="457">
        <v>147560</v>
      </c>
      <c r="P14" s="457">
        <v>577440</v>
      </c>
      <c r="Q14" s="456">
        <v>1044699</v>
      </c>
      <c r="R14" s="456"/>
      <c r="S14" s="457"/>
      <c r="T14" s="456"/>
      <c r="U14" s="456"/>
      <c r="V14" s="458"/>
      <c r="W14" s="368"/>
      <c r="X14" s="368"/>
      <c r="Y14" s="368"/>
      <c r="Z14" s="368"/>
    </row>
    <row r="15" spans="1:26" s="383" customFormat="1">
      <c r="A15" s="384"/>
      <c r="B15" s="379" t="s">
        <v>882</v>
      </c>
      <c r="C15" s="379">
        <v>638732</v>
      </c>
      <c r="D15" s="379">
        <v>206489</v>
      </c>
      <c r="E15" s="379">
        <v>762666</v>
      </c>
      <c r="F15" s="379">
        <v>142441</v>
      </c>
      <c r="G15" s="379">
        <v>67489</v>
      </c>
      <c r="H15" s="379">
        <v>231954</v>
      </c>
      <c r="I15" s="379">
        <v>18675</v>
      </c>
      <c r="J15" s="459">
        <v>2068446</v>
      </c>
      <c r="K15" s="459"/>
      <c r="L15" s="459"/>
      <c r="M15" s="459"/>
      <c r="N15" s="379">
        <v>291294</v>
      </c>
      <c r="O15" s="379">
        <v>142279</v>
      </c>
      <c r="P15" s="379">
        <v>560082</v>
      </c>
      <c r="Q15" s="459">
        <v>993655</v>
      </c>
      <c r="R15" s="459"/>
      <c r="S15" s="379"/>
      <c r="T15" s="459"/>
      <c r="U15" s="459"/>
      <c r="V15" s="460"/>
      <c r="W15" s="368"/>
      <c r="X15" s="368"/>
      <c r="Y15" s="368"/>
      <c r="Z15" s="368"/>
    </row>
    <row r="16" spans="1:26" s="383" customFormat="1">
      <c r="A16" s="384"/>
      <c r="B16" s="379" t="s">
        <v>883</v>
      </c>
      <c r="C16" s="379">
        <v>51697</v>
      </c>
      <c r="D16" s="379">
        <v>66079</v>
      </c>
      <c r="E16" s="379">
        <v>139046</v>
      </c>
      <c r="F16" s="379">
        <v>26889</v>
      </c>
      <c r="G16" s="379">
        <v>14240</v>
      </c>
      <c r="H16" s="379">
        <v>41344</v>
      </c>
      <c r="I16" s="379">
        <v>0</v>
      </c>
      <c r="J16" s="459">
        <v>339295</v>
      </c>
      <c r="K16" s="459">
        <v>0</v>
      </c>
      <c r="L16" s="459">
        <v>0</v>
      </c>
      <c r="M16" s="459">
        <v>0</v>
      </c>
      <c r="N16" s="379">
        <v>98927</v>
      </c>
      <c r="O16" s="379">
        <v>31248</v>
      </c>
      <c r="P16" s="379">
        <v>144121</v>
      </c>
      <c r="Q16" s="459">
        <v>274296</v>
      </c>
      <c r="R16" s="459">
        <v>0</v>
      </c>
      <c r="S16" s="379">
        <v>0</v>
      </c>
      <c r="T16" s="459">
        <v>0</v>
      </c>
      <c r="U16" s="459">
        <v>0</v>
      </c>
      <c r="V16" s="460">
        <v>0</v>
      </c>
      <c r="W16" s="368"/>
      <c r="X16" s="368"/>
      <c r="Y16" s="368"/>
      <c r="Z16" s="368"/>
    </row>
    <row r="17" spans="1:26" s="383" customFormat="1">
      <c r="A17" s="384"/>
      <c r="B17" s="379" t="s">
        <v>884</v>
      </c>
      <c r="C17" s="379">
        <v>52824</v>
      </c>
      <c r="D17" s="379">
        <v>68378</v>
      </c>
      <c r="E17" s="379">
        <v>161528</v>
      </c>
      <c r="F17" s="379">
        <v>31137</v>
      </c>
      <c r="G17" s="379">
        <v>17702</v>
      </c>
      <c r="H17" s="379">
        <v>44829</v>
      </c>
      <c r="I17" s="379">
        <v>2528</v>
      </c>
      <c r="J17" s="459">
        <v>378926</v>
      </c>
      <c r="K17" s="459">
        <v>0</v>
      </c>
      <c r="L17" s="459">
        <v>0</v>
      </c>
      <c r="M17" s="459">
        <v>0</v>
      </c>
      <c r="N17" s="379">
        <v>91584</v>
      </c>
      <c r="O17" s="379">
        <v>31377</v>
      </c>
      <c r="P17" s="379">
        <v>144818</v>
      </c>
      <c r="Q17" s="459">
        <v>267779</v>
      </c>
      <c r="R17" s="459">
        <v>0</v>
      </c>
      <c r="S17" s="379">
        <v>0</v>
      </c>
      <c r="T17" s="459">
        <v>0</v>
      </c>
      <c r="U17" s="459">
        <v>0</v>
      </c>
      <c r="V17" s="460">
        <v>0</v>
      </c>
      <c r="W17" s="368"/>
      <c r="X17" s="368"/>
      <c r="Y17" s="368"/>
      <c r="Z17" s="368"/>
    </row>
    <row r="18" spans="1:26" s="383" customFormat="1">
      <c r="A18" s="384"/>
      <c r="B18" s="379" t="s">
        <v>885</v>
      </c>
      <c r="C18" s="379">
        <v>80235</v>
      </c>
      <c r="D18" s="379">
        <v>43190</v>
      </c>
      <c r="E18" s="379">
        <v>133874</v>
      </c>
      <c r="F18" s="379">
        <v>20302</v>
      </c>
      <c r="G18" s="379">
        <v>3510</v>
      </c>
      <c r="H18" s="379">
        <v>1926</v>
      </c>
      <c r="I18" s="379">
        <v>62857</v>
      </c>
      <c r="J18" s="459">
        <v>345894</v>
      </c>
      <c r="K18" s="459"/>
      <c r="L18" s="459"/>
      <c r="M18" s="459"/>
      <c r="N18" s="379">
        <v>0</v>
      </c>
      <c r="O18" s="379">
        <v>0</v>
      </c>
      <c r="P18" s="379">
        <v>0</v>
      </c>
      <c r="Q18" s="459">
        <v>0</v>
      </c>
      <c r="R18" s="459"/>
      <c r="S18" s="379"/>
      <c r="T18" s="459"/>
      <c r="U18" s="459"/>
      <c r="V18" s="460"/>
      <c r="W18" s="368"/>
      <c r="X18" s="368"/>
      <c r="Y18" s="368"/>
      <c r="Z18" s="368"/>
    </row>
    <row r="19" spans="1:26" s="383" customFormat="1">
      <c r="A19" s="384"/>
      <c r="B19" s="379" t="s">
        <v>886</v>
      </c>
      <c r="C19" s="379">
        <v>81194</v>
      </c>
      <c r="D19" s="379">
        <v>42496</v>
      </c>
      <c r="E19" s="379">
        <v>145030</v>
      </c>
      <c r="F19" s="379">
        <v>35757</v>
      </c>
      <c r="G19" s="379">
        <v>4537</v>
      </c>
      <c r="H19" s="379">
        <v>1646</v>
      </c>
      <c r="I19" s="379">
        <v>66817</v>
      </c>
      <c r="J19" s="459">
        <v>377477</v>
      </c>
      <c r="K19" s="459"/>
      <c r="L19" s="459"/>
      <c r="M19" s="459"/>
      <c r="N19" s="379">
        <v>0</v>
      </c>
      <c r="O19" s="379">
        <v>0</v>
      </c>
      <c r="P19" s="379">
        <v>0</v>
      </c>
      <c r="Q19" s="459">
        <v>0</v>
      </c>
      <c r="R19" s="459"/>
      <c r="S19" s="379"/>
      <c r="T19" s="459"/>
      <c r="U19" s="459"/>
      <c r="V19" s="460"/>
      <c r="W19" s="368"/>
      <c r="X19" s="368"/>
      <c r="Y19" s="368"/>
      <c r="Z19" s="368"/>
    </row>
    <row r="20" spans="1:26" s="383" customFormat="1">
      <c r="A20" s="384"/>
      <c r="B20" s="379" t="s">
        <v>887</v>
      </c>
      <c r="C20" s="379">
        <v>20891</v>
      </c>
      <c r="D20" s="379">
        <v>10866</v>
      </c>
      <c r="E20" s="379">
        <v>82067</v>
      </c>
      <c r="F20" s="379">
        <v>13761</v>
      </c>
      <c r="G20" s="379">
        <v>3034</v>
      </c>
      <c r="H20" s="379">
        <v>492</v>
      </c>
      <c r="I20" s="379">
        <v>0</v>
      </c>
      <c r="J20" s="459">
        <v>131111</v>
      </c>
      <c r="K20" s="459">
        <v>0</v>
      </c>
      <c r="L20" s="459">
        <v>0</v>
      </c>
      <c r="M20" s="459">
        <v>0</v>
      </c>
      <c r="N20" s="379">
        <v>0</v>
      </c>
      <c r="O20" s="379">
        <v>0</v>
      </c>
      <c r="P20" s="379">
        <v>0</v>
      </c>
      <c r="Q20" s="459">
        <v>0</v>
      </c>
      <c r="R20" s="459">
        <v>0</v>
      </c>
      <c r="S20" s="379">
        <v>0</v>
      </c>
      <c r="T20" s="459">
        <v>0</v>
      </c>
      <c r="U20" s="459">
        <v>0</v>
      </c>
      <c r="V20" s="460">
        <v>0</v>
      </c>
      <c r="W20" s="368"/>
      <c r="X20" s="368"/>
      <c r="Y20" s="368"/>
      <c r="Z20" s="368"/>
    </row>
    <row r="21" spans="1:26" s="383" customFormat="1">
      <c r="A21" s="467"/>
      <c r="B21" s="379" t="s">
        <v>888</v>
      </c>
      <c r="C21" s="379">
        <v>23669</v>
      </c>
      <c r="D21" s="379">
        <v>10157</v>
      </c>
      <c r="E21" s="379">
        <v>95571</v>
      </c>
      <c r="F21" s="379">
        <v>26143</v>
      </c>
      <c r="G21" s="379">
        <v>3774</v>
      </c>
      <c r="H21" s="379">
        <v>558</v>
      </c>
      <c r="I21" s="379">
        <v>5090</v>
      </c>
      <c r="J21" s="459">
        <v>164962</v>
      </c>
      <c r="K21" s="459">
        <v>0</v>
      </c>
      <c r="L21" s="459">
        <v>0</v>
      </c>
      <c r="M21" s="459">
        <v>0</v>
      </c>
      <c r="N21" s="379">
        <v>0</v>
      </c>
      <c r="O21" s="379">
        <v>0</v>
      </c>
      <c r="P21" s="379">
        <v>0</v>
      </c>
      <c r="Q21" s="459">
        <v>0</v>
      </c>
      <c r="R21" s="459">
        <v>0</v>
      </c>
      <c r="S21" s="379">
        <v>0</v>
      </c>
      <c r="T21" s="459">
        <v>0</v>
      </c>
      <c r="U21" s="459">
        <v>0</v>
      </c>
      <c r="V21" s="460">
        <v>0</v>
      </c>
      <c r="W21" s="368"/>
      <c r="X21" s="368"/>
      <c r="Y21" s="368"/>
      <c r="Z21" s="368"/>
    </row>
    <row r="22" spans="1:26" s="383" customFormat="1">
      <c r="A22" s="468" t="s">
        <v>524</v>
      </c>
      <c r="B22" s="378" t="s">
        <v>881</v>
      </c>
      <c r="C22" s="457">
        <v>567333</v>
      </c>
      <c r="D22" s="457"/>
      <c r="E22" s="457">
        <v>121952</v>
      </c>
      <c r="F22" s="457"/>
      <c r="G22" s="457"/>
      <c r="H22" s="457"/>
      <c r="I22" s="457"/>
      <c r="J22" s="456">
        <v>689285</v>
      </c>
      <c r="K22" s="456"/>
      <c r="L22" s="456"/>
      <c r="M22" s="456"/>
      <c r="N22" s="457"/>
      <c r="O22" s="457">
        <v>273057</v>
      </c>
      <c r="P22" s="457"/>
      <c r="Q22" s="456">
        <v>273057</v>
      </c>
      <c r="R22" s="456"/>
      <c r="S22" s="457"/>
      <c r="T22" s="456"/>
      <c r="U22" s="456"/>
      <c r="V22" s="458"/>
      <c r="W22" s="368"/>
      <c r="X22" s="368"/>
      <c r="Y22" s="368"/>
      <c r="Z22" s="368"/>
    </row>
    <row r="23" spans="1:26" s="383" customFormat="1">
      <c r="A23" s="384"/>
      <c r="B23" s="378" t="s">
        <v>882</v>
      </c>
      <c r="C23" s="379">
        <v>577848</v>
      </c>
      <c r="D23" s="379"/>
      <c r="E23" s="379">
        <v>127789</v>
      </c>
      <c r="F23" s="379"/>
      <c r="G23" s="379"/>
      <c r="H23" s="379"/>
      <c r="I23" s="379"/>
      <c r="J23" s="459">
        <v>705637</v>
      </c>
      <c r="K23" s="459"/>
      <c r="L23" s="459"/>
      <c r="M23" s="459"/>
      <c r="N23" s="379"/>
      <c r="O23" s="379">
        <v>276057</v>
      </c>
      <c r="P23" s="379"/>
      <c r="Q23" s="459">
        <v>276057</v>
      </c>
      <c r="R23" s="459"/>
      <c r="S23" s="379"/>
      <c r="T23" s="459"/>
      <c r="U23" s="459"/>
      <c r="V23" s="460"/>
      <c r="W23" s="368"/>
      <c r="X23" s="368"/>
      <c r="Y23" s="368"/>
      <c r="Z23" s="368"/>
    </row>
    <row r="24" spans="1:26" s="383" customFormat="1">
      <c r="A24" s="384"/>
      <c r="B24" s="378" t="s">
        <v>883</v>
      </c>
      <c r="C24" s="379">
        <v>17464</v>
      </c>
      <c r="D24" s="379">
        <v>0</v>
      </c>
      <c r="E24" s="379">
        <v>3826</v>
      </c>
      <c r="F24" s="379">
        <v>0</v>
      </c>
      <c r="G24" s="379">
        <v>0</v>
      </c>
      <c r="H24" s="379">
        <v>0</v>
      </c>
      <c r="I24" s="379">
        <v>0</v>
      </c>
      <c r="J24" s="459">
        <v>21290</v>
      </c>
      <c r="K24" s="459">
        <v>0</v>
      </c>
      <c r="L24" s="459">
        <v>0</v>
      </c>
      <c r="M24" s="459">
        <v>0</v>
      </c>
      <c r="N24" s="379">
        <v>0</v>
      </c>
      <c r="O24" s="379">
        <v>34209</v>
      </c>
      <c r="P24" s="379">
        <v>0</v>
      </c>
      <c r="Q24" s="459">
        <v>34209</v>
      </c>
      <c r="R24" s="459">
        <v>0</v>
      </c>
      <c r="S24" s="379">
        <v>0</v>
      </c>
      <c r="T24" s="459">
        <v>0</v>
      </c>
      <c r="U24" s="459">
        <v>0</v>
      </c>
      <c r="V24" s="460">
        <v>0</v>
      </c>
      <c r="W24" s="368"/>
      <c r="X24" s="368"/>
      <c r="Y24" s="368"/>
      <c r="Z24" s="368"/>
    </row>
    <row r="25" spans="1:26" s="383" customFormat="1">
      <c r="A25" s="384"/>
      <c r="B25" s="378" t="s">
        <v>884</v>
      </c>
      <c r="C25" s="379">
        <v>19693</v>
      </c>
      <c r="D25" s="379">
        <v>0</v>
      </c>
      <c r="E25" s="379">
        <v>5162</v>
      </c>
      <c r="F25" s="379">
        <v>0</v>
      </c>
      <c r="G25" s="379">
        <v>0</v>
      </c>
      <c r="H25" s="379">
        <v>0</v>
      </c>
      <c r="I25" s="379">
        <v>0</v>
      </c>
      <c r="J25" s="459">
        <v>24855</v>
      </c>
      <c r="K25" s="459">
        <v>0</v>
      </c>
      <c r="L25" s="459">
        <v>0</v>
      </c>
      <c r="M25" s="459">
        <v>0</v>
      </c>
      <c r="N25" s="379">
        <v>0</v>
      </c>
      <c r="O25" s="379">
        <v>38494</v>
      </c>
      <c r="P25" s="379">
        <v>0</v>
      </c>
      <c r="Q25" s="459">
        <v>38494</v>
      </c>
      <c r="R25" s="459">
        <v>0</v>
      </c>
      <c r="S25" s="379">
        <v>0</v>
      </c>
      <c r="T25" s="459">
        <v>0</v>
      </c>
      <c r="U25" s="459">
        <v>0</v>
      </c>
      <c r="V25" s="460">
        <v>0</v>
      </c>
      <c r="W25" s="368"/>
      <c r="X25" s="368"/>
      <c r="Y25" s="368"/>
      <c r="Z25" s="368"/>
    </row>
    <row r="26" spans="1:26" s="383" customFormat="1">
      <c r="A26" s="384"/>
      <c r="B26" s="378" t="s">
        <v>885</v>
      </c>
      <c r="C26" s="379">
        <v>54107</v>
      </c>
      <c r="D26" s="379"/>
      <c r="E26" s="379">
        <v>5497</v>
      </c>
      <c r="F26" s="379"/>
      <c r="G26" s="379"/>
      <c r="H26" s="379"/>
      <c r="I26" s="379"/>
      <c r="J26" s="459">
        <v>59604</v>
      </c>
      <c r="K26" s="459"/>
      <c r="L26" s="459"/>
      <c r="M26" s="459"/>
      <c r="N26" s="379"/>
      <c r="O26" s="379">
        <v>0</v>
      </c>
      <c r="P26" s="379"/>
      <c r="Q26" s="459">
        <v>0</v>
      </c>
      <c r="R26" s="459"/>
      <c r="S26" s="379"/>
      <c r="T26" s="459"/>
      <c r="U26" s="459"/>
      <c r="V26" s="460"/>
      <c r="W26" s="368"/>
      <c r="X26" s="368"/>
      <c r="Y26" s="368"/>
      <c r="Z26" s="368"/>
    </row>
    <row r="27" spans="1:26" s="383" customFormat="1">
      <c r="A27" s="384"/>
      <c r="B27" s="378" t="s">
        <v>886</v>
      </c>
      <c r="C27" s="379">
        <v>57909</v>
      </c>
      <c r="D27" s="379"/>
      <c r="E27" s="379">
        <v>6146</v>
      </c>
      <c r="F27" s="379"/>
      <c r="G27" s="379"/>
      <c r="H27" s="379"/>
      <c r="I27" s="379"/>
      <c r="J27" s="459">
        <v>64055</v>
      </c>
      <c r="K27" s="459"/>
      <c r="L27" s="459"/>
      <c r="M27" s="459"/>
      <c r="N27" s="379"/>
      <c r="O27" s="379">
        <v>0</v>
      </c>
      <c r="P27" s="379"/>
      <c r="Q27" s="459">
        <v>0</v>
      </c>
      <c r="R27" s="459"/>
      <c r="S27" s="379"/>
      <c r="T27" s="459"/>
      <c r="U27" s="459"/>
      <c r="V27" s="460"/>
      <c r="W27" s="368"/>
      <c r="X27" s="368"/>
      <c r="Y27" s="368"/>
      <c r="Z27" s="368"/>
    </row>
    <row r="28" spans="1:26" s="383" customFormat="1">
      <c r="A28" s="384"/>
      <c r="B28" s="378" t="s">
        <v>887</v>
      </c>
      <c r="C28" s="379">
        <v>4556</v>
      </c>
      <c r="D28" s="379">
        <v>0</v>
      </c>
      <c r="E28" s="379">
        <v>258</v>
      </c>
      <c r="F28" s="379">
        <v>0</v>
      </c>
      <c r="G28" s="379">
        <v>0</v>
      </c>
      <c r="H28" s="379">
        <v>0</v>
      </c>
      <c r="I28" s="379">
        <v>0</v>
      </c>
      <c r="J28" s="459">
        <v>4814</v>
      </c>
      <c r="K28" s="459">
        <v>0</v>
      </c>
      <c r="L28" s="459">
        <v>0</v>
      </c>
      <c r="M28" s="459">
        <v>0</v>
      </c>
      <c r="N28" s="379">
        <v>0</v>
      </c>
      <c r="O28" s="379">
        <v>0</v>
      </c>
      <c r="P28" s="379">
        <v>0</v>
      </c>
      <c r="Q28" s="459">
        <v>0</v>
      </c>
      <c r="R28" s="459">
        <v>0</v>
      </c>
      <c r="S28" s="379">
        <v>0</v>
      </c>
      <c r="T28" s="459">
        <v>0</v>
      </c>
      <c r="U28" s="459">
        <v>0</v>
      </c>
      <c r="V28" s="460">
        <v>0</v>
      </c>
      <c r="W28" s="368"/>
      <c r="X28" s="368"/>
      <c r="Y28" s="368"/>
      <c r="Z28" s="368"/>
    </row>
    <row r="29" spans="1:26" s="383" customFormat="1">
      <c r="A29" s="384"/>
      <c r="B29" s="378" t="s">
        <v>888</v>
      </c>
      <c r="C29" s="379">
        <v>5652</v>
      </c>
      <c r="D29" s="379">
        <v>0</v>
      </c>
      <c r="E29" s="379">
        <v>330</v>
      </c>
      <c r="F29" s="379">
        <v>0</v>
      </c>
      <c r="G29" s="379">
        <v>0</v>
      </c>
      <c r="H29" s="379">
        <v>0</v>
      </c>
      <c r="I29" s="379">
        <v>0</v>
      </c>
      <c r="J29" s="459">
        <v>5982</v>
      </c>
      <c r="K29" s="459">
        <v>0</v>
      </c>
      <c r="L29" s="459">
        <v>0</v>
      </c>
      <c r="M29" s="459">
        <v>0</v>
      </c>
      <c r="N29" s="379">
        <v>0</v>
      </c>
      <c r="O29" s="379">
        <v>0</v>
      </c>
      <c r="P29" s="379">
        <v>0</v>
      </c>
      <c r="Q29" s="459">
        <v>0</v>
      </c>
      <c r="R29" s="459">
        <v>0</v>
      </c>
      <c r="S29" s="379">
        <v>0</v>
      </c>
      <c r="T29" s="459">
        <v>0</v>
      </c>
      <c r="U29" s="459">
        <v>0</v>
      </c>
      <c r="V29" s="460">
        <v>0</v>
      </c>
      <c r="W29" s="368"/>
      <c r="X29" s="368"/>
      <c r="Y29" s="368"/>
      <c r="Z29" s="368"/>
    </row>
    <row r="30" spans="1:26" s="383" customFormat="1">
      <c r="A30" s="466" t="s">
        <v>136</v>
      </c>
      <c r="B30" s="379" t="s">
        <v>881</v>
      </c>
      <c r="C30" s="457">
        <v>5448977</v>
      </c>
      <c r="D30" s="457"/>
      <c r="E30" s="457">
        <v>801821</v>
      </c>
      <c r="F30" s="457">
        <v>347892</v>
      </c>
      <c r="G30" s="457"/>
      <c r="H30" s="457">
        <v>29248</v>
      </c>
      <c r="I30" s="457"/>
      <c r="J30" s="456">
        <v>6627938</v>
      </c>
      <c r="K30" s="456"/>
      <c r="L30" s="456"/>
      <c r="M30" s="456">
        <v>7793366</v>
      </c>
      <c r="N30" s="457">
        <v>1348775</v>
      </c>
      <c r="O30" s="457">
        <v>131861</v>
      </c>
      <c r="P30" s="457">
        <v>41250</v>
      </c>
      <c r="Q30" s="456">
        <v>9315252</v>
      </c>
      <c r="R30" s="456"/>
      <c r="S30" s="457"/>
      <c r="T30" s="456"/>
      <c r="U30" s="456"/>
      <c r="V30" s="458"/>
      <c r="W30" s="368"/>
      <c r="X30" s="368"/>
      <c r="Y30" s="368"/>
      <c r="Z30" s="368"/>
    </row>
    <row r="31" spans="1:26" s="383" customFormat="1">
      <c r="A31" s="384"/>
      <c r="B31" s="379" t="s">
        <v>882</v>
      </c>
      <c r="C31" s="379">
        <v>5561178</v>
      </c>
      <c r="D31" s="379"/>
      <c r="E31" s="379">
        <v>783750.5</v>
      </c>
      <c r="F31" s="379">
        <v>353377</v>
      </c>
      <c r="G31" s="379"/>
      <c r="H31" s="379">
        <v>28608</v>
      </c>
      <c r="I31" s="379"/>
      <c r="J31" s="459">
        <v>6726913.5</v>
      </c>
      <c r="K31" s="459"/>
      <c r="L31" s="459"/>
      <c r="M31" s="459">
        <v>7643863</v>
      </c>
      <c r="N31" s="379">
        <v>1353783</v>
      </c>
      <c r="O31" s="379">
        <v>133878</v>
      </c>
      <c r="P31" s="379">
        <v>41666</v>
      </c>
      <c r="Q31" s="459">
        <v>9173190</v>
      </c>
      <c r="R31" s="459"/>
      <c r="S31" s="379"/>
      <c r="T31" s="459"/>
      <c r="U31" s="459"/>
      <c r="V31" s="460"/>
      <c r="W31" s="368"/>
      <c r="X31" s="368"/>
      <c r="Y31" s="368"/>
      <c r="Z31" s="368"/>
    </row>
    <row r="32" spans="1:26" s="383" customFormat="1">
      <c r="A32" s="384"/>
      <c r="B32" s="379" t="s">
        <v>883</v>
      </c>
      <c r="C32" s="379">
        <v>1083813</v>
      </c>
      <c r="D32" s="379">
        <v>0</v>
      </c>
      <c r="E32" s="379">
        <v>95448</v>
      </c>
      <c r="F32" s="379">
        <v>75148</v>
      </c>
      <c r="G32" s="379">
        <v>0</v>
      </c>
      <c r="H32" s="379">
        <v>0</v>
      </c>
      <c r="I32" s="379">
        <v>0</v>
      </c>
      <c r="J32" s="459">
        <v>1254409</v>
      </c>
      <c r="K32" s="459">
        <v>0</v>
      </c>
      <c r="L32" s="459">
        <v>0</v>
      </c>
      <c r="M32" s="459">
        <v>1799152</v>
      </c>
      <c r="N32" s="379">
        <v>261048</v>
      </c>
      <c r="O32" s="379">
        <v>31487</v>
      </c>
      <c r="P32" s="379">
        <v>10672</v>
      </c>
      <c r="Q32" s="459">
        <v>2102359</v>
      </c>
      <c r="R32" s="459">
        <v>0</v>
      </c>
      <c r="S32" s="379">
        <v>0</v>
      </c>
      <c r="T32" s="459">
        <v>0</v>
      </c>
      <c r="U32" s="459">
        <v>0</v>
      </c>
      <c r="V32" s="460">
        <v>0</v>
      </c>
      <c r="W32" s="368"/>
      <c r="X32" s="368"/>
      <c r="Y32" s="368"/>
      <c r="Z32" s="368"/>
    </row>
    <row r="33" spans="1:26" s="383" customFormat="1">
      <c r="A33" s="384"/>
      <c r="B33" s="379" t="s">
        <v>884</v>
      </c>
      <c r="C33" s="379">
        <v>1370630</v>
      </c>
      <c r="D33" s="379">
        <v>0</v>
      </c>
      <c r="E33" s="379">
        <v>106434</v>
      </c>
      <c r="F33" s="379">
        <v>71234</v>
      </c>
      <c r="G33" s="379">
        <v>0</v>
      </c>
      <c r="H33" s="379">
        <v>0</v>
      </c>
      <c r="I33" s="379">
        <v>0</v>
      </c>
      <c r="J33" s="459">
        <v>1548298</v>
      </c>
      <c r="K33" s="459">
        <v>0</v>
      </c>
      <c r="L33" s="459">
        <v>0</v>
      </c>
      <c r="M33" s="459">
        <v>1877112</v>
      </c>
      <c r="N33" s="379">
        <v>341988</v>
      </c>
      <c r="O33" s="379">
        <v>34264</v>
      </c>
      <c r="P33" s="379">
        <v>10797</v>
      </c>
      <c r="Q33" s="459">
        <v>2264161</v>
      </c>
      <c r="R33" s="459">
        <v>0</v>
      </c>
      <c r="S33" s="379">
        <v>0</v>
      </c>
      <c r="T33" s="459">
        <v>0</v>
      </c>
      <c r="U33" s="459">
        <v>0</v>
      </c>
      <c r="V33" s="460">
        <v>0</v>
      </c>
      <c r="W33" s="368"/>
      <c r="X33" s="368"/>
      <c r="Y33" s="368"/>
      <c r="Z33" s="368"/>
    </row>
    <row r="34" spans="1:26" s="383" customFormat="1">
      <c r="A34" s="384"/>
      <c r="B34" s="379" t="s">
        <v>885</v>
      </c>
      <c r="C34" s="379">
        <v>1039573.4</v>
      </c>
      <c r="D34" s="379"/>
      <c r="E34" s="379">
        <v>108426</v>
      </c>
      <c r="F34" s="379">
        <v>19809</v>
      </c>
      <c r="G34" s="379"/>
      <c r="H34" s="379">
        <v>0</v>
      </c>
      <c r="I34" s="379"/>
      <c r="J34" s="459">
        <v>1167808.3999999999</v>
      </c>
      <c r="K34" s="459"/>
      <c r="L34" s="459"/>
      <c r="M34" s="459">
        <v>0</v>
      </c>
      <c r="N34" s="379">
        <v>0</v>
      </c>
      <c r="O34" s="379">
        <v>0</v>
      </c>
      <c r="P34" s="379">
        <v>0</v>
      </c>
      <c r="Q34" s="459">
        <v>0</v>
      </c>
      <c r="R34" s="459"/>
      <c r="S34" s="379"/>
      <c r="T34" s="459"/>
      <c r="U34" s="459"/>
      <c r="V34" s="460"/>
      <c r="W34" s="368"/>
      <c r="X34" s="368"/>
      <c r="Y34" s="368"/>
      <c r="Z34" s="368"/>
    </row>
    <row r="35" spans="1:26" s="383" customFormat="1">
      <c r="A35" s="384"/>
      <c r="B35" s="379" t="s">
        <v>886</v>
      </c>
      <c r="C35" s="379">
        <v>1097054.5</v>
      </c>
      <c r="D35" s="379"/>
      <c r="E35" s="379">
        <v>115400.5</v>
      </c>
      <c r="F35" s="379">
        <v>19899</v>
      </c>
      <c r="G35" s="379"/>
      <c r="H35" s="379">
        <v>231</v>
      </c>
      <c r="I35" s="379"/>
      <c r="J35" s="459">
        <v>1232585</v>
      </c>
      <c r="K35" s="459"/>
      <c r="L35" s="459"/>
      <c r="M35" s="459">
        <v>0</v>
      </c>
      <c r="N35" s="379">
        <v>0</v>
      </c>
      <c r="O35" s="379">
        <v>0</v>
      </c>
      <c r="P35" s="379">
        <v>0</v>
      </c>
      <c r="Q35" s="459">
        <v>0</v>
      </c>
      <c r="R35" s="459"/>
      <c r="S35" s="379"/>
      <c r="T35" s="459"/>
      <c r="U35" s="459"/>
      <c r="V35" s="460"/>
      <c r="W35" s="368"/>
      <c r="X35" s="368"/>
      <c r="Y35" s="368"/>
      <c r="Z35" s="368"/>
    </row>
    <row r="36" spans="1:26" s="383" customFormat="1">
      <c r="A36" s="384"/>
      <c r="B36" s="379" t="s">
        <v>887</v>
      </c>
      <c r="C36" s="379">
        <v>205305</v>
      </c>
      <c r="D36" s="379">
        <v>0</v>
      </c>
      <c r="E36" s="379">
        <v>32633.5</v>
      </c>
      <c r="F36" s="379">
        <v>7370</v>
      </c>
      <c r="G36" s="379">
        <v>0</v>
      </c>
      <c r="H36" s="379">
        <v>0</v>
      </c>
      <c r="I36" s="379">
        <v>0</v>
      </c>
      <c r="J36" s="459">
        <v>245308.5</v>
      </c>
      <c r="K36" s="459">
        <v>0</v>
      </c>
      <c r="L36" s="459">
        <v>0</v>
      </c>
      <c r="M36" s="459">
        <v>0</v>
      </c>
      <c r="N36" s="379">
        <v>0</v>
      </c>
      <c r="O36" s="379">
        <v>0</v>
      </c>
      <c r="P36" s="379">
        <v>0</v>
      </c>
      <c r="Q36" s="459">
        <v>0</v>
      </c>
      <c r="R36" s="459">
        <v>0</v>
      </c>
      <c r="S36" s="379">
        <v>0</v>
      </c>
      <c r="T36" s="459">
        <v>0</v>
      </c>
      <c r="U36" s="459">
        <v>0</v>
      </c>
      <c r="V36" s="460">
        <v>0</v>
      </c>
      <c r="W36" s="368"/>
      <c r="X36" s="368"/>
      <c r="Y36" s="368"/>
      <c r="Z36" s="368"/>
    </row>
    <row r="37" spans="1:26" s="383" customFormat="1">
      <c r="A37" s="467"/>
      <c r="B37" s="379" t="s">
        <v>888</v>
      </c>
      <c r="C37" s="379">
        <v>261824</v>
      </c>
      <c r="D37" s="379">
        <v>0</v>
      </c>
      <c r="E37" s="379">
        <v>38817.5</v>
      </c>
      <c r="F37" s="379">
        <v>6220</v>
      </c>
      <c r="G37" s="379">
        <v>0</v>
      </c>
      <c r="H37" s="379">
        <v>0</v>
      </c>
      <c r="I37" s="379">
        <v>0</v>
      </c>
      <c r="J37" s="459">
        <v>306861.5</v>
      </c>
      <c r="K37" s="459">
        <v>0</v>
      </c>
      <c r="L37" s="459">
        <v>0</v>
      </c>
      <c r="M37" s="459">
        <v>0</v>
      </c>
      <c r="N37" s="379">
        <v>0</v>
      </c>
      <c r="O37" s="379">
        <v>0</v>
      </c>
      <c r="P37" s="379">
        <v>0</v>
      </c>
      <c r="Q37" s="459">
        <v>0</v>
      </c>
      <c r="R37" s="459">
        <v>0</v>
      </c>
      <c r="S37" s="379">
        <v>0</v>
      </c>
      <c r="T37" s="459">
        <v>0</v>
      </c>
      <c r="U37" s="459">
        <v>0</v>
      </c>
      <c r="V37" s="460">
        <v>0</v>
      </c>
      <c r="W37" s="368"/>
      <c r="X37" s="368"/>
      <c r="Y37" s="368"/>
      <c r="Z37" s="368"/>
    </row>
    <row r="38" spans="1:26" s="383" customFormat="1">
      <c r="A38" s="466" t="s">
        <v>176</v>
      </c>
      <c r="B38" s="379" t="s">
        <v>881</v>
      </c>
      <c r="C38" s="457">
        <v>1452403</v>
      </c>
      <c r="D38" s="457">
        <v>433619</v>
      </c>
      <c r="E38" s="457">
        <v>1834195</v>
      </c>
      <c r="F38" s="457">
        <v>1367642</v>
      </c>
      <c r="G38" s="457">
        <v>191177</v>
      </c>
      <c r="H38" s="457">
        <v>654182</v>
      </c>
      <c r="I38" s="457"/>
      <c r="J38" s="456">
        <v>5933218</v>
      </c>
      <c r="K38" s="456"/>
      <c r="L38" s="456"/>
      <c r="M38" s="456">
        <v>512026</v>
      </c>
      <c r="N38" s="457">
        <v>455219</v>
      </c>
      <c r="O38" s="457">
        <v>120950</v>
      </c>
      <c r="P38" s="457">
        <v>50059</v>
      </c>
      <c r="Q38" s="456">
        <v>1138254</v>
      </c>
      <c r="R38" s="456">
        <v>2025187</v>
      </c>
      <c r="S38" s="457"/>
      <c r="T38" s="456">
        <v>2025187</v>
      </c>
      <c r="U38" s="456"/>
      <c r="V38" s="458"/>
      <c r="W38" s="368"/>
      <c r="X38" s="368"/>
      <c r="Y38" s="368"/>
      <c r="Z38" s="368"/>
    </row>
    <row r="39" spans="1:26" s="383" customFormat="1">
      <c r="A39" s="384"/>
      <c r="B39" s="379" t="s">
        <v>882</v>
      </c>
      <c r="C39" s="379">
        <v>1896248.9</v>
      </c>
      <c r="D39" s="379">
        <v>437645</v>
      </c>
      <c r="E39" s="379">
        <v>1886866</v>
      </c>
      <c r="F39" s="379">
        <v>1385978</v>
      </c>
      <c r="G39" s="379">
        <v>194198</v>
      </c>
      <c r="H39" s="379">
        <v>676500</v>
      </c>
      <c r="I39" s="379"/>
      <c r="J39" s="459">
        <v>6477435.9000000004</v>
      </c>
      <c r="K39" s="459"/>
      <c r="L39" s="459"/>
      <c r="M39" s="459">
        <v>482365</v>
      </c>
      <c r="N39" s="379"/>
      <c r="O39" s="379">
        <v>128440</v>
      </c>
      <c r="P39" s="379">
        <v>51395</v>
      </c>
      <c r="Q39" s="459">
        <v>662200</v>
      </c>
      <c r="R39" s="459">
        <v>1951485.3</v>
      </c>
      <c r="S39" s="379"/>
      <c r="T39" s="459">
        <v>1951485.3</v>
      </c>
      <c r="U39" s="459"/>
      <c r="V39" s="460"/>
      <c r="W39" s="368"/>
      <c r="X39" s="368"/>
      <c r="Y39" s="368"/>
      <c r="Z39" s="368"/>
    </row>
    <row r="40" spans="1:26" s="383" customFormat="1">
      <c r="A40" s="384"/>
      <c r="B40" s="379" t="s">
        <v>883</v>
      </c>
      <c r="C40" s="379">
        <v>67341</v>
      </c>
      <c r="D40" s="379">
        <v>4126</v>
      </c>
      <c r="E40" s="379">
        <v>333661</v>
      </c>
      <c r="F40" s="379">
        <v>174636</v>
      </c>
      <c r="G40" s="379">
        <v>29327</v>
      </c>
      <c r="H40" s="379">
        <v>63036</v>
      </c>
      <c r="I40" s="379">
        <v>0</v>
      </c>
      <c r="J40" s="459">
        <v>672127</v>
      </c>
      <c r="K40" s="459">
        <v>0</v>
      </c>
      <c r="L40" s="459">
        <v>0</v>
      </c>
      <c r="M40" s="459">
        <v>105234</v>
      </c>
      <c r="N40" s="379">
        <v>107501</v>
      </c>
      <c r="O40" s="379">
        <v>23541</v>
      </c>
      <c r="P40" s="379">
        <v>15901</v>
      </c>
      <c r="Q40" s="459">
        <v>252177</v>
      </c>
      <c r="R40" s="459">
        <v>660237</v>
      </c>
      <c r="S40" s="379">
        <v>0</v>
      </c>
      <c r="T40" s="459">
        <v>660237</v>
      </c>
      <c r="U40" s="459">
        <v>0</v>
      </c>
      <c r="V40" s="460">
        <v>0</v>
      </c>
      <c r="W40" s="368"/>
      <c r="X40" s="368"/>
      <c r="Y40" s="368"/>
      <c r="Z40" s="368"/>
    </row>
    <row r="41" spans="1:26" s="383" customFormat="1">
      <c r="A41" s="384"/>
      <c r="B41" s="379" t="s">
        <v>884</v>
      </c>
      <c r="C41" s="379">
        <v>213264</v>
      </c>
      <c r="D41" s="379">
        <v>5573</v>
      </c>
      <c r="E41" s="379">
        <v>385288</v>
      </c>
      <c r="F41" s="379">
        <v>195505</v>
      </c>
      <c r="G41" s="379">
        <v>29687</v>
      </c>
      <c r="H41" s="379">
        <v>80742</v>
      </c>
      <c r="I41" s="379">
        <v>0</v>
      </c>
      <c r="J41" s="459">
        <v>910059</v>
      </c>
      <c r="K41" s="459">
        <v>0</v>
      </c>
      <c r="L41" s="459">
        <v>0</v>
      </c>
      <c r="M41" s="459">
        <v>106137</v>
      </c>
      <c r="N41" s="379">
        <v>0</v>
      </c>
      <c r="O41" s="379">
        <v>27974</v>
      </c>
      <c r="P41" s="379">
        <v>15765</v>
      </c>
      <c r="Q41" s="459">
        <v>149876</v>
      </c>
      <c r="R41" s="459">
        <v>629798</v>
      </c>
      <c r="S41" s="379">
        <v>0</v>
      </c>
      <c r="T41" s="459">
        <v>629798</v>
      </c>
      <c r="U41" s="459">
        <v>0</v>
      </c>
      <c r="V41" s="460">
        <v>0</v>
      </c>
      <c r="W41" s="368"/>
      <c r="X41" s="368"/>
      <c r="Y41" s="368"/>
      <c r="Z41" s="368"/>
    </row>
    <row r="42" spans="1:26" s="383" customFormat="1">
      <c r="A42" s="384"/>
      <c r="B42" s="379" t="s">
        <v>885</v>
      </c>
      <c r="C42" s="379">
        <v>479376</v>
      </c>
      <c r="D42" s="379">
        <v>262428</v>
      </c>
      <c r="E42" s="379">
        <v>174741</v>
      </c>
      <c r="F42" s="379">
        <v>276186</v>
      </c>
      <c r="G42" s="379">
        <v>9443</v>
      </c>
      <c r="H42" s="379">
        <v>0</v>
      </c>
      <c r="I42" s="379"/>
      <c r="J42" s="459">
        <v>1202174</v>
      </c>
      <c r="K42" s="459"/>
      <c r="L42" s="459"/>
      <c r="M42" s="459">
        <v>0</v>
      </c>
      <c r="N42" s="379">
        <v>0</v>
      </c>
      <c r="O42" s="379">
        <v>0</v>
      </c>
      <c r="P42" s="379">
        <v>0</v>
      </c>
      <c r="Q42" s="459">
        <v>0</v>
      </c>
      <c r="R42" s="459">
        <v>0</v>
      </c>
      <c r="S42" s="379"/>
      <c r="T42" s="459">
        <v>0</v>
      </c>
      <c r="U42" s="459"/>
      <c r="V42" s="460"/>
      <c r="W42" s="368"/>
      <c r="X42" s="368"/>
      <c r="Y42" s="368"/>
      <c r="Z42" s="368"/>
    </row>
    <row r="43" spans="1:26" s="383" customFormat="1">
      <c r="A43" s="384"/>
      <c r="B43" s="379" t="s">
        <v>886</v>
      </c>
      <c r="C43" s="379">
        <v>487666.8</v>
      </c>
      <c r="D43" s="379">
        <v>278585.5</v>
      </c>
      <c r="E43" s="379">
        <v>179225</v>
      </c>
      <c r="F43" s="379">
        <v>282714</v>
      </c>
      <c r="G43" s="379">
        <v>12541</v>
      </c>
      <c r="H43" s="379">
        <v>1203</v>
      </c>
      <c r="I43" s="379"/>
      <c r="J43" s="459">
        <v>1241935.3</v>
      </c>
      <c r="K43" s="459"/>
      <c r="L43" s="459"/>
      <c r="M43" s="459"/>
      <c r="N43" s="379"/>
      <c r="O43" s="379"/>
      <c r="P43" s="379"/>
      <c r="Q43" s="459"/>
      <c r="R43" s="459">
        <v>0</v>
      </c>
      <c r="S43" s="379"/>
      <c r="T43" s="459">
        <v>0</v>
      </c>
      <c r="U43" s="459"/>
      <c r="V43" s="460"/>
      <c r="W43" s="368"/>
      <c r="X43" s="368"/>
      <c r="Y43" s="368"/>
      <c r="Z43" s="368"/>
    </row>
    <row r="44" spans="1:26" s="383" customFormat="1">
      <c r="A44" s="384"/>
      <c r="B44" s="379" t="s">
        <v>887</v>
      </c>
      <c r="C44" s="379">
        <v>19314</v>
      </c>
      <c r="D44" s="379">
        <v>26638</v>
      </c>
      <c r="E44" s="379">
        <v>105410</v>
      </c>
      <c r="F44" s="379">
        <v>46343</v>
      </c>
      <c r="G44" s="379">
        <v>2934</v>
      </c>
      <c r="H44" s="379">
        <v>0</v>
      </c>
      <c r="I44" s="379">
        <v>0</v>
      </c>
      <c r="J44" s="459">
        <v>200639</v>
      </c>
      <c r="K44" s="459">
        <v>0</v>
      </c>
      <c r="L44" s="459">
        <v>0</v>
      </c>
      <c r="M44" s="459">
        <v>0</v>
      </c>
      <c r="N44" s="379">
        <v>0</v>
      </c>
      <c r="O44" s="379">
        <v>0</v>
      </c>
      <c r="P44" s="379">
        <v>0</v>
      </c>
      <c r="Q44" s="459">
        <v>0</v>
      </c>
      <c r="R44" s="459">
        <v>0</v>
      </c>
      <c r="S44" s="379">
        <v>0</v>
      </c>
      <c r="T44" s="459">
        <v>0</v>
      </c>
      <c r="U44" s="459">
        <v>0</v>
      </c>
      <c r="V44" s="460">
        <v>0</v>
      </c>
      <c r="W44" s="368"/>
      <c r="X44" s="368"/>
      <c r="Y44" s="368"/>
      <c r="Z44" s="368"/>
    </row>
    <row r="45" spans="1:26" s="383" customFormat="1">
      <c r="A45" s="467"/>
      <c r="B45" s="379" t="s">
        <v>888</v>
      </c>
      <c r="C45" s="379">
        <v>21584.5</v>
      </c>
      <c r="D45" s="379">
        <v>30840</v>
      </c>
      <c r="E45" s="379">
        <v>113965</v>
      </c>
      <c r="F45" s="379">
        <v>49773</v>
      </c>
      <c r="G45" s="379">
        <v>5089</v>
      </c>
      <c r="H45" s="379">
        <v>1203</v>
      </c>
      <c r="I45" s="379">
        <v>0</v>
      </c>
      <c r="J45" s="459">
        <v>222454.5</v>
      </c>
      <c r="K45" s="459">
        <v>0</v>
      </c>
      <c r="L45" s="459">
        <v>0</v>
      </c>
      <c r="M45" s="459">
        <v>0</v>
      </c>
      <c r="N45" s="379">
        <v>0</v>
      </c>
      <c r="O45" s="379">
        <v>0</v>
      </c>
      <c r="P45" s="379">
        <v>0</v>
      </c>
      <c r="Q45" s="459">
        <v>0</v>
      </c>
      <c r="R45" s="459">
        <v>0</v>
      </c>
      <c r="S45" s="379">
        <v>0</v>
      </c>
      <c r="T45" s="459">
        <v>0</v>
      </c>
      <c r="U45" s="459">
        <v>0</v>
      </c>
      <c r="V45" s="460">
        <v>0</v>
      </c>
      <c r="W45" s="368"/>
      <c r="X45" s="368"/>
      <c r="Y45" s="368"/>
      <c r="Z45" s="368"/>
    </row>
    <row r="46" spans="1:26" s="383" customFormat="1">
      <c r="A46" s="468" t="s">
        <v>256</v>
      </c>
      <c r="B46" s="379" t="s">
        <v>881</v>
      </c>
      <c r="C46" s="457">
        <v>1105947</v>
      </c>
      <c r="D46" s="457"/>
      <c r="E46" s="457">
        <v>1653762</v>
      </c>
      <c r="F46" s="457">
        <v>44123</v>
      </c>
      <c r="G46" s="457"/>
      <c r="H46" s="457"/>
      <c r="I46" s="457"/>
      <c r="J46" s="456">
        <v>2803832</v>
      </c>
      <c r="K46" s="456"/>
      <c r="L46" s="456"/>
      <c r="M46" s="456"/>
      <c r="N46" s="457">
        <v>417805</v>
      </c>
      <c r="O46" s="457">
        <v>780413</v>
      </c>
      <c r="P46" s="457">
        <v>85734</v>
      </c>
      <c r="Q46" s="456">
        <v>1283952</v>
      </c>
      <c r="R46" s="456">
        <v>146937</v>
      </c>
      <c r="S46" s="457"/>
      <c r="T46" s="456">
        <v>146937</v>
      </c>
      <c r="U46" s="456"/>
      <c r="V46" s="458"/>
      <c r="W46" s="368"/>
      <c r="X46" s="368"/>
      <c r="Y46" s="368"/>
      <c r="Z46" s="368"/>
    </row>
    <row r="47" spans="1:26" s="383" customFormat="1">
      <c r="A47" s="384"/>
      <c r="B47" s="379" t="s">
        <v>882</v>
      </c>
      <c r="C47" s="379">
        <v>1096757</v>
      </c>
      <c r="D47" s="379"/>
      <c r="E47" s="379">
        <v>1632885</v>
      </c>
      <c r="F47" s="379">
        <v>40746</v>
      </c>
      <c r="G47" s="379"/>
      <c r="H47" s="379"/>
      <c r="I47" s="379"/>
      <c r="J47" s="459">
        <v>2770388</v>
      </c>
      <c r="K47" s="459"/>
      <c r="L47" s="459"/>
      <c r="M47" s="459"/>
      <c r="N47" s="379">
        <v>389870</v>
      </c>
      <c r="O47" s="379">
        <v>758038</v>
      </c>
      <c r="P47" s="379">
        <v>83035</v>
      </c>
      <c r="Q47" s="459">
        <v>1230943</v>
      </c>
      <c r="R47" s="459">
        <v>146166</v>
      </c>
      <c r="S47" s="379"/>
      <c r="T47" s="459">
        <v>146166</v>
      </c>
      <c r="U47" s="459"/>
      <c r="V47" s="460"/>
      <c r="W47" s="368"/>
      <c r="X47" s="368"/>
      <c r="Y47" s="368"/>
      <c r="Z47" s="368"/>
    </row>
    <row r="48" spans="1:26" s="383" customFormat="1">
      <c r="A48" s="384"/>
      <c r="B48" s="379" t="s">
        <v>883</v>
      </c>
      <c r="C48" s="379">
        <v>89835</v>
      </c>
      <c r="D48" s="379">
        <v>0</v>
      </c>
      <c r="E48" s="379">
        <v>292413</v>
      </c>
      <c r="F48" s="379">
        <v>10933</v>
      </c>
      <c r="G48" s="379">
        <v>0</v>
      </c>
      <c r="H48" s="379">
        <v>0</v>
      </c>
      <c r="I48" s="379">
        <v>0</v>
      </c>
      <c r="J48" s="459">
        <v>393181</v>
      </c>
      <c r="K48" s="459">
        <v>0</v>
      </c>
      <c r="L48" s="459">
        <v>0</v>
      </c>
      <c r="M48" s="459">
        <v>0</v>
      </c>
      <c r="N48" s="379">
        <v>106924</v>
      </c>
      <c r="O48" s="379">
        <v>282093</v>
      </c>
      <c r="P48" s="379">
        <v>39762</v>
      </c>
      <c r="Q48" s="459">
        <v>428779</v>
      </c>
      <c r="R48" s="459">
        <v>37928</v>
      </c>
      <c r="S48" s="379">
        <v>0</v>
      </c>
      <c r="T48" s="459">
        <v>37928</v>
      </c>
      <c r="U48" s="459">
        <v>0</v>
      </c>
      <c r="V48" s="460">
        <v>0</v>
      </c>
      <c r="W48" s="368"/>
      <c r="X48" s="368"/>
      <c r="Y48" s="368"/>
      <c r="Z48" s="368"/>
    </row>
    <row r="49" spans="1:26" s="383" customFormat="1">
      <c r="A49" s="384"/>
      <c r="B49" s="379" t="s">
        <v>884</v>
      </c>
      <c r="C49" s="379">
        <v>89711</v>
      </c>
      <c r="D49" s="379">
        <v>0</v>
      </c>
      <c r="E49" s="379">
        <v>310640</v>
      </c>
      <c r="F49" s="379">
        <v>9905</v>
      </c>
      <c r="G49" s="379">
        <v>0</v>
      </c>
      <c r="H49" s="379">
        <v>0</v>
      </c>
      <c r="I49" s="379">
        <v>0</v>
      </c>
      <c r="J49" s="459">
        <v>410256</v>
      </c>
      <c r="K49" s="459">
        <v>0</v>
      </c>
      <c r="L49" s="459">
        <v>0</v>
      </c>
      <c r="M49" s="459">
        <v>0</v>
      </c>
      <c r="N49" s="379">
        <v>123317</v>
      </c>
      <c r="O49" s="379">
        <v>326992</v>
      </c>
      <c r="P49" s="379">
        <v>45493</v>
      </c>
      <c r="Q49" s="459">
        <v>495802</v>
      </c>
      <c r="R49" s="459">
        <v>46949</v>
      </c>
      <c r="S49" s="379">
        <v>0</v>
      </c>
      <c r="T49" s="459">
        <v>46949</v>
      </c>
      <c r="U49" s="459">
        <v>0</v>
      </c>
      <c r="V49" s="460">
        <v>0</v>
      </c>
      <c r="W49" s="368"/>
      <c r="X49" s="368"/>
      <c r="Y49" s="368"/>
      <c r="Z49" s="368"/>
    </row>
    <row r="50" spans="1:26" s="383" customFormat="1">
      <c r="A50" s="384"/>
      <c r="B50" s="379" t="s">
        <v>885</v>
      </c>
      <c r="C50" s="379">
        <v>160501</v>
      </c>
      <c r="D50" s="379"/>
      <c r="E50" s="379">
        <v>166586</v>
      </c>
      <c r="F50" s="379">
        <v>2227</v>
      </c>
      <c r="G50" s="379"/>
      <c r="H50" s="379"/>
      <c r="I50" s="379"/>
      <c r="J50" s="459">
        <v>329314</v>
      </c>
      <c r="K50" s="459"/>
      <c r="L50" s="459"/>
      <c r="M50" s="459"/>
      <c r="N50" s="379">
        <v>0</v>
      </c>
      <c r="O50" s="379">
        <v>0</v>
      </c>
      <c r="P50" s="379">
        <v>0</v>
      </c>
      <c r="Q50" s="459">
        <v>0</v>
      </c>
      <c r="R50" s="459">
        <v>0</v>
      </c>
      <c r="S50" s="379"/>
      <c r="T50" s="459">
        <v>0</v>
      </c>
      <c r="U50" s="459"/>
      <c r="V50" s="460"/>
      <c r="W50" s="368"/>
      <c r="X50" s="368"/>
      <c r="Y50" s="368"/>
      <c r="Z50" s="368"/>
    </row>
    <row r="51" spans="1:26" s="383" customFormat="1">
      <c r="A51" s="384"/>
      <c r="B51" s="379" t="s">
        <v>886</v>
      </c>
      <c r="C51" s="379">
        <v>158495</v>
      </c>
      <c r="D51" s="379"/>
      <c r="E51" s="379">
        <v>165131</v>
      </c>
      <c r="F51" s="379">
        <v>2304</v>
      </c>
      <c r="G51" s="379"/>
      <c r="H51" s="379"/>
      <c r="I51" s="379"/>
      <c r="J51" s="459">
        <v>325930</v>
      </c>
      <c r="K51" s="459"/>
      <c r="L51" s="459"/>
      <c r="M51" s="459"/>
      <c r="N51" s="379">
        <v>0</v>
      </c>
      <c r="O51" s="379">
        <v>0</v>
      </c>
      <c r="P51" s="379">
        <v>0</v>
      </c>
      <c r="Q51" s="459">
        <v>0</v>
      </c>
      <c r="R51" s="459">
        <v>0</v>
      </c>
      <c r="S51" s="379"/>
      <c r="T51" s="459">
        <v>0</v>
      </c>
      <c r="U51" s="459"/>
      <c r="V51" s="460"/>
      <c r="W51" s="368"/>
      <c r="X51" s="368"/>
      <c r="Y51" s="368"/>
      <c r="Z51" s="368"/>
    </row>
    <row r="52" spans="1:26" s="383" customFormat="1">
      <c r="A52" s="384"/>
      <c r="B52" s="379" t="s">
        <v>887</v>
      </c>
      <c r="C52" s="379">
        <v>27170</v>
      </c>
      <c r="D52" s="379">
        <v>0</v>
      </c>
      <c r="E52" s="379">
        <v>81094</v>
      </c>
      <c r="F52" s="379">
        <v>573</v>
      </c>
      <c r="G52" s="379">
        <v>0</v>
      </c>
      <c r="H52" s="379">
        <v>0</v>
      </c>
      <c r="I52" s="379">
        <v>0</v>
      </c>
      <c r="J52" s="459">
        <v>108837</v>
      </c>
      <c r="K52" s="459">
        <v>0</v>
      </c>
      <c r="L52" s="459">
        <v>0</v>
      </c>
      <c r="M52" s="459">
        <v>0</v>
      </c>
      <c r="N52" s="379">
        <v>0</v>
      </c>
      <c r="O52" s="379">
        <v>0</v>
      </c>
      <c r="P52" s="379">
        <v>0</v>
      </c>
      <c r="Q52" s="459">
        <v>0</v>
      </c>
      <c r="R52" s="459">
        <v>0</v>
      </c>
      <c r="S52" s="379">
        <v>0</v>
      </c>
      <c r="T52" s="459">
        <v>0</v>
      </c>
      <c r="U52" s="459">
        <v>0</v>
      </c>
      <c r="V52" s="460">
        <v>0</v>
      </c>
      <c r="W52" s="368"/>
      <c r="X52" s="368"/>
      <c r="Y52" s="368"/>
      <c r="Z52" s="368"/>
    </row>
    <row r="53" spans="1:26" s="383" customFormat="1">
      <c r="A53" s="467"/>
      <c r="B53" s="379" t="s">
        <v>888</v>
      </c>
      <c r="C53" s="379">
        <v>28561</v>
      </c>
      <c r="D53" s="379">
        <v>0</v>
      </c>
      <c r="E53" s="379">
        <v>82833</v>
      </c>
      <c r="F53" s="379">
        <v>431</v>
      </c>
      <c r="G53" s="379">
        <v>0</v>
      </c>
      <c r="H53" s="379">
        <v>0</v>
      </c>
      <c r="I53" s="379">
        <v>0</v>
      </c>
      <c r="J53" s="459">
        <v>111825</v>
      </c>
      <c r="K53" s="459">
        <v>0</v>
      </c>
      <c r="L53" s="459">
        <v>0</v>
      </c>
      <c r="M53" s="459">
        <v>0</v>
      </c>
      <c r="N53" s="379">
        <v>0</v>
      </c>
      <c r="O53" s="379">
        <v>0</v>
      </c>
      <c r="P53" s="379">
        <v>0</v>
      </c>
      <c r="Q53" s="459">
        <v>0</v>
      </c>
      <c r="R53" s="459">
        <v>0</v>
      </c>
      <c r="S53" s="379">
        <v>0</v>
      </c>
      <c r="T53" s="459">
        <v>0</v>
      </c>
      <c r="U53" s="459">
        <v>0</v>
      </c>
      <c r="V53" s="460">
        <v>0</v>
      </c>
      <c r="W53" s="368"/>
      <c r="X53" s="368"/>
      <c r="Y53" s="368"/>
      <c r="Z53" s="368"/>
    </row>
    <row r="54" spans="1:26" s="383" customFormat="1">
      <c r="A54" s="468" t="s">
        <v>281</v>
      </c>
      <c r="B54" s="378" t="s">
        <v>881</v>
      </c>
      <c r="C54" s="457">
        <v>738491.99999999953</v>
      </c>
      <c r="D54" s="457">
        <v>838095.9999999993</v>
      </c>
      <c r="E54" s="457">
        <v>649074.99999999977</v>
      </c>
      <c r="F54" s="457">
        <v>712164.99999999942</v>
      </c>
      <c r="G54" s="457">
        <v>57370</v>
      </c>
      <c r="H54" s="457">
        <v>60798</v>
      </c>
      <c r="I54" s="457">
        <v>0</v>
      </c>
      <c r="J54" s="456">
        <v>3055995.9999999981</v>
      </c>
      <c r="K54" s="456"/>
      <c r="L54" s="456"/>
      <c r="M54" s="456"/>
      <c r="N54" s="457">
        <v>688717.99999999977</v>
      </c>
      <c r="O54" s="457">
        <v>276891.99999999988</v>
      </c>
      <c r="P54" s="457">
        <v>134156</v>
      </c>
      <c r="Q54" s="456">
        <v>1099765.9999999995</v>
      </c>
      <c r="R54" s="456">
        <v>350299.00000000006</v>
      </c>
      <c r="S54" s="457"/>
      <c r="T54" s="456">
        <v>350299.00000000006</v>
      </c>
      <c r="U54" s="456"/>
      <c r="V54" s="458"/>
      <c r="W54" s="368"/>
      <c r="X54" s="368"/>
      <c r="Y54" s="368"/>
      <c r="Z54" s="368"/>
    </row>
    <row r="55" spans="1:26" s="383" customFormat="1">
      <c r="A55" s="384"/>
      <c r="B55" s="378" t="s">
        <v>882</v>
      </c>
      <c r="C55" s="379">
        <v>729887.99999999953</v>
      </c>
      <c r="D55" s="379">
        <v>851847</v>
      </c>
      <c r="E55" s="379">
        <v>654574.99999999977</v>
      </c>
      <c r="F55" s="379">
        <v>720351.99999999965</v>
      </c>
      <c r="G55" s="379">
        <v>47287.999999999971</v>
      </c>
      <c r="H55" s="379">
        <v>69103</v>
      </c>
      <c r="I55" s="379">
        <v>0</v>
      </c>
      <c r="J55" s="459">
        <v>3073052.9999999986</v>
      </c>
      <c r="K55" s="459"/>
      <c r="L55" s="459"/>
      <c r="M55" s="459"/>
      <c r="N55" s="379">
        <v>588855.00000000058</v>
      </c>
      <c r="O55" s="379">
        <v>270265.00000000017</v>
      </c>
      <c r="P55" s="379">
        <v>135767.50000000003</v>
      </c>
      <c r="Q55" s="459">
        <v>994887.5000000007</v>
      </c>
      <c r="R55" s="459">
        <v>298628.00000000012</v>
      </c>
      <c r="S55" s="379"/>
      <c r="T55" s="459">
        <v>298628.00000000012</v>
      </c>
      <c r="U55" s="459"/>
      <c r="V55" s="460"/>
      <c r="W55" s="368"/>
      <c r="X55" s="368"/>
      <c r="Y55" s="368"/>
      <c r="Z55" s="368"/>
    </row>
    <row r="56" spans="1:26" s="383" customFormat="1">
      <c r="A56" s="384"/>
      <c r="B56" s="378" t="s">
        <v>883</v>
      </c>
      <c r="C56" s="379">
        <v>9941.6540825285301</v>
      </c>
      <c r="D56" s="379">
        <v>75806.029838104296</v>
      </c>
      <c r="E56" s="379">
        <v>78630.639831750799</v>
      </c>
      <c r="F56" s="379">
        <v>147723.44626101619</v>
      </c>
      <c r="G56" s="379">
        <v>7227.275390625</v>
      </c>
      <c r="H56" s="379">
        <v>13766.6997084548</v>
      </c>
      <c r="I56" s="379">
        <v>0</v>
      </c>
      <c r="J56" s="459">
        <v>333095.74511247966</v>
      </c>
      <c r="K56" s="459">
        <v>0</v>
      </c>
      <c r="L56" s="459">
        <v>0</v>
      </c>
      <c r="M56" s="459">
        <v>0</v>
      </c>
      <c r="N56" s="379">
        <v>93435.495853683708</v>
      </c>
      <c r="O56" s="379">
        <v>20710.811224592489</v>
      </c>
      <c r="P56" s="379">
        <v>28140.924213625491</v>
      </c>
      <c r="Q56" s="459">
        <v>142287.2312919017</v>
      </c>
      <c r="R56" s="459">
        <v>26805.126290518361</v>
      </c>
      <c r="S56" s="379">
        <v>0</v>
      </c>
      <c r="T56" s="459">
        <v>26805.126290518361</v>
      </c>
      <c r="U56" s="459">
        <v>0</v>
      </c>
      <c r="V56" s="460">
        <v>0</v>
      </c>
      <c r="W56" s="368"/>
      <c r="X56" s="368"/>
      <c r="Y56" s="368"/>
      <c r="Z56" s="368"/>
    </row>
    <row r="57" spans="1:26" s="383" customFormat="1">
      <c r="A57" s="384"/>
      <c r="B57" s="378" t="s">
        <v>884</v>
      </c>
      <c r="C57" s="379">
        <v>16877.863874345599</v>
      </c>
      <c r="D57" s="379">
        <v>85659.963274439899</v>
      </c>
      <c r="E57" s="379">
        <v>81198.37041523584</v>
      </c>
      <c r="F57" s="379">
        <v>162101.0604293432</v>
      </c>
      <c r="G57" s="379">
        <v>5830.0273972602699</v>
      </c>
      <c r="H57" s="379">
        <v>17611.978683966601</v>
      </c>
      <c r="I57" s="379">
        <v>0</v>
      </c>
      <c r="J57" s="459">
        <v>369279.2640745914</v>
      </c>
      <c r="K57" s="459">
        <v>0</v>
      </c>
      <c r="L57" s="459">
        <v>0</v>
      </c>
      <c r="M57" s="459">
        <v>0</v>
      </c>
      <c r="N57" s="379">
        <v>91733.718044091191</v>
      </c>
      <c r="O57" s="379">
        <v>30980.231464807581</v>
      </c>
      <c r="P57" s="379">
        <v>32832.03846434172</v>
      </c>
      <c r="Q57" s="459">
        <v>155545.98797324052</v>
      </c>
      <c r="R57" s="459">
        <v>29965.39611393011</v>
      </c>
      <c r="S57" s="379">
        <v>0</v>
      </c>
      <c r="T57" s="459">
        <v>29965.39611393011</v>
      </c>
      <c r="U57" s="459">
        <v>0</v>
      </c>
      <c r="V57" s="460">
        <v>0</v>
      </c>
      <c r="W57" s="368"/>
      <c r="X57" s="368"/>
      <c r="Y57" s="368"/>
      <c r="Z57" s="368"/>
    </row>
    <row r="58" spans="1:26" s="383" customFormat="1">
      <c r="A58" s="384"/>
      <c r="B58" s="378" t="s">
        <v>885</v>
      </c>
      <c r="C58" s="379">
        <v>130715.2999999997</v>
      </c>
      <c r="D58" s="379">
        <v>86638.999999999971</v>
      </c>
      <c r="E58" s="379">
        <v>87434.999999999971</v>
      </c>
      <c r="F58" s="379">
        <v>81832.000000000087</v>
      </c>
      <c r="G58" s="379">
        <v>2114.9999999999991</v>
      </c>
      <c r="H58" s="379">
        <v>0</v>
      </c>
      <c r="I58" s="379">
        <v>0</v>
      </c>
      <c r="J58" s="459">
        <v>388736.2999999997</v>
      </c>
      <c r="K58" s="459"/>
      <c r="L58" s="459"/>
      <c r="M58" s="459"/>
      <c r="N58" s="379">
        <v>0</v>
      </c>
      <c r="O58" s="379">
        <v>0</v>
      </c>
      <c r="P58" s="379">
        <v>0</v>
      </c>
      <c r="Q58" s="459">
        <v>0</v>
      </c>
      <c r="R58" s="459">
        <v>0</v>
      </c>
      <c r="S58" s="379"/>
      <c r="T58" s="459">
        <v>0</v>
      </c>
      <c r="U58" s="459"/>
      <c r="V58" s="460"/>
      <c r="W58" s="368"/>
      <c r="X58" s="368"/>
      <c r="Y58" s="368"/>
      <c r="Z58" s="368"/>
    </row>
    <row r="59" spans="1:26" s="383" customFormat="1">
      <c r="A59" s="384"/>
      <c r="B59" s="378" t="s">
        <v>886</v>
      </c>
      <c r="C59" s="379">
        <v>129253.00000000031</v>
      </c>
      <c r="D59" s="379">
        <v>75262.000000000015</v>
      </c>
      <c r="E59" s="379">
        <v>83119.000000000015</v>
      </c>
      <c r="F59" s="379">
        <v>91750</v>
      </c>
      <c r="G59" s="379">
        <v>9974</v>
      </c>
      <c r="H59" s="379">
        <v>0</v>
      </c>
      <c r="I59" s="379">
        <v>0</v>
      </c>
      <c r="J59" s="459">
        <v>389358.00000000035</v>
      </c>
      <c r="K59" s="459"/>
      <c r="L59" s="459"/>
      <c r="M59" s="459"/>
      <c r="N59" s="379">
        <v>0</v>
      </c>
      <c r="O59" s="379">
        <v>0</v>
      </c>
      <c r="P59" s="379">
        <v>0</v>
      </c>
      <c r="Q59" s="459">
        <v>0</v>
      </c>
      <c r="R59" s="459">
        <v>0</v>
      </c>
      <c r="S59" s="379"/>
      <c r="T59" s="459">
        <v>0</v>
      </c>
      <c r="U59" s="459"/>
      <c r="V59" s="460"/>
      <c r="W59" s="368"/>
      <c r="X59" s="368"/>
      <c r="Y59" s="368"/>
      <c r="Z59" s="368"/>
    </row>
    <row r="60" spans="1:26" s="383" customFormat="1">
      <c r="A60" s="384"/>
      <c r="B60" s="378" t="s">
        <v>887</v>
      </c>
      <c r="C60" s="379">
        <v>3414.6819091796901</v>
      </c>
      <c r="D60" s="379">
        <v>11307.615077944969</v>
      </c>
      <c r="E60" s="379">
        <v>22378.47077945427</v>
      </c>
      <c r="F60" s="379">
        <v>35975.242203375965</v>
      </c>
      <c r="G60" s="379">
        <v>454.62616822429902</v>
      </c>
      <c r="H60" s="379">
        <v>0</v>
      </c>
      <c r="I60" s="379">
        <v>0</v>
      </c>
      <c r="J60" s="459">
        <v>73530.636138179194</v>
      </c>
      <c r="K60" s="459">
        <v>0</v>
      </c>
      <c r="L60" s="459">
        <v>0</v>
      </c>
      <c r="M60" s="459">
        <v>0</v>
      </c>
      <c r="N60" s="379">
        <v>0</v>
      </c>
      <c r="O60" s="379">
        <v>0</v>
      </c>
      <c r="P60" s="379">
        <v>0</v>
      </c>
      <c r="Q60" s="459">
        <v>0</v>
      </c>
      <c r="R60" s="459">
        <v>0</v>
      </c>
      <c r="S60" s="379">
        <v>0</v>
      </c>
      <c r="T60" s="459">
        <v>0</v>
      </c>
      <c r="U60" s="459">
        <v>0</v>
      </c>
      <c r="V60" s="460">
        <v>0</v>
      </c>
      <c r="W60" s="368"/>
      <c r="X60" s="368"/>
      <c r="Y60" s="368"/>
      <c r="Z60" s="368"/>
    </row>
    <row r="61" spans="1:26" s="383" customFormat="1">
      <c r="A61" s="384"/>
      <c r="B61" s="378" t="s">
        <v>888</v>
      </c>
      <c r="C61" s="379">
        <v>5569.1396780303003</v>
      </c>
      <c r="D61" s="379">
        <v>11235.47600866102</v>
      </c>
      <c r="E61" s="379">
        <v>22313.82080448691</v>
      </c>
      <c r="F61" s="379">
        <v>48297.229875119592</v>
      </c>
      <c r="G61" s="379">
        <v>1757.07772020725</v>
      </c>
      <c r="H61" s="379">
        <v>0</v>
      </c>
      <c r="I61" s="379">
        <v>0</v>
      </c>
      <c r="J61" s="459">
        <v>89172.744086505074</v>
      </c>
      <c r="K61" s="459">
        <v>0</v>
      </c>
      <c r="L61" s="459">
        <v>0</v>
      </c>
      <c r="M61" s="459">
        <v>0</v>
      </c>
      <c r="N61" s="379">
        <v>0</v>
      </c>
      <c r="O61" s="379">
        <v>0</v>
      </c>
      <c r="P61" s="379">
        <v>0</v>
      </c>
      <c r="Q61" s="459">
        <v>0</v>
      </c>
      <c r="R61" s="459">
        <v>0</v>
      </c>
      <c r="S61" s="379">
        <v>0</v>
      </c>
      <c r="T61" s="459">
        <v>0</v>
      </c>
      <c r="U61" s="459">
        <v>0</v>
      </c>
      <c r="V61" s="460">
        <v>0</v>
      </c>
      <c r="W61" s="368"/>
      <c r="X61" s="368"/>
      <c r="Y61" s="368"/>
      <c r="Z61" s="368"/>
    </row>
    <row r="62" spans="1:26" s="383" customFormat="1">
      <c r="A62" s="468" t="s">
        <v>528</v>
      </c>
      <c r="B62" s="379" t="s">
        <v>881</v>
      </c>
      <c r="C62" s="457">
        <v>814544</v>
      </c>
      <c r="D62" s="457">
        <v>503347.5</v>
      </c>
      <c r="E62" s="457">
        <v>616816.5</v>
      </c>
      <c r="F62" s="457">
        <v>592704.5</v>
      </c>
      <c r="G62" s="457">
        <v>70100</v>
      </c>
      <c r="H62" s="457">
        <v>53584.5</v>
      </c>
      <c r="I62" s="457">
        <v>668964</v>
      </c>
      <c r="J62" s="456">
        <v>3320061</v>
      </c>
      <c r="K62" s="456"/>
      <c r="L62" s="456"/>
      <c r="M62" s="456"/>
      <c r="N62" s="457">
        <v>2012374</v>
      </c>
      <c r="O62" s="457">
        <v>539460</v>
      </c>
      <c r="P62" s="457">
        <v>162464.75</v>
      </c>
      <c r="Q62" s="456">
        <v>2714298.75</v>
      </c>
      <c r="R62" s="456"/>
      <c r="S62" s="457"/>
      <c r="T62" s="456"/>
      <c r="U62" s="456"/>
      <c r="V62" s="458"/>
      <c r="W62" s="368"/>
      <c r="X62" s="368"/>
      <c r="Y62" s="368"/>
      <c r="Z62" s="368"/>
    </row>
    <row r="63" spans="1:26" s="383" customFormat="1">
      <c r="A63" s="384"/>
      <c r="B63" s="379" t="s">
        <v>882</v>
      </c>
      <c r="C63" s="379">
        <v>830277</v>
      </c>
      <c r="D63" s="379">
        <v>502166</v>
      </c>
      <c r="E63" s="379">
        <v>615500</v>
      </c>
      <c r="F63" s="379">
        <v>590602</v>
      </c>
      <c r="G63" s="379">
        <v>66610</v>
      </c>
      <c r="H63" s="379">
        <v>51243</v>
      </c>
      <c r="I63" s="379">
        <v>797203</v>
      </c>
      <c r="J63" s="459">
        <v>3453601</v>
      </c>
      <c r="K63" s="459"/>
      <c r="L63" s="459"/>
      <c r="M63" s="459"/>
      <c r="N63" s="379">
        <v>1945635</v>
      </c>
      <c r="O63" s="379">
        <v>511593</v>
      </c>
      <c r="P63" s="379">
        <v>157578</v>
      </c>
      <c r="Q63" s="459">
        <v>2614806</v>
      </c>
      <c r="R63" s="459"/>
      <c r="S63" s="379"/>
      <c r="T63" s="459"/>
      <c r="U63" s="459"/>
      <c r="V63" s="460"/>
      <c r="W63" s="368"/>
      <c r="X63" s="368"/>
      <c r="Y63" s="368"/>
      <c r="Z63" s="368"/>
    </row>
    <row r="64" spans="1:26" s="383" customFormat="1">
      <c r="A64" s="384"/>
      <c r="B64" s="379" t="s">
        <v>883</v>
      </c>
      <c r="C64" s="379">
        <v>25375</v>
      </c>
      <c r="D64" s="379">
        <v>49296</v>
      </c>
      <c r="E64" s="379">
        <v>68787</v>
      </c>
      <c r="F64" s="379">
        <v>80348</v>
      </c>
      <c r="G64" s="379">
        <v>12944</v>
      </c>
      <c r="H64" s="379">
        <v>0</v>
      </c>
      <c r="I64" s="379">
        <v>652518</v>
      </c>
      <c r="J64" s="459">
        <v>889268</v>
      </c>
      <c r="K64" s="459">
        <v>0</v>
      </c>
      <c r="L64" s="459">
        <v>0</v>
      </c>
      <c r="M64" s="459">
        <v>0</v>
      </c>
      <c r="N64" s="379">
        <v>332740</v>
      </c>
      <c r="O64" s="379">
        <v>124293</v>
      </c>
      <c r="P64" s="379">
        <v>32871</v>
      </c>
      <c r="Q64" s="459">
        <v>489904</v>
      </c>
      <c r="R64" s="459">
        <v>0</v>
      </c>
      <c r="S64" s="379">
        <v>0</v>
      </c>
      <c r="T64" s="459">
        <v>0</v>
      </c>
      <c r="U64" s="459">
        <v>0</v>
      </c>
      <c r="V64" s="460">
        <v>0</v>
      </c>
      <c r="W64" s="368"/>
      <c r="X64" s="368"/>
      <c r="Y64" s="368"/>
      <c r="Z64" s="368"/>
    </row>
    <row r="65" spans="1:26" s="383" customFormat="1">
      <c r="A65" s="384"/>
      <c r="B65" s="379" t="s">
        <v>884</v>
      </c>
      <c r="C65" s="379">
        <v>32586</v>
      </c>
      <c r="D65" s="379">
        <v>54562</v>
      </c>
      <c r="E65" s="379">
        <v>76242</v>
      </c>
      <c r="F65" s="379">
        <v>86145</v>
      </c>
      <c r="G65" s="379">
        <v>13916</v>
      </c>
      <c r="H65" s="379">
        <v>0</v>
      </c>
      <c r="I65" s="379">
        <v>728568</v>
      </c>
      <c r="J65" s="459">
        <v>992019</v>
      </c>
      <c r="K65" s="459">
        <v>0</v>
      </c>
      <c r="L65" s="459">
        <v>0</v>
      </c>
      <c r="M65" s="459">
        <v>0</v>
      </c>
      <c r="N65" s="379">
        <v>322790</v>
      </c>
      <c r="O65" s="379">
        <v>125654</v>
      </c>
      <c r="P65" s="379">
        <v>32348</v>
      </c>
      <c r="Q65" s="459">
        <v>480792</v>
      </c>
      <c r="R65" s="459">
        <v>0</v>
      </c>
      <c r="S65" s="379">
        <v>0</v>
      </c>
      <c r="T65" s="459">
        <v>0</v>
      </c>
      <c r="U65" s="459">
        <v>0</v>
      </c>
      <c r="V65" s="460">
        <v>0</v>
      </c>
      <c r="W65" s="368"/>
      <c r="X65" s="368"/>
      <c r="Y65" s="368"/>
      <c r="Z65" s="368"/>
    </row>
    <row r="66" spans="1:26" s="383" customFormat="1">
      <c r="A66" s="384"/>
      <c r="B66" s="379" t="s">
        <v>885</v>
      </c>
      <c r="C66" s="379">
        <v>157472.16999999998</v>
      </c>
      <c r="D66" s="379">
        <v>60689</v>
      </c>
      <c r="E66" s="379">
        <v>95647</v>
      </c>
      <c r="F66" s="379">
        <v>65072</v>
      </c>
      <c r="G66" s="379">
        <v>5952</v>
      </c>
      <c r="H66" s="379">
        <v>1340</v>
      </c>
      <c r="I66" s="379">
        <v>220464</v>
      </c>
      <c r="J66" s="459">
        <v>606636.16999999993</v>
      </c>
      <c r="K66" s="459"/>
      <c r="L66" s="459"/>
      <c r="M66" s="459"/>
      <c r="N66" s="379">
        <v>0</v>
      </c>
      <c r="O66" s="379">
        <v>0</v>
      </c>
      <c r="P66" s="379">
        <v>0</v>
      </c>
      <c r="Q66" s="459">
        <v>0</v>
      </c>
      <c r="R66" s="459"/>
      <c r="S66" s="379"/>
      <c r="T66" s="459"/>
      <c r="U66" s="459"/>
      <c r="V66" s="460"/>
      <c r="W66" s="368"/>
      <c r="X66" s="368"/>
      <c r="Y66" s="368"/>
      <c r="Z66" s="368"/>
    </row>
    <row r="67" spans="1:26" s="383" customFormat="1">
      <c r="A67" s="384"/>
      <c r="B67" s="379" t="s">
        <v>886</v>
      </c>
      <c r="C67" s="379">
        <v>157557</v>
      </c>
      <c r="D67" s="379">
        <v>58831</v>
      </c>
      <c r="E67" s="379">
        <v>92396</v>
      </c>
      <c r="F67" s="379">
        <v>59868</v>
      </c>
      <c r="G67" s="379">
        <v>5570</v>
      </c>
      <c r="H67" s="379">
        <v>1356</v>
      </c>
      <c r="I67" s="379">
        <v>233210</v>
      </c>
      <c r="J67" s="459">
        <v>608788</v>
      </c>
      <c r="K67" s="459"/>
      <c r="L67" s="459"/>
      <c r="M67" s="459"/>
      <c r="N67" s="379">
        <v>0</v>
      </c>
      <c r="O67" s="379">
        <v>0</v>
      </c>
      <c r="P67" s="379">
        <v>0</v>
      </c>
      <c r="Q67" s="459">
        <v>0</v>
      </c>
      <c r="R67" s="459"/>
      <c r="S67" s="379"/>
      <c r="T67" s="459"/>
      <c r="U67" s="459"/>
      <c r="V67" s="460"/>
      <c r="W67" s="368"/>
      <c r="X67" s="368"/>
      <c r="Y67" s="368"/>
      <c r="Z67" s="368"/>
    </row>
    <row r="68" spans="1:26" s="383" customFormat="1">
      <c r="A68" s="384"/>
      <c r="B68" s="379" t="s">
        <v>887</v>
      </c>
      <c r="C68" s="379">
        <v>9857</v>
      </c>
      <c r="D68" s="379">
        <v>11068</v>
      </c>
      <c r="E68" s="379">
        <v>20013</v>
      </c>
      <c r="F68" s="379">
        <v>19582</v>
      </c>
      <c r="G68" s="379">
        <v>600</v>
      </c>
      <c r="H68" s="379">
        <v>0</v>
      </c>
      <c r="I68" s="379">
        <v>188486</v>
      </c>
      <c r="J68" s="459">
        <v>249606</v>
      </c>
      <c r="K68" s="459">
        <v>0</v>
      </c>
      <c r="L68" s="459">
        <v>0</v>
      </c>
      <c r="M68" s="459">
        <v>0</v>
      </c>
      <c r="N68" s="379">
        <v>0</v>
      </c>
      <c r="O68" s="379">
        <v>0</v>
      </c>
      <c r="P68" s="379">
        <v>0</v>
      </c>
      <c r="Q68" s="459">
        <v>0</v>
      </c>
      <c r="R68" s="459">
        <v>0</v>
      </c>
      <c r="S68" s="379">
        <v>0</v>
      </c>
      <c r="T68" s="459">
        <v>0</v>
      </c>
      <c r="U68" s="459">
        <v>0</v>
      </c>
      <c r="V68" s="460">
        <v>0</v>
      </c>
      <c r="W68" s="368"/>
      <c r="X68" s="368"/>
      <c r="Y68" s="368"/>
      <c r="Z68" s="368"/>
    </row>
    <row r="69" spans="1:26" s="383" customFormat="1">
      <c r="A69" s="467"/>
      <c r="B69" s="379" t="s">
        <v>888</v>
      </c>
      <c r="C69" s="379">
        <v>11885</v>
      </c>
      <c r="D69" s="379">
        <v>12354</v>
      </c>
      <c r="E69" s="379">
        <v>19839</v>
      </c>
      <c r="F69" s="379">
        <v>21473</v>
      </c>
      <c r="G69" s="379">
        <v>798</v>
      </c>
      <c r="H69" s="379">
        <v>0</v>
      </c>
      <c r="I69" s="379">
        <v>202293</v>
      </c>
      <c r="J69" s="459">
        <v>268642</v>
      </c>
      <c r="K69" s="459">
        <v>0</v>
      </c>
      <c r="L69" s="459">
        <v>0</v>
      </c>
      <c r="M69" s="459">
        <v>0</v>
      </c>
      <c r="N69" s="379">
        <v>0</v>
      </c>
      <c r="O69" s="379">
        <v>0</v>
      </c>
      <c r="P69" s="379">
        <v>0</v>
      </c>
      <c r="Q69" s="459">
        <v>0</v>
      </c>
      <c r="R69" s="459">
        <v>0</v>
      </c>
      <c r="S69" s="379">
        <v>0</v>
      </c>
      <c r="T69" s="459">
        <v>0</v>
      </c>
      <c r="U69" s="459">
        <v>0</v>
      </c>
      <c r="V69" s="460">
        <v>0</v>
      </c>
      <c r="W69" s="368"/>
      <c r="X69" s="368"/>
      <c r="Y69" s="368"/>
      <c r="Z69" s="368"/>
    </row>
    <row r="70" spans="1:26" s="383" customFormat="1">
      <c r="A70" s="468" t="s">
        <v>313</v>
      </c>
      <c r="B70" s="379" t="s">
        <v>881</v>
      </c>
      <c r="C70" s="457">
        <v>794384</v>
      </c>
      <c r="D70" s="457">
        <v>700600</v>
      </c>
      <c r="E70" s="457"/>
      <c r="F70" s="457">
        <v>204302</v>
      </c>
      <c r="G70" s="457">
        <v>69665</v>
      </c>
      <c r="H70" s="457"/>
      <c r="I70" s="457"/>
      <c r="J70" s="456">
        <v>1768951</v>
      </c>
      <c r="K70" s="456"/>
      <c r="L70" s="456"/>
      <c r="M70" s="456"/>
      <c r="N70" s="457">
        <v>899728</v>
      </c>
      <c r="O70" s="457">
        <v>936959</v>
      </c>
      <c r="P70" s="457">
        <v>107750</v>
      </c>
      <c r="Q70" s="456">
        <v>1944437</v>
      </c>
      <c r="R70" s="456"/>
      <c r="S70" s="457"/>
      <c r="T70" s="456"/>
      <c r="U70" s="456"/>
      <c r="V70" s="458"/>
      <c r="W70" s="368"/>
      <c r="X70" s="368"/>
      <c r="Y70" s="368"/>
      <c r="Z70" s="368"/>
    </row>
    <row r="71" spans="1:26" s="383" customFormat="1">
      <c r="A71" s="384"/>
      <c r="B71" s="379" t="s">
        <v>882</v>
      </c>
      <c r="C71" s="379">
        <v>820010</v>
      </c>
      <c r="D71" s="379">
        <v>729103</v>
      </c>
      <c r="E71" s="379"/>
      <c r="F71" s="379">
        <v>207808</v>
      </c>
      <c r="G71" s="379">
        <v>71262</v>
      </c>
      <c r="H71" s="379"/>
      <c r="I71" s="379"/>
      <c r="J71" s="459">
        <v>1828183</v>
      </c>
      <c r="K71" s="459"/>
      <c r="L71" s="459"/>
      <c r="M71" s="459"/>
      <c r="N71" s="379">
        <v>878653</v>
      </c>
      <c r="O71" s="379">
        <v>926563.5</v>
      </c>
      <c r="P71" s="379">
        <v>104006</v>
      </c>
      <c r="Q71" s="459">
        <v>1909222.5</v>
      </c>
      <c r="R71" s="459"/>
      <c r="S71" s="379"/>
      <c r="T71" s="459"/>
      <c r="U71" s="459"/>
      <c r="V71" s="460"/>
      <c r="W71" s="368"/>
      <c r="X71" s="368"/>
      <c r="Y71" s="368"/>
      <c r="Z71" s="368"/>
    </row>
    <row r="72" spans="1:26" s="383" customFormat="1">
      <c r="A72" s="384"/>
      <c r="B72" s="379" t="s">
        <v>883</v>
      </c>
      <c r="C72" s="379">
        <v>91244</v>
      </c>
      <c r="D72" s="379">
        <v>70302</v>
      </c>
      <c r="E72" s="379">
        <v>0</v>
      </c>
      <c r="F72" s="379">
        <v>32831</v>
      </c>
      <c r="G72" s="379">
        <v>35079</v>
      </c>
      <c r="H72" s="379">
        <v>0</v>
      </c>
      <c r="I72" s="379">
        <v>0</v>
      </c>
      <c r="J72" s="459">
        <v>229456</v>
      </c>
      <c r="K72" s="459">
        <v>0</v>
      </c>
      <c r="L72" s="459">
        <v>0</v>
      </c>
      <c r="M72" s="459">
        <v>0</v>
      </c>
      <c r="N72" s="379">
        <v>216080</v>
      </c>
      <c r="O72" s="379">
        <v>228892</v>
      </c>
      <c r="P72" s="379">
        <v>18235</v>
      </c>
      <c r="Q72" s="459">
        <v>463207</v>
      </c>
      <c r="R72" s="459">
        <v>0</v>
      </c>
      <c r="S72" s="379">
        <v>0</v>
      </c>
      <c r="T72" s="459">
        <v>0</v>
      </c>
      <c r="U72" s="459">
        <v>0</v>
      </c>
      <c r="V72" s="460">
        <v>0</v>
      </c>
      <c r="W72" s="368"/>
      <c r="X72" s="368"/>
      <c r="Y72" s="368"/>
      <c r="Z72" s="368"/>
    </row>
    <row r="73" spans="1:26" s="383" customFormat="1">
      <c r="A73" s="384"/>
      <c r="B73" s="379" t="s">
        <v>884</v>
      </c>
      <c r="C73" s="379">
        <v>102870</v>
      </c>
      <c r="D73" s="379">
        <v>87567</v>
      </c>
      <c r="E73" s="379">
        <v>0</v>
      </c>
      <c r="F73" s="379">
        <v>39379</v>
      </c>
      <c r="G73" s="379">
        <v>35521</v>
      </c>
      <c r="H73" s="379">
        <v>0</v>
      </c>
      <c r="I73" s="379">
        <v>0</v>
      </c>
      <c r="J73" s="459">
        <v>265337</v>
      </c>
      <c r="K73" s="459">
        <v>0</v>
      </c>
      <c r="L73" s="459">
        <v>0</v>
      </c>
      <c r="M73" s="459">
        <v>0</v>
      </c>
      <c r="N73" s="379">
        <v>222486</v>
      </c>
      <c r="O73" s="379">
        <v>240901</v>
      </c>
      <c r="P73" s="379">
        <v>16387</v>
      </c>
      <c r="Q73" s="459">
        <v>479774</v>
      </c>
      <c r="R73" s="459">
        <v>0</v>
      </c>
      <c r="S73" s="379">
        <v>0</v>
      </c>
      <c r="T73" s="459">
        <v>0</v>
      </c>
      <c r="U73" s="459">
        <v>0</v>
      </c>
      <c r="V73" s="460">
        <v>0</v>
      </c>
      <c r="W73" s="368"/>
      <c r="X73" s="368"/>
      <c r="Y73" s="368"/>
      <c r="Z73" s="368"/>
    </row>
    <row r="74" spans="1:26" s="383" customFormat="1">
      <c r="A74" s="384"/>
      <c r="B74" s="379" t="s">
        <v>885</v>
      </c>
      <c r="C74" s="379">
        <v>105343</v>
      </c>
      <c r="D74" s="379">
        <v>99623</v>
      </c>
      <c r="E74" s="379"/>
      <c r="F74" s="379">
        <v>40508</v>
      </c>
      <c r="G74" s="379">
        <v>4154</v>
      </c>
      <c r="H74" s="379"/>
      <c r="I74" s="379"/>
      <c r="J74" s="459">
        <v>249628</v>
      </c>
      <c r="K74" s="459"/>
      <c r="L74" s="459"/>
      <c r="M74" s="459"/>
      <c r="N74" s="379">
        <v>0</v>
      </c>
      <c r="O74" s="379">
        <v>0</v>
      </c>
      <c r="P74" s="379">
        <v>0</v>
      </c>
      <c r="Q74" s="459">
        <v>0</v>
      </c>
      <c r="R74" s="459"/>
      <c r="S74" s="379"/>
      <c r="T74" s="459"/>
      <c r="U74" s="459"/>
      <c r="V74" s="460"/>
      <c r="W74" s="368"/>
      <c r="X74" s="368"/>
      <c r="Y74" s="368"/>
      <c r="Z74" s="368"/>
    </row>
    <row r="75" spans="1:26" s="383" customFormat="1">
      <c r="A75" s="384"/>
      <c r="B75" s="379" t="s">
        <v>886</v>
      </c>
      <c r="C75" s="379">
        <v>108107</v>
      </c>
      <c r="D75" s="379">
        <v>99745</v>
      </c>
      <c r="E75" s="379"/>
      <c r="F75" s="379">
        <v>40819</v>
      </c>
      <c r="G75" s="379">
        <v>4839</v>
      </c>
      <c r="H75" s="379"/>
      <c r="I75" s="379"/>
      <c r="J75" s="459">
        <v>253510</v>
      </c>
      <c r="K75" s="459"/>
      <c r="L75" s="459"/>
      <c r="M75" s="459"/>
      <c r="N75" s="379">
        <v>0</v>
      </c>
      <c r="O75" s="379">
        <v>0</v>
      </c>
      <c r="P75" s="379">
        <v>0</v>
      </c>
      <c r="Q75" s="459">
        <v>0</v>
      </c>
      <c r="R75" s="459"/>
      <c r="S75" s="379"/>
      <c r="T75" s="459"/>
      <c r="U75" s="459"/>
      <c r="V75" s="460"/>
      <c r="W75" s="368"/>
      <c r="X75" s="368"/>
      <c r="Y75" s="368"/>
      <c r="Z75" s="368"/>
    </row>
    <row r="76" spans="1:26" s="383" customFormat="1">
      <c r="A76" s="384"/>
      <c r="B76" s="379" t="s">
        <v>887</v>
      </c>
      <c r="C76" s="379">
        <v>29162</v>
      </c>
      <c r="D76" s="379">
        <v>18050</v>
      </c>
      <c r="E76" s="379">
        <v>0</v>
      </c>
      <c r="F76" s="379">
        <v>29167</v>
      </c>
      <c r="G76" s="379">
        <v>1363</v>
      </c>
      <c r="H76" s="379">
        <v>0</v>
      </c>
      <c r="I76" s="379">
        <v>0</v>
      </c>
      <c r="J76" s="459">
        <v>77742</v>
      </c>
      <c r="K76" s="459">
        <v>0</v>
      </c>
      <c r="L76" s="459">
        <v>0</v>
      </c>
      <c r="M76" s="459">
        <v>0</v>
      </c>
      <c r="N76" s="379">
        <v>0</v>
      </c>
      <c r="O76" s="379">
        <v>0</v>
      </c>
      <c r="P76" s="379">
        <v>0</v>
      </c>
      <c r="Q76" s="459">
        <v>0</v>
      </c>
      <c r="R76" s="459">
        <v>0</v>
      </c>
      <c r="S76" s="379">
        <v>0</v>
      </c>
      <c r="T76" s="459">
        <v>0</v>
      </c>
      <c r="U76" s="459">
        <v>0</v>
      </c>
      <c r="V76" s="460">
        <v>0</v>
      </c>
      <c r="W76" s="368"/>
      <c r="X76" s="368"/>
      <c r="Y76" s="368"/>
      <c r="Z76" s="368"/>
    </row>
    <row r="77" spans="1:26" s="383" customFormat="1">
      <c r="A77" s="467"/>
      <c r="B77" s="379" t="s">
        <v>888</v>
      </c>
      <c r="C77" s="379">
        <v>30282</v>
      </c>
      <c r="D77" s="379">
        <v>20431</v>
      </c>
      <c r="E77" s="379">
        <v>0</v>
      </c>
      <c r="F77" s="379">
        <v>30699</v>
      </c>
      <c r="G77" s="379">
        <v>1814</v>
      </c>
      <c r="H77" s="379">
        <v>0</v>
      </c>
      <c r="I77" s="379">
        <v>0</v>
      </c>
      <c r="J77" s="459">
        <v>83226</v>
      </c>
      <c r="K77" s="459">
        <v>0</v>
      </c>
      <c r="L77" s="459">
        <v>0</v>
      </c>
      <c r="M77" s="459">
        <v>0</v>
      </c>
      <c r="N77" s="379">
        <v>0</v>
      </c>
      <c r="O77" s="379">
        <v>0</v>
      </c>
      <c r="P77" s="379">
        <v>0</v>
      </c>
      <c r="Q77" s="459">
        <v>0</v>
      </c>
      <c r="R77" s="459">
        <v>0</v>
      </c>
      <c r="S77" s="379">
        <v>0</v>
      </c>
      <c r="T77" s="459">
        <v>0</v>
      </c>
      <c r="U77" s="459">
        <v>0</v>
      </c>
      <c r="V77" s="460">
        <v>0</v>
      </c>
      <c r="W77" s="368"/>
      <c r="X77" s="368"/>
      <c r="Y77" s="368"/>
      <c r="Z77" s="368"/>
    </row>
    <row r="78" spans="1:26" s="383" customFormat="1">
      <c r="A78" s="468" t="s">
        <v>338</v>
      </c>
      <c r="B78" s="379" t="s">
        <v>881</v>
      </c>
      <c r="C78" s="457">
        <v>2248339</v>
      </c>
      <c r="D78" s="457">
        <v>615334</v>
      </c>
      <c r="E78" s="457">
        <v>1555845</v>
      </c>
      <c r="F78" s="457">
        <v>151383</v>
      </c>
      <c r="G78" s="457">
        <v>281211</v>
      </c>
      <c r="H78" s="457">
        <v>152030</v>
      </c>
      <c r="I78" s="457"/>
      <c r="J78" s="456">
        <v>5004142</v>
      </c>
      <c r="K78" s="456"/>
      <c r="L78" s="456"/>
      <c r="M78" s="456"/>
      <c r="N78" s="457">
        <v>3381878.1</v>
      </c>
      <c r="O78" s="457">
        <v>2526108</v>
      </c>
      <c r="P78" s="457">
        <v>1023183.5</v>
      </c>
      <c r="Q78" s="456">
        <v>6931169.5999999996</v>
      </c>
      <c r="R78" s="456"/>
      <c r="S78" s="457"/>
      <c r="T78" s="456"/>
      <c r="U78" s="456"/>
      <c r="V78" s="458"/>
      <c r="W78" s="368"/>
      <c r="X78" s="368"/>
      <c r="Y78" s="368"/>
      <c r="Z78" s="368"/>
    </row>
    <row r="79" spans="1:26" s="383" customFormat="1">
      <c r="A79" s="384"/>
      <c r="B79" s="379" t="s">
        <v>882</v>
      </c>
      <c r="C79" s="379">
        <v>2295259</v>
      </c>
      <c r="D79" s="379">
        <v>636002</v>
      </c>
      <c r="E79" s="379">
        <v>1610453</v>
      </c>
      <c r="F79" s="379">
        <v>147968</v>
      </c>
      <c r="G79" s="379">
        <v>285741</v>
      </c>
      <c r="H79" s="379">
        <v>146678</v>
      </c>
      <c r="I79" s="379"/>
      <c r="J79" s="459">
        <v>5122101</v>
      </c>
      <c r="K79" s="459"/>
      <c r="L79" s="459"/>
      <c r="M79" s="459"/>
      <c r="N79" s="379">
        <v>3351612</v>
      </c>
      <c r="O79" s="379">
        <v>2462014</v>
      </c>
      <c r="P79" s="379">
        <v>993492.5</v>
      </c>
      <c r="Q79" s="459">
        <v>6807118.5</v>
      </c>
      <c r="R79" s="459"/>
      <c r="S79" s="379"/>
      <c r="T79" s="459"/>
      <c r="U79" s="459"/>
      <c r="V79" s="460"/>
      <c r="W79" s="368"/>
      <c r="X79" s="368"/>
      <c r="Y79" s="368"/>
      <c r="Z79" s="368"/>
    </row>
    <row r="80" spans="1:26" s="383" customFormat="1">
      <c r="A80" s="384"/>
      <c r="B80" s="379" t="s">
        <v>883</v>
      </c>
      <c r="C80" s="379">
        <v>261003</v>
      </c>
      <c r="D80" s="379">
        <v>123492</v>
      </c>
      <c r="E80" s="379">
        <v>169720</v>
      </c>
      <c r="F80" s="379">
        <v>41554</v>
      </c>
      <c r="G80" s="379">
        <v>51693</v>
      </c>
      <c r="H80" s="379">
        <v>14352</v>
      </c>
      <c r="I80" s="379">
        <v>0</v>
      </c>
      <c r="J80" s="459">
        <v>661814</v>
      </c>
      <c r="K80" s="459">
        <v>0</v>
      </c>
      <c r="L80" s="459">
        <v>0</v>
      </c>
      <c r="M80" s="459">
        <v>0</v>
      </c>
      <c r="N80" s="379">
        <v>1430784.5</v>
      </c>
      <c r="O80" s="379">
        <v>1133967</v>
      </c>
      <c r="P80" s="379">
        <v>505053</v>
      </c>
      <c r="Q80" s="459">
        <v>3069804.5</v>
      </c>
      <c r="R80" s="459">
        <v>0</v>
      </c>
      <c r="S80" s="379">
        <v>0</v>
      </c>
      <c r="T80" s="459">
        <v>0</v>
      </c>
      <c r="U80" s="459">
        <v>0</v>
      </c>
      <c r="V80" s="460">
        <v>0</v>
      </c>
      <c r="W80" s="368"/>
      <c r="X80" s="368"/>
      <c r="Y80" s="368"/>
      <c r="Z80" s="368"/>
    </row>
    <row r="81" spans="1:26" s="383" customFormat="1">
      <c r="A81" s="384"/>
      <c r="B81" s="379" t="s">
        <v>884</v>
      </c>
      <c r="C81" s="379">
        <v>301087</v>
      </c>
      <c r="D81" s="379">
        <v>130977</v>
      </c>
      <c r="E81" s="379">
        <v>217106</v>
      </c>
      <c r="F81" s="379">
        <v>44518</v>
      </c>
      <c r="G81" s="379">
        <v>69379</v>
      </c>
      <c r="H81" s="379">
        <v>15728</v>
      </c>
      <c r="I81" s="379">
        <v>0</v>
      </c>
      <c r="J81" s="459">
        <v>778795</v>
      </c>
      <c r="K81" s="459">
        <v>0</v>
      </c>
      <c r="L81" s="459">
        <v>0</v>
      </c>
      <c r="M81" s="459">
        <v>0</v>
      </c>
      <c r="N81" s="379">
        <v>1385179</v>
      </c>
      <c r="O81" s="379">
        <v>1165848.5</v>
      </c>
      <c r="P81" s="379">
        <v>520366</v>
      </c>
      <c r="Q81" s="459">
        <v>3071393.5</v>
      </c>
      <c r="R81" s="459">
        <v>0</v>
      </c>
      <c r="S81" s="379">
        <v>0</v>
      </c>
      <c r="T81" s="459">
        <v>0</v>
      </c>
      <c r="U81" s="459">
        <v>0</v>
      </c>
      <c r="V81" s="460">
        <v>0</v>
      </c>
      <c r="W81" s="368"/>
      <c r="X81" s="368"/>
      <c r="Y81" s="368"/>
      <c r="Z81" s="368"/>
    </row>
    <row r="82" spans="1:26" s="383" customFormat="1">
      <c r="A82" s="384"/>
      <c r="B82" s="379" t="s">
        <v>885</v>
      </c>
      <c r="C82" s="379">
        <v>479020</v>
      </c>
      <c r="D82" s="379">
        <v>80537</v>
      </c>
      <c r="E82" s="379">
        <v>155990</v>
      </c>
      <c r="F82" s="379">
        <v>10098</v>
      </c>
      <c r="G82" s="379">
        <v>22719</v>
      </c>
      <c r="H82" s="379">
        <v>1157</v>
      </c>
      <c r="I82" s="379"/>
      <c r="J82" s="459">
        <v>749521</v>
      </c>
      <c r="K82" s="459"/>
      <c r="L82" s="459"/>
      <c r="M82" s="459"/>
      <c r="N82" s="379">
        <v>0</v>
      </c>
      <c r="O82" s="379">
        <v>0</v>
      </c>
      <c r="P82" s="379">
        <v>0</v>
      </c>
      <c r="Q82" s="459">
        <v>0</v>
      </c>
      <c r="R82" s="459"/>
      <c r="S82" s="379"/>
      <c r="T82" s="459"/>
      <c r="U82" s="459"/>
      <c r="V82" s="460"/>
      <c r="W82" s="368"/>
      <c r="X82" s="368"/>
      <c r="Y82" s="368"/>
      <c r="Z82" s="368"/>
    </row>
    <row r="83" spans="1:26" s="383" customFormat="1">
      <c r="A83" s="384"/>
      <c r="B83" s="379" t="s">
        <v>886</v>
      </c>
      <c r="C83" s="379">
        <v>473795</v>
      </c>
      <c r="D83" s="379">
        <v>80701</v>
      </c>
      <c r="E83" s="379">
        <v>158538</v>
      </c>
      <c r="F83" s="379">
        <v>12527</v>
      </c>
      <c r="G83" s="379">
        <v>22776</v>
      </c>
      <c r="H83" s="379">
        <v>923</v>
      </c>
      <c r="I83" s="379"/>
      <c r="J83" s="459">
        <v>749260</v>
      </c>
      <c r="K83" s="459"/>
      <c r="L83" s="459"/>
      <c r="M83" s="459"/>
      <c r="N83" s="379">
        <v>0</v>
      </c>
      <c r="O83" s="379">
        <v>0</v>
      </c>
      <c r="P83" s="379">
        <v>0</v>
      </c>
      <c r="Q83" s="459">
        <v>0</v>
      </c>
      <c r="R83" s="459"/>
      <c r="S83" s="379"/>
      <c r="T83" s="459"/>
      <c r="U83" s="459"/>
      <c r="V83" s="460"/>
      <c r="W83" s="368"/>
      <c r="X83" s="368"/>
      <c r="Y83" s="368"/>
      <c r="Z83" s="368"/>
    </row>
    <row r="84" spans="1:26" s="383" customFormat="1">
      <c r="A84" s="384"/>
      <c r="B84" s="379" t="s">
        <v>887</v>
      </c>
      <c r="C84" s="379">
        <v>74364</v>
      </c>
      <c r="D84" s="379">
        <v>38896</v>
      </c>
      <c r="E84" s="379">
        <v>43857</v>
      </c>
      <c r="F84" s="379">
        <v>2838</v>
      </c>
      <c r="G84" s="379">
        <v>6568</v>
      </c>
      <c r="H84" s="379">
        <v>249</v>
      </c>
      <c r="I84" s="379">
        <v>0</v>
      </c>
      <c r="J84" s="459">
        <v>166772</v>
      </c>
      <c r="K84" s="459">
        <v>0</v>
      </c>
      <c r="L84" s="459">
        <v>0</v>
      </c>
      <c r="M84" s="459">
        <v>0</v>
      </c>
      <c r="N84" s="379">
        <v>0</v>
      </c>
      <c r="O84" s="379">
        <v>0</v>
      </c>
      <c r="P84" s="379">
        <v>0</v>
      </c>
      <c r="Q84" s="459">
        <v>0</v>
      </c>
      <c r="R84" s="459">
        <v>0</v>
      </c>
      <c r="S84" s="379">
        <v>0</v>
      </c>
      <c r="T84" s="459">
        <v>0</v>
      </c>
      <c r="U84" s="459">
        <v>0</v>
      </c>
      <c r="V84" s="460">
        <v>0</v>
      </c>
      <c r="W84" s="368"/>
      <c r="X84" s="368"/>
      <c r="Y84" s="368"/>
      <c r="Z84" s="368"/>
    </row>
    <row r="85" spans="1:26" s="383" customFormat="1">
      <c r="A85" s="467"/>
      <c r="B85" s="379" t="s">
        <v>888</v>
      </c>
      <c r="C85" s="379">
        <v>91023</v>
      </c>
      <c r="D85" s="379">
        <v>42033</v>
      </c>
      <c r="E85" s="379">
        <v>47918</v>
      </c>
      <c r="F85" s="379">
        <v>5338</v>
      </c>
      <c r="G85" s="379">
        <v>9444</v>
      </c>
      <c r="H85" s="379">
        <v>94</v>
      </c>
      <c r="I85" s="379">
        <v>0</v>
      </c>
      <c r="J85" s="459">
        <v>195850</v>
      </c>
      <c r="K85" s="459">
        <v>0</v>
      </c>
      <c r="L85" s="459">
        <v>0</v>
      </c>
      <c r="M85" s="459">
        <v>0</v>
      </c>
      <c r="N85" s="379">
        <v>0</v>
      </c>
      <c r="O85" s="379">
        <v>0</v>
      </c>
      <c r="P85" s="379">
        <v>0</v>
      </c>
      <c r="Q85" s="459">
        <v>0</v>
      </c>
      <c r="R85" s="459">
        <v>0</v>
      </c>
      <c r="S85" s="379">
        <v>0</v>
      </c>
      <c r="T85" s="459">
        <v>0</v>
      </c>
      <c r="U85" s="459">
        <v>0</v>
      </c>
      <c r="V85" s="460">
        <v>0</v>
      </c>
      <c r="W85" s="368"/>
      <c r="X85" s="368"/>
      <c r="Y85" s="368"/>
      <c r="Z85" s="368"/>
    </row>
    <row r="86" spans="1:26" s="383" customFormat="1">
      <c r="A86" s="468" t="s">
        <v>558</v>
      </c>
      <c r="B86" s="379" t="s">
        <v>881</v>
      </c>
      <c r="C86" s="457">
        <v>1193255</v>
      </c>
      <c r="D86" s="457"/>
      <c r="E86" s="457">
        <v>539798</v>
      </c>
      <c r="F86" s="457">
        <v>83925</v>
      </c>
      <c r="G86" s="457">
        <v>436351</v>
      </c>
      <c r="H86" s="457">
        <v>148229</v>
      </c>
      <c r="I86" s="457"/>
      <c r="J86" s="456">
        <v>2401558</v>
      </c>
      <c r="K86" s="456"/>
      <c r="L86" s="456"/>
      <c r="M86" s="456">
        <v>199431</v>
      </c>
      <c r="N86" s="457">
        <v>580306</v>
      </c>
      <c r="O86" s="457">
        <v>219080</v>
      </c>
      <c r="P86" s="457">
        <v>344582</v>
      </c>
      <c r="Q86" s="456">
        <v>1343399</v>
      </c>
      <c r="R86" s="456"/>
      <c r="S86" s="457"/>
      <c r="T86" s="456"/>
      <c r="U86" s="456"/>
      <c r="V86" s="458"/>
      <c r="W86" s="368"/>
      <c r="X86" s="368"/>
      <c r="Y86" s="368"/>
      <c r="Z86" s="368"/>
    </row>
    <row r="87" spans="1:26" s="383" customFormat="1">
      <c r="A87" s="384"/>
      <c r="B87" s="379" t="s">
        <v>882</v>
      </c>
      <c r="C87" s="379">
        <v>1199258</v>
      </c>
      <c r="D87" s="379"/>
      <c r="E87" s="379">
        <v>529639</v>
      </c>
      <c r="F87" s="379">
        <v>81161</v>
      </c>
      <c r="G87" s="379">
        <v>449529</v>
      </c>
      <c r="H87" s="379">
        <v>143521</v>
      </c>
      <c r="I87" s="379"/>
      <c r="J87" s="459">
        <v>2403108</v>
      </c>
      <c r="K87" s="459"/>
      <c r="L87" s="459"/>
      <c r="M87" s="459">
        <v>200921</v>
      </c>
      <c r="N87" s="379">
        <v>563681</v>
      </c>
      <c r="O87" s="379">
        <v>221929</v>
      </c>
      <c r="P87" s="379">
        <v>341168</v>
      </c>
      <c r="Q87" s="459">
        <v>1327699</v>
      </c>
      <c r="R87" s="459"/>
      <c r="S87" s="379"/>
      <c r="T87" s="459"/>
      <c r="U87" s="459"/>
      <c r="V87" s="460"/>
      <c r="W87" s="368"/>
      <c r="X87" s="368"/>
      <c r="Y87" s="368"/>
      <c r="Z87" s="368"/>
    </row>
    <row r="88" spans="1:26" s="383" customFormat="1">
      <c r="A88" s="384"/>
      <c r="B88" s="379" t="s">
        <v>883</v>
      </c>
      <c r="C88" s="379">
        <v>148978</v>
      </c>
      <c r="D88" s="379">
        <v>0</v>
      </c>
      <c r="E88" s="379">
        <v>110583</v>
      </c>
      <c r="F88" s="379">
        <v>28292</v>
      </c>
      <c r="G88" s="379">
        <v>81986</v>
      </c>
      <c r="H88" s="379">
        <v>33029</v>
      </c>
      <c r="I88" s="379">
        <v>0</v>
      </c>
      <c r="J88" s="459">
        <v>402868</v>
      </c>
      <c r="K88" s="459">
        <v>0</v>
      </c>
      <c r="L88" s="459">
        <v>0</v>
      </c>
      <c r="M88" s="459">
        <v>59520</v>
      </c>
      <c r="N88" s="379">
        <v>172415</v>
      </c>
      <c r="O88" s="379">
        <v>59592</v>
      </c>
      <c r="P88" s="379">
        <v>86574</v>
      </c>
      <c r="Q88" s="459">
        <v>378101</v>
      </c>
      <c r="R88" s="459">
        <v>0</v>
      </c>
      <c r="S88" s="379">
        <v>0</v>
      </c>
      <c r="T88" s="459">
        <v>0</v>
      </c>
      <c r="U88" s="459">
        <v>0</v>
      </c>
      <c r="V88" s="460">
        <v>0</v>
      </c>
      <c r="W88" s="368"/>
      <c r="X88" s="368"/>
      <c r="Y88" s="368"/>
      <c r="Z88" s="368"/>
    </row>
    <row r="89" spans="1:26" s="383" customFormat="1">
      <c r="A89" s="384"/>
      <c r="B89" s="379" t="s">
        <v>884</v>
      </c>
      <c r="C89" s="379">
        <v>152579</v>
      </c>
      <c r="D89" s="379">
        <v>0</v>
      </c>
      <c r="E89" s="379">
        <v>114819</v>
      </c>
      <c r="F89" s="379">
        <v>30271</v>
      </c>
      <c r="G89" s="379">
        <v>90639</v>
      </c>
      <c r="H89" s="379">
        <v>33021</v>
      </c>
      <c r="I89" s="379">
        <v>0</v>
      </c>
      <c r="J89" s="459">
        <v>421329</v>
      </c>
      <c r="K89" s="459">
        <v>0</v>
      </c>
      <c r="L89" s="459">
        <v>0</v>
      </c>
      <c r="M89" s="459">
        <v>66352</v>
      </c>
      <c r="N89" s="379">
        <v>170129</v>
      </c>
      <c r="O89" s="379">
        <v>63319</v>
      </c>
      <c r="P89" s="379">
        <v>92082</v>
      </c>
      <c r="Q89" s="459">
        <v>391882</v>
      </c>
      <c r="R89" s="459">
        <v>0</v>
      </c>
      <c r="S89" s="379">
        <v>0</v>
      </c>
      <c r="T89" s="459">
        <v>0</v>
      </c>
      <c r="U89" s="459">
        <v>0</v>
      </c>
      <c r="V89" s="460">
        <v>0</v>
      </c>
      <c r="W89" s="368"/>
      <c r="X89" s="368"/>
      <c r="Y89" s="368"/>
      <c r="Z89" s="368"/>
    </row>
    <row r="90" spans="1:26" s="383" customFormat="1">
      <c r="A90" s="384"/>
      <c r="B90" s="379" t="s">
        <v>885</v>
      </c>
      <c r="C90" s="379">
        <v>296080</v>
      </c>
      <c r="D90" s="379"/>
      <c r="E90" s="379">
        <v>49168</v>
      </c>
      <c r="F90" s="379">
        <v>7840</v>
      </c>
      <c r="G90" s="379">
        <v>41315</v>
      </c>
      <c r="H90" s="379">
        <v>261</v>
      </c>
      <c r="I90" s="379"/>
      <c r="J90" s="459">
        <v>394664</v>
      </c>
      <c r="K90" s="459"/>
      <c r="L90" s="459"/>
      <c r="M90" s="459">
        <v>0</v>
      </c>
      <c r="N90" s="379">
        <v>0</v>
      </c>
      <c r="O90" s="379">
        <v>0</v>
      </c>
      <c r="P90" s="379">
        <v>0</v>
      </c>
      <c r="Q90" s="459">
        <v>0</v>
      </c>
      <c r="R90" s="459"/>
      <c r="S90" s="379"/>
      <c r="T90" s="459"/>
      <c r="U90" s="459"/>
      <c r="V90" s="460"/>
      <c r="W90" s="368"/>
      <c r="X90" s="368"/>
      <c r="Y90" s="368"/>
      <c r="Z90" s="368"/>
    </row>
    <row r="91" spans="1:26" s="383" customFormat="1">
      <c r="A91" s="384"/>
      <c r="B91" s="379" t="s">
        <v>886</v>
      </c>
      <c r="C91" s="379">
        <v>235608</v>
      </c>
      <c r="D91" s="379"/>
      <c r="E91" s="379">
        <v>47254</v>
      </c>
      <c r="F91" s="379">
        <v>8588</v>
      </c>
      <c r="G91" s="379">
        <v>43342</v>
      </c>
      <c r="H91" s="379">
        <v>474</v>
      </c>
      <c r="I91" s="379"/>
      <c r="J91" s="459">
        <v>335266</v>
      </c>
      <c r="K91" s="459"/>
      <c r="L91" s="459"/>
      <c r="M91" s="459">
        <v>0</v>
      </c>
      <c r="N91" s="379">
        <v>0</v>
      </c>
      <c r="O91" s="379">
        <v>0</v>
      </c>
      <c r="P91" s="379">
        <v>0</v>
      </c>
      <c r="Q91" s="459">
        <v>0</v>
      </c>
      <c r="R91" s="459"/>
      <c r="S91" s="379"/>
      <c r="T91" s="459"/>
      <c r="U91" s="459"/>
      <c r="V91" s="460"/>
      <c r="W91" s="368"/>
      <c r="X91" s="368"/>
      <c r="Y91" s="368"/>
      <c r="Z91" s="368"/>
    </row>
    <row r="92" spans="1:26" s="383" customFormat="1">
      <c r="A92" s="384"/>
      <c r="B92" s="379" t="s">
        <v>887</v>
      </c>
      <c r="C92" s="379">
        <v>56062</v>
      </c>
      <c r="D92" s="379">
        <v>0</v>
      </c>
      <c r="E92" s="379">
        <v>7791</v>
      </c>
      <c r="F92" s="379">
        <v>4725</v>
      </c>
      <c r="G92" s="379">
        <v>20336</v>
      </c>
      <c r="H92" s="379">
        <v>0</v>
      </c>
      <c r="I92" s="379">
        <v>0</v>
      </c>
      <c r="J92" s="459">
        <v>88914</v>
      </c>
      <c r="K92" s="459">
        <v>0</v>
      </c>
      <c r="L92" s="459">
        <v>0</v>
      </c>
      <c r="M92" s="459">
        <v>0</v>
      </c>
      <c r="N92" s="379">
        <v>0</v>
      </c>
      <c r="O92" s="379">
        <v>0</v>
      </c>
      <c r="P92" s="379">
        <v>0</v>
      </c>
      <c r="Q92" s="459">
        <v>0</v>
      </c>
      <c r="R92" s="459">
        <v>0</v>
      </c>
      <c r="S92" s="379">
        <v>0</v>
      </c>
      <c r="T92" s="459">
        <v>0</v>
      </c>
      <c r="U92" s="459">
        <v>0</v>
      </c>
      <c r="V92" s="460">
        <v>0</v>
      </c>
      <c r="W92" s="368"/>
      <c r="X92" s="368"/>
      <c r="Y92" s="368"/>
      <c r="Z92" s="368"/>
    </row>
    <row r="93" spans="1:26" s="383" customFormat="1">
      <c r="A93" s="467"/>
      <c r="B93" s="379" t="s">
        <v>888</v>
      </c>
      <c r="C93" s="379">
        <v>37676</v>
      </c>
      <c r="D93" s="379">
        <v>0</v>
      </c>
      <c r="E93" s="379">
        <v>8843</v>
      </c>
      <c r="F93" s="379">
        <v>5646</v>
      </c>
      <c r="G93" s="379">
        <v>23022</v>
      </c>
      <c r="H93" s="379">
        <v>0</v>
      </c>
      <c r="I93" s="379">
        <v>0</v>
      </c>
      <c r="J93" s="459">
        <v>75187</v>
      </c>
      <c r="K93" s="459">
        <v>0</v>
      </c>
      <c r="L93" s="459">
        <v>0</v>
      </c>
      <c r="M93" s="459">
        <v>0</v>
      </c>
      <c r="N93" s="379">
        <v>0</v>
      </c>
      <c r="O93" s="379">
        <v>0</v>
      </c>
      <c r="P93" s="379">
        <v>0</v>
      </c>
      <c r="Q93" s="459">
        <v>0</v>
      </c>
      <c r="R93" s="459">
        <v>0</v>
      </c>
      <c r="S93" s="379">
        <v>0</v>
      </c>
      <c r="T93" s="459">
        <v>0</v>
      </c>
      <c r="U93" s="459">
        <v>0</v>
      </c>
      <c r="V93" s="460">
        <v>0</v>
      </c>
      <c r="W93" s="368"/>
      <c r="X93" s="368"/>
      <c r="Y93" s="368"/>
      <c r="Z93" s="368"/>
    </row>
    <row r="94" spans="1:26" s="383" customFormat="1">
      <c r="A94" s="468" t="s">
        <v>586</v>
      </c>
      <c r="B94" s="379" t="s">
        <v>881</v>
      </c>
      <c r="C94" s="457">
        <v>1238932</v>
      </c>
      <c r="D94" s="457"/>
      <c r="E94" s="457">
        <v>536331.5</v>
      </c>
      <c r="F94" s="457"/>
      <c r="G94" s="457">
        <v>448543</v>
      </c>
      <c r="H94" s="457">
        <v>218622.5</v>
      </c>
      <c r="I94" s="457"/>
      <c r="J94" s="456">
        <v>2442429</v>
      </c>
      <c r="K94" s="456"/>
      <c r="L94" s="456"/>
      <c r="M94" s="456"/>
      <c r="N94" s="457">
        <v>1284885</v>
      </c>
      <c r="O94" s="457">
        <v>473443</v>
      </c>
      <c r="P94" s="457">
        <v>258063</v>
      </c>
      <c r="Q94" s="456">
        <v>2016391</v>
      </c>
      <c r="R94" s="456"/>
      <c r="S94" s="457"/>
      <c r="T94" s="456"/>
      <c r="U94" s="456"/>
      <c r="V94" s="458"/>
      <c r="W94" s="368"/>
      <c r="X94" s="368"/>
      <c r="Y94" s="368"/>
      <c r="Z94" s="368"/>
    </row>
    <row r="95" spans="1:26" s="383" customFormat="1">
      <c r="A95" s="384"/>
      <c r="B95" s="379" t="s">
        <v>882</v>
      </c>
      <c r="C95" s="379">
        <v>1264813</v>
      </c>
      <c r="D95" s="379"/>
      <c r="E95" s="379">
        <v>535875</v>
      </c>
      <c r="F95" s="379"/>
      <c r="G95" s="379">
        <v>452011</v>
      </c>
      <c r="H95" s="379">
        <v>370047.5</v>
      </c>
      <c r="I95" s="379"/>
      <c r="J95" s="459">
        <v>2622746.5</v>
      </c>
      <c r="K95" s="459"/>
      <c r="L95" s="459"/>
      <c r="M95" s="459"/>
      <c r="N95" s="379">
        <v>1208783</v>
      </c>
      <c r="O95" s="379">
        <v>444238</v>
      </c>
      <c r="P95" s="379">
        <v>244237</v>
      </c>
      <c r="Q95" s="459">
        <v>1897258</v>
      </c>
      <c r="R95" s="459"/>
      <c r="S95" s="379"/>
      <c r="T95" s="459"/>
      <c r="U95" s="459"/>
      <c r="V95" s="460"/>
      <c r="W95" s="368"/>
      <c r="X95" s="368"/>
      <c r="Y95" s="368"/>
      <c r="Z95" s="368"/>
    </row>
    <row r="96" spans="1:26" s="383" customFormat="1">
      <c r="A96" s="384"/>
      <c r="B96" s="379" t="s">
        <v>883</v>
      </c>
      <c r="C96" s="379">
        <v>78577</v>
      </c>
      <c r="D96" s="379">
        <v>0</v>
      </c>
      <c r="E96" s="379">
        <v>16953</v>
      </c>
      <c r="F96" s="379">
        <v>0</v>
      </c>
      <c r="G96" s="379">
        <v>34082</v>
      </c>
      <c r="H96" s="379">
        <v>26145</v>
      </c>
      <c r="I96" s="379">
        <v>0</v>
      </c>
      <c r="J96" s="459">
        <v>155757</v>
      </c>
      <c r="K96" s="459">
        <v>0</v>
      </c>
      <c r="L96" s="459">
        <v>0</v>
      </c>
      <c r="M96" s="459">
        <v>0</v>
      </c>
      <c r="N96" s="379">
        <v>363228</v>
      </c>
      <c r="O96" s="379">
        <v>128501</v>
      </c>
      <c r="P96" s="379">
        <v>51647</v>
      </c>
      <c r="Q96" s="459">
        <v>543376</v>
      </c>
      <c r="R96" s="459">
        <v>0</v>
      </c>
      <c r="S96" s="379">
        <v>0</v>
      </c>
      <c r="T96" s="459">
        <v>0</v>
      </c>
      <c r="U96" s="459">
        <v>0</v>
      </c>
      <c r="V96" s="460">
        <v>0</v>
      </c>
      <c r="W96" s="368"/>
      <c r="X96" s="368"/>
      <c r="Y96" s="368"/>
      <c r="Z96" s="368"/>
    </row>
    <row r="97" spans="1:26" s="383" customFormat="1">
      <c r="A97" s="384"/>
      <c r="B97" s="379" t="s">
        <v>884</v>
      </c>
      <c r="C97" s="379">
        <v>84639</v>
      </c>
      <c r="D97" s="379">
        <v>0</v>
      </c>
      <c r="E97" s="379">
        <v>26547</v>
      </c>
      <c r="F97" s="379">
        <v>0</v>
      </c>
      <c r="G97" s="379">
        <v>45656</v>
      </c>
      <c r="H97" s="379">
        <v>46220</v>
      </c>
      <c r="I97" s="379">
        <v>0</v>
      </c>
      <c r="J97" s="459">
        <v>203062</v>
      </c>
      <c r="K97" s="459">
        <v>0</v>
      </c>
      <c r="L97" s="459">
        <v>0</v>
      </c>
      <c r="M97" s="459">
        <v>0</v>
      </c>
      <c r="N97" s="379">
        <v>383645</v>
      </c>
      <c r="O97" s="379">
        <v>130689</v>
      </c>
      <c r="P97" s="379">
        <v>49787</v>
      </c>
      <c r="Q97" s="459">
        <v>564121</v>
      </c>
      <c r="R97" s="459">
        <v>0</v>
      </c>
      <c r="S97" s="379">
        <v>0</v>
      </c>
      <c r="T97" s="459">
        <v>0</v>
      </c>
      <c r="U97" s="459">
        <v>0</v>
      </c>
      <c r="V97" s="460">
        <v>0</v>
      </c>
      <c r="W97" s="368"/>
      <c r="X97" s="368"/>
      <c r="Y97" s="368"/>
      <c r="Z97" s="368"/>
    </row>
    <row r="98" spans="1:26" s="383" customFormat="1">
      <c r="A98" s="384"/>
      <c r="B98" s="379" t="s">
        <v>885</v>
      </c>
      <c r="C98" s="379">
        <v>324774</v>
      </c>
      <c r="D98" s="379"/>
      <c r="E98" s="379">
        <v>52812.5</v>
      </c>
      <c r="F98" s="379"/>
      <c r="G98" s="379">
        <v>26703</v>
      </c>
      <c r="H98" s="379">
        <v>154450</v>
      </c>
      <c r="I98" s="379"/>
      <c r="J98" s="459">
        <v>558739.5</v>
      </c>
      <c r="K98" s="459"/>
      <c r="L98" s="459"/>
      <c r="M98" s="459"/>
      <c r="N98" s="379">
        <v>0</v>
      </c>
      <c r="O98" s="379">
        <v>0</v>
      </c>
      <c r="P98" s="379">
        <v>0</v>
      </c>
      <c r="Q98" s="459">
        <v>0</v>
      </c>
      <c r="R98" s="459"/>
      <c r="S98" s="379"/>
      <c r="T98" s="459"/>
      <c r="U98" s="459"/>
      <c r="V98" s="460"/>
      <c r="W98" s="368"/>
      <c r="X98" s="368"/>
      <c r="Y98" s="368"/>
      <c r="Z98" s="368"/>
    </row>
    <row r="99" spans="1:26" s="383" customFormat="1">
      <c r="A99" s="384"/>
      <c r="B99" s="379" t="s">
        <v>886</v>
      </c>
      <c r="C99" s="379">
        <v>323273</v>
      </c>
      <c r="D99" s="379"/>
      <c r="E99" s="379">
        <v>51289</v>
      </c>
      <c r="F99" s="379"/>
      <c r="G99" s="379">
        <v>26951</v>
      </c>
      <c r="H99" s="379">
        <v>5228</v>
      </c>
      <c r="I99" s="379"/>
      <c r="J99" s="459">
        <v>406741</v>
      </c>
      <c r="K99" s="459"/>
      <c r="L99" s="459"/>
      <c r="M99" s="459"/>
      <c r="N99" s="379">
        <v>0</v>
      </c>
      <c r="O99" s="379">
        <v>0</v>
      </c>
      <c r="P99" s="379">
        <v>0</v>
      </c>
      <c r="Q99" s="459">
        <v>0</v>
      </c>
      <c r="R99" s="459"/>
      <c r="S99" s="379"/>
      <c r="T99" s="459"/>
      <c r="U99" s="459"/>
      <c r="V99" s="460"/>
      <c r="W99" s="368"/>
      <c r="X99" s="368"/>
      <c r="Y99" s="368"/>
      <c r="Z99" s="368"/>
    </row>
    <row r="100" spans="1:26" s="383" customFormat="1">
      <c r="A100" s="384"/>
      <c r="B100" s="379" t="s">
        <v>887</v>
      </c>
      <c r="C100" s="379">
        <v>64556</v>
      </c>
      <c r="D100" s="379">
        <v>0</v>
      </c>
      <c r="E100" s="379">
        <v>6164.5</v>
      </c>
      <c r="F100" s="379">
        <v>0</v>
      </c>
      <c r="G100" s="379">
        <v>8038</v>
      </c>
      <c r="H100" s="379">
        <v>15654</v>
      </c>
      <c r="I100" s="379">
        <v>0</v>
      </c>
      <c r="J100" s="459">
        <v>94412.5</v>
      </c>
      <c r="K100" s="459">
        <v>0</v>
      </c>
      <c r="L100" s="459">
        <v>0</v>
      </c>
      <c r="M100" s="459">
        <v>0</v>
      </c>
      <c r="N100" s="379">
        <v>0</v>
      </c>
      <c r="O100" s="379">
        <v>0</v>
      </c>
      <c r="P100" s="379">
        <v>0</v>
      </c>
      <c r="Q100" s="459">
        <v>0</v>
      </c>
      <c r="R100" s="459">
        <v>0</v>
      </c>
      <c r="S100" s="379">
        <v>0</v>
      </c>
      <c r="T100" s="459">
        <v>0</v>
      </c>
      <c r="U100" s="459">
        <v>0</v>
      </c>
      <c r="V100" s="460">
        <v>0</v>
      </c>
      <c r="W100" s="368"/>
      <c r="X100" s="368"/>
      <c r="Y100" s="368"/>
      <c r="Z100" s="368"/>
    </row>
    <row r="101" spans="1:26" s="383" customFormat="1">
      <c r="A101" s="467"/>
      <c r="B101" s="379" t="s">
        <v>888</v>
      </c>
      <c r="C101" s="379">
        <v>62798</v>
      </c>
      <c r="D101" s="379">
        <v>0</v>
      </c>
      <c r="E101" s="379">
        <v>7003</v>
      </c>
      <c r="F101" s="379">
        <v>0</v>
      </c>
      <c r="G101" s="379">
        <v>9378</v>
      </c>
      <c r="H101" s="379">
        <v>3050</v>
      </c>
      <c r="I101" s="379">
        <v>0</v>
      </c>
      <c r="J101" s="459">
        <v>82229</v>
      </c>
      <c r="K101" s="459">
        <v>0</v>
      </c>
      <c r="L101" s="459">
        <v>0</v>
      </c>
      <c r="M101" s="459">
        <v>0</v>
      </c>
      <c r="N101" s="379">
        <v>0</v>
      </c>
      <c r="O101" s="379">
        <v>0</v>
      </c>
      <c r="P101" s="379">
        <v>0</v>
      </c>
      <c r="Q101" s="459">
        <v>0</v>
      </c>
      <c r="R101" s="459">
        <v>0</v>
      </c>
      <c r="S101" s="379">
        <v>0</v>
      </c>
      <c r="T101" s="459">
        <v>0</v>
      </c>
      <c r="U101" s="459">
        <v>0</v>
      </c>
      <c r="V101" s="460">
        <v>0</v>
      </c>
      <c r="W101" s="368"/>
      <c r="X101" s="368"/>
      <c r="Y101" s="368"/>
      <c r="Z101" s="368"/>
    </row>
    <row r="102" spans="1:26" s="383" customFormat="1">
      <c r="A102" s="468" t="s">
        <v>412</v>
      </c>
      <c r="B102" s="379" t="s">
        <v>881</v>
      </c>
      <c r="C102" s="457">
        <v>1007204</v>
      </c>
      <c r="D102" s="457">
        <v>492214</v>
      </c>
      <c r="E102" s="457">
        <v>1297045</v>
      </c>
      <c r="F102" s="457"/>
      <c r="G102" s="457">
        <v>177711</v>
      </c>
      <c r="H102" s="457"/>
      <c r="I102" s="457"/>
      <c r="J102" s="456">
        <v>2974174</v>
      </c>
      <c r="K102" s="456"/>
      <c r="L102" s="456"/>
      <c r="M102" s="456"/>
      <c r="N102" s="457">
        <v>912293</v>
      </c>
      <c r="O102" s="457">
        <v>700974</v>
      </c>
      <c r="P102" s="457">
        <v>49449</v>
      </c>
      <c r="Q102" s="456">
        <v>1662716</v>
      </c>
      <c r="R102" s="456">
        <v>0</v>
      </c>
      <c r="S102" s="457">
        <v>0</v>
      </c>
      <c r="T102" s="456">
        <v>0</v>
      </c>
      <c r="U102" s="456"/>
      <c r="V102" s="458"/>
      <c r="W102" s="368"/>
      <c r="X102" s="368"/>
      <c r="Y102" s="368"/>
      <c r="Z102" s="368"/>
    </row>
    <row r="103" spans="1:26" s="383" customFormat="1">
      <c r="A103" s="384"/>
      <c r="B103" s="379" t="s">
        <v>882</v>
      </c>
      <c r="C103" s="379">
        <v>1021674</v>
      </c>
      <c r="D103" s="379">
        <v>487832</v>
      </c>
      <c r="E103" s="379">
        <v>1285015</v>
      </c>
      <c r="F103" s="379"/>
      <c r="G103" s="379">
        <v>169557</v>
      </c>
      <c r="H103" s="379"/>
      <c r="I103" s="379"/>
      <c r="J103" s="459">
        <v>2964078</v>
      </c>
      <c r="K103" s="459"/>
      <c r="L103" s="459"/>
      <c r="M103" s="459"/>
      <c r="N103" s="379">
        <v>883605.5</v>
      </c>
      <c r="O103" s="379">
        <v>724721</v>
      </c>
      <c r="P103" s="379">
        <v>50054</v>
      </c>
      <c r="Q103" s="459">
        <v>1658380.5</v>
      </c>
      <c r="R103" s="459">
        <v>0</v>
      </c>
      <c r="S103" s="379">
        <v>0</v>
      </c>
      <c r="T103" s="459">
        <v>0</v>
      </c>
      <c r="U103" s="459"/>
      <c r="V103" s="460"/>
      <c r="W103" s="368"/>
      <c r="X103" s="368"/>
      <c r="Y103" s="368"/>
      <c r="Z103" s="368"/>
    </row>
    <row r="104" spans="1:26" s="383" customFormat="1">
      <c r="A104" s="384"/>
      <c r="B104" s="379" t="s">
        <v>883</v>
      </c>
      <c r="C104" s="379">
        <v>110319</v>
      </c>
      <c r="D104" s="379">
        <v>104611</v>
      </c>
      <c r="E104" s="379">
        <v>277387</v>
      </c>
      <c r="F104" s="379">
        <v>0</v>
      </c>
      <c r="G104" s="379">
        <v>19688</v>
      </c>
      <c r="H104" s="379">
        <v>0</v>
      </c>
      <c r="I104" s="379">
        <v>0</v>
      </c>
      <c r="J104" s="459">
        <v>512005</v>
      </c>
      <c r="K104" s="459">
        <v>0</v>
      </c>
      <c r="L104" s="459">
        <v>0</v>
      </c>
      <c r="M104" s="459">
        <v>0</v>
      </c>
      <c r="N104" s="379">
        <v>223588</v>
      </c>
      <c r="O104" s="379">
        <v>189685</v>
      </c>
      <c r="P104" s="379">
        <v>12410</v>
      </c>
      <c r="Q104" s="459">
        <v>425683</v>
      </c>
      <c r="R104" s="459">
        <v>0</v>
      </c>
      <c r="S104" s="379">
        <v>0</v>
      </c>
      <c r="T104" s="459">
        <v>0</v>
      </c>
      <c r="U104" s="459">
        <v>0</v>
      </c>
      <c r="V104" s="460">
        <v>0</v>
      </c>
      <c r="W104" s="368"/>
      <c r="X104" s="368"/>
      <c r="Y104" s="368"/>
      <c r="Z104" s="368"/>
    </row>
    <row r="105" spans="1:26" s="383" customFormat="1">
      <c r="A105" s="384"/>
      <c r="B105" s="379" t="s">
        <v>884</v>
      </c>
      <c r="C105" s="379">
        <v>129116</v>
      </c>
      <c r="D105" s="379">
        <v>105008</v>
      </c>
      <c r="E105" s="379">
        <v>301550</v>
      </c>
      <c r="F105" s="379">
        <v>0</v>
      </c>
      <c r="G105" s="379">
        <v>22299</v>
      </c>
      <c r="H105" s="379">
        <v>0</v>
      </c>
      <c r="I105" s="379">
        <v>0</v>
      </c>
      <c r="J105" s="459">
        <v>557973</v>
      </c>
      <c r="K105" s="459">
        <v>0</v>
      </c>
      <c r="L105" s="459">
        <v>0</v>
      </c>
      <c r="M105" s="459">
        <v>0</v>
      </c>
      <c r="N105" s="379">
        <v>218851</v>
      </c>
      <c r="O105" s="379">
        <v>189308</v>
      </c>
      <c r="P105" s="379">
        <v>13115</v>
      </c>
      <c r="Q105" s="459">
        <v>421274</v>
      </c>
      <c r="R105" s="459">
        <v>0</v>
      </c>
      <c r="S105" s="379">
        <v>0</v>
      </c>
      <c r="T105" s="459">
        <v>0</v>
      </c>
      <c r="U105" s="459">
        <v>0</v>
      </c>
      <c r="V105" s="460">
        <v>0</v>
      </c>
      <c r="W105" s="368"/>
      <c r="X105" s="368"/>
      <c r="Y105" s="368"/>
      <c r="Z105" s="368"/>
    </row>
    <row r="106" spans="1:26" s="383" customFormat="1">
      <c r="A106" s="384"/>
      <c r="B106" s="379" t="s">
        <v>885</v>
      </c>
      <c r="C106" s="379">
        <v>150175.5</v>
      </c>
      <c r="D106" s="379">
        <v>71650</v>
      </c>
      <c r="E106" s="379">
        <v>90610</v>
      </c>
      <c r="F106" s="379"/>
      <c r="G106" s="379">
        <v>5859</v>
      </c>
      <c r="H106" s="379"/>
      <c r="I106" s="379"/>
      <c r="J106" s="459">
        <v>318294.5</v>
      </c>
      <c r="K106" s="459"/>
      <c r="L106" s="459"/>
      <c r="M106" s="459"/>
      <c r="N106" s="379">
        <v>0</v>
      </c>
      <c r="O106" s="379">
        <v>0</v>
      </c>
      <c r="P106" s="379">
        <v>0</v>
      </c>
      <c r="Q106" s="459">
        <v>0</v>
      </c>
      <c r="R106" s="459">
        <v>0</v>
      </c>
      <c r="S106" s="379">
        <v>0</v>
      </c>
      <c r="T106" s="459">
        <v>0</v>
      </c>
      <c r="U106" s="459"/>
      <c r="V106" s="460"/>
      <c r="W106" s="368"/>
      <c r="X106" s="368"/>
      <c r="Y106" s="368"/>
      <c r="Z106" s="368"/>
    </row>
    <row r="107" spans="1:26" s="383" customFormat="1">
      <c r="A107" s="384"/>
      <c r="B107" s="379" t="s">
        <v>886</v>
      </c>
      <c r="C107" s="379">
        <v>150260</v>
      </c>
      <c r="D107" s="379">
        <v>67953</v>
      </c>
      <c r="E107" s="379">
        <v>90572</v>
      </c>
      <c r="F107" s="379"/>
      <c r="G107" s="379">
        <v>6169</v>
      </c>
      <c r="H107" s="379"/>
      <c r="I107" s="379"/>
      <c r="J107" s="459">
        <v>314954</v>
      </c>
      <c r="K107" s="459"/>
      <c r="L107" s="459"/>
      <c r="M107" s="459"/>
      <c r="N107" s="379">
        <v>0</v>
      </c>
      <c r="O107" s="379">
        <v>0</v>
      </c>
      <c r="P107" s="379">
        <v>0</v>
      </c>
      <c r="Q107" s="459">
        <v>0</v>
      </c>
      <c r="R107" s="459">
        <v>0</v>
      </c>
      <c r="S107" s="379">
        <v>0</v>
      </c>
      <c r="T107" s="459">
        <v>0</v>
      </c>
      <c r="U107" s="459"/>
      <c r="V107" s="460"/>
      <c r="W107" s="368"/>
      <c r="X107" s="368"/>
      <c r="Y107" s="368"/>
      <c r="Z107" s="368"/>
    </row>
    <row r="108" spans="1:26" s="383" customFormat="1">
      <c r="A108" s="384"/>
      <c r="B108" s="379" t="s">
        <v>887</v>
      </c>
      <c r="C108" s="379">
        <v>33393</v>
      </c>
      <c r="D108" s="379">
        <v>27808</v>
      </c>
      <c r="E108" s="379">
        <v>38396</v>
      </c>
      <c r="F108" s="379">
        <v>0</v>
      </c>
      <c r="G108" s="379">
        <v>5132</v>
      </c>
      <c r="H108" s="379">
        <v>0</v>
      </c>
      <c r="I108" s="379">
        <v>0</v>
      </c>
      <c r="J108" s="459">
        <v>104729</v>
      </c>
      <c r="K108" s="459">
        <v>0</v>
      </c>
      <c r="L108" s="459">
        <v>0</v>
      </c>
      <c r="M108" s="459">
        <v>0</v>
      </c>
      <c r="N108" s="379">
        <v>0</v>
      </c>
      <c r="O108" s="379">
        <v>0</v>
      </c>
      <c r="P108" s="379">
        <v>0</v>
      </c>
      <c r="Q108" s="459">
        <v>0</v>
      </c>
      <c r="R108" s="459">
        <v>0</v>
      </c>
      <c r="S108" s="379">
        <v>0</v>
      </c>
      <c r="T108" s="459">
        <v>0</v>
      </c>
      <c r="U108" s="459">
        <v>0</v>
      </c>
      <c r="V108" s="460">
        <v>0</v>
      </c>
      <c r="W108" s="368"/>
      <c r="X108" s="368"/>
      <c r="Y108" s="368"/>
      <c r="Z108" s="368"/>
    </row>
    <row r="109" spans="1:26" s="383" customFormat="1">
      <c r="A109" s="467"/>
      <c r="B109" s="379" t="s">
        <v>888</v>
      </c>
      <c r="C109" s="379">
        <v>36500</v>
      </c>
      <c r="D109" s="379">
        <v>27595</v>
      </c>
      <c r="E109" s="379">
        <v>39969</v>
      </c>
      <c r="F109" s="379">
        <v>0</v>
      </c>
      <c r="G109" s="379">
        <v>5449</v>
      </c>
      <c r="H109" s="379">
        <v>0</v>
      </c>
      <c r="I109" s="379">
        <v>0</v>
      </c>
      <c r="J109" s="459">
        <v>109513</v>
      </c>
      <c r="K109" s="459">
        <v>0</v>
      </c>
      <c r="L109" s="459">
        <v>0</v>
      </c>
      <c r="M109" s="459">
        <v>0</v>
      </c>
      <c r="N109" s="379">
        <v>0</v>
      </c>
      <c r="O109" s="379">
        <v>0</v>
      </c>
      <c r="P109" s="379">
        <v>0</v>
      </c>
      <c r="Q109" s="459">
        <v>0</v>
      </c>
      <c r="R109" s="459">
        <v>0</v>
      </c>
      <c r="S109" s="379">
        <v>0</v>
      </c>
      <c r="T109" s="459">
        <v>0</v>
      </c>
      <c r="U109" s="459">
        <v>0</v>
      </c>
      <c r="V109" s="460">
        <v>0</v>
      </c>
      <c r="W109" s="368"/>
      <c r="X109" s="368"/>
      <c r="Y109" s="368"/>
      <c r="Z109" s="368"/>
    </row>
    <row r="110" spans="1:26" s="383" customFormat="1">
      <c r="A110" s="468" t="s">
        <v>646</v>
      </c>
      <c r="B110" s="379" t="s">
        <v>881</v>
      </c>
      <c r="C110" s="457">
        <v>6321100</v>
      </c>
      <c r="D110" s="457">
        <v>1558014</v>
      </c>
      <c r="E110" s="457">
        <v>3836616</v>
      </c>
      <c r="F110" s="457">
        <v>141048</v>
      </c>
      <c r="G110" s="457">
        <v>421772</v>
      </c>
      <c r="H110" s="457"/>
      <c r="I110" s="457"/>
      <c r="J110" s="456">
        <v>12278550</v>
      </c>
      <c r="K110" s="456"/>
      <c r="L110" s="456"/>
      <c r="M110" s="456">
        <v>785717</v>
      </c>
      <c r="N110" s="457">
        <v>10073281</v>
      </c>
      <c r="O110" s="457">
        <v>2426295</v>
      </c>
      <c r="P110" s="457">
        <v>416131</v>
      </c>
      <c r="Q110" s="456">
        <v>13701424</v>
      </c>
      <c r="R110" s="456"/>
      <c r="S110" s="457"/>
      <c r="T110" s="456"/>
      <c r="U110" s="456">
        <v>44047</v>
      </c>
      <c r="V110" s="458">
        <v>44047</v>
      </c>
      <c r="W110" s="368"/>
      <c r="X110" s="368"/>
      <c r="Y110" s="368"/>
      <c r="Z110" s="368"/>
    </row>
    <row r="111" spans="1:26" s="383" customFormat="1">
      <c r="A111" s="384"/>
      <c r="B111" s="379" t="s">
        <v>882</v>
      </c>
      <c r="C111" s="379">
        <v>6557810</v>
      </c>
      <c r="D111" s="379">
        <v>1602629</v>
      </c>
      <c r="E111" s="379">
        <v>3937302</v>
      </c>
      <c r="F111" s="379">
        <v>145098</v>
      </c>
      <c r="G111" s="379">
        <v>425518</v>
      </c>
      <c r="H111" s="379"/>
      <c r="I111" s="379"/>
      <c r="J111" s="459">
        <v>12668357</v>
      </c>
      <c r="K111" s="459"/>
      <c r="L111" s="459"/>
      <c r="M111" s="459">
        <v>818747</v>
      </c>
      <c r="N111" s="379">
        <v>10046215</v>
      </c>
      <c r="O111" s="379">
        <v>2467845</v>
      </c>
      <c r="P111" s="379">
        <v>441010</v>
      </c>
      <c r="Q111" s="459">
        <v>13773817</v>
      </c>
      <c r="R111" s="459"/>
      <c r="S111" s="379"/>
      <c r="T111" s="459"/>
      <c r="U111" s="459">
        <v>50174</v>
      </c>
      <c r="V111" s="460">
        <v>50174</v>
      </c>
      <c r="W111" s="368"/>
      <c r="X111" s="368"/>
      <c r="Y111" s="368"/>
      <c r="Z111" s="368"/>
    </row>
    <row r="112" spans="1:26" s="383" customFormat="1">
      <c r="A112" s="384"/>
      <c r="B112" s="379" t="s">
        <v>883</v>
      </c>
      <c r="C112" s="379">
        <v>806997</v>
      </c>
      <c r="D112" s="379">
        <v>193917</v>
      </c>
      <c r="E112" s="379">
        <v>658303</v>
      </c>
      <c r="F112" s="379">
        <v>62948</v>
      </c>
      <c r="G112" s="379">
        <v>152166</v>
      </c>
      <c r="H112" s="379">
        <v>0</v>
      </c>
      <c r="I112" s="379">
        <v>0</v>
      </c>
      <c r="J112" s="459">
        <v>1874331</v>
      </c>
      <c r="K112" s="459">
        <v>0</v>
      </c>
      <c r="L112" s="459">
        <v>0</v>
      </c>
      <c r="M112" s="459">
        <v>169493</v>
      </c>
      <c r="N112" s="379">
        <v>2482304</v>
      </c>
      <c r="O112" s="379">
        <v>641246</v>
      </c>
      <c r="P112" s="379">
        <v>137731</v>
      </c>
      <c r="Q112" s="459">
        <v>3430774</v>
      </c>
      <c r="R112" s="459">
        <v>0</v>
      </c>
      <c r="S112" s="379">
        <v>0</v>
      </c>
      <c r="T112" s="459">
        <v>0</v>
      </c>
      <c r="U112" s="459">
        <v>20680</v>
      </c>
      <c r="V112" s="460">
        <v>20680</v>
      </c>
      <c r="W112" s="368"/>
      <c r="X112" s="368"/>
      <c r="Y112" s="368"/>
      <c r="Z112" s="368"/>
    </row>
    <row r="113" spans="1:26" s="383" customFormat="1">
      <c r="A113" s="384"/>
      <c r="B113" s="379" t="s">
        <v>884</v>
      </c>
      <c r="C113" s="379">
        <v>954149</v>
      </c>
      <c r="D113" s="379">
        <v>216433</v>
      </c>
      <c r="E113" s="379">
        <v>767980</v>
      </c>
      <c r="F113" s="379">
        <v>71542</v>
      </c>
      <c r="G113" s="379">
        <v>140878</v>
      </c>
      <c r="H113" s="379">
        <v>0</v>
      </c>
      <c r="I113" s="379">
        <v>0</v>
      </c>
      <c r="J113" s="459">
        <v>2150982</v>
      </c>
      <c r="K113" s="459">
        <v>0</v>
      </c>
      <c r="L113" s="459">
        <v>0</v>
      </c>
      <c r="M113" s="459">
        <v>191730</v>
      </c>
      <c r="N113" s="379">
        <v>2573472</v>
      </c>
      <c r="O113" s="379">
        <v>672756</v>
      </c>
      <c r="P113" s="379">
        <v>155423</v>
      </c>
      <c r="Q113" s="459">
        <v>3593381</v>
      </c>
      <c r="R113" s="459">
        <v>0</v>
      </c>
      <c r="S113" s="379">
        <v>0</v>
      </c>
      <c r="T113" s="459">
        <v>0</v>
      </c>
      <c r="U113" s="459">
        <v>26186</v>
      </c>
      <c r="V113" s="460">
        <v>26186</v>
      </c>
      <c r="W113" s="368"/>
      <c r="X113" s="368"/>
      <c r="Y113" s="368"/>
      <c r="Z113" s="368"/>
    </row>
    <row r="114" spans="1:26" s="383" customFormat="1">
      <c r="A114" s="384"/>
      <c r="B114" s="379" t="s">
        <v>885</v>
      </c>
      <c r="C114" s="379">
        <v>1270071</v>
      </c>
      <c r="D114" s="379">
        <v>221374</v>
      </c>
      <c r="E114" s="379">
        <v>712472</v>
      </c>
      <c r="F114" s="379">
        <v>33053</v>
      </c>
      <c r="G114" s="379">
        <v>34861</v>
      </c>
      <c r="H114" s="379"/>
      <c r="I114" s="379"/>
      <c r="J114" s="459">
        <v>2271831</v>
      </c>
      <c r="K114" s="459"/>
      <c r="L114" s="459"/>
      <c r="M114" s="459">
        <v>0</v>
      </c>
      <c r="N114" s="379">
        <v>0</v>
      </c>
      <c r="O114" s="379">
        <v>0</v>
      </c>
      <c r="P114" s="379">
        <v>0</v>
      </c>
      <c r="Q114" s="459">
        <v>0</v>
      </c>
      <c r="R114" s="459"/>
      <c r="S114" s="379"/>
      <c r="T114" s="459"/>
      <c r="U114" s="459">
        <v>8177</v>
      </c>
      <c r="V114" s="460">
        <v>8177</v>
      </c>
      <c r="W114" s="368"/>
      <c r="X114" s="368"/>
      <c r="Y114" s="368"/>
      <c r="Z114" s="368"/>
    </row>
    <row r="115" spans="1:26" s="383" customFormat="1">
      <c r="A115" s="384"/>
      <c r="B115" s="379" t="s">
        <v>886</v>
      </c>
      <c r="C115" s="379">
        <v>1300226</v>
      </c>
      <c r="D115" s="379">
        <v>223574</v>
      </c>
      <c r="E115" s="379">
        <v>713226</v>
      </c>
      <c r="F115" s="379">
        <v>34373</v>
      </c>
      <c r="G115" s="379">
        <v>40465</v>
      </c>
      <c r="H115" s="379"/>
      <c r="I115" s="379"/>
      <c r="J115" s="459">
        <v>2311864</v>
      </c>
      <c r="K115" s="459"/>
      <c r="L115" s="459"/>
      <c r="M115" s="459">
        <v>0</v>
      </c>
      <c r="N115" s="379">
        <v>0</v>
      </c>
      <c r="O115" s="379">
        <v>0</v>
      </c>
      <c r="P115" s="379">
        <v>0</v>
      </c>
      <c r="Q115" s="459">
        <v>0</v>
      </c>
      <c r="R115" s="459"/>
      <c r="S115" s="379"/>
      <c r="T115" s="459"/>
      <c r="U115" s="459">
        <v>14751</v>
      </c>
      <c r="V115" s="460">
        <v>14751</v>
      </c>
      <c r="W115" s="368"/>
      <c r="X115" s="368"/>
      <c r="Y115" s="368"/>
      <c r="Z115" s="368"/>
    </row>
    <row r="116" spans="1:26" s="383" customFormat="1">
      <c r="A116" s="384"/>
      <c r="B116" s="379" t="s">
        <v>887</v>
      </c>
      <c r="C116" s="379">
        <v>188989</v>
      </c>
      <c r="D116" s="379">
        <v>73820</v>
      </c>
      <c r="E116" s="379">
        <v>364203</v>
      </c>
      <c r="F116" s="379">
        <v>23541</v>
      </c>
      <c r="G116" s="379">
        <v>21401</v>
      </c>
      <c r="H116" s="379">
        <v>0</v>
      </c>
      <c r="I116" s="379">
        <v>0</v>
      </c>
      <c r="J116" s="459">
        <v>671954</v>
      </c>
      <c r="K116" s="459">
        <v>0</v>
      </c>
      <c r="L116" s="459">
        <v>0</v>
      </c>
      <c r="M116" s="459">
        <v>0</v>
      </c>
      <c r="N116" s="379">
        <v>0</v>
      </c>
      <c r="O116" s="379">
        <v>0</v>
      </c>
      <c r="P116" s="379">
        <v>0</v>
      </c>
      <c r="Q116" s="459">
        <v>0</v>
      </c>
      <c r="R116" s="459">
        <v>0</v>
      </c>
      <c r="S116" s="379">
        <v>0</v>
      </c>
      <c r="T116" s="459">
        <v>0</v>
      </c>
      <c r="U116" s="459">
        <v>2472</v>
      </c>
      <c r="V116" s="460">
        <v>2472</v>
      </c>
      <c r="W116" s="368"/>
      <c r="X116" s="368"/>
      <c r="Y116" s="368"/>
      <c r="Z116" s="368"/>
    </row>
    <row r="117" spans="1:26" s="383" customFormat="1">
      <c r="A117" s="467"/>
      <c r="B117" s="379" t="s">
        <v>888</v>
      </c>
      <c r="C117" s="379">
        <v>225246</v>
      </c>
      <c r="D117" s="379">
        <v>77760</v>
      </c>
      <c r="E117" s="379">
        <v>385525</v>
      </c>
      <c r="F117" s="379">
        <v>24038</v>
      </c>
      <c r="G117" s="379">
        <v>25872</v>
      </c>
      <c r="H117" s="379">
        <v>0</v>
      </c>
      <c r="I117" s="379">
        <v>0</v>
      </c>
      <c r="J117" s="459">
        <v>738441</v>
      </c>
      <c r="K117" s="459">
        <v>0</v>
      </c>
      <c r="L117" s="459">
        <v>0</v>
      </c>
      <c r="M117" s="459">
        <v>0</v>
      </c>
      <c r="N117" s="379">
        <v>0</v>
      </c>
      <c r="O117" s="379">
        <v>0</v>
      </c>
      <c r="P117" s="379">
        <v>0</v>
      </c>
      <c r="Q117" s="459">
        <v>0</v>
      </c>
      <c r="R117" s="459">
        <v>0</v>
      </c>
      <c r="S117" s="379">
        <v>0</v>
      </c>
      <c r="T117" s="459">
        <v>0</v>
      </c>
      <c r="U117" s="459">
        <v>4118</v>
      </c>
      <c r="V117" s="460">
        <v>4118</v>
      </c>
      <c r="W117" s="368"/>
      <c r="X117" s="368"/>
      <c r="Y117" s="368"/>
      <c r="Z117" s="368"/>
    </row>
    <row r="118" spans="1:26" s="383" customFormat="1">
      <c r="A118" s="468" t="s">
        <v>463</v>
      </c>
      <c r="B118" s="378" t="s">
        <v>881</v>
      </c>
      <c r="C118" s="457">
        <v>3098872</v>
      </c>
      <c r="D118" s="457">
        <v>186329.9</v>
      </c>
      <c r="E118" s="457">
        <v>1358229</v>
      </c>
      <c r="F118" s="457"/>
      <c r="G118" s="457">
        <v>147791</v>
      </c>
      <c r="H118" s="457">
        <v>51940</v>
      </c>
      <c r="I118" s="457"/>
      <c r="J118" s="456">
        <v>4843161.9000000004</v>
      </c>
      <c r="K118" s="456"/>
      <c r="L118" s="456"/>
      <c r="M118" s="456"/>
      <c r="N118" s="457">
        <v>2147596.5</v>
      </c>
      <c r="O118" s="457">
        <v>1005870</v>
      </c>
      <c r="P118" s="457">
        <v>304136</v>
      </c>
      <c r="Q118" s="456">
        <v>3457602.5</v>
      </c>
      <c r="R118" s="456"/>
      <c r="S118" s="457"/>
      <c r="T118" s="456"/>
      <c r="U118" s="456"/>
      <c r="V118" s="458"/>
      <c r="W118" s="368"/>
      <c r="X118" s="368"/>
      <c r="Y118" s="368"/>
      <c r="Z118" s="368"/>
    </row>
    <row r="119" spans="1:26" s="383" customFormat="1">
      <c r="A119" s="384"/>
      <c r="B119" s="378" t="s">
        <v>882</v>
      </c>
      <c r="C119" s="379">
        <v>3135643.5</v>
      </c>
      <c r="D119" s="379">
        <v>186363.6</v>
      </c>
      <c r="E119" s="379">
        <v>1343384.4</v>
      </c>
      <c r="F119" s="379"/>
      <c r="G119" s="379">
        <v>145990</v>
      </c>
      <c r="H119" s="379">
        <v>49831</v>
      </c>
      <c r="I119" s="379"/>
      <c r="J119" s="459">
        <v>4861212.5</v>
      </c>
      <c r="K119" s="459"/>
      <c r="L119" s="459"/>
      <c r="M119" s="459"/>
      <c r="N119" s="379">
        <v>2041798.5</v>
      </c>
      <c r="O119" s="379">
        <v>955879</v>
      </c>
      <c r="P119" s="379">
        <v>307129</v>
      </c>
      <c r="Q119" s="459">
        <v>3304806.5</v>
      </c>
      <c r="R119" s="459"/>
      <c r="S119" s="379"/>
      <c r="T119" s="459"/>
      <c r="U119" s="459"/>
      <c r="V119" s="460"/>
      <c r="W119" s="368"/>
      <c r="X119" s="368"/>
      <c r="Y119" s="368"/>
      <c r="Z119" s="368"/>
    </row>
    <row r="120" spans="1:26" s="383" customFormat="1">
      <c r="A120" s="384"/>
      <c r="B120" s="378" t="s">
        <v>883</v>
      </c>
      <c r="C120" s="379">
        <v>234841</v>
      </c>
      <c r="D120" s="379">
        <v>64</v>
      </c>
      <c r="E120" s="379">
        <v>94833</v>
      </c>
      <c r="F120" s="379">
        <v>0</v>
      </c>
      <c r="G120" s="379">
        <v>0</v>
      </c>
      <c r="H120" s="379">
        <v>10127</v>
      </c>
      <c r="I120" s="379">
        <v>0</v>
      </c>
      <c r="J120" s="459">
        <v>339865</v>
      </c>
      <c r="K120" s="459">
        <v>0</v>
      </c>
      <c r="L120" s="459">
        <v>0</v>
      </c>
      <c r="M120" s="459">
        <v>0</v>
      </c>
      <c r="N120" s="379">
        <v>582947</v>
      </c>
      <c r="O120" s="379">
        <v>304994</v>
      </c>
      <c r="P120" s="379">
        <v>107718</v>
      </c>
      <c r="Q120" s="459">
        <v>995659</v>
      </c>
      <c r="R120" s="459">
        <v>0</v>
      </c>
      <c r="S120" s="379">
        <v>0</v>
      </c>
      <c r="T120" s="459">
        <v>0</v>
      </c>
      <c r="U120" s="459">
        <v>0</v>
      </c>
      <c r="V120" s="460">
        <v>0</v>
      </c>
      <c r="W120" s="368"/>
      <c r="X120" s="368"/>
      <c r="Y120" s="368"/>
      <c r="Z120" s="368"/>
    </row>
    <row r="121" spans="1:26" s="383" customFormat="1">
      <c r="A121" s="384"/>
      <c r="B121" s="378" t="s">
        <v>884</v>
      </c>
      <c r="C121" s="379">
        <v>267786</v>
      </c>
      <c r="D121" s="379">
        <v>451</v>
      </c>
      <c r="E121" s="379">
        <v>96476</v>
      </c>
      <c r="F121" s="379">
        <v>0</v>
      </c>
      <c r="G121" s="379">
        <v>0</v>
      </c>
      <c r="H121" s="379">
        <v>9810</v>
      </c>
      <c r="I121" s="379">
        <v>0</v>
      </c>
      <c r="J121" s="459">
        <v>374523</v>
      </c>
      <c r="K121" s="459">
        <v>0</v>
      </c>
      <c r="L121" s="459">
        <v>0</v>
      </c>
      <c r="M121" s="459">
        <v>0</v>
      </c>
      <c r="N121" s="379">
        <v>564781</v>
      </c>
      <c r="O121" s="379">
        <v>299107</v>
      </c>
      <c r="P121" s="379">
        <v>109767</v>
      </c>
      <c r="Q121" s="459">
        <v>973655</v>
      </c>
      <c r="R121" s="459">
        <v>0</v>
      </c>
      <c r="S121" s="379">
        <v>0</v>
      </c>
      <c r="T121" s="459">
        <v>0</v>
      </c>
      <c r="U121" s="459">
        <v>0</v>
      </c>
      <c r="V121" s="460">
        <v>0</v>
      </c>
      <c r="W121" s="368"/>
      <c r="X121" s="368"/>
      <c r="Y121" s="368"/>
      <c r="Z121" s="368"/>
    </row>
    <row r="122" spans="1:26" s="383" customFormat="1">
      <c r="A122" s="384"/>
      <c r="B122" s="378" t="s">
        <v>885</v>
      </c>
      <c r="C122" s="379">
        <v>690825.5</v>
      </c>
      <c r="D122" s="379">
        <v>54717</v>
      </c>
      <c r="E122" s="379">
        <v>87336.4</v>
      </c>
      <c r="F122" s="379"/>
      <c r="G122" s="379">
        <v>3282</v>
      </c>
      <c r="H122" s="379">
        <v>0</v>
      </c>
      <c r="I122" s="379"/>
      <c r="J122" s="459">
        <v>836160.9</v>
      </c>
      <c r="K122" s="459"/>
      <c r="L122" s="459"/>
      <c r="M122" s="459"/>
      <c r="N122" s="379">
        <v>0</v>
      </c>
      <c r="O122" s="379">
        <v>0</v>
      </c>
      <c r="P122" s="379">
        <v>0</v>
      </c>
      <c r="Q122" s="459">
        <v>0</v>
      </c>
      <c r="R122" s="459"/>
      <c r="S122" s="379"/>
      <c r="T122" s="459"/>
      <c r="U122" s="459"/>
      <c r="V122" s="460"/>
      <c r="W122" s="368"/>
      <c r="X122" s="368"/>
      <c r="Y122" s="368"/>
      <c r="Z122" s="368"/>
    </row>
    <row r="123" spans="1:26" s="383" customFormat="1">
      <c r="A123" s="384"/>
      <c r="B123" s="378" t="s">
        <v>886</v>
      </c>
      <c r="C123" s="379">
        <v>693893.3</v>
      </c>
      <c r="D123" s="379">
        <v>57893</v>
      </c>
      <c r="E123" s="379">
        <v>86825</v>
      </c>
      <c r="F123" s="379"/>
      <c r="G123" s="379">
        <v>3280</v>
      </c>
      <c r="H123" s="379">
        <v>0</v>
      </c>
      <c r="I123" s="379"/>
      <c r="J123" s="459">
        <v>841891.3</v>
      </c>
      <c r="K123" s="459"/>
      <c r="L123" s="459"/>
      <c r="M123" s="459"/>
      <c r="N123" s="379">
        <v>0</v>
      </c>
      <c r="O123" s="379">
        <v>0</v>
      </c>
      <c r="P123" s="379">
        <v>0</v>
      </c>
      <c r="Q123" s="459">
        <v>0</v>
      </c>
      <c r="R123" s="459"/>
      <c r="S123" s="379"/>
      <c r="T123" s="459"/>
      <c r="U123" s="459"/>
      <c r="V123" s="460"/>
      <c r="W123" s="368"/>
      <c r="X123" s="368"/>
      <c r="Y123" s="368"/>
      <c r="Z123" s="368"/>
    </row>
    <row r="124" spans="1:26" s="383" customFormat="1">
      <c r="A124" s="384"/>
      <c r="B124" s="378" t="s">
        <v>887</v>
      </c>
      <c r="C124" s="379">
        <v>81187</v>
      </c>
      <c r="D124" s="379">
        <v>646</v>
      </c>
      <c r="E124" s="379">
        <v>16475.400000000001</v>
      </c>
      <c r="F124" s="379">
        <v>0</v>
      </c>
      <c r="G124" s="379">
        <v>0</v>
      </c>
      <c r="H124" s="379">
        <v>0</v>
      </c>
      <c r="I124" s="379">
        <v>0</v>
      </c>
      <c r="J124" s="459">
        <v>98308.4</v>
      </c>
      <c r="K124" s="459">
        <v>0</v>
      </c>
      <c r="L124" s="459">
        <v>0</v>
      </c>
      <c r="M124" s="459">
        <v>0</v>
      </c>
      <c r="N124" s="379">
        <v>0</v>
      </c>
      <c r="O124" s="379">
        <v>0</v>
      </c>
      <c r="P124" s="379">
        <v>0</v>
      </c>
      <c r="Q124" s="459">
        <v>0</v>
      </c>
      <c r="R124" s="459">
        <v>0</v>
      </c>
      <c r="S124" s="379">
        <v>0</v>
      </c>
      <c r="T124" s="459">
        <v>0</v>
      </c>
      <c r="U124" s="459">
        <v>0</v>
      </c>
      <c r="V124" s="460">
        <v>0</v>
      </c>
      <c r="W124" s="368"/>
      <c r="X124" s="368"/>
      <c r="Y124" s="368"/>
      <c r="Z124" s="368"/>
    </row>
    <row r="125" spans="1:26" s="383" customFormat="1">
      <c r="A125" s="384"/>
      <c r="B125" s="378" t="s">
        <v>888</v>
      </c>
      <c r="C125" s="379">
        <v>86700</v>
      </c>
      <c r="D125" s="379">
        <v>2408</v>
      </c>
      <c r="E125" s="379">
        <v>16868.400000000001</v>
      </c>
      <c r="F125" s="379">
        <v>0</v>
      </c>
      <c r="G125" s="379">
        <v>0</v>
      </c>
      <c r="H125" s="379">
        <v>0</v>
      </c>
      <c r="I125" s="379">
        <v>0</v>
      </c>
      <c r="J125" s="459">
        <v>105976.4</v>
      </c>
      <c r="K125" s="459">
        <v>0</v>
      </c>
      <c r="L125" s="459">
        <v>0</v>
      </c>
      <c r="M125" s="459">
        <v>0</v>
      </c>
      <c r="N125" s="379">
        <v>0</v>
      </c>
      <c r="O125" s="379">
        <v>0</v>
      </c>
      <c r="P125" s="379">
        <v>0</v>
      </c>
      <c r="Q125" s="459">
        <v>0</v>
      </c>
      <c r="R125" s="459">
        <v>0</v>
      </c>
      <c r="S125" s="379">
        <v>0</v>
      </c>
      <c r="T125" s="459">
        <v>0</v>
      </c>
      <c r="U125" s="459">
        <v>0</v>
      </c>
      <c r="V125" s="460">
        <v>0</v>
      </c>
      <c r="W125" s="368"/>
      <c r="X125" s="368"/>
      <c r="Y125" s="368"/>
      <c r="Z125" s="368"/>
    </row>
    <row r="126" spans="1:26" s="383" customFormat="1">
      <c r="A126" s="468" t="s">
        <v>502</v>
      </c>
      <c r="B126" s="379" t="s">
        <v>881</v>
      </c>
      <c r="C126" s="457">
        <v>657473</v>
      </c>
      <c r="D126" s="457"/>
      <c r="E126" s="457">
        <v>265653</v>
      </c>
      <c r="F126" s="457"/>
      <c r="G126" s="457">
        <v>327389</v>
      </c>
      <c r="H126" s="457">
        <v>237671</v>
      </c>
      <c r="I126" s="457">
        <v>0</v>
      </c>
      <c r="J126" s="456">
        <v>1488186</v>
      </c>
      <c r="K126" s="456">
        <v>0</v>
      </c>
      <c r="L126" s="456">
        <v>0</v>
      </c>
      <c r="M126" s="456">
        <v>37552</v>
      </c>
      <c r="N126" s="457"/>
      <c r="O126" s="457"/>
      <c r="P126" s="457">
        <v>326685</v>
      </c>
      <c r="Q126" s="456">
        <v>364237</v>
      </c>
      <c r="R126" s="456"/>
      <c r="S126" s="457"/>
      <c r="T126" s="456"/>
      <c r="U126" s="456"/>
      <c r="V126" s="458"/>
      <c r="W126" s="368"/>
      <c r="X126" s="368"/>
      <c r="Y126" s="368"/>
      <c r="Z126" s="368"/>
    </row>
    <row r="127" spans="1:26" s="383" customFormat="1">
      <c r="A127" s="384"/>
      <c r="B127" s="379" t="s">
        <v>882</v>
      </c>
      <c r="C127" s="379">
        <v>650502</v>
      </c>
      <c r="D127" s="379"/>
      <c r="E127" s="379">
        <v>264382</v>
      </c>
      <c r="F127" s="379"/>
      <c r="G127" s="379">
        <v>317332</v>
      </c>
      <c r="H127" s="379">
        <v>229755</v>
      </c>
      <c r="I127" s="379">
        <v>0</v>
      </c>
      <c r="J127" s="459">
        <v>1461971</v>
      </c>
      <c r="K127" s="459">
        <v>0</v>
      </c>
      <c r="L127" s="459">
        <v>0</v>
      </c>
      <c r="M127" s="459">
        <v>34802</v>
      </c>
      <c r="N127" s="379"/>
      <c r="O127" s="379"/>
      <c r="P127" s="379">
        <v>311555</v>
      </c>
      <c r="Q127" s="459">
        <v>346357</v>
      </c>
      <c r="R127" s="459"/>
      <c r="S127" s="379"/>
      <c r="T127" s="459"/>
      <c r="U127" s="459"/>
      <c r="V127" s="460"/>
      <c r="W127" s="368"/>
      <c r="X127" s="368"/>
      <c r="Y127" s="368"/>
      <c r="Z127" s="368"/>
    </row>
    <row r="128" spans="1:26" s="383" customFormat="1">
      <c r="A128" s="384"/>
      <c r="B128" s="379" t="s">
        <v>883</v>
      </c>
      <c r="C128" s="379">
        <v>64804</v>
      </c>
      <c r="D128" s="379">
        <v>0</v>
      </c>
      <c r="E128" s="379">
        <v>35432</v>
      </c>
      <c r="F128" s="379">
        <v>0</v>
      </c>
      <c r="G128" s="379">
        <v>37612</v>
      </c>
      <c r="H128" s="379">
        <v>58577</v>
      </c>
      <c r="I128" s="379">
        <v>0</v>
      </c>
      <c r="J128" s="459">
        <v>196425</v>
      </c>
      <c r="K128" s="459">
        <v>0</v>
      </c>
      <c r="L128" s="459">
        <v>0</v>
      </c>
      <c r="M128" s="459">
        <v>3584</v>
      </c>
      <c r="N128" s="379">
        <v>0</v>
      </c>
      <c r="O128" s="379">
        <v>0</v>
      </c>
      <c r="P128" s="379">
        <v>82655</v>
      </c>
      <c r="Q128" s="459">
        <v>86239</v>
      </c>
      <c r="R128" s="459">
        <v>0</v>
      </c>
      <c r="S128" s="379">
        <v>0</v>
      </c>
      <c r="T128" s="459">
        <v>0</v>
      </c>
      <c r="U128" s="459">
        <v>0</v>
      </c>
      <c r="V128" s="460">
        <v>0</v>
      </c>
      <c r="W128" s="368"/>
      <c r="X128" s="368"/>
      <c r="Y128" s="368"/>
      <c r="Z128" s="368"/>
    </row>
    <row r="129" spans="1:26" s="383" customFormat="1">
      <c r="A129" s="384"/>
      <c r="B129" s="379" t="s">
        <v>884</v>
      </c>
      <c r="C129" s="379">
        <v>68747</v>
      </c>
      <c r="D129" s="379">
        <v>0</v>
      </c>
      <c r="E129" s="379">
        <v>38528</v>
      </c>
      <c r="F129" s="379">
        <v>0</v>
      </c>
      <c r="G129" s="379">
        <v>43906</v>
      </c>
      <c r="H129" s="379">
        <v>59645</v>
      </c>
      <c r="I129" s="379">
        <v>0</v>
      </c>
      <c r="J129" s="459">
        <v>210826</v>
      </c>
      <c r="K129" s="459">
        <v>0</v>
      </c>
      <c r="L129" s="459">
        <v>0</v>
      </c>
      <c r="M129" s="459">
        <v>3051</v>
      </c>
      <c r="N129" s="379">
        <v>0</v>
      </c>
      <c r="O129" s="379">
        <v>0</v>
      </c>
      <c r="P129" s="379">
        <v>83485</v>
      </c>
      <c r="Q129" s="459">
        <v>86536</v>
      </c>
      <c r="R129" s="459">
        <v>0</v>
      </c>
      <c r="S129" s="379">
        <v>0</v>
      </c>
      <c r="T129" s="459">
        <v>0</v>
      </c>
      <c r="U129" s="459">
        <v>0</v>
      </c>
      <c r="V129" s="460">
        <v>0</v>
      </c>
      <c r="W129" s="368"/>
      <c r="X129" s="368"/>
      <c r="Y129" s="368"/>
      <c r="Z129" s="368"/>
    </row>
    <row r="130" spans="1:26" s="383" customFormat="1">
      <c r="A130" s="384"/>
      <c r="B130" s="379" t="s">
        <v>885</v>
      </c>
      <c r="C130" s="379">
        <v>98656</v>
      </c>
      <c r="D130" s="379"/>
      <c r="E130" s="379">
        <v>65963</v>
      </c>
      <c r="F130" s="379"/>
      <c r="G130" s="379">
        <v>18558</v>
      </c>
      <c r="H130" s="379">
        <v>855</v>
      </c>
      <c r="I130" s="379">
        <v>0</v>
      </c>
      <c r="J130" s="459">
        <v>184032</v>
      </c>
      <c r="K130" s="459">
        <v>0</v>
      </c>
      <c r="L130" s="459">
        <v>0</v>
      </c>
      <c r="M130" s="459">
        <v>0</v>
      </c>
      <c r="N130" s="379"/>
      <c r="O130" s="379"/>
      <c r="P130" s="379">
        <v>0</v>
      </c>
      <c r="Q130" s="459">
        <v>0</v>
      </c>
      <c r="R130" s="459"/>
      <c r="S130" s="379"/>
      <c r="T130" s="459"/>
      <c r="U130" s="459"/>
      <c r="V130" s="460"/>
      <c r="W130" s="368"/>
      <c r="X130" s="368"/>
      <c r="Y130" s="368"/>
      <c r="Z130" s="368"/>
    </row>
    <row r="131" spans="1:26" s="383" customFormat="1">
      <c r="A131" s="384"/>
      <c r="B131" s="379" t="s">
        <v>886</v>
      </c>
      <c r="C131" s="379">
        <v>94979</v>
      </c>
      <c r="D131" s="379"/>
      <c r="E131" s="379">
        <v>70208</v>
      </c>
      <c r="F131" s="379"/>
      <c r="G131" s="379">
        <v>19948</v>
      </c>
      <c r="H131" s="379">
        <v>1265</v>
      </c>
      <c r="I131" s="379">
        <v>0</v>
      </c>
      <c r="J131" s="459">
        <v>186400</v>
      </c>
      <c r="K131" s="459">
        <v>0</v>
      </c>
      <c r="L131" s="459">
        <v>0</v>
      </c>
      <c r="M131" s="459">
        <v>0</v>
      </c>
      <c r="N131" s="379"/>
      <c r="O131" s="379"/>
      <c r="P131" s="379">
        <v>0</v>
      </c>
      <c r="Q131" s="459">
        <v>0</v>
      </c>
      <c r="R131" s="459"/>
      <c r="S131" s="379"/>
      <c r="T131" s="459"/>
      <c r="U131" s="459"/>
      <c r="V131" s="460"/>
      <c r="W131" s="368"/>
      <c r="X131" s="368"/>
      <c r="Y131" s="368"/>
      <c r="Z131" s="368"/>
    </row>
    <row r="132" spans="1:26" s="383" customFormat="1">
      <c r="A132" s="384"/>
      <c r="B132" s="379" t="s">
        <v>887</v>
      </c>
      <c r="C132" s="379">
        <v>28819</v>
      </c>
      <c r="D132" s="379">
        <v>0</v>
      </c>
      <c r="E132" s="379">
        <v>16102</v>
      </c>
      <c r="F132" s="379">
        <v>0</v>
      </c>
      <c r="G132" s="379">
        <v>10765</v>
      </c>
      <c r="H132" s="379">
        <v>171</v>
      </c>
      <c r="I132" s="379">
        <v>0</v>
      </c>
      <c r="J132" s="459">
        <v>55857</v>
      </c>
      <c r="K132" s="459">
        <v>0</v>
      </c>
      <c r="L132" s="459">
        <v>0</v>
      </c>
      <c r="M132" s="459">
        <v>0</v>
      </c>
      <c r="N132" s="379">
        <v>0</v>
      </c>
      <c r="O132" s="379">
        <v>0</v>
      </c>
      <c r="P132" s="379">
        <v>0</v>
      </c>
      <c r="Q132" s="459">
        <v>0</v>
      </c>
      <c r="R132" s="459">
        <v>0</v>
      </c>
      <c r="S132" s="379">
        <v>0</v>
      </c>
      <c r="T132" s="459">
        <v>0</v>
      </c>
      <c r="U132" s="459">
        <v>0</v>
      </c>
      <c r="V132" s="460">
        <v>0</v>
      </c>
      <c r="W132" s="368"/>
      <c r="X132" s="368"/>
      <c r="Y132" s="368"/>
      <c r="Z132" s="368"/>
    </row>
    <row r="133" spans="1:26" s="383" customFormat="1">
      <c r="A133" s="469"/>
      <c r="B133" s="464" t="s">
        <v>888</v>
      </c>
      <c r="C133" s="464">
        <v>29020</v>
      </c>
      <c r="D133" s="464">
        <v>0</v>
      </c>
      <c r="E133" s="464">
        <v>15885</v>
      </c>
      <c r="F133" s="464">
        <v>0</v>
      </c>
      <c r="G133" s="464">
        <v>10522</v>
      </c>
      <c r="H133" s="464">
        <v>312</v>
      </c>
      <c r="I133" s="464">
        <v>0</v>
      </c>
      <c r="J133" s="463">
        <v>55739</v>
      </c>
      <c r="K133" s="463">
        <v>0</v>
      </c>
      <c r="L133" s="463">
        <v>0</v>
      </c>
      <c r="M133" s="463">
        <v>0</v>
      </c>
      <c r="N133" s="464">
        <v>0</v>
      </c>
      <c r="O133" s="464">
        <v>0</v>
      </c>
      <c r="P133" s="464">
        <v>0</v>
      </c>
      <c r="Q133" s="463">
        <v>0</v>
      </c>
      <c r="R133" s="463">
        <v>0</v>
      </c>
      <c r="S133" s="464">
        <v>0</v>
      </c>
      <c r="T133" s="463">
        <v>0</v>
      </c>
      <c r="U133" s="463">
        <v>0</v>
      </c>
      <c r="V133" s="465">
        <v>0</v>
      </c>
      <c r="W133" s="368"/>
      <c r="X133" s="368"/>
      <c r="Y133" s="368"/>
      <c r="Z133" s="368"/>
    </row>
    <row r="134" spans="1:26" s="383" customFormat="1">
      <c r="B134" s="393"/>
      <c r="P134" s="394"/>
      <c r="S134" s="395"/>
      <c r="T134" s="395"/>
      <c r="U134" s="395"/>
      <c r="V134" s="395"/>
    </row>
    <row r="135" spans="1:26" s="383" customFormat="1">
      <c r="S135" s="395"/>
      <c r="T135" s="395"/>
      <c r="U135" s="395"/>
      <c r="V135" s="395"/>
    </row>
    <row r="136" spans="1:26" s="383" customFormat="1">
      <c r="S136" s="395"/>
      <c r="T136" s="395"/>
      <c r="U136" s="395"/>
      <c r="V136" s="395"/>
    </row>
    <row r="137" spans="1:26" s="383" customFormat="1">
      <c r="B137" s="393"/>
      <c r="P137" s="394"/>
      <c r="S137" s="395"/>
      <c r="T137" s="395"/>
      <c r="U137" s="395"/>
      <c r="V137" s="395"/>
    </row>
    <row r="138" spans="1:26" s="383" customFormat="1">
      <c r="S138" s="395"/>
      <c r="T138" s="395"/>
      <c r="U138" s="395"/>
      <c r="V138" s="395"/>
    </row>
    <row r="139" spans="1:26" s="383" customFormat="1">
      <c r="S139" s="395"/>
      <c r="T139" s="395"/>
      <c r="U139" s="395"/>
      <c r="V139" s="395"/>
    </row>
    <row r="140" spans="1:26" s="383" customFormat="1">
      <c r="B140" s="393"/>
      <c r="P140" s="394"/>
      <c r="S140" s="395"/>
      <c r="T140" s="395"/>
      <c r="U140" s="395"/>
      <c r="V140" s="395"/>
    </row>
    <row r="141" spans="1:26" s="383" customFormat="1">
      <c r="S141" s="395"/>
      <c r="T141" s="395"/>
      <c r="U141" s="395"/>
      <c r="V141" s="395"/>
    </row>
    <row r="142" spans="1:26" s="383" customFormat="1">
      <c r="S142" s="395"/>
      <c r="T142" s="395"/>
      <c r="U142" s="395"/>
      <c r="V142" s="395"/>
    </row>
    <row r="143" spans="1:26" s="383" customFormat="1">
      <c r="B143" s="393"/>
      <c r="P143" s="394"/>
      <c r="S143" s="395"/>
      <c r="T143" s="395"/>
      <c r="U143" s="395"/>
      <c r="V143" s="395"/>
    </row>
    <row r="144" spans="1:26" s="383" customFormat="1">
      <c r="S144" s="395"/>
      <c r="T144" s="395"/>
      <c r="U144" s="395"/>
      <c r="V144" s="395"/>
    </row>
    <row r="145" spans="2:22" s="383" customFormat="1">
      <c r="S145" s="395"/>
      <c r="T145" s="395"/>
      <c r="U145" s="395"/>
      <c r="V145" s="395"/>
    </row>
    <row r="146" spans="2:22" s="383" customFormat="1">
      <c r="B146" s="393"/>
      <c r="P146" s="394"/>
      <c r="S146" s="395"/>
      <c r="T146" s="395"/>
      <c r="U146" s="395"/>
      <c r="V146" s="395"/>
    </row>
    <row r="147" spans="2:22" s="383" customFormat="1">
      <c r="S147" s="395"/>
      <c r="T147" s="395"/>
      <c r="U147" s="395"/>
      <c r="V147" s="395"/>
    </row>
    <row r="148" spans="2:22" s="383" customFormat="1">
      <c r="S148" s="395"/>
      <c r="T148" s="395"/>
      <c r="U148" s="395"/>
      <c r="V148" s="395"/>
    </row>
    <row r="149" spans="2:22" s="383" customFormat="1">
      <c r="B149" s="393"/>
      <c r="P149" s="394"/>
      <c r="S149" s="395"/>
      <c r="T149" s="395"/>
      <c r="U149" s="395"/>
      <c r="V149" s="395"/>
    </row>
    <row r="150" spans="2:22" s="383" customFormat="1">
      <c r="S150" s="395"/>
      <c r="T150" s="395"/>
      <c r="U150" s="395"/>
      <c r="V150" s="395"/>
    </row>
    <row r="151" spans="2:22" s="383" customFormat="1">
      <c r="S151" s="395"/>
      <c r="T151" s="395"/>
      <c r="U151" s="395"/>
      <c r="V151" s="395"/>
    </row>
    <row r="152" spans="2:22" s="383" customFormat="1">
      <c r="B152" s="393"/>
      <c r="P152" s="394"/>
      <c r="S152" s="395"/>
      <c r="T152" s="395"/>
      <c r="U152" s="395"/>
      <c r="V152" s="395"/>
    </row>
    <row r="153" spans="2:22" s="383" customFormat="1">
      <c r="S153" s="395"/>
      <c r="T153" s="395"/>
      <c r="U153" s="395"/>
      <c r="V153" s="395"/>
    </row>
    <row r="154" spans="2:22" s="383" customFormat="1">
      <c r="S154" s="395"/>
      <c r="T154" s="395"/>
      <c r="U154" s="395"/>
      <c r="V154" s="395"/>
    </row>
    <row r="155" spans="2:22" s="383" customFormat="1">
      <c r="B155" s="393"/>
      <c r="P155" s="394"/>
      <c r="S155" s="395"/>
      <c r="T155" s="395"/>
      <c r="U155" s="395"/>
      <c r="V155" s="395"/>
    </row>
    <row r="156" spans="2:22" s="383" customFormat="1">
      <c r="S156" s="395"/>
      <c r="T156" s="395"/>
      <c r="U156" s="395"/>
      <c r="V156" s="395"/>
    </row>
    <row r="157" spans="2:22" s="383" customFormat="1">
      <c r="S157" s="395"/>
      <c r="T157" s="395"/>
      <c r="U157" s="395"/>
      <c r="V157" s="395"/>
    </row>
    <row r="158" spans="2:22" s="383" customFormat="1">
      <c r="B158" s="393"/>
      <c r="P158" s="394"/>
      <c r="S158" s="395"/>
      <c r="T158" s="395"/>
      <c r="U158" s="395"/>
      <c r="V158" s="395"/>
    </row>
    <row r="159" spans="2:22" s="383" customFormat="1">
      <c r="S159" s="395"/>
      <c r="T159" s="395"/>
      <c r="U159" s="395"/>
      <c r="V159" s="395"/>
    </row>
    <row r="160" spans="2:22" s="383" customFormat="1">
      <c r="S160" s="395"/>
      <c r="T160" s="395"/>
      <c r="U160" s="395"/>
      <c r="V160" s="395"/>
    </row>
    <row r="161" spans="2:22" s="383" customFormat="1">
      <c r="B161" s="393"/>
      <c r="P161" s="394"/>
      <c r="S161" s="395"/>
      <c r="T161" s="395"/>
      <c r="U161" s="395"/>
      <c r="V161" s="395"/>
    </row>
    <row r="162" spans="2:22" s="383" customFormat="1">
      <c r="S162" s="395"/>
      <c r="T162" s="395"/>
      <c r="U162" s="395"/>
      <c r="V162" s="395"/>
    </row>
    <row r="163" spans="2:22" s="383" customFormat="1">
      <c r="S163" s="395"/>
      <c r="T163" s="395"/>
      <c r="U163" s="395"/>
      <c r="V163" s="395"/>
    </row>
    <row r="164" spans="2:22" s="383" customFormat="1">
      <c r="B164" s="393"/>
      <c r="P164" s="394"/>
      <c r="S164" s="395"/>
      <c r="T164" s="395"/>
      <c r="U164" s="395"/>
      <c r="V164" s="395"/>
    </row>
    <row r="165" spans="2:22" s="383" customFormat="1">
      <c r="S165" s="395"/>
      <c r="T165" s="395"/>
      <c r="U165" s="395"/>
      <c r="V165" s="395"/>
    </row>
    <row r="166" spans="2:22" s="383" customFormat="1">
      <c r="S166" s="395"/>
      <c r="T166" s="395"/>
      <c r="U166" s="395"/>
      <c r="V166" s="395"/>
    </row>
    <row r="167" spans="2:22" s="383" customFormat="1">
      <c r="B167" s="393"/>
      <c r="P167" s="394"/>
      <c r="S167" s="395"/>
      <c r="T167" s="395"/>
      <c r="U167" s="395"/>
      <c r="V167" s="395"/>
    </row>
    <row r="168" spans="2:22" s="383" customFormat="1">
      <c r="S168" s="395"/>
      <c r="T168" s="395"/>
      <c r="U168" s="395"/>
      <c r="V168" s="395"/>
    </row>
    <row r="169" spans="2:22" s="383" customFormat="1">
      <c r="S169" s="395"/>
      <c r="T169" s="395"/>
      <c r="U169" s="395"/>
      <c r="V169" s="395"/>
    </row>
    <row r="170" spans="2:22" s="383" customFormat="1">
      <c r="B170" s="393"/>
      <c r="P170" s="394"/>
      <c r="S170" s="395"/>
      <c r="T170" s="395"/>
      <c r="U170" s="395"/>
      <c r="V170" s="395"/>
    </row>
    <row r="171" spans="2:22" s="383" customFormat="1">
      <c r="S171" s="395"/>
      <c r="T171" s="395"/>
      <c r="U171" s="395"/>
      <c r="V171" s="395"/>
    </row>
    <row r="172" spans="2:22" s="383" customFormat="1">
      <c r="S172" s="395"/>
      <c r="T172" s="395"/>
      <c r="U172" s="395"/>
      <c r="V172" s="395"/>
    </row>
    <row r="173" spans="2:22" s="383" customFormat="1">
      <c r="B173" s="393"/>
      <c r="P173" s="394"/>
      <c r="S173" s="395"/>
      <c r="T173" s="395"/>
      <c r="U173" s="395"/>
      <c r="V173" s="395"/>
    </row>
    <row r="174" spans="2:22" s="383" customFormat="1">
      <c r="S174" s="395"/>
      <c r="T174" s="395"/>
      <c r="U174" s="395"/>
      <c r="V174" s="395"/>
    </row>
    <row r="175" spans="2:22" s="383" customFormat="1">
      <c r="S175" s="395"/>
      <c r="T175" s="395"/>
      <c r="U175" s="395"/>
      <c r="V175" s="395"/>
    </row>
    <row r="176" spans="2:22" s="383" customFormat="1">
      <c r="B176" s="393"/>
      <c r="P176" s="394"/>
      <c r="S176" s="395"/>
      <c r="T176" s="395"/>
      <c r="U176" s="395"/>
      <c r="V176" s="395"/>
    </row>
    <row r="177" spans="2:22" s="383" customFormat="1">
      <c r="S177" s="395"/>
      <c r="T177" s="395"/>
      <c r="U177" s="395"/>
      <c r="V177" s="395"/>
    </row>
    <row r="178" spans="2:22" s="383" customFormat="1">
      <c r="S178" s="395"/>
      <c r="T178" s="395"/>
      <c r="U178" s="395"/>
      <c r="V178" s="395"/>
    </row>
    <row r="179" spans="2:22" s="383" customFormat="1">
      <c r="B179" s="393"/>
      <c r="P179" s="394"/>
      <c r="S179" s="395"/>
      <c r="T179" s="395"/>
      <c r="U179" s="395"/>
      <c r="V179" s="395"/>
    </row>
    <row r="180" spans="2:22" s="383" customFormat="1">
      <c r="S180" s="395"/>
      <c r="T180" s="395"/>
      <c r="U180" s="395"/>
      <c r="V180" s="395"/>
    </row>
    <row r="181" spans="2:22" s="383" customFormat="1">
      <c r="S181" s="395"/>
      <c r="T181" s="395"/>
      <c r="U181" s="395"/>
      <c r="V181" s="395"/>
    </row>
    <row r="182" spans="2:22" s="383" customFormat="1">
      <c r="B182" s="393"/>
      <c r="P182" s="394"/>
      <c r="S182" s="395"/>
      <c r="T182" s="395"/>
      <c r="U182" s="395"/>
      <c r="V182" s="395"/>
    </row>
    <row r="183" spans="2:22" s="383" customFormat="1">
      <c r="S183" s="395"/>
      <c r="T183" s="395"/>
      <c r="U183" s="395"/>
      <c r="V183" s="395"/>
    </row>
    <row r="184" spans="2:22" s="383" customFormat="1">
      <c r="S184" s="395"/>
      <c r="T184" s="395"/>
      <c r="U184" s="395"/>
      <c r="V184" s="395"/>
    </row>
    <row r="185" spans="2:22" s="383" customFormat="1">
      <c r="B185" s="393"/>
      <c r="P185" s="394"/>
      <c r="S185" s="395"/>
      <c r="T185" s="395"/>
      <c r="U185" s="395"/>
      <c r="V185" s="395"/>
    </row>
    <row r="186" spans="2:22" s="383" customFormat="1">
      <c r="S186" s="395"/>
      <c r="T186" s="395"/>
      <c r="U186" s="395"/>
      <c r="V186" s="395"/>
    </row>
    <row r="187" spans="2:22" s="383" customFormat="1">
      <c r="S187" s="395"/>
      <c r="T187" s="395"/>
      <c r="U187" s="395"/>
      <c r="V187" s="395"/>
    </row>
    <row r="188" spans="2:22" s="383" customFormat="1">
      <c r="B188" s="393"/>
      <c r="P188" s="394"/>
      <c r="S188" s="395"/>
      <c r="T188" s="395"/>
      <c r="U188" s="395"/>
      <c r="V188" s="395"/>
    </row>
    <row r="189" spans="2:22" s="383" customFormat="1">
      <c r="S189" s="395"/>
      <c r="T189" s="395"/>
      <c r="U189" s="395"/>
      <c r="V189" s="395"/>
    </row>
    <row r="190" spans="2:22" s="383" customFormat="1">
      <c r="S190" s="395"/>
      <c r="T190" s="395"/>
      <c r="U190" s="395"/>
      <c r="V190" s="395"/>
    </row>
    <row r="191" spans="2:22" s="383" customFormat="1">
      <c r="B191" s="393"/>
      <c r="P191" s="394"/>
      <c r="S191" s="395"/>
      <c r="T191" s="395"/>
      <c r="U191" s="395"/>
      <c r="V191" s="395"/>
    </row>
    <row r="192" spans="2:22" s="383" customFormat="1">
      <c r="S192" s="395"/>
      <c r="T192" s="395"/>
      <c r="U192" s="395"/>
      <c r="V192" s="395"/>
    </row>
    <row r="193" spans="2:22" s="383" customFormat="1">
      <c r="S193" s="395"/>
      <c r="T193" s="395"/>
      <c r="U193" s="395"/>
      <c r="V193" s="395"/>
    </row>
    <row r="194" spans="2:22" s="383" customFormat="1">
      <c r="B194" s="393"/>
      <c r="P194" s="394"/>
      <c r="S194" s="395"/>
      <c r="T194" s="395"/>
      <c r="U194" s="395"/>
      <c r="V194" s="395"/>
    </row>
    <row r="195" spans="2:22" s="383" customFormat="1">
      <c r="S195" s="395"/>
      <c r="T195" s="395"/>
      <c r="U195" s="395"/>
      <c r="V195" s="395"/>
    </row>
    <row r="196" spans="2:22" s="383" customFormat="1">
      <c r="S196" s="395"/>
      <c r="T196" s="395"/>
      <c r="U196" s="395"/>
      <c r="V196" s="395"/>
    </row>
    <row r="197" spans="2:22" s="383" customFormat="1">
      <c r="B197" s="393"/>
      <c r="P197" s="394"/>
      <c r="S197" s="395"/>
      <c r="T197" s="395"/>
      <c r="U197" s="395"/>
      <c r="V197" s="395"/>
    </row>
    <row r="198" spans="2:22" s="383" customFormat="1">
      <c r="S198" s="395"/>
      <c r="T198" s="395"/>
      <c r="U198" s="395"/>
      <c r="V198" s="395"/>
    </row>
    <row r="199" spans="2:22" s="383" customFormat="1">
      <c r="S199" s="395"/>
      <c r="T199" s="395"/>
      <c r="U199" s="395"/>
      <c r="V199" s="395"/>
    </row>
    <row r="200" spans="2:22" s="383" customFormat="1">
      <c r="B200" s="393"/>
      <c r="P200" s="394"/>
      <c r="S200" s="395"/>
      <c r="T200" s="395"/>
      <c r="U200" s="395"/>
      <c r="V200" s="395"/>
    </row>
    <row r="201" spans="2:22" s="383" customFormat="1">
      <c r="S201" s="395"/>
      <c r="T201" s="395"/>
      <c r="U201" s="395"/>
      <c r="V201" s="395"/>
    </row>
    <row r="202" spans="2:22" s="383" customFormat="1">
      <c r="S202" s="395"/>
      <c r="T202" s="395"/>
      <c r="U202" s="395"/>
      <c r="V202" s="395"/>
    </row>
    <row r="203" spans="2:22" s="383" customFormat="1">
      <c r="B203" s="393"/>
      <c r="P203" s="394"/>
      <c r="S203" s="395"/>
      <c r="T203" s="395"/>
      <c r="U203" s="395"/>
      <c r="V203" s="395"/>
    </row>
    <row r="204" spans="2:22" s="383" customFormat="1">
      <c r="S204" s="395"/>
      <c r="T204" s="395"/>
      <c r="U204" s="395"/>
      <c r="V204" s="395"/>
    </row>
    <row r="205" spans="2:22" s="383" customFormat="1">
      <c r="S205" s="395"/>
      <c r="T205" s="395"/>
      <c r="U205" s="395"/>
      <c r="V205" s="395"/>
    </row>
    <row r="206" spans="2:22" s="383" customFormat="1">
      <c r="B206" s="393"/>
      <c r="P206" s="394"/>
      <c r="S206" s="395"/>
      <c r="T206" s="395"/>
      <c r="U206" s="395"/>
      <c r="V206" s="395"/>
    </row>
    <row r="207" spans="2:22" s="383" customFormat="1">
      <c r="S207" s="395"/>
      <c r="T207" s="395"/>
      <c r="U207" s="395"/>
      <c r="V207" s="395"/>
    </row>
    <row r="208" spans="2:22" s="383" customFormat="1">
      <c r="S208" s="395"/>
      <c r="T208" s="395"/>
      <c r="U208" s="395"/>
      <c r="V208" s="395"/>
    </row>
    <row r="209" spans="2:22" s="383" customFormat="1">
      <c r="B209" s="393"/>
      <c r="P209" s="394"/>
      <c r="S209" s="395"/>
      <c r="T209" s="395"/>
      <c r="U209" s="395"/>
      <c r="V209" s="395"/>
    </row>
    <row r="210" spans="2:22" s="383" customFormat="1">
      <c r="S210" s="395"/>
      <c r="T210" s="395"/>
      <c r="U210" s="395"/>
      <c r="V210" s="395"/>
    </row>
    <row r="211" spans="2:22" s="383" customFormat="1">
      <c r="S211" s="395"/>
      <c r="T211" s="395"/>
      <c r="U211" s="395"/>
      <c r="V211" s="395"/>
    </row>
    <row r="212" spans="2:22" s="383" customFormat="1">
      <c r="B212" s="393"/>
      <c r="P212" s="394"/>
      <c r="S212" s="395"/>
      <c r="T212" s="395"/>
      <c r="U212" s="395"/>
      <c r="V212" s="395"/>
    </row>
    <row r="213" spans="2:22" s="383" customFormat="1">
      <c r="S213" s="395"/>
      <c r="T213" s="395"/>
      <c r="U213" s="395"/>
      <c r="V213" s="395"/>
    </row>
    <row r="214" spans="2:22" s="383" customFormat="1">
      <c r="S214" s="395"/>
      <c r="T214" s="395"/>
      <c r="U214" s="395"/>
      <c r="V214" s="395"/>
    </row>
    <row r="215" spans="2:22" s="383" customFormat="1">
      <c r="B215" s="393"/>
      <c r="P215" s="394"/>
      <c r="S215" s="395"/>
      <c r="T215" s="395"/>
      <c r="U215" s="395"/>
      <c r="V215" s="395"/>
    </row>
    <row r="216" spans="2:22" s="383" customFormat="1">
      <c r="S216" s="395"/>
      <c r="T216" s="395"/>
      <c r="U216" s="395"/>
      <c r="V216" s="395"/>
    </row>
    <row r="217" spans="2:22" s="383" customFormat="1">
      <c r="S217" s="395"/>
      <c r="T217" s="395"/>
      <c r="U217" s="395"/>
      <c r="V217" s="395"/>
    </row>
    <row r="218" spans="2:22" s="383" customFormat="1">
      <c r="B218" s="393"/>
      <c r="P218" s="394"/>
      <c r="S218" s="395"/>
      <c r="T218" s="395"/>
      <c r="U218" s="395"/>
      <c r="V218" s="395"/>
    </row>
    <row r="219" spans="2:22" s="383" customFormat="1">
      <c r="S219" s="395"/>
      <c r="T219" s="395"/>
      <c r="U219" s="395"/>
      <c r="V219" s="395"/>
    </row>
    <row r="220" spans="2:22" s="383" customFormat="1">
      <c r="S220" s="395"/>
      <c r="T220" s="395"/>
      <c r="U220" s="395"/>
      <c r="V220" s="395"/>
    </row>
    <row r="221" spans="2:22" s="383" customFormat="1">
      <c r="B221" s="393"/>
      <c r="P221" s="394"/>
      <c r="S221" s="395"/>
      <c r="T221" s="395"/>
      <c r="U221" s="395"/>
      <c r="V221" s="395"/>
    </row>
    <row r="222" spans="2:22" s="383" customFormat="1">
      <c r="S222" s="395"/>
      <c r="T222" s="395"/>
      <c r="U222" s="395"/>
      <c r="V222" s="395"/>
    </row>
    <row r="223" spans="2:22" s="383" customFormat="1">
      <c r="S223" s="395"/>
      <c r="T223" s="395"/>
      <c r="U223" s="395"/>
      <c r="V223" s="395"/>
    </row>
    <row r="224" spans="2:22" s="383" customFormat="1">
      <c r="B224" s="393"/>
      <c r="P224" s="394"/>
      <c r="S224" s="395"/>
      <c r="T224" s="395"/>
      <c r="U224" s="395"/>
      <c r="V224" s="395"/>
    </row>
    <row r="225" spans="2:22" s="383" customFormat="1">
      <c r="S225" s="395"/>
      <c r="T225" s="395"/>
      <c r="U225" s="395"/>
      <c r="V225" s="395"/>
    </row>
    <row r="226" spans="2:22" s="383" customFormat="1">
      <c r="S226" s="395"/>
      <c r="T226" s="395"/>
      <c r="U226" s="395"/>
      <c r="V226" s="395"/>
    </row>
    <row r="227" spans="2:22" s="383" customFormat="1">
      <c r="B227" s="393"/>
      <c r="P227" s="394"/>
      <c r="S227" s="395"/>
      <c r="T227" s="395"/>
      <c r="U227" s="395"/>
      <c r="V227" s="395"/>
    </row>
    <row r="228" spans="2:22" s="383" customFormat="1">
      <c r="S228" s="395"/>
      <c r="T228" s="395"/>
      <c r="U228" s="395"/>
      <c r="V228" s="395"/>
    </row>
    <row r="229" spans="2:22" s="383" customFormat="1">
      <c r="S229" s="395"/>
      <c r="T229" s="395"/>
      <c r="U229" s="395"/>
      <c r="V229" s="395"/>
    </row>
    <row r="230" spans="2:22" s="383" customFormat="1">
      <c r="B230" s="393"/>
      <c r="P230" s="394"/>
      <c r="S230" s="395"/>
      <c r="T230" s="395"/>
      <c r="U230" s="395"/>
      <c r="V230" s="395"/>
    </row>
    <row r="231" spans="2:22" s="383" customFormat="1">
      <c r="S231" s="395"/>
      <c r="T231" s="395"/>
      <c r="U231" s="395"/>
      <c r="V231" s="395"/>
    </row>
    <row r="232" spans="2:22" s="383" customFormat="1">
      <c r="S232" s="395"/>
      <c r="T232" s="395"/>
      <c r="U232" s="395"/>
      <c r="V232" s="395"/>
    </row>
    <row r="233" spans="2:22" s="383" customFormat="1">
      <c r="B233" s="393"/>
      <c r="P233" s="394"/>
      <c r="S233" s="395"/>
      <c r="T233" s="395"/>
      <c r="U233" s="395"/>
      <c r="V233" s="395"/>
    </row>
    <row r="234" spans="2:22" s="383" customFormat="1">
      <c r="S234" s="395"/>
      <c r="T234" s="395"/>
      <c r="U234" s="395"/>
      <c r="V234" s="395"/>
    </row>
    <row r="235" spans="2:22" s="383" customFormat="1">
      <c r="S235" s="395"/>
      <c r="T235" s="395"/>
      <c r="U235" s="395"/>
      <c r="V235" s="395"/>
    </row>
    <row r="236" spans="2:22" s="383" customFormat="1">
      <c r="B236" s="393"/>
      <c r="P236" s="394"/>
      <c r="S236" s="395"/>
      <c r="T236" s="395"/>
      <c r="U236" s="395"/>
      <c r="V236" s="395"/>
    </row>
    <row r="237" spans="2:22" s="383" customFormat="1">
      <c r="S237" s="395"/>
      <c r="T237" s="395"/>
      <c r="U237" s="395"/>
      <c r="V237" s="395"/>
    </row>
    <row r="238" spans="2:22" s="383" customFormat="1">
      <c r="S238" s="395"/>
      <c r="T238" s="395"/>
      <c r="U238" s="395"/>
      <c r="V238" s="395"/>
    </row>
    <row r="239" spans="2:22" s="383" customFormat="1">
      <c r="B239" s="393"/>
      <c r="P239" s="394"/>
      <c r="S239" s="395"/>
      <c r="T239" s="395"/>
      <c r="U239" s="395"/>
      <c r="V239" s="395"/>
    </row>
    <row r="240" spans="2:22" s="383" customFormat="1">
      <c r="S240" s="395"/>
      <c r="T240" s="395"/>
      <c r="U240" s="395"/>
      <c r="V240" s="395"/>
    </row>
    <row r="241" spans="2:22" s="383" customFormat="1">
      <c r="S241" s="395"/>
      <c r="T241" s="395"/>
      <c r="U241" s="395"/>
      <c r="V241" s="395"/>
    </row>
    <row r="242" spans="2:22" s="383" customFormat="1">
      <c r="B242" s="393"/>
      <c r="P242" s="394"/>
      <c r="S242" s="395"/>
      <c r="T242" s="395"/>
      <c r="U242" s="395"/>
      <c r="V242" s="395"/>
    </row>
    <row r="243" spans="2:22" s="383" customFormat="1">
      <c r="S243" s="395"/>
      <c r="T243" s="395"/>
      <c r="U243" s="395"/>
      <c r="V243" s="395"/>
    </row>
    <row r="244" spans="2:22" s="383" customFormat="1">
      <c r="S244" s="395"/>
      <c r="T244" s="395"/>
      <c r="U244" s="395"/>
      <c r="V244" s="395"/>
    </row>
    <row r="245" spans="2:22" s="383" customFormat="1">
      <c r="B245" s="393"/>
      <c r="P245" s="394"/>
      <c r="S245" s="395"/>
      <c r="T245" s="395"/>
      <c r="U245" s="395"/>
      <c r="V245" s="395"/>
    </row>
    <row r="246" spans="2:22" s="383" customFormat="1">
      <c r="S246" s="395"/>
      <c r="T246" s="395"/>
      <c r="U246" s="395"/>
      <c r="V246" s="395"/>
    </row>
    <row r="247" spans="2:22" s="383" customFormat="1">
      <c r="S247" s="395"/>
      <c r="T247" s="395"/>
      <c r="U247" s="395"/>
      <c r="V247" s="395"/>
    </row>
    <row r="248" spans="2:22" s="383" customFormat="1">
      <c r="B248" s="393"/>
      <c r="P248" s="394"/>
      <c r="S248" s="395"/>
      <c r="T248" s="395"/>
      <c r="U248" s="395"/>
      <c r="V248" s="395"/>
    </row>
    <row r="249" spans="2:22" s="383" customFormat="1">
      <c r="S249" s="395"/>
      <c r="T249" s="395"/>
      <c r="U249" s="395"/>
      <c r="V249" s="395"/>
    </row>
    <row r="250" spans="2:22" s="383" customFormat="1">
      <c r="S250" s="395"/>
      <c r="T250" s="395"/>
      <c r="U250" s="395"/>
      <c r="V250" s="395"/>
    </row>
    <row r="251" spans="2:22" s="383" customFormat="1">
      <c r="B251" s="393"/>
      <c r="P251" s="394"/>
      <c r="S251" s="395"/>
      <c r="T251" s="395"/>
      <c r="U251" s="395"/>
      <c r="V251" s="395"/>
    </row>
    <row r="252" spans="2:22" s="383" customFormat="1">
      <c r="S252" s="395"/>
      <c r="T252" s="395"/>
      <c r="U252" s="395"/>
      <c r="V252" s="395"/>
    </row>
    <row r="253" spans="2:22" s="383" customFormat="1">
      <c r="S253" s="395"/>
      <c r="T253" s="395"/>
      <c r="U253" s="395"/>
      <c r="V253" s="395"/>
    </row>
    <row r="254" spans="2:22" s="383" customFormat="1">
      <c r="B254" s="393"/>
      <c r="P254" s="394"/>
      <c r="S254" s="395"/>
      <c r="T254" s="395"/>
      <c r="U254" s="395"/>
      <c r="V254" s="395"/>
    </row>
    <row r="255" spans="2:22" s="383" customFormat="1">
      <c r="S255" s="395"/>
      <c r="T255" s="395"/>
      <c r="U255" s="395"/>
      <c r="V255" s="395"/>
    </row>
    <row r="256" spans="2:22" s="383" customFormat="1">
      <c r="S256" s="395"/>
      <c r="T256" s="395"/>
      <c r="U256" s="395"/>
      <c r="V256" s="395"/>
    </row>
    <row r="257" spans="2:22" s="383" customFormat="1">
      <c r="B257" s="393"/>
      <c r="P257" s="394"/>
      <c r="S257" s="395"/>
      <c r="T257" s="395"/>
      <c r="U257" s="395"/>
      <c r="V257" s="395"/>
    </row>
    <row r="258" spans="2:22" s="383" customFormat="1">
      <c r="S258" s="395"/>
      <c r="T258" s="395"/>
      <c r="U258" s="395"/>
      <c r="V258" s="395"/>
    </row>
    <row r="259" spans="2:22" s="383" customFormat="1">
      <c r="S259" s="395"/>
      <c r="T259" s="395"/>
      <c r="U259" s="395"/>
      <c r="V259" s="395"/>
    </row>
    <row r="260" spans="2:22" s="383" customFormat="1">
      <c r="B260" s="393"/>
      <c r="P260" s="394"/>
      <c r="S260" s="395"/>
      <c r="T260" s="395"/>
      <c r="U260" s="395"/>
      <c r="V260" s="395"/>
    </row>
    <row r="261" spans="2:22" s="383" customFormat="1">
      <c r="S261" s="395"/>
      <c r="T261" s="395"/>
      <c r="U261" s="395"/>
      <c r="V261" s="395"/>
    </row>
    <row r="262" spans="2:22" s="383" customFormat="1">
      <c r="S262" s="395"/>
      <c r="T262" s="395"/>
      <c r="U262" s="395"/>
      <c r="V262" s="395"/>
    </row>
    <row r="263" spans="2:22" s="383" customFormat="1">
      <c r="B263" s="393"/>
      <c r="P263" s="394"/>
      <c r="S263" s="395"/>
      <c r="T263" s="395"/>
      <c r="U263" s="395"/>
      <c r="V263" s="395"/>
    </row>
    <row r="264" spans="2:22" s="383" customFormat="1">
      <c r="S264" s="395"/>
      <c r="T264" s="395"/>
      <c r="U264" s="395"/>
      <c r="V264" s="395"/>
    </row>
    <row r="265" spans="2:22" s="383" customFormat="1">
      <c r="S265" s="395"/>
      <c r="T265" s="395"/>
      <c r="U265" s="395"/>
      <c r="V265" s="395"/>
    </row>
    <row r="266" spans="2:22" s="383" customFormat="1">
      <c r="B266" s="393"/>
      <c r="P266" s="394"/>
      <c r="S266" s="395"/>
      <c r="T266" s="395"/>
      <c r="U266" s="395"/>
      <c r="V266" s="395"/>
    </row>
    <row r="267" spans="2:22" s="383" customFormat="1">
      <c r="S267" s="395"/>
      <c r="T267" s="395"/>
      <c r="U267" s="395"/>
      <c r="V267" s="395"/>
    </row>
    <row r="268" spans="2:22" s="383" customFormat="1">
      <c r="S268" s="395"/>
      <c r="T268" s="395"/>
      <c r="U268" s="395"/>
      <c r="V268" s="395"/>
    </row>
    <row r="269" spans="2:22" s="383" customFormat="1">
      <c r="B269" s="393"/>
      <c r="P269" s="394"/>
      <c r="S269" s="395"/>
      <c r="T269" s="395"/>
      <c r="U269" s="395"/>
      <c r="V269" s="395"/>
    </row>
    <row r="270" spans="2:22" s="383" customFormat="1">
      <c r="S270" s="395"/>
      <c r="T270" s="395"/>
      <c r="U270" s="395"/>
      <c r="V270" s="395"/>
    </row>
    <row r="271" spans="2:22" s="383" customFormat="1">
      <c r="S271" s="395"/>
      <c r="T271" s="395"/>
      <c r="U271" s="395"/>
      <c r="V271" s="395"/>
    </row>
    <row r="272" spans="2:22" s="383" customFormat="1">
      <c r="B272" s="393"/>
      <c r="P272" s="394"/>
      <c r="S272" s="395"/>
      <c r="T272" s="395"/>
      <c r="U272" s="395"/>
      <c r="V272" s="395"/>
    </row>
    <row r="273" spans="2:22" s="383" customFormat="1">
      <c r="S273" s="395"/>
      <c r="T273" s="395"/>
      <c r="U273" s="395"/>
      <c r="V273" s="395"/>
    </row>
    <row r="274" spans="2:22" s="383" customFormat="1">
      <c r="S274" s="395"/>
      <c r="T274" s="395"/>
      <c r="U274" s="395"/>
      <c r="V274" s="395"/>
    </row>
    <row r="275" spans="2:22" s="383" customFormat="1">
      <c r="B275" s="393"/>
      <c r="P275" s="394"/>
      <c r="S275" s="395"/>
      <c r="T275" s="395"/>
      <c r="U275" s="395"/>
      <c r="V275" s="395"/>
    </row>
    <row r="276" spans="2:22" s="383" customFormat="1">
      <c r="S276" s="395"/>
      <c r="T276" s="395"/>
      <c r="U276" s="395"/>
      <c r="V276" s="395"/>
    </row>
    <row r="277" spans="2:22" s="383" customFormat="1">
      <c r="S277" s="395"/>
      <c r="T277" s="395"/>
      <c r="U277" s="395"/>
      <c r="V277" s="395"/>
    </row>
    <row r="278" spans="2:22" s="383" customFormat="1">
      <c r="B278" s="393"/>
      <c r="P278" s="394"/>
      <c r="S278" s="396"/>
      <c r="T278" s="395"/>
      <c r="U278" s="395"/>
      <c r="V278" s="395"/>
    </row>
    <row r="279" spans="2:22" s="383" customFormat="1">
      <c r="S279" s="395"/>
      <c r="T279" s="395"/>
      <c r="U279" s="395"/>
      <c r="V279" s="395"/>
    </row>
    <row r="280" spans="2:22" s="383" customFormat="1">
      <c r="S280" s="395"/>
      <c r="T280" s="395"/>
      <c r="U280" s="395"/>
      <c r="V280" s="395"/>
    </row>
    <row r="281" spans="2:22" s="383" customFormat="1">
      <c r="B281" s="393"/>
      <c r="P281" s="394"/>
      <c r="S281" s="395"/>
      <c r="T281" s="395"/>
      <c r="U281" s="395"/>
      <c r="V281" s="395"/>
    </row>
    <row r="282" spans="2:22" s="383" customFormat="1">
      <c r="S282" s="395"/>
      <c r="T282" s="395"/>
      <c r="U282" s="395"/>
      <c r="V282" s="395"/>
    </row>
    <row r="283" spans="2:22" s="383" customFormat="1">
      <c r="S283" s="395"/>
      <c r="T283" s="395"/>
      <c r="U283" s="395"/>
      <c r="V283" s="395"/>
    </row>
    <row r="284" spans="2:22" s="383" customFormat="1">
      <c r="B284" s="393"/>
      <c r="P284" s="394"/>
      <c r="S284" s="395"/>
      <c r="T284" s="395"/>
      <c r="U284" s="395"/>
      <c r="V284" s="395"/>
    </row>
    <row r="285" spans="2:22" s="383" customFormat="1">
      <c r="S285" s="395"/>
      <c r="T285" s="395"/>
      <c r="U285" s="395"/>
      <c r="V285" s="395"/>
    </row>
    <row r="286" spans="2:22" s="383" customFormat="1">
      <c r="S286" s="395"/>
      <c r="T286" s="395"/>
      <c r="U286" s="395"/>
      <c r="V286" s="395"/>
    </row>
    <row r="287" spans="2:22" s="383" customFormat="1">
      <c r="B287" s="393"/>
      <c r="P287" s="394"/>
      <c r="S287" s="395"/>
      <c r="T287" s="395"/>
      <c r="U287" s="395"/>
      <c r="V287" s="395"/>
    </row>
    <row r="288" spans="2:22" s="383" customFormat="1">
      <c r="S288" s="395"/>
      <c r="T288" s="395"/>
      <c r="U288" s="395"/>
      <c r="V288" s="395"/>
    </row>
    <row r="289" spans="2:22" s="383" customFormat="1">
      <c r="S289" s="395"/>
      <c r="T289" s="395"/>
      <c r="U289" s="395"/>
      <c r="V289" s="395"/>
    </row>
    <row r="290" spans="2:22" s="383" customFormat="1">
      <c r="B290" s="393"/>
      <c r="P290" s="394"/>
      <c r="S290" s="395"/>
      <c r="T290" s="395"/>
      <c r="U290" s="395"/>
      <c r="V290" s="395"/>
    </row>
    <row r="291" spans="2:22" s="383" customFormat="1">
      <c r="S291" s="395"/>
      <c r="T291" s="395"/>
      <c r="U291" s="395"/>
      <c r="V291" s="395"/>
    </row>
    <row r="292" spans="2:22" s="383" customFormat="1">
      <c r="S292" s="395"/>
      <c r="T292" s="395"/>
      <c r="U292" s="395"/>
      <c r="V292" s="395"/>
    </row>
    <row r="293" spans="2:22" s="383" customFormat="1">
      <c r="B293" s="393"/>
      <c r="P293" s="394"/>
      <c r="S293" s="395"/>
      <c r="T293" s="395"/>
      <c r="U293" s="395"/>
      <c r="V293" s="395"/>
    </row>
    <row r="294" spans="2:22" s="383" customFormat="1">
      <c r="S294" s="395"/>
      <c r="T294" s="395"/>
      <c r="U294" s="395"/>
      <c r="V294" s="395"/>
    </row>
    <row r="295" spans="2:22" s="383" customFormat="1">
      <c r="S295" s="395"/>
      <c r="T295" s="395"/>
      <c r="U295" s="395"/>
      <c r="V295" s="395"/>
    </row>
    <row r="296" spans="2:22" s="383" customFormat="1">
      <c r="B296" s="393"/>
      <c r="P296" s="394"/>
      <c r="S296" s="396"/>
      <c r="T296" s="395"/>
      <c r="U296" s="395"/>
      <c r="V296" s="395"/>
    </row>
    <row r="297" spans="2:22" s="383" customFormat="1">
      <c r="S297" s="395"/>
      <c r="T297" s="395"/>
      <c r="U297" s="395"/>
      <c r="V297" s="395"/>
    </row>
    <row r="298" spans="2:22" s="383" customFormat="1">
      <c r="S298" s="395"/>
      <c r="T298" s="395"/>
      <c r="U298" s="395"/>
      <c r="V298" s="395"/>
    </row>
    <row r="299" spans="2:22" s="383" customFormat="1">
      <c r="B299" s="393"/>
      <c r="P299" s="394"/>
      <c r="S299" s="395"/>
      <c r="T299" s="395"/>
      <c r="U299" s="395"/>
      <c r="V299" s="395"/>
    </row>
    <row r="300" spans="2:22" s="383" customFormat="1">
      <c r="S300" s="395"/>
      <c r="T300" s="395"/>
      <c r="U300" s="395"/>
      <c r="V300" s="395"/>
    </row>
    <row r="301" spans="2:22" s="383" customFormat="1">
      <c r="S301" s="395"/>
      <c r="T301" s="395"/>
      <c r="U301" s="395"/>
      <c r="V301" s="395"/>
    </row>
    <row r="302" spans="2:22" s="383" customFormat="1">
      <c r="B302" s="393"/>
      <c r="P302" s="394"/>
      <c r="S302" s="395"/>
      <c r="T302" s="395"/>
      <c r="U302" s="395"/>
      <c r="V302" s="395"/>
    </row>
    <row r="303" spans="2:22" s="383" customFormat="1">
      <c r="S303" s="395"/>
      <c r="T303" s="395"/>
      <c r="U303" s="395"/>
      <c r="V303" s="395"/>
    </row>
    <row r="304" spans="2:22" s="383" customFormat="1">
      <c r="S304" s="395"/>
      <c r="T304" s="395"/>
      <c r="U304" s="395"/>
      <c r="V304" s="395"/>
    </row>
    <row r="305" spans="2:22" s="383" customFormat="1">
      <c r="B305" s="393"/>
      <c r="P305" s="394"/>
      <c r="S305" s="395"/>
      <c r="T305" s="395"/>
      <c r="U305" s="395"/>
      <c r="V305" s="395"/>
    </row>
    <row r="306" spans="2:22" s="383" customFormat="1">
      <c r="S306" s="395"/>
      <c r="T306" s="395"/>
      <c r="U306" s="395"/>
      <c r="V306" s="395"/>
    </row>
    <row r="307" spans="2:22" s="383" customFormat="1">
      <c r="S307" s="395"/>
      <c r="T307" s="395"/>
      <c r="U307" s="395"/>
      <c r="V307" s="395"/>
    </row>
    <row r="308" spans="2:22" s="383" customFormat="1">
      <c r="B308" s="393"/>
      <c r="P308" s="394"/>
      <c r="S308" s="395"/>
      <c r="T308" s="395"/>
      <c r="U308" s="395"/>
      <c r="V308" s="395"/>
    </row>
    <row r="309" spans="2:22" s="383" customFormat="1">
      <c r="S309" s="395"/>
      <c r="T309" s="395"/>
      <c r="U309" s="395"/>
      <c r="V309" s="395"/>
    </row>
    <row r="310" spans="2:22" s="383" customFormat="1">
      <c r="S310" s="395"/>
      <c r="T310" s="395"/>
      <c r="U310" s="395"/>
      <c r="V310" s="395"/>
    </row>
    <row r="311" spans="2:22" s="383" customFormat="1">
      <c r="B311" s="393"/>
      <c r="P311" s="394"/>
      <c r="S311" s="395"/>
      <c r="T311" s="395"/>
      <c r="U311" s="395"/>
      <c r="V311" s="395"/>
    </row>
    <row r="312" spans="2:22" s="383" customFormat="1">
      <c r="S312" s="395"/>
      <c r="T312" s="395"/>
      <c r="U312" s="395"/>
      <c r="V312" s="395"/>
    </row>
    <row r="313" spans="2:22" s="383" customFormat="1">
      <c r="S313" s="395"/>
      <c r="T313" s="395"/>
      <c r="U313" s="395"/>
      <c r="V313" s="395"/>
    </row>
    <row r="314" spans="2:22" s="383" customFormat="1">
      <c r="B314" s="393"/>
      <c r="P314" s="394"/>
      <c r="S314" s="395"/>
      <c r="T314" s="395"/>
      <c r="U314" s="395"/>
      <c r="V314" s="395"/>
    </row>
    <row r="315" spans="2:22" s="383" customFormat="1">
      <c r="S315" s="395"/>
      <c r="T315" s="395"/>
      <c r="U315" s="395"/>
      <c r="V315" s="395"/>
    </row>
    <row r="316" spans="2:22" s="383" customFormat="1">
      <c r="S316" s="395"/>
      <c r="T316" s="395"/>
      <c r="U316" s="395"/>
      <c r="V316" s="395"/>
    </row>
    <row r="317" spans="2:22" s="383" customFormat="1">
      <c r="B317" s="393"/>
      <c r="P317" s="394"/>
      <c r="S317" s="395"/>
      <c r="T317" s="395"/>
      <c r="U317" s="395"/>
      <c r="V317" s="395"/>
    </row>
    <row r="318" spans="2:22" s="383" customFormat="1">
      <c r="S318" s="395"/>
      <c r="T318" s="395"/>
      <c r="U318" s="395"/>
      <c r="V318" s="395"/>
    </row>
    <row r="319" spans="2:22" s="383" customFormat="1">
      <c r="S319" s="395"/>
      <c r="T319" s="395"/>
      <c r="U319" s="395"/>
      <c r="V319" s="395"/>
    </row>
    <row r="320" spans="2:22" s="383" customFormat="1">
      <c r="B320" s="393"/>
      <c r="P320" s="394"/>
      <c r="S320" s="395"/>
      <c r="T320" s="395"/>
      <c r="U320" s="395"/>
      <c r="V320" s="395"/>
    </row>
    <row r="321" spans="2:22" s="383" customFormat="1">
      <c r="S321" s="395"/>
      <c r="T321" s="395"/>
      <c r="U321" s="395"/>
      <c r="V321" s="395"/>
    </row>
    <row r="322" spans="2:22" s="383" customFormat="1">
      <c r="S322" s="395"/>
      <c r="T322" s="395"/>
      <c r="U322" s="395"/>
      <c r="V322" s="395"/>
    </row>
    <row r="323" spans="2:22" s="383" customFormat="1">
      <c r="B323" s="393"/>
      <c r="P323" s="394"/>
      <c r="S323" s="395"/>
      <c r="T323" s="395"/>
      <c r="U323" s="395"/>
      <c r="V323" s="395"/>
    </row>
    <row r="324" spans="2:22" s="383" customFormat="1">
      <c r="S324" s="395"/>
      <c r="T324" s="395"/>
      <c r="U324" s="395"/>
      <c r="V324" s="395"/>
    </row>
    <row r="325" spans="2:22" s="383" customFormat="1">
      <c r="S325" s="395"/>
      <c r="T325" s="395"/>
      <c r="U325" s="395"/>
      <c r="V325" s="395"/>
    </row>
    <row r="326" spans="2:22" s="383" customFormat="1">
      <c r="B326" s="393"/>
      <c r="P326" s="394"/>
      <c r="S326" s="395"/>
      <c r="T326" s="395"/>
      <c r="U326" s="395"/>
      <c r="V326" s="395"/>
    </row>
    <row r="327" spans="2:22" s="383" customFormat="1">
      <c r="S327" s="395"/>
      <c r="T327" s="395"/>
      <c r="U327" s="395"/>
      <c r="V327" s="395"/>
    </row>
    <row r="328" spans="2:22" s="383" customFormat="1">
      <c r="S328" s="395"/>
      <c r="T328" s="395"/>
      <c r="U328" s="395"/>
      <c r="V328" s="395"/>
    </row>
    <row r="329" spans="2:22" s="383" customFormat="1">
      <c r="B329" s="393"/>
      <c r="P329" s="394"/>
      <c r="S329" s="395"/>
      <c r="T329" s="395"/>
      <c r="U329" s="395"/>
      <c r="V329" s="395"/>
    </row>
    <row r="330" spans="2:22" s="383" customFormat="1">
      <c r="S330" s="395"/>
      <c r="T330" s="395"/>
      <c r="U330" s="395"/>
      <c r="V330" s="395"/>
    </row>
    <row r="331" spans="2:22" s="383" customFormat="1">
      <c r="S331" s="395"/>
      <c r="T331" s="395"/>
      <c r="U331" s="395"/>
      <c r="V331" s="395"/>
    </row>
    <row r="332" spans="2:22" s="383" customFormat="1">
      <c r="B332" s="393"/>
      <c r="P332" s="394"/>
      <c r="S332" s="395"/>
      <c r="T332" s="395"/>
      <c r="U332" s="395"/>
      <c r="V332" s="395"/>
    </row>
    <row r="333" spans="2:22" s="383" customFormat="1">
      <c r="S333" s="395"/>
      <c r="T333" s="395"/>
      <c r="U333" s="395"/>
      <c r="V333" s="395"/>
    </row>
    <row r="334" spans="2:22" s="383" customFormat="1">
      <c r="S334" s="395"/>
      <c r="T334" s="395"/>
      <c r="U334" s="395"/>
      <c r="V334" s="395"/>
    </row>
    <row r="335" spans="2:22" s="383" customFormat="1">
      <c r="B335" s="393"/>
      <c r="P335" s="394"/>
      <c r="S335" s="395"/>
      <c r="T335" s="395"/>
      <c r="U335" s="395"/>
      <c r="V335" s="395"/>
    </row>
    <row r="336" spans="2:22" s="383" customFormat="1">
      <c r="S336" s="395"/>
      <c r="T336" s="395"/>
      <c r="U336" s="395"/>
      <c r="V336" s="395"/>
    </row>
    <row r="337" spans="2:22" s="383" customFormat="1">
      <c r="S337" s="395"/>
      <c r="T337" s="395"/>
      <c r="U337" s="395"/>
      <c r="V337" s="395"/>
    </row>
    <row r="338" spans="2:22" s="383" customFormat="1">
      <c r="B338" s="393"/>
      <c r="P338" s="394"/>
      <c r="S338" s="395"/>
      <c r="T338" s="395"/>
      <c r="U338" s="395"/>
      <c r="V338" s="395"/>
    </row>
    <row r="339" spans="2:22" s="383" customFormat="1">
      <c r="S339" s="395"/>
      <c r="T339" s="395"/>
      <c r="U339" s="395"/>
      <c r="V339" s="395"/>
    </row>
    <row r="340" spans="2:22" s="383" customFormat="1">
      <c r="S340" s="395"/>
      <c r="T340" s="395"/>
      <c r="U340" s="395"/>
      <c r="V340" s="395"/>
    </row>
    <row r="341" spans="2:22" s="383" customFormat="1">
      <c r="B341" s="393"/>
      <c r="P341" s="394"/>
      <c r="S341" s="395"/>
      <c r="T341" s="395"/>
      <c r="U341" s="395"/>
      <c r="V341" s="395"/>
    </row>
    <row r="342" spans="2:22" s="383" customFormat="1">
      <c r="S342" s="395"/>
      <c r="T342" s="395"/>
      <c r="U342" s="395"/>
      <c r="V342" s="395"/>
    </row>
    <row r="343" spans="2:22" s="383" customFormat="1">
      <c r="S343" s="395"/>
      <c r="T343" s="395"/>
      <c r="U343" s="395"/>
      <c r="V343" s="395"/>
    </row>
    <row r="344" spans="2:22" s="383" customFormat="1">
      <c r="B344" s="393"/>
      <c r="P344" s="394"/>
      <c r="S344" s="395"/>
      <c r="T344" s="395"/>
      <c r="U344" s="395"/>
      <c r="V344" s="395"/>
    </row>
    <row r="345" spans="2:22" s="383" customFormat="1">
      <c r="S345" s="395"/>
      <c r="T345" s="395"/>
      <c r="U345" s="395"/>
      <c r="V345" s="395"/>
    </row>
    <row r="346" spans="2:22" s="383" customFormat="1">
      <c r="S346" s="395"/>
      <c r="T346" s="395"/>
      <c r="U346" s="395"/>
      <c r="V346" s="395"/>
    </row>
    <row r="347" spans="2:22" s="383" customFormat="1">
      <c r="B347" s="393"/>
      <c r="P347" s="394"/>
      <c r="S347" s="395"/>
      <c r="T347" s="395"/>
      <c r="U347" s="395"/>
      <c r="V347" s="395"/>
    </row>
    <row r="348" spans="2:22" s="383" customFormat="1">
      <c r="S348" s="395"/>
      <c r="T348" s="395"/>
      <c r="U348" s="395"/>
      <c r="V348" s="395"/>
    </row>
    <row r="349" spans="2:22" s="383" customFormat="1">
      <c r="S349" s="395"/>
      <c r="T349" s="395"/>
      <c r="U349" s="395"/>
      <c r="V349" s="395"/>
    </row>
    <row r="350" spans="2:22" s="383" customFormat="1">
      <c r="B350" s="393"/>
      <c r="P350" s="394"/>
      <c r="S350" s="395"/>
      <c r="T350" s="395"/>
      <c r="U350" s="395"/>
      <c r="V350" s="395"/>
    </row>
    <row r="351" spans="2:22" s="383" customFormat="1">
      <c r="S351" s="395"/>
      <c r="T351" s="395"/>
      <c r="U351" s="395"/>
      <c r="V351" s="395"/>
    </row>
    <row r="352" spans="2:22" s="383" customFormat="1">
      <c r="S352" s="395"/>
      <c r="T352" s="395"/>
      <c r="U352" s="395"/>
      <c r="V352" s="395"/>
    </row>
    <row r="353" spans="2:22" s="383" customFormat="1">
      <c r="B353" s="393"/>
      <c r="P353" s="394"/>
      <c r="S353" s="395"/>
      <c r="T353" s="395"/>
      <c r="U353" s="395"/>
      <c r="V353" s="395"/>
    </row>
    <row r="354" spans="2:22" s="383" customFormat="1">
      <c r="S354" s="395"/>
      <c r="T354" s="395"/>
      <c r="U354" s="395"/>
      <c r="V354" s="395"/>
    </row>
    <row r="355" spans="2:22" s="383" customFormat="1">
      <c r="S355" s="395"/>
      <c r="T355" s="395"/>
      <c r="U355" s="395"/>
      <c r="V355" s="395"/>
    </row>
    <row r="356" spans="2:22" s="383" customFormat="1">
      <c r="B356" s="393"/>
      <c r="P356" s="394"/>
      <c r="S356" s="395"/>
      <c r="T356" s="395"/>
      <c r="U356" s="395"/>
      <c r="V356" s="395"/>
    </row>
    <row r="357" spans="2:22" s="383" customFormat="1">
      <c r="S357" s="395"/>
      <c r="T357" s="395"/>
      <c r="U357" s="395"/>
      <c r="V357" s="395"/>
    </row>
    <row r="358" spans="2:22" s="383" customFormat="1">
      <c r="S358" s="395"/>
      <c r="T358" s="395"/>
      <c r="U358" s="395"/>
      <c r="V358" s="395"/>
    </row>
    <row r="359" spans="2:22" s="383" customFormat="1">
      <c r="B359" s="393"/>
      <c r="P359" s="394"/>
      <c r="S359" s="395"/>
      <c r="T359" s="395"/>
      <c r="U359" s="395"/>
      <c r="V359" s="395"/>
    </row>
    <row r="360" spans="2:22" s="383" customFormat="1">
      <c r="S360" s="395"/>
      <c r="T360" s="395"/>
      <c r="U360" s="395"/>
      <c r="V360" s="395"/>
    </row>
    <row r="361" spans="2:22" s="383" customFormat="1">
      <c r="S361" s="395"/>
      <c r="T361" s="395"/>
      <c r="U361" s="395"/>
      <c r="V361" s="395"/>
    </row>
    <row r="362" spans="2:22" s="383" customFormat="1">
      <c r="B362" s="393"/>
      <c r="P362" s="394"/>
      <c r="S362" s="395"/>
      <c r="T362" s="395"/>
      <c r="U362" s="395"/>
      <c r="V362" s="395"/>
    </row>
    <row r="363" spans="2:22" s="383" customFormat="1">
      <c r="S363" s="395"/>
      <c r="T363" s="395"/>
      <c r="U363" s="395"/>
      <c r="V363" s="395"/>
    </row>
    <row r="364" spans="2:22" s="383" customFormat="1">
      <c r="S364" s="395"/>
      <c r="T364" s="395"/>
      <c r="U364" s="395"/>
      <c r="V364" s="395"/>
    </row>
    <row r="365" spans="2:22" s="383" customFormat="1">
      <c r="B365" s="393"/>
      <c r="P365" s="394"/>
      <c r="S365" s="395"/>
      <c r="T365" s="395"/>
      <c r="U365" s="395"/>
      <c r="V365" s="395"/>
    </row>
    <row r="366" spans="2:22" s="383" customFormat="1">
      <c r="S366" s="395"/>
      <c r="T366" s="395"/>
      <c r="U366" s="395"/>
      <c r="V366" s="395"/>
    </row>
    <row r="367" spans="2:22" s="383" customFormat="1">
      <c r="S367" s="395"/>
      <c r="T367" s="395"/>
      <c r="U367" s="395"/>
      <c r="V367" s="395"/>
    </row>
    <row r="368" spans="2:22" s="383" customFormat="1">
      <c r="B368" s="393"/>
      <c r="P368" s="394"/>
      <c r="S368" s="395"/>
      <c r="T368" s="395"/>
      <c r="U368" s="395"/>
      <c r="V368" s="395"/>
    </row>
    <row r="369" spans="2:22" s="383" customFormat="1">
      <c r="S369" s="395"/>
      <c r="T369" s="395"/>
      <c r="U369" s="395"/>
      <c r="V369" s="395"/>
    </row>
    <row r="370" spans="2:22" s="383" customFormat="1">
      <c r="S370" s="395"/>
      <c r="T370" s="395"/>
      <c r="U370" s="395"/>
      <c r="V370" s="395"/>
    </row>
    <row r="371" spans="2:22" s="383" customFormat="1">
      <c r="B371" s="393"/>
      <c r="P371" s="394"/>
      <c r="S371" s="395"/>
      <c r="T371" s="395"/>
      <c r="U371" s="395"/>
      <c r="V371" s="395"/>
    </row>
    <row r="372" spans="2:22" s="383" customFormat="1">
      <c r="S372" s="395"/>
      <c r="T372" s="395"/>
      <c r="U372" s="395"/>
      <c r="V372" s="395"/>
    </row>
    <row r="373" spans="2:22" s="383" customFormat="1">
      <c r="S373" s="395"/>
      <c r="T373" s="395"/>
      <c r="U373" s="395"/>
      <c r="V373" s="395"/>
    </row>
    <row r="374" spans="2:22" s="383" customFormat="1">
      <c r="B374" s="393"/>
      <c r="P374" s="394"/>
      <c r="S374" s="395"/>
      <c r="T374" s="395"/>
      <c r="U374" s="395"/>
      <c r="V374" s="395"/>
    </row>
    <row r="375" spans="2:22" s="383" customFormat="1">
      <c r="S375" s="395"/>
      <c r="T375" s="395"/>
      <c r="U375" s="395"/>
      <c r="V375" s="395"/>
    </row>
    <row r="376" spans="2:22" s="383" customFormat="1">
      <c r="S376" s="395"/>
      <c r="T376" s="395"/>
      <c r="U376" s="395"/>
      <c r="V376" s="395"/>
    </row>
    <row r="377" spans="2:22" s="383" customFormat="1">
      <c r="B377" s="393"/>
      <c r="P377" s="394"/>
      <c r="S377" s="395"/>
      <c r="T377" s="395"/>
      <c r="U377" s="395"/>
      <c r="V377" s="395"/>
    </row>
    <row r="378" spans="2:22" s="383" customFormat="1">
      <c r="S378" s="395"/>
      <c r="T378" s="395"/>
      <c r="U378" s="395"/>
      <c r="V378" s="395"/>
    </row>
    <row r="379" spans="2:22" s="383" customFormat="1">
      <c r="S379" s="395"/>
      <c r="T379" s="395"/>
      <c r="U379" s="395"/>
      <c r="V379" s="395"/>
    </row>
    <row r="380" spans="2:22" s="383" customFormat="1">
      <c r="B380" s="393"/>
      <c r="P380" s="394"/>
      <c r="S380" s="395"/>
      <c r="T380" s="395"/>
      <c r="U380" s="395"/>
      <c r="V380" s="395"/>
    </row>
    <row r="381" spans="2:22" s="383" customFormat="1">
      <c r="S381" s="395"/>
      <c r="T381" s="395"/>
      <c r="U381" s="395"/>
      <c r="V381" s="395"/>
    </row>
    <row r="382" spans="2:22" s="383" customFormat="1">
      <c r="S382" s="395"/>
      <c r="T382" s="395"/>
      <c r="U382" s="395"/>
      <c r="V382" s="395"/>
    </row>
    <row r="383" spans="2:22" s="383" customFormat="1">
      <c r="B383" s="393"/>
      <c r="P383" s="394"/>
      <c r="S383" s="395"/>
      <c r="T383" s="395"/>
      <c r="U383" s="395"/>
      <c r="V383" s="395"/>
    </row>
    <row r="384" spans="2:22" s="383" customFormat="1">
      <c r="S384" s="395"/>
      <c r="T384" s="395"/>
      <c r="U384" s="395"/>
      <c r="V384" s="395"/>
    </row>
    <row r="385" spans="2:22" s="383" customFormat="1">
      <c r="S385" s="395"/>
      <c r="T385" s="395"/>
      <c r="U385" s="395"/>
      <c r="V385" s="395"/>
    </row>
    <row r="386" spans="2:22" s="383" customFormat="1">
      <c r="B386" s="393"/>
      <c r="P386" s="394"/>
      <c r="S386" s="395"/>
      <c r="T386" s="395"/>
      <c r="U386" s="395"/>
      <c r="V386" s="395"/>
    </row>
    <row r="387" spans="2:22" s="383" customFormat="1">
      <c r="S387" s="395"/>
      <c r="T387" s="395"/>
      <c r="U387" s="395"/>
      <c r="V387" s="395"/>
    </row>
    <row r="388" spans="2:22" s="383" customFormat="1">
      <c r="S388" s="395"/>
      <c r="T388" s="395"/>
      <c r="U388" s="395"/>
      <c r="V388" s="395"/>
    </row>
    <row r="389" spans="2:22" s="383" customFormat="1">
      <c r="B389" s="393"/>
      <c r="P389" s="394"/>
      <c r="S389" s="395"/>
      <c r="T389" s="395"/>
      <c r="U389" s="395"/>
      <c r="V389" s="395"/>
    </row>
    <row r="390" spans="2:22" s="383" customFormat="1">
      <c r="S390" s="395"/>
      <c r="T390" s="395"/>
      <c r="U390" s="395"/>
      <c r="V390" s="395"/>
    </row>
    <row r="391" spans="2:22" s="383" customFormat="1">
      <c r="S391" s="395"/>
      <c r="T391" s="395"/>
      <c r="U391" s="395"/>
      <c r="V391" s="395"/>
    </row>
    <row r="392" spans="2:22" s="383" customFormat="1">
      <c r="B392" s="393"/>
      <c r="P392" s="394"/>
      <c r="S392" s="395"/>
      <c r="T392" s="395"/>
      <c r="U392" s="395"/>
      <c r="V392" s="395"/>
    </row>
    <row r="393" spans="2:22" s="383" customFormat="1">
      <c r="S393" s="395"/>
      <c r="T393" s="395"/>
      <c r="U393" s="395"/>
      <c r="V393" s="395"/>
    </row>
    <row r="394" spans="2:22" s="383" customFormat="1">
      <c r="S394" s="395"/>
      <c r="T394" s="395"/>
      <c r="U394" s="395"/>
      <c r="V394" s="395"/>
    </row>
    <row r="395" spans="2:22" s="383" customFormat="1">
      <c r="B395" s="393"/>
      <c r="P395" s="394"/>
      <c r="S395" s="395"/>
      <c r="T395" s="395"/>
      <c r="U395" s="395"/>
      <c r="V395" s="395"/>
    </row>
    <row r="396" spans="2:22" s="383" customFormat="1">
      <c r="S396" s="395"/>
      <c r="T396" s="395"/>
      <c r="U396" s="395"/>
      <c r="V396" s="395"/>
    </row>
    <row r="397" spans="2:22" s="383" customFormat="1">
      <c r="S397" s="395"/>
      <c r="T397" s="395"/>
      <c r="U397" s="395"/>
      <c r="V397" s="395"/>
    </row>
    <row r="398" spans="2:22" s="383" customFormat="1">
      <c r="B398" s="393"/>
      <c r="P398" s="394"/>
      <c r="S398" s="395"/>
      <c r="T398" s="395"/>
      <c r="U398" s="395"/>
      <c r="V398" s="395"/>
    </row>
    <row r="399" spans="2:22" s="383" customFormat="1">
      <c r="S399" s="395"/>
      <c r="T399" s="395"/>
      <c r="U399" s="395"/>
      <c r="V399" s="395"/>
    </row>
    <row r="400" spans="2:22" s="383" customFormat="1">
      <c r="S400" s="395"/>
      <c r="T400" s="395"/>
      <c r="U400" s="395"/>
      <c r="V400" s="395"/>
    </row>
    <row r="401" spans="2:22" s="383" customFormat="1">
      <c r="B401" s="393"/>
      <c r="P401" s="394"/>
      <c r="S401" s="395"/>
      <c r="T401" s="395"/>
      <c r="U401" s="395"/>
      <c r="V401" s="395"/>
    </row>
    <row r="402" spans="2:22" s="383" customFormat="1">
      <c r="S402" s="395"/>
      <c r="T402" s="395"/>
      <c r="U402" s="395"/>
      <c r="V402" s="395"/>
    </row>
    <row r="403" spans="2:22" s="383" customFormat="1">
      <c r="S403" s="395"/>
      <c r="T403" s="395"/>
      <c r="U403" s="395"/>
      <c r="V403" s="395"/>
    </row>
    <row r="404" spans="2:22" s="383" customFormat="1">
      <c r="B404" s="393"/>
      <c r="P404" s="394"/>
      <c r="S404" s="395"/>
      <c r="T404" s="395"/>
      <c r="U404" s="395"/>
      <c r="V404" s="395"/>
    </row>
    <row r="405" spans="2:22" s="383" customFormat="1">
      <c r="S405" s="395"/>
      <c r="T405" s="395"/>
      <c r="U405" s="395"/>
      <c r="V405" s="395"/>
    </row>
    <row r="406" spans="2:22" s="383" customFormat="1">
      <c r="S406" s="395"/>
      <c r="T406" s="395"/>
      <c r="U406" s="395"/>
      <c r="V406" s="395"/>
    </row>
    <row r="407" spans="2:22" s="383" customFormat="1">
      <c r="B407" s="393"/>
      <c r="P407" s="394"/>
      <c r="S407" s="395"/>
      <c r="T407" s="395"/>
      <c r="U407" s="395"/>
      <c r="V407" s="395"/>
    </row>
    <row r="408" spans="2:22" s="383" customFormat="1">
      <c r="S408" s="395"/>
      <c r="T408" s="395"/>
      <c r="U408" s="395"/>
      <c r="V408" s="395"/>
    </row>
    <row r="409" spans="2:22" s="383" customFormat="1">
      <c r="S409" s="395"/>
      <c r="T409" s="395"/>
      <c r="U409" s="395"/>
      <c r="V409" s="395"/>
    </row>
    <row r="410" spans="2:22" s="383" customFormat="1">
      <c r="B410" s="393"/>
      <c r="P410" s="394"/>
      <c r="S410" s="395"/>
      <c r="T410" s="395"/>
      <c r="U410" s="395"/>
      <c r="V410" s="395"/>
    </row>
    <row r="411" spans="2:22" s="383" customFormat="1">
      <c r="S411" s="395"/>
      <c r="T411" s="395"/>
      <c r="U411" s="395"/>
      <c r="V411" s="395"/>
    </row>
    <row r="412" spans="2:22" s="383" customFormat="1">
      <c r="S412" s="395"/>
      <c r="T412" s="395"/>
      <c r="U412" s="395"/>
      <c r="V412" s="395"/>
    </row>
    <row r="413" spans="2:22" s="383" customFormat="1">
      <c r="B413" s="393"/>
      <c r="P413" s="394"/>
      <c r="S413" s="395"/>
      <c r="T413" s="395"/>
      <c r="U413" s="395"/>
      <c r="V413" s="395"/>
    </row>
    <row r="414" spans="2:22" s="383" customFormat="1">
      <c r="S414" s="395"/>
      <c r="T414" s="395"/>
      <c r="U414" s="395"/>
      <c r="V414" s="395"/>
    </row>
    <row r="415" spans="2:22" s="383" customFormat="1">
      <c r="S415" s="395"/>
      <c r="T415" s="395"/>
      <c r="U415" s="395"/>
      <c r="V415" s="395"/>
    </row>
    <row r="416" spans="2:22" s="383" customFormat="1">
      <c r="B416" s="393"/>
      <c r="P416" s="394"/>
      <c r="S416" s="395"/>
      <c r="T416" s="395"/>
      <c r="U416" s="395"/>
      <c r="V416" s="395"/>
    </row>
    <row r="417" spans="2:22" s="383" customFormat="1">
      <c r="S417" s="395"/>
      <c r="T417" s="395"/>
      <c r="U417" s="395"/>
      <c r="V417" s="395"/>
    </row>
    <row r="418" spans="2:22" s="383" customFormat="1">
      <c r="S418" s="395"/>
      <c r="T418" s="395"/>
      <c r="U418" s="395"/>
      <c r="V418" s="395"/>
    </row>
    <row r="419" spans="2:22" s="383" customFormat="1">
      <c r="B419" s="393"/>
      <c r="P419" s="394"/>
      <c r="S419" s="395"/>
      <c r="T419" s="395"/>
      <c r="U419" s="395"/>
      <c r="V419" s="395"/>
    </row>
    <row r="420" spans="2:22" s="383" customFormat="1">
      <c r="S420" s="395"/>
      <c r="T420" s="395"/>
      <c r="U420" s="395"/>
      <c r="V420" s="395"/>
    </row>
    <row r="421" spans="2:22" s="383" customFormat="1">
      <c r="S421" s="395"/>
      <c r="T421" s="395"/>
      <c r="U421" s="395"/>
      <c r="V421" s="395"/>
    </row>
    <row r="422" spans="2:22" s="383" customFormat="1">
      <c r="B422" s="393"/>
      <c r="P422" s="394"/>
      <c r="S422" s="395"/>
      <c r="T422" s="395"/>
      <c r="U422" s="395"/>
      <c r="V422" s="395"/>
    </row>
    <row r="423" spans="2:22" s="383" customFormat="1">
      <c r="S423" s="395"/>
      <c r="T423" s="395"/>
      <c r="U423" s="395"/>
      <c r="V423" s="395"/>
    </row>
    <row r="424" spans="2:22" s="383" customFormat="1">
      <c r="S424" s="395"/>
      <c r="T424" s="395"/>
      <c r="U424" s="395"/>
      <c r="V424" s="395"/>
    </row>
    <row r="425" spans="2:22" s="383" customFormat="1">
      <c r="B425" s="393"/>
      <c r="P425" s="394"/>
      <c r="S425" s="395"/>
      <c r="T425" s="395"/>
      <c r="U425" s="395"/>
      <c r="V425" s="395"/>
    </row>
    <row r="426" spans="2:22" s="383" customFormat="1">
      <c r="S426" s="395"/>
      <c r="T426" s="395"/>
      <c r="U426" s="395"/>
      <c r="V426" s="395"/>
    </row>
    <row r="427" spans="2:22" s="383" customFormat="1">
      <c r="S427" s="395"/>
      <c r="T427" s="395"/>
      <c r="U427" s="395"/>
      <c r="V427" s="395"/>
    </row>
    <row r="428" spans="2:22" s="383" customFormat="1">
      <c r="B428" s="393"/>
      <c r="P428" s="394"/>
      <c r="S428" s="395"/>
      <c r="T428" s="395"/>
      <c r="U428" s="395"/>
      <c r="V428" s="395"/>
    </row>
    <row r="429" spans="2:22" s="383" customFormat="1">
      <c r="S429" s="395"/>
      <c r="T429" s="395"/>
      <c r="U429" s="395"/>
      <c r="V429" s="395"/>
    </row>
    <row r="430" spans="2:22" s="383" customFormat="1">
      <c r="S430" s="395"/>
      <c r="T430" s="395"/>
      <c r="U430" s="395"/>
      <c r="V430" s="395"/>
    </row>
    <row r="431" spans="2:22" s="383" customFormat="1">
      <c r="B431" s="393"/>
      <c r="P431" s="394"/>
      <c r="S431" s="395"/>
      <c r="T431" s="395"/>
      <c r="U431" s="395"/>
      <c r="V431" s="395"/>
    </row>
    <row r="432" spans="2:22" s="383" customFormat="1">
      <c r="S432" s="395"/>
      <c r="T432" s="395"/>
      <c r="U432" s="395"/>
      <c r="V432" s="395"/>
    </row>
    <row r="433" spans="2:22" s="383" customFormat="1">
      <c r="S433" s="395"/>
      <c r="T433" s="395"/>
      <c r="U433" s="395"/>
      <c r="V433" s="395"/>
    </row>
    <row r="434" spans="2:22" s="383" customFormat="1">
      <c r="B434" s="393"/>
      <c r="P434" s="394"/>
      <c r="S434" s="395"/>
      <c r="T434" s="395"/>
      <c r="U434" s="395"/>
      <c r="V434" s="395"/>
    </row>
    <row r="435" spans="2:22" s="383" customFormat="1">
      <c r="S435" s="395"/>
      <c r="T435" s="395"/>
      <c r="U435" s="395"/>
      <c r="V435" s="395"/>
    </row>
    <row r="436" spans="2:22" s="383" customFormat="1">
      <c r="S436" s="395"/>
      <c r="T436" s="395"/>
      <c r="U436" s="395"/>
      <c r="V436" s="395"/>
    </row>
    <row r="437" spans="2:22" s="383" customFormat="1">
      <c r="B437" s="393"/>
      <c r="P437" s="394"/>
      <c r="S437" s="395"/>
      <c r="T437" s="395"/>
      <c r="U437" s="395"/>
      <c r="V437" s="395"/>
    </row>
    <row r="438" spans="2:22" s="383" customFormat="1">
      <c r="S438" s="395"/>
      <c r="T438" s="395"/>
      <c r="U438" s="395"/>
      <c r="V438" s="395"/>
    </row>
    <row r="439" spans="2:22" s="383" customFormat="1">
      <c r="S439" s="395"/>
      <c r="T439" s="395"/>
      <c r="U439" s="395"/>
      <c r="V439" s="395"/>
    </row>
    <row r="440" spans="2:22" s="383" customFormat="1">
      <c r="B440" s="393"/>
      <c r="P440" s="394"/>
      <c r="S440" s="395"/>
      <c r="T440" s="395"/>
      <c r="U440" s="395"/>
      <c r="V440" s="395"/>
    </row>
    <row r="441" spans="2:22" s="383" customFormat="1">
      <c r="S441" s="395"/>
      <c r="T441" s="395"/>
      <c r="U441" s="395"/>
      <c r="V441" s="395"/>
    </row>
    <row r="442" spans="2:22" s="383" customFormat="1">
      <c r="S442" s="395"/>
      <c r="T442" s="395"/>
      <c r="U442" s="395"/>
      <c r="V442" s="395"/>
    </row>
    <row r="443" spans="2:22" s="383" customFormat="1">
      <c r="B443" s="393"/>
      <c r="P443" s="394"/>
      <c r="S443" s="395"/>
      <c r="T443" s="395"/>
      <c r="U443" s="395"/>
      <c r="V443" s="395"/>
    </row>
    <row r="444" spans="2:22" s="383" customFormat="1">
      <c r="S444" s="395"/>
      <c r="T444" s="395"/>
      <c r="U444" s="395"/>
      <c r="V444" s="395"/>
    </row>
    <row r="445" spans="2:22" s="383" customFormat="1">
      <c r="S445" s="395"/>
      <c r="T445" s="395"/>
      <c r="U445" s="395"/>
      <c r="V445" s="395"/>
    </row>
    <row r="446" spans="2:22" s="383" customFormat="1">
      <c r="B446" s="393"/>
      <c r="P446" s="394"/>
      <c r="S446" s="395"/>
      <c r="T446" s="395"/>
      <c r="U446" s="395"/>
      <c r="V446" s="395"/>
    </row>
    <row r="447" spans="2:22" s="383" customFormat="1">
      <c r="S447" s="395"/>
      <c r="T447" s="395"/>
      <c r="U447" s="395"/>
      <c r="V447" s="395"/>
    </row>
    <row r="448" spans="2:22" s="383" customFormat="1">
      <c r="S448" s="395"/>
      <c r="T448" s="395"/>
      <c r="U448" s="395"/>
      <c r="V448" s="395"/>
    </row>
    <row r="449" spans="2:22" s="383" customFormat="1">
      <c r="B449" s="393"/>
      <c r="P449" s="394"/>
      <c r="S449" s="395"/>
      <c r="T449" s="395"/>
      <c r="U449" s="395"/>
      <c r="V449" s="395"/>
    </row>
    <row r="450" spans="2:22" s="383" customFormat="1">
      <c r="S450" s="395"/>
      <c r="T450" s="395"/>
      <c r="U450" s="395"/>
      <c r="V450" s="395"/>
    </row>
    <row r="451" spans="2:22" s="383" customFormat="1">
      <c r="S451" s="395"/>
      <c r="T451" s="395"/>
      <c r="U451" s="395"/>
      <c r="V451" s="395"/>
    </row>
    <row r="452" spans="2:22" s="383" customFormat="1">
      <c r="B452" s="393"/>
      <c r="P452" s="394"/>
      <c r="S452" s="395"/>
      <c r="T452" s="395"/>
      <c r="U452" s="395"/>
      <c r="V452" s="395"/>
    </row>
    <row r="453" spans="2:22" s="383" customFormat="1">
      <c r="S453" s="395"/>
      <c r="T453" s="395"/>
      <c r="U453" s="395"/>
      <c r="V453" s="395"/>
    </row>
    <row r="454" spans="2:22" s="383" customFormat="1">
      <c r="S454" s="395"/>
      <c r="T454" s="395"/>
      <c r="U454" s="395"/>
      <c r="V454" s="395"/>
    </row>
    <row r="455" spans="2:22" s="383" customFormat="1">
      <c r="B455" s="393"/>
      <c r="P455" s="394"/>
      <c r="S455" s="395"/>
      <c r="T455" s="395"/>
      <c r="U455" s="395"/>
      <c r="V455" s="395"/>
    </row>
    <row r="456" spans="2:22" s="383" customFormat="1">
      <c r="S456" s="395"/>
      <c r="T456" s="395"/>
      <c r="U456" s="395"/>
      <c r="V456" s="395"/>
    </row>
    <row r="457" spans="2:22" s="383" customFormat="1">
      <c r="S457" s="395"/>
      <c r="T457" s="395"/>
      <c r="U457" s="395"/>
      <c r="V457" s="395"/>
    </row>
    <row r="458" spans="2:22" s="383" customFormat="1">
      <c r="B458" s="393"/>
      <c r="P458" s="394"/>
      <c r="S458" s="395"/>
      <c r="T458" s="395"/>
      <c r="U458" s="395"/>
      <c r="V458" s="395"/>
    </row>
    <row r="459" spans="2:22" s="383" customFormat="1">
      <c r="S459" s="395"/>
      <c r="T459" s="395"/>
      <c r="U459" s="395"/>
      <c r="V459" s="395"/>
    </row>
    <row r="460" spans="2:22" s="383" customFormat="1">
      <c r="S460" s="395"/>
      <c r="T460" s="395"/>
      <c r="U460" s="395"/>
      <c r="V460" s="395"/>
    </row>
    <row r="461" spans="2:22" s="383" customFormat="1">
      <c r="B461" s="393"/>
      <c r="P461" s="394"/>
      <c r="S461" s="395"/>
      <c r="T461" s="395"/>
      <c r="U461" s="395"/>
      <c r="V461" s="395"/>
    </row>
    <row r="462" spans="2:22" s="383" customFormat="1">
      <c r="S462" s="395"/>
      <c r="T462" s="395"/>
      <c r="U462" s="395"/>
      <c r="V462" s="395"/>
    </row>
    <row r="463" spans="2:22" s="383" customFormat="1">
      <c r="S463" s="395"/>
      <c r="T463" s="395"/>
      <c r="U463" s="395"/>
      <c r="V463" s="395"/>
    </row>
    <row r="464" spans="2:22" s="383" customFormat="1">
      <c r="B464" s="393"/>
      <c r="P464" s="394"/>
      <c r="S464" s="395"/>
      <c r="T464" s="395"/>
      <c r="U464" s="395"/>
      <c r="V464" s="395"/>
    </row>
    <row r="465" spans="2:22" s="383" customFormat="1">
      <c r="S465" s="395"/>
      <c r="T465" s="395"/>
      <c r="U465" s="395"/>
      <c r="V465" s="395"/>
    </row>
    <row r="466" spans="2:22" s="383" customFormat="1">
      <c r="S466" s="395"/>
      <c r="T466" s="395"/>
      <c r="U466" s="395"/>
      <c r="V466" s="395"/>
    </row>
    <row r="467" spans="2:22" s="383" customFormat="1">
      <c r="B467" s="393"/>
      <c r="P467" s="394"/>
      <c r="S467" s="395"/>
      <c r="T467" s="395"/>
      <c r="U467" s="395"/>
      <c r="V467" s="395"/>
    </row>
    <row r="468" spans="2:22" s="383" customFormat="1">
      <c r="S468" s="395"/>
      <c r="T468" s="395"/>
      <c r="U468" s="395"/>
      <c r="V468" s="395"/>
    </row>
    <row r="469" spans="2:22" s="383" customFormat="1">
      <c r="S469" s="395"/>
      <c r="T469" s="395"/>
      <c r="U469" s="395"/>
      <c r="V469" s="395"/>
    </row>
    <row r="470" spans="2:22" s="383" customFormat="1">
      <c r="B470" s="393"/>
      <c r="P470" s="394"/>
      <c r="S470" s="395"/>
      <c r="T470" s="395"/>
      <c r="U470" s="395"/>
      <c r="V470" s="395"/>
    </row>
    <row r="471" spans="2:22" s="383" customFormat="1">
      <c r="S471" s="395"/>
      <c r="T471" s="395"/>
      <c r="U471" s="395"/>
      <c r="V471" s="395"/>
    </row>
    <row r="472" spans="2:22" s="383" customFormat="1">
      <c r="S472" s="395"/>
      <c r="T472" s="395"/>
      <c r="U472" s="395"/>
      <c r="V472" s="395"/>
    </row>
    <row r="473" spans="2:22" s="383" customFormat="1">
      <c r="B473" s="393"/>
      <c r="P473" s="394"/>
      <c r="S473" s="395"/>
      <c r="T473" s="395"/>
      <c r="U473" s="395"/>
      <c r="V473" s="395"/>
    </row>
    <row r="474" spans="2:22" s="383" customFormat="1">
      <c r="S474" s="395"/>
      <c r="T474" s="395"/>
      <c r="U474" s="395"/>
      <c r="V474" s="395"/>
    </row>
    <row r="475" spans="2:22" s="383" customFormat="1">
      <c r="S475" s="395"/>
      <c r="T475" s="395"/>
      <c r="U475" s="395"/>
      <c r="V475" s="395"/>
    </row>
    <row r="476" spans="2:22" s="383" customFormat="1">
      <c r="B476" s="393"/>
      <c r="P476" s="394"/>
      <c r="S476" s="395"/>
      <c r="T476" s="395"/>
      <c r="U476" s="395"/>
      <c r="V476" s="395"/>
    </row>
    <row r="477" spans="2:22" s="383" customFormat="1">
      <c r="S477" s="395"/>
      <c r="T477" s="395"/>
      <c r="U477" s="395"/>
      <c r="V477" s="395"/>
    </row>
    <row r="478" spans="2:22" s="383" customFormat="1">
      <c r="S478" s="395"/>
      <c r="T478" s="395"/>
      <c r="U478" s="395"/>
      <c r="V478" s="395"/>
    </row>
    <row r="479" spans="2:22" s="383" customFormat="1">
      <c r="B479" s="393"/>
      <c r="P479" s="394"/>
      <c r="S479" s="395"/>
      <c r="T479" s="395"/>
      <c r="U479" s="395"/>
      <c r="V479" s="395"/>
    </row>
    <row r="480" spans="2:22" s="383" customFormat="1">
      <c r="S480" s="395"/>
      <c r="T480" s="395"/>
      <c r="U480" s="395"/>
      <c r="V480" s="395"/>
    </row>
    <row r="481" spans="2:22" s="383" customFormat="1">
      <c r="S481" s="395"/>
      <c r="T481" s="395"/>
      <c r="U481" s="395"/>
      <c r="V481" s="395"/>
    </row>
    <row r="482" spans="2:22" s="383" customFormat="1">
      <c r="B482" s="393"/>
      <c r="P482" s="394"/>
      <c r="S482" s="395"/>
      <c r="T482" s="395"/>
      <c r="U482" s="395"/>
      <c r="V482" s="395"/>
    </row>
    <row r="483" spans="2:22" s="383" customFormat="1">
      <c r="S483" s="395"/>
      <c r="T483" s="395"/>
      <c r="U483" s="395"/>
      <c r="V483" s="395"/>
    </row>
    <row r="484" spans="2:22" s="383" customFormat="1">
      <c r="S484" s="395"/>
      <c r="T484" s="395"/>
      <c r="U484" s="395"/>
      <c r="V484" s="395"/>
    </row>
    <row r="485" spans="2:22" s="383" customFormat="1">
      <c r="B485" s="393"/>
      <c r="P485" s="394"/>
      <c r="S485" s="395"/>
      <c r="T485" s="395"/>
      <c r="U485" s="395"/>
      <c r="V485" s="395"/>
    </row>
    <row r="486" spans="2:22" s="383" customFormat="1">
      <c r="S486" s="395"/>
      <c r="T486" s="395"/>
      <c r="U486" s="395"/>
      <c r="V486" s="395"/>
    </row>
    <row r="487" spans="2:22" s="383" customFormat="1">
      <c r="S487" s="395"/>
      <c r="T487" s="395"/>
      <c r="U487" s="395"/>
      <c r="V487" s="395"/>
    </row>
    <row r="488" spans="2:22" s="383" customFormat="1">
      <c r="B488" s="393"/>
      <c r="P488" s="394"/>
      <c r="S488" s="395"/>
      <c r="T488" s="395"/>
      <c r="U488" s="395"/>
      <c r="V488" s="395"/>
    </row>
    <row r="489" spans="2:22" s="383" customFormat="1">
      <c r="S489" s="395"/>
      <c r="T489" s="395"/>
      <c r="U489" s="395"/>
      <c r="V489" s="395"/>
    </row>
    <row r="490" spans="2:22" s="383" customFormat="1">
      <c r="S490" s="395"/>
      <c r="T490" s="395"/>
      <c r="U490" s="395"/>
      <c r="V490" s="395"/>
    </row>
    <row r="491" spans="2:22" s="383" customFormat="1">
      <c r="B491" s="393"/>
      <c r="P491" s="394"/>
      <c r="S491" s="395"/>
      <c r="T491" s="395"/>
      <c r="U491" s="395"/>
      <c r="V491" s="395"/>
    </row>
    <row r="492" spans="2:22" s="383" customFormat="1">
      <c r="S492" s="395"/>
      <c r="T492" s="395"/>
      <c r="U492" s="395"/>
      <c r="V492" s="395"/>
    </row>
    <row r="493" spans="2:22" s="383" customFormat="1">
      <c r="S493" s="395"/>
      <c r="T493" s="395"/>
      <c r="U493" s="395"/>
      <c r="V493" s="395"/>
    </row>
    <row r="494" spans="2:22" s="383" customFormat="1">
      <c r="B494" s="393"/>
      <c r="P494" s="394"/>
      <c r="S494" s="395"/>
      <c r="T494" s="395"/>
      <c r="U494" s="395"/>
      <c r="V494" s="395"/>
    </row>
    <row r="495" spans="2:22" s="383" customFormat="1">
      <c r="S495" s="395"/>
      <c r="T495" s="395"/>
      <c r="U495" s="395"/>
      <c r="V495" s="395"/>
    </row>
    <row r="496" spans="2:22" s="383" customFormat="1">
      <c r="S496" s="395"/>
      <c r="T496" s="395"/>
      <c r="U496" s="395"/>
      <c r="V496" s="395"/>
    </row>
    <row r="497" spans="2:22" s="383" customFormat="1">
      <c r="B497" s="393"/>
      <c r="P497" s="394"/>
      <c r="S497" s="395"/>
      <c r="T497" s="395"/>
      <c r="U497" s="395"/>
      <c r="V497" s="395"/>
    </row>
    <row r="498" spans="2:22" s="383" customFormat="1">
      <c r="S498" s="395"/>
      <c r="T498" s="395"/>
      <c r="U498" s="395"/>
      <c r="V498" s="395"/>
    </row>
    <row r="499" spans="2:22" s="383" customFormat="1">
      <c r="S499" s="395"/>
      <c r="T499" s="395"/>
      <c r="U499" s="395"/>
      <c r="V499" s="395"/>
    </row>
    <row r="500" spans="2:22" s="383" customFormat="1">
      <c r="B500" s="393"/>
      <c r="P500" s="394"/>
      <c r="S500" s="395"/>
      <c r="T500" s="395"/>
      <c r="U500" s="395"/>
      <c r="V500" s="395"/>
    </row>
    <row r="501" spans="2:22" s="383" customFormat="1">
      <c r="S501" s="395"/>
      <c r="T501" s="395"/>
      <c r="U501" s="395"/>
      <c r="V501" s="395"/>
    </row>
    <row r="502" spans="2:22" s="383" customFormat="1">
      <c r="S502" s="395"/>
      <c r="T502" s="395"/>
      <c r="U502" s="395"/>
      <c r="V502" s="395"/>
    </row>
    <row r="503" spans="2:22" s="383" customFormat="1">
      <c r="B503" s="393"/>
      <c r="P503" s="394"/>
      <c r="S503" s="395"/>
      <c r="T503" s="395"/>
      <c r="U503" s="395"/>
      <c r="V503" s="395"/>
    </row>
    <row r="504" spans="2:22" s="383" customFormat="1">
      <c r="S504" s="395"/>
      <c r="T504" s="395"/>
      <c r="U504" s="395"/>
      <c r="V504" s="395"/>
    </row>
    <row r="505" spans="2:22" s="383" customFormat="1">
      <c r="S505" s="395"/>
      <c r="T505" s="395"/>
      <c r="U505" s="395"/>
      <c r="V505" s="395"/>
    </row>
    <row r="506" spans="2:22" s="383" customFormat="1">
      <c r="B506" s="393"/>
      <c r="P506" s="394"/>
      <c r="S506" s="395"/>
      <c r="T506" s="395"/>
      <c r="U506" s="395"/>
      <c r="V506" s="395"/>
    </row>
    <row r="507" spans="2:22" s="383" customFormat="1">
      <c r="S507" s="395"/>
      <c r="T507" s="395"/>
      <c r="U507" s="395"/>
      <c r="V507" s="395"/>
    </row>
    <row r="508" spans="2:22" s="383" customFormat="1">
      <c r="S508" s="395"/>
      <c r="T508" s="395"/>
      <c r="U508" s="395"/>
      <c r="V508" s="395"/>
    </row>
    <row r="509" spans="2:22" s="383" customFormat="1">
      <c r="B509" s="393"/>
      <c r="P509" s="394"/>
      <c r="S509" s="395"/>
      <c r="T509" s="395"/>
      <c r="U509" s="395"/>
      <c r="V509" s="395"/>
    </row>
    <row r="510" spans="2:22" s="383" customFormat="1">
      <c r="S510" s="395"/>
      <c r="T510" s="395"/>
      <c r="U510" s="395"/>
      <c r="V510" s="395"/>
    </row>
    <row r="511" spans="2:22" s="383" customFormat="1">
      <c r="S511" s="395"/>
      <c r="T511" s="395"/>
      <c r="U511" s="395"/>
      <c r="V511" s="395"/>
    </row>
    <row r="512" spans="2:22" s="383" customFormat="1">
      <c r="B512" s="393"/>
      <c r="P512" s="394"/>
      <c r="S512" s="395"/>
      <c r="T512" s="395"/>
      <c r="U512" s="395"/>
      <c r="V512" s="395"/>
    </row>
    <row r="513" spans="2:22" s="383" customFormat="1">
      <c r="S513" s="395"/>
      <c r="T513" s="395"/>
      <c r="U513" s="395"/>
      <c r="V513" s="395"/>
    </row>
    <row r="514" spans="2:22" s="383" customFormat="1">
      <c r="S514" s="395"/>
      <c r="T514" s="395"/>
      <c r="U514" s="395"/>
      <c r="V514" s="395"/>
    </row>
    <row r="515" spans="2:22" s="383" customFormat="1">
      <c r="B515" s="393"/>
      <c r="P515" s="394"/>
      <c r="S515" s="395"/>
      <c r="T515" s="395"/>
      <c r="U515" s="395"/>
      <c r="V515" s="395"/>
    </row>
    <row r="516" spans="2:22" s="383" customFormat="1">
      <c r="S516" s="395"/>
      <c r="T516" s="395"/>
      <c r="U516" s="395"/>
      <c r="V516" s="395"/>
    </row>
    <row r="517" spans="2:22" s="383" customFormat="1">
      <c r="S517" s="395"/>
      <c r="T517" s="395"/>
      <c r="U517" s="395"/>
      <c r="V517" s="395"/>
    </row>
    <row r="518" spans="2:22" s="383" customFormat="1">
      <c r="B518" s="393"/>
      <c r="P518" s="394"/>
      <c r="S518" s="395"/>
      <c r="T518" s="395"/>
      <c r="U518" s="395"/>
      <c r="V518" s="395"/>
    </row>
    <row r="519" spans="2:22" s="383" customFormat="1">
      <c r="S519" s="395"/>
      <c r="T519" s="395"/>
      <c r="U519" s="395"/>
      <c r="V519" s="395"/>
    </row>
    <row r="520" spans="2:22" s="383" customFormat="1">
      <c r="S520" s="395"/>
      <c r="T520" s="395"/>
      <c r="U520" s="395"/>
      <c r="V520" s="395"/>
    </row>
    <row r="521" spans="2:22" s="383" customFormat="1">
      <c r="B521" s="393"/>
      <c r="P521" s="394"/>
      <c r="S521" s="395"/>
      <c r="T521" s="395"/>
      <c r="U521" s="395"/>
      <c r="V521" s="395"/>
    </row>
    <row r="522" spans="2:22" s="383" customFormat="1">
      <c r="S522" s="395"/>
      <c r="T522" s="395"/>
      <c r="U522" s="395"/>
      <c r="V522" s="395"/>
    </row>
    <row r="523" spans="2:22" s="383" customFormat="1">
      <c r="S523" s="395"/>
      <c r="T523" s="395"/>
      <c r="U523" s="395"/>
      <c r="V523" s="395"/>
    </row>
    <row r="524" spans="2:22" s="383" customFormat="1">
      <c r="B524" s="393"/>
      <c r="P524" s="394"/>
      <c r="S524" s="395"/>
      <c r="T524" s="395"/>
      <c r="U524" s="395"/>
      <c r="V524" s="395"/>
    </row>
    <row r="525" spans="2:22" s="383" customFormat="1">
      <c r="S525" s="395"/>
      <c r="T525" s="395"/>
      <c r="U525" s="395"/>
      <c r="V525" s="395"/>
    </row>
    <row r="526" spans="2:22" s="383" customFormat="1">
      <c r="S526" s="395"/>
      <c r="T526" s="395"/>
      <c r="U526" s="395"/>
      <c r="V526" s="395"/>
    </row>
    <row r="527" spans="2:22" s="383" customFormat="1">
      <c r="B527" s="393"/>
      <c r="P527" s="394"/>
      <c r="S527" s="395"/>
      <c r="T527" s="395"/>
      <c r="U527" s="395"/>
      <c r="V527" s="395"/>
    </row>
    <row r="528" spans="2:22" s="383" customFormat="1">
      <c r="S528" s="395"/>
      <c r="T528" s="395"/>
      <c r="U528" s="395"/>
      <c r="V528" s="395"/>
    </row>
    <row r="529" spans="2:22" s="383" customFormat="1">
      <c r="S529" s="395"/>
      <c r="T529" s="395"/>
      <c r="U529" s="395"/>
      <c r="V529" s="395"/>
    </row>
    <row r="530" spans="2:22" s="383" customFormat="1">
      <c r="B530" s="393"/>
      <c r="P530" s="394"/>
      <c r="S530" s="395"/>
      <c r="T530" s="395"/>
      <c r="U530" s="395"/>
      <c r="V530" s="395"/>
    </row>
    <row r="531" spans="2:22" s="383" customFormat="1">
      <c r="S531" s="395"/>
      <c r="T531" s="395"/>
      <c r="U531" s="395"/>
      <c r="V531" s="395"/>
    </row>
    <row r="532" spans="2:22" s="383" customFormat="1">
      <c r="S532" s="395"/>
      <c r="T532" s="395"/>
      <c r="U532" s="395"/>
      <c r="V532" s="395"/>
    </row>
    <row r="533" spans="2:22" s="383" customFormat="1">
      <c r="B533" s="393"/>
      <c r="P533" s="394"/>
      <c r="S533" s="395"/>
      <c r="T533" s="395"/>
      <c r="U533" s="395"/>
      <c r="V533" s="395"/>
    </row>
    <row r="534" spans="2:22" s="383" customFormat="1">
      <c r="S534" s="395"/>
      <c r="T534" s="395"/>
      <c r="U534" s="395"/>
      <c r="V534" s="395"/>
    </row>
    <row r="535" spans="2:22" s="383" customFormat="1">
      <c r="S535" s="395"/>
      <c r="T535" s="395"/>
      <c r="U535" s="395"/>
      <c r="V535" s="395"/>
    </row>
    <row r="536" spans="2:22" s="383" customFormat="1">
      <c r="B536" s="393"/>
      <c r="P536" s="394"/>
      <c r="S536" s="395"/>
      <c r="T536" s="395"/>
      <c r="U536" s="395"/>
      <c r="V536" s="395"/>
    </row>
    <row r="537" spans="2:22" s="383" customFormat="1">
      <c r="S537" s="395"/>
      <c r="T537" s="395"/>
      <c r="U537" s="395"/>
      <c r="V537" s="395"/>
    </row>
    <row r="538" spans="2:22" s="383" customFormat="1">
      <c r="S538" s="395"/>
      <c r="T538" s="395"/>
      <c r="U538" s="395"/>
      <c r="V538" s="395"/>
    </row>
    <row r="539" spans="2:22" s="383" customFormat="1">
      <c r="B539" s="393"/>
      <c r="P539" s="394"/>
      <c r="S539" s="395"/>
      <c r="T539" s="395"/>
      <c r="U539" s="395"/>
      <c r="V539" s="395"/>
    </row>
    <row r="540" spans="2:22" s="383" customFormat="1">
      <c r="S540" s="395"/>
      <c r="T540" s="395"/>
      <c r="U540" s="395"/>
      <c r="V540" s="395"/>
    </row>
    <row r="541" spans="2:22" s="383" customFormat="1">
      <c r="S541" s="395"/>
      <c r="T541" s="395"/>
      <c r="U541" s="395"/>
      <c r="V541" s="395"/>
    </row>
    <row r="542" spans="2:22" s="383" customFormat="1">
      <c r="B542" s="393"/>
      <c r="P542" s="394"/>
      <c r="S542" s="395"/>
      <c r="T542" s="395"/>
      <c r="U542" s="395"/>
      <c r="V542" s="395"/>
    </row>
    <row r="543" spans="2:22" s="383" customFormat="1">
      <c r="S543" s="395"/>
      <c r="T543" s="395"/>
      <c r="U543" s="395"/>
      <c r="V543" s="395"/>
    </row>
    <row r="544" spans="2:22" s="383" customFormat="1">
      <c r="S544" s="395"/>
      <c r="T544" s="395"/>
      <c r="U544" s="395"/>
      <c r="V544" s="395"/>
    </row>
    <row r="545" spans="2:22" s="383" customFormat="1">
      <c r="B545" s="393"/>
      <c r="P545" s="394"/>
      <c r="S545" s="395"/>
      <c r="T545" s="395"/>
      <c r="U545" s="395"/>
      <c r="V545" s="395"/>
    </row>
    <row r="546" spans="2:22" s="383" customFormat="1">
      <c r="S546" s="395"/>
      <c r="T546" s="395"/>
      <c r="U546" s="395"/>
      <c r="V546" s="395"/>
    </row>
    <row r="547" spans="2:22" s="383" customFormat="1">
      <c r="S547" s="395"/>
      <c r="T547" s="395"/>
      <c r="U547" s="395"/>
      <c r="V547" s="395"/>
    </row>
    <row r="548" spans="2:22" s="383" customFormat="1">
      <c r="B548" s="393"/>
      <c r="P548" s="394"/>
      <c r="S548" s="395"/>
      <c r="T548" s="395"/>
      <c r="U548" s="395"/>
      <c r="V548" s="395"/>
    </row>
    <row r="549" spans="2:22" s="383" customFormat="1">
      <c r="S549" s="395"/>
      <c r="T549" s="395"/>
      <c r="U549" s="395"/>
      <c r="V549" s="395"/>
    </row>
    <row r="550" spans="2:22" s="383" customFormat="1">
      <c r="S550" s="395"/>
      <c r="T550" s="395"/>
      <c r="U550" s="395"/>
      <c r="V550" s="395"/>
    </row>
    <row r="551" spans="2:22" s="383" customFormat="1">
      <c r="B551" s="393"/>
      <c r="P551" s="394"/>
      <c r="S551" s="395"/>
      <c r="T551" s="395"/>
      <c r="U551" s="395"/>
      <c r="V551" s="395"/>
    </row>
    <row r="552" spans="2:22" s="383" customFormat="1">
      <c r="S552" s="395"/>
      <c r="T552" s="395"/>
      <c r="U552" s="395"/>
      <c r="V552" s="395"/>
    </row>
    <row r="553" spans="2:22" s="383" customFormat="1">
      <c r="S553" s="395"/>
      <c r="T553" s="395"/>
      <c r="U553" s="395"/>
      <c r="V553" s="395"/>
    </row>
    <row r="554" spans="2:22" s="383" customFormat="1">
      <c r="B554" s="393"/>
      <c r="P554" s="394"/>
      <c r="S554" s="395"/>
      <c r="T554" s="395"/>
      <c r="U554" s="395"/>
      <c r="V554" s="395"/>
    </row>
    <row r="555" spans="2:22" s="383" customFormat="1">
      <c r="S555" s="395"/>
      <c r="T555" s="395"/>
      <c r="U555" s="395"/>
      <c r="V555" s="395"/>
    </row>
    <row r="556" spans="2:22" s="383" customFormat="1">
      <c r="S556" s="395"/>
      <c r="T556" s="395"/>
      <c r="U556" s="395"/>
      <c r="V556" s="395"/>
    </row>
    <row r="557" spans="2:22" s="383" customFormat="1">
      <c r="B557" s="393"/>
      <c r="P557" s="394"/>
      <c r="S557" s="395"/>
      <c r="T557" s="395"/>
      <c r="U557" s="395"/>
      <c r="V557" s="395"/>
    </row>
    <row r="558" spans="2:22" s="383" customFormat="1">
      <c r="S558" s="395"/>
      <c r="T558" s="395"/>
      <c r="U558" s="395"/>
      <c r="V558" s="395"/>
    </row>
    <row r="559" spans="2:22" s="383" customFormat="1">
      <c r="S559" s="395"/>
      <c r="T559" s="395"/>
      <c r="U559" s="395"/>
      <c r="V559" s="395"/>
    </row>
    <row r="560" spans="2:22" s="383" customFormat="1">
      <c r="B560" s="393"/>
      <c r="P560" s="394"/>
      <c r="S560" s="395"/>
      <c r="T560" s="395"/>
      <c r="U560" s="395"/>
      <c r="V560" s="395"/>
    </row>
    <row r="561" spans="2:22" s="383" customFormat="1">
      <c r="S561" s="395"/>
      <c r="T561" s="395"/>
      <c r="U561" s="395"/>
      <c r="V561" s="395"/>
    </row>
    <row r="562" spans="2:22" s="383" customFormat="1">
      <c r="S562" s="395"/>
      <c r="T562" s="395"/>
      <c r="U562" s="395"/>
      <c r="V562" s="395"/>
    </row>
    <row r="563" spans="2:22" s="383" customFormat="1">
      <c r="B563" s="393"/>
      <c r="P563" s="394"/>
      <c r="S563" s="395"/>
      <c r="T563" s="395"/>
      <c r="U563" s="395"/>
      <c r="V563" s="395"/>
    </row>
    <row r="564" spans="2:22" s="383" customFormat="1">
      <c r="S564" s="395"/>
      <c r="T564" s="395"/>
      <c r="U564" s="395"/>
      <c r="V564" s="395"/>
    </row>
    <row r="565" spans="2:22" s="383" customFormat="1">
      <c r="S565" s="395"/>
      <c r="T565" s="395"/>
      <c r="U565" s="395"/>
      <c r="V565" s="395"/>
    </row>
    <row r="566" spans="2:22" s="383" customFormat="1">
      <c r="B566" s="393"/>
      <c r="P566" s="394"/>
      <c r="S566" s="395"/>
      <c r="T566" s="395"/>
      <c r="U566" s="395"/>
      <c r="V566" s="395"/>
    </row>
    <row r="567" spans="2:22" s="383" customFormat="1">
      <c r="S567" s="395"/>
      <c r="T567" s="395"/>
      <c r="U567" s="395"/>
      <c r="V567" s="395"/>
    </row>
    <row r="568" spans="2:22" s="383" customFormat="1">
      <c r="S568" s="395"/>
      <c r="T568" s="395"/>
      <c r="U568" s="395"/>
      <c r="V568" s="395"/>
    </row>
    <row r="569" spans="2:22" s="383" customFormat="1">
      <c r="B569" s="393"/>
      <c r="P569" s="394"/>
      <c r="S569" s="395"/>
      <c r="T569" s="395"/>
      <c r="U569" s="395"/>
      <c r="V569" s="395"/>
    </row>
    <row r="570" spans="2:22" s="383" customFormat="1">
      <c r="S570" s="395"/>
      <c r="T570" s="395"/>
      <c r="U570" s="395"/>
      <c r="V570" s="395"/>
    </row>
    <row r="571" spans="2:22" s="383" customFormat="1">
      <c r="S571" s="395"/>
      <c r="T571" s="395"/>
      <c r="U571" s="395"/>
      <c r="V571" s="395"/>
    </row>
    <row r="572" spans="2:22" s="383" customFormat="1">
      <c r="B572" s="393"/>
      <c r="P572" s="394"/>
      <c r="S572" s="395"/>
      <c r="T572" s="395"/>
      <c r="U572" s="395"/>
      <c r="V572" s="395"/>
    </row>
    <row r="573" spans="2:22" s="383" customFormat="1">
      <c r="S573" s="395"/>
      <c r="T573" s="395"/>
      <c r="U573" s="395"/>
      <c r="V573" s="395"/>
    </row>
    <row r="574" spans="2:22" s="383" customFormat="1">
      <c r="S574" s="395"/>
      <c r="T574" s="395"/>
      <c r="U574" s="395"/>
      <c r="V574" s="395"/>
    </row>
    <row r="575" spans="2:22" s="383" customFormat="1">
      <c r="B575" s="393"/>
      <c r="P575" s="394"/>
      <c r="S575" s="395"/>
      <c r="T575" s="395"/>
      <c r="U575" s="395"/>
      <c r="V575" s="395"/>
    </row>
    <row r="576" spans="2:22" s="383" customFormat="1">
      <c r="S576" s="395"/>
      <c r="T576" s="395"/>
      <c r="U576" s="395"/>
      <c r="V576" s="395"/>
    </row>
    <row r="577" spans="2:22" s="383" customFormat="1">
      <c r="S577" s="395"/>
      <c r="T577" s="395"/>
      <c r="U577" s="395"/>
      <c r="V577" s="395"/>
    </row>
    <row r="578" spans="2:22" s="383" customFormat="1">
      <c r="B578" s="393"/>
      <c r="P578" s="394"/>
      <c r="S578" s="395"/>
      <c r="T578" s="395"/>
      <c r="U578" s="395"/>
      <c r="V578" s="395"/>
    </row>
    <row r="579" spans="2:22" s="383" customFormat="1">
      <c r="S579" s="395"/>
      <c r="T579" s="395"/>
      <c r="U579" s="395"/>
      <c r="V579" s="395"/>
    </row>
    <row r="580" spans="2:22" s="383" customFormat="1">
      <c r="S580" s="395"/>
      <c r="T580" s="395"/>
      <c r="U580" s="395"/>
      <c r="V580" s="395"/>
    </row>
    <row r="581" spans="2:22" s="383" customFormat="1">
      <c r="B581" s="393"/>
      <c r="P581" s="394"/>
      <c r="S581" s="395"/>
      <c r="T581" s="395"/>
      <c r="U581" s="395"/>
      <c r="V581" s="395"/>
    </row>
    <row r="582" spans="2:22" s="383" customFormat="1">
      <c r="S582" s="395"/>
      <c r="T582" s="395"/>
      <c r="U582" s="395"/>
      <c r="V582" s="395"/>
    </row>
    <row r="583" spans="2:22" s="383" customFormat="1">
      <c r="S583" s="395"/>
      <c r="T583" s="395"/>
      <c r="U583" s="395"/>
      <c r="V583" s="395"/>
    </row>
    <row r="584" spans="2:22" s="383" customFormat="1">
      <c r="B584" s="393"/>
      <c r="P584" s="394"/>
      <c r="S584" s="395"/>
      <c r="T584" s="395"/>
      <c r="U584" s="395"/>
      <c r="V584" s="395"/>
    </row>
    <row r="585" spans="2:22" s="383" customFormat="1">
      <c r="S585" s="395"/>
      <c r="T585" s="395"/>
      <c r="U585" s="395"/>
      <c r="V585" s="395"/>
    </row>
    <row r="586" spans="2:22" s="383" customFormat="1">
      <c r="S586" s="395"/>
      <c r="T586" s="395"/>
      <c r="U586" s="395"/>
      <c r="V586" s="395"/>
    </row>
    <row r="587" spans="2:22" s="383" customFormat="1">
      <c r="B587" s="393"/>
      <c r="P587" s="394"/>
      <c r="S587" s="395"/>
      <c r="T587" s="395"/>
      <c r="U587" s="395"/>
      <c r="V587" s="395"/>
    </row>
    <row r="588" spans="2:22" s="383" customFormat="1">
      <c r="S588" s="395"/>
      <c r="T588" s="395"/>
      <c r="U588" s="395"/>
      <c r="V588" s="395"/>
    </row>
    <row r="589" spans="2:22" s="383" customFormat="1">
      <c r="S589" s="395"/>
      <c r="T589" s="395"/>
      <c r="U589" s="395"/>
      <c r="V589" s="395"/>
    </row>
    <row r="590" spans="2:22" s="383" customFormat="1">
      <c r="B590" s="393"/>
      <c r="P590" s="394"/>
      <c r="S590" s="395"/>
      <c r="T590" s="395"/>
      <c r="U590" s="395"/>
      <c r="V590" s="395"/>
    </row>
    <row r="591" spans="2:22" s="383" customFormat="1">
      <c r="S591" s="395"/>
      <c r="T591" s="395"/>
      <c r="U591" s="395"/>
      <c r="V591" s="395"/>
    </row>
    <row r="592" spans="2:22" s="383" customFormat="1">
      <c r="S592" s="395"/>
      <c r="T592" s="395"/>
      <c r="U592" s="395"/>
      <c r="V592" s="395"/>
    </row>
    <row r="593" spans="2:22" s="383" customFormat="1">
      <c r="B593" s="393"/>
      <c r="P593" s="394"/>
      <c r="S593" s="395"/>
      <c r="T593" s="395"/>
      <c r="U593" s="395"/>
      <c r="V593" s="395"/>
    </row>
    <row r="594" spans="2:22" s="383" customFormat="1">
      <c r="S594" s="395"/>
      <c r="T594" s="395"/>
      <c r="U594" s="395"/>
      <c r="V594" s="395"/>
    </row>
    <row r="595" spans="2:22" s="383" customFormat="1">
      <c r="S595" s="395"/>
      <c r="T595" s="395"/>
      <c r="U595" s="395"/>
      <c r="V595" s="395"/>
    </row>
    <row r="596" spans="2:22" s="383" customFormat="1">
      <c r="B596" s="393"/>
      <c r="P596" s="394"/>
      <c r="S596" s="395"/>
      <c r="T596" s="395"/>
      <c r="U596" s="395"/>
      <c r="V596" s="395"/>
    </row>
    <row r="597" spans="2:22" s="383" customFormat="1">
      <c r="S597" s="395"/>
      <c r="T597" s="395"/>
      <c r="U597" s="395"/>
      <c r="V597" s="395"/>
    </row>
    <row r="598" spans="2:22" s="383" customFormat="1">
      <c r="S598" s="395"/>
      <c r="T598" s="395"/>
      <c r="U598" s="395"/>
      <c r="V598" s="395"/>
    </row>
    <row r="599" spans="2:22" s="383" customFormat="1">
      <c r="B599" s="393"/>
      <c r="P599" s="394"/>
      <c r="S599" s="395"/>
      <c r="T599" s="395"/>
      <c r="U599" s="395"/>
      <c r="V599" s="395"/>
    </row>
    <row r="600" spans="2:22" s="383" customFormat="1">
      <c r="S600" s="395"/>
      <c r="T600" s="395"/>
      <c r="U600" s="395"/>
      <c r="V600" s="395"/>
    </row>
    <row r="601" spans="2:22" s="383" customFormat="1">
      <c r="S601" s="395"/>
      <c r="T601" s="395"/>
      <c r="U601" s="395"/>
      <c r="V601" s="395"/>
    </row>
    <row r="602" spans="2:22" s="383" customFormat="1">
      <c r="B602" s="393"/>
      <c r="P602" s="394"/>
      <c r="S602" s="395"/>
      <c r="T602" s="395"/>
      <c r="U602" s="395"/>
      <c r="V602" s="395"/>
    </row>
    <row r="603" spans="2:22" s="383" customFormat="1">
      <c r="S603" s="395"/>
      <c r="T603" s="395"/>
      <c r="U603" s="395"/>
      <c r="V603" s="395"/>
    </row>
    <row r="604" spans="2:22" s="383" customFormat="1">
      <c r="S604" s="395"/>
      <c r="T604" s="395"/>
      <c r="U604" s="395"/>
      <c r="V604" s="395"/>
    </row>
    <row r="605" spans="2:22" s="383" customFormat="1">
      <c r="B605" s="393"/>
      <c r="P605" s="394"/>
      <c r="S605" s="395"/>
      <c r="T605" s="395"/>
      <c r="U605" s="395"/>
      <c r="V605" s="395"/>
    </row>
    <row r="606" spans="2:22" s="383" customFormat="1">
      <c r="S606" s="395"/>
      <c r="T606" s="395"/>
      <c r="U606" s="395"/>
      <c r="V606" s="395"/>
    </row>
    <row r="607" spans="2:22" s="383" customFormat="1">
      <c r="S607" s="395"/>
      <c r="T607" s="395"/>
      <c r="U607" s="395"/>
      <c r="V607" s="395"/>
    </row>
    <row r="608" spans="2:22" s="383" customFormat="1">
      <c r="B608" s="393"/>
      <c r="P608" s="394"/>
      <c r="S608" s="395"/>
      <c r="T608" s="395"/>
      <c r="U608" s="395"/>
      <c r="V608" s="395"/>
    </row>
    <row r="609" spans="2:22" s="383" customFormat="1">
      <c r="S609" s="395"/>
      <c r="T609" s="395"/>
      <c r="U609" s="395"/>
      <c r="V609" s="395"/>
    </row>
    <row r="610" spans="2:22" s="383" customFormat="1">
      <c r="S610" s="395"/>
      <c r="T610" s="395"/>
      <c r="U610" s="395"/>
      <c r="V610" s="395"/>
    </row>
    <row r="611" spans="2:22" s="383" customFormat="1">
      <c r="B611" s="393"/>
      <c r="P611" s="394"/>
      <c r="S611" s="395"/>
      <c r="T611" s="395"/>
      <c r="U611" s="395"/>
      <c r="V611" s="395"/>
    </row>
    <row r="612" spans="2:22" s="383" customFormat="1">
      <c r="S612" s="395"/>
      <c r="T612" s="395"/>
      <c r="U612" s="395"/>
      <c r="V612" s="395"/>
    </row>
    <row r="613" spans="2:22" s="383" customFormat="1">
      <c r="S613" s="395"/>
      <c r="T613" s="395"/>
      <c r="U613" s="395"/>
      <c r="V613" s="395"/>
    </row>
    <row r="614" spans="2:22" s="383" customFormat="1">
      <c r="B614" s="393"/>
      <c r="P614" s="394"/>
      <c r="S614" s="395"/>
      <c r="T614" s="395"/>
      <c r="U614" s="395"/>
      <c r="V614" s="395"/>
    </row>
    <row r="615" spans="2:22" s="383" customFormat="1">
      <c r="S615" s="395"/>
      <c r="T615" s="395"/>
      <c r="U615" s="395"/>
      <c r="V615" s="395"/>
    </row>
    <row r="616" spans="2:22" s="383" customFormat="1">
      <c r="S616" s="395"/>
      <c r="T616" s="395"/>
      <c r="U616" s="395"/>
      <c r="V616" s="395"/>
    </row>
    <row r="617" spans="2:22" s="383" customFormat="1">
      <c r="B617" s="393"/>
      <c r="P617" s="394"/>
      <c r="S617" s="395"/>
      <c r="T617" s="395"/>
      <c r="U617" s="395"/>
      <c r="V617" s="395"/>
    </row>
    <row r="618" spans="2:22" s="383" customFormat="1"/>
    <row r="619" spans="2:22" s="383" customFormat="1"/>
    <row r="620" spans="2:22" s="383" customFormat="1"/>
    <row r="621" spans="2:22" s="383" customFormat="1"/>
    <row r="622" spans="2:22" s="383" customFormat="1"/>
    <row r="623" spans="2:22" s="383" customFormat="1"/>
    <row r="624" spans="2:22" s="383" customFormat="1"/>
    <row r="625" s="383" customFormat="1"/>
    <row r="626" s="383" customFormat="1"/>
    <row r="627" s="383" customFormat="1"/>
    <row r="628" s="383" customFormat="1"/>
    <row r="629" s="383" customFormat="1"/>
    <row r="630" s="383" customFormat="1"/>
    <row r="631" s="383" customFormat="1"/>
    <row r="632" s="383" customFormat="1"/>
    <row r="633" s="383" customFormat="1"/>
    <row r="634" s="383" customFormat="1"/>
    <row r="635" s="383" customFormat="1"/>
    <row r="636" s="383" customFormat="1"/>
    <row r="637" s="383" customFormat="1"/>
    <row r="638" s="383" customFormat="1"/>
    <row r="639" s="383" customFormat="1"/>
    <row r="640" s="383" customFormat="1"/>
    <row r="641" s="383" customFormat="1"/>
    <row r="642" s="383" customFormat="1"/>
    <row r="643" s="383" customFormat="1"/>
    <row r="644" s="383" customFormat="1"/>
    <row r="645" s="383" customFormat="1"/>
    <row r="646" s="383" customFormat="1"/>
    <row r="647" s="383" customFormat="1"/>
    <row r="648" s="383" customFormat="1"/>
    <row r="649" s="383" customFormat="1"/>
    <row r="650" s="383" customFormat="1"/>
    <row r="651" s="383" customFormat="1"/>
    <row r="652" s="383" customFormat="1"/>
    <row r="653" s="383" customFormat="1"/>
    <row r="654" s="383" customFormat="1"/>
    <row r="655" s="383" customFormat="1"/>
    <row r="656" s="383" customFormat="1"/>
    <row r="657" s="383" customFormat="1"/>
    <row r="658" s="383" customFormat="1"/>
    <row r="659" s="383" customFormat="1"/>
    <row r="660" s="383" customFormat="1"/>
    <row r="661" s="383" customFormat="1"/>
    <row r="662" s="383" customFormat="1"/>
    <row r="663" s="383" customFormat="1"/>
    <row r="664" s="383" customFormat="1"/>
    <row r="665" s="383" customFormat="1"/>
    <row r="666" s="383" customFormat="1"/>
    <row r="667" s="383" customFormat="1"/>
    <row r="668" s="383" customFormat="1"/>
    <row r="669" s="383" customFormat="1"/>
    <row r="670" s="383" customFormat="1"/>
    <row r="671" s="383" customFormat="1"/>
    <row r="672" s="383" customFormat="1"/>
    <row r="673" s="383" customFormat="1"/>
    <row r="674" s="383" customFormat="1"/>
    <row r="675" s="383" customFormat="1"/>
    <row r="676" s="383" customFormat="1"/>
    <row r="677" s="383" customFormat="1"/>
    <row r="678" s="383" customFormat="1"/>
    <row r="679" s="383" customFormat="1"/>
    <row r="680" s="383" customFormat="1"/>
    <row r="681" s="383" customFormat="1"/>
    <row r="682" s="383" customFormat="1"/>
    <row r="683" s="383" customFormat="1"/>
    <row r="684" s="383" customFormat="1"/>
    <row r="685" s="383" customFormat="1"/>
    <row r="686" s="383" customFormat="1"/>
    <row r="687" s="383" customFormat="1"/>
    <row r="688" s="383" customFormat="1"/>
    <row r="689" s="383" customFormat="1"/>
    <row r="690" s="383" customFormat="1"/>
    <row r="691" s="383" customFormat="1"/>
    <row r="692" s="383" customFormat="1"/>
    <row r="693" s="383" customFormat="1"/>
    <row r="694" s="383" customFormat="1"/>
    <row r="695" s="383" customFormat="1"/>
    <row r="696" s="383" customFormat="1"/>
    <row r="697" s="383" customFormat="1"/>
    <row r="698" s="383" customFormat="1"/>
    <row r="699" s="383" customFormat="1"/>
    <row r="700" s="383" customFormat="1"/>
    <row r="701" s="383" customFormat="1"/>
    <row r="702" s="383" customFormat="1"/>
    <row r="703" s="383" customFormat="1"/>
    <row r="704" s="383" customFormat="1"/>
    <row r="705" s="383" customFormat="1"/>
    <row r="706" s="383" customFormat="1"/>
    <row r="707" s="383" customFormat="1"/>
    <row r="708" s="383" customFormat="1"/>
    <row r="709" s="383" customFormat="1"/>
    <row r="710" s="383" customFormat="1"/>
    <row r="711" s="383" customFormat="1"/>
    <row r="712" s="383" customFormat="1"/>
    <row r="713" s="383" customFormat="1"/>
    <row r="714" s="383" customFormat="1"/>
    <row r="715" s="383" customFormat="1"/>
    <row r="716" s="383" customFormat="1"/>
    <row r="717" s="383" customFormat="1"/>
    <row r="718" s="383" customFormat="1"/>
    <row r="719" s="383" customFormat="1"/>
    <row r="720" s="383" customFormat="1"/>
    <row r="721" s="383" customFormat="1"/>
    <row r="722" s="383" customFormat="1"/>
    <row r="723" s="383" customFormat="1"/>
    <row r="724" s="383" customFormat="1"/>
    <row r="725" s="383" customFormat="1"/>
    <row r="726" s="383" customFormat="1"/>
    <row r="727" s="383" customFormat="1"/>
    <row r="728" s="383" customFormat="1"/>
    <row r="729" s="383" customFormat="1"/>
    <row r="730" s="383" customFormat="1"/>
    <row r="731" s="383" customFormat="1"/>
    <row r="732" s="383" customFormat="1"/>
    <row r="733" s="383" customFormat="1"/>
    <row r="734" s="383" customFormat="1"/>
    <row r="735" s="383" customFormat="1"/>
    <row r="736" s="383" customFormat="1"/>
    <row r="737" s="383" customFormat="1"/>
    <row r="738" s="383" customFormat="1"/>
    <row r="739" s="383" customFormat="1"/>
    <row r="740" s="383" customFormat="1"/>
    <row r="741" s="383" customFormat="1"/>
    <row r="742" s="383" customFormat="1"/>
    <row r="743" s="383" customFormat="1"/>
    <row r="744" s="383" customFormat="1"/>
    <row r="745" s="383" customFormat="1"/>
    <row r="746" s="383" customFormat="1"/>
    <row r="747" s="383" customFormat="1"/>
    <row r="748" s="383" customFormat="1"/>
    <row r="749" s="383" customFormat="1"/>
    <row r="750" s="383" customFormat="1"/>
    <row r="751" s="383" customFormat="1"/>
    <row r="752" s="383" customFormat="1"/>
    <row r="753" s="383" customFormat="1"/>
    <row r="754" s="383" customFormat="1"/>
    <row r="755" s="383" customFormat="1"/>
    <row r="756" s="383" customFormat="1"/>
    <row r="757" s="383" customFormat="1"/>
    <row r="758" s="383" customFormat="1"/>
    <row r="759" s="383" customFormat="1"/>
    <row r="760" s="383" customFormat="1"/>
    <row r="761" s="383" customFormat="1"/>
    <row r="762" s="383" customFormat="1"/>
    <row r="763" s="383" customFormat="1"/>
    <row r="764" s="383" customFormat="1"/>
    <row r="765" s="383" customFormat="1"/>
    <row r="766" s="383" customFormat="1"/>
    <row r="767" s="383" customFormat="1"/>
    <row r="768" s="383" customFormat="1"/>
    <row r="769" s="383" customFormat="1"/>
    <row r="770" s="383" customFormat="1"/>
    <row r="771" s="383" customFormat="1"/>
    <row r="772" s="383" customFormat="1"/>
    <row r="773" s="383" customFormat="1"/>
    <row r="774" s="383" customFormat="1"/>
    <row r="775" s="383" customFormat="1"/>
    <row r="776" s="383" customFormat="1"/>
    <row r="777" s="383" customFormat="1"/>
    <row r="778" s="383" customFormat="1"/>
    <row r="779" s="383" customFormat="1"/>
    <row r="780" s="383" customFormat="1"/>
    <row r="781" s="383" customFormat="1"/>
    <row r="782" s="383" customFormat="1"/>
    <row r="783" s="383" customFormat="1"/>
    <row r="784" s="383" customFormat="1"/>
    <row r="785" s="383" customFormat="1"/>
    <row r="786" s="383" customFormat="1"/>
    <row r="787" s="383" customFormat="1"/>
    <row r="788" s="383" customFormat="1"/>
    <row r="789" s="383" customFormat="1"/>
    <row r="790" s="383" customFormat="1"/>
    <row r="791" s="383" customFormat="1"/>
    <row r="792" s="383" customFormat="1"/>
    <row r="793" s="383" customFormat="1"/>
    <row r="794" s="383" customFormat="1"/>
    <row r="795" s="383" customFormat="1"/>
    <row r="796" s="383" customFormat="1"/>
    <row r="797" s="383" customFormat="1"/>
    <row r="798" s="383" customFormat="1"/>
    <row r="799" s="383" customFormat="1"/>
    <row r="800" s="383" customFormat="1"/>
    <row r="801" s="383" customFormat="1"/>
    <row r="802" s="383" customFormat="1"/>
    <row r="803" s="383" customFormat="1"/>
    <row r="804" s="383" customFormat="1"/>
    <row r="805" s="383" customFormat="1"/>
    <row r="806" s="383" customFormat="1"/>
    <row r="807" s="383" customFormat="1"/>
    <row r="808" s="383" customFormat="1"/>
    <row r="809" s="383" customFormat="1"/>
    <row r="810" s="383" customFormat="1"/>
    <row r="811" s="383" customFormat="1"/>
    <row r="812" s="383" customFormat="1"/>
    <row r="813" s="383" customFormat="1"/>
    <row r="814" s="383" customFormat="1"/>
    <row r="815" s="383" customFormat="1"/>
    <row r="816" s="383" customFormat="1"/>
    <row r="817" s="383" customFormat="1"/>
    <row r="818" s="383" customFormat="1"/>
    <row r="819" s="383" customFormat="1"/>
    <row r="820" s="383" customFormat="1"/>
    <row r="821" s="383" customFormat="1"/>
    <row r="822" s="383" customFormat="1"/>
    <row r="823" s="383" customFormat="1"/>
    <row r="824" s="383" customFormat="1"/>
    <row r="825" s="383" customFormat="1"/>
    <row r="826" s="383" customFormat="1"/>
    <row r="827" s="383" customFormat="1"/>
    <row r="828" s="383" customFormat="1"/>
    <row r="829" s="383" customFormat="1"/>
    <row r="830" s="383" customFormat="1"/>
    <row r="831" s="383" customFormat="1"/>
    <row r="832" s="383" customFormat="1"/>
    <row r="833" s="383" customFormat="1"/>
    <row r="834" s="383" customFormat="1"/>
    <row r="835" s="383" customFormat="1"/>
    <row r="836" s="383" customFormat="1"/>
    <row r="837" s="383" customFormat="1"/>
    <row r="838" s="383" customFormat="1"/>
    <row r="839" s="383" customFormat="1"/>
    <row r="840" s="383" customFormat="1"/>
    <row r="841" s="383" customFormat="1"/>
    <row r="842" s="383" customFormat="1"/>
    <row r="843" s="383" customFormat="1"/>
    <row r="844" s="383" customFormat="1"/>
    <row r="845" s="383" customFormat="1"/>
    <row r="846" s="383" customFormat="1"/>
    <row r="847" s="383" customFormat="1"/>
    <row r="848" s="383" customFormat="1"/>
    <row r="849" s="383" customFormat="1"/>
    <row r="850" s="383" customFormat="1"/>
    <row r="851" s="383" customFormat="1"/>
    <row r="852" s="383" customFormat="1"/>
    <row r="853" s="383" customFormat="1"/>
    <row r="854" s="383" customFormat="1"/>
    <row r="855" s="383" customFormat="1"/>
    <row r="856" s="383" customFormat="1"/>
    <row r="857" s="383" customFormat="1"/>
    <row r="858" s="383" customFormat="1"/>
    <row r="859" s="383" customFormat="1"/>
    <row r="860" s="383" customFormat="1"/>
    <row r="861" s="383" customFormat="1"/>
    <row r="862" s="383" customFormat="1"/>
    <row r="863" s="383" customFormat="1"/>
    <row r="864" s="383" customFormat="1"/>
    <row r="865" s="383" customFormat="1"/>
    <row r="866" s="383" customFormat="1"/>
    <row r="867" s="383" customFormat="1"/>
    <row r="868" s="383" customFormat="1"/>
    <row r="869" s="383" customFormat="1"/>
    <row r="870" s="383" customFormat="1"/>
    <row r="871" s="383" customFormat="1"/>
    <row r="872" s="383" customFormat="1"/>
    <row r="873" s="383" customFormat="1"/>
    <row r="874" s="383" customFormat="1"/>
    <row r="875" s="383" customFormat="1"/>
    <row r="876" s="383" customFormat="1"/>
    <row r="877" s="383" customFormat="1"/>
    <row r="878" s="383" customFormat="1"/>
    <row r="879" s="383" customFormat="1"/>
    <row r="880" s="383" customFormat="1"/>
    <row r="881" s="383" customFormat="1"/>
    <row r="882" s="383" customFormat="1"/>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CF035-C52E-4A8F-B5CF-AA85B2BDD12A}">
  <sheetPr>
    <tabColor rgb="FFFFFF00"/>
  </sheetPr>
  <dimension ref="A2:Z882"/>
  <sheetViews>
    <sheetView workbookViewId="0"/>
  </sheetViews>
  <sheetFormatPr defaultColWidth="11.42578125" defaultRowHeight="15"/>
  <cols>
    <col min="1" max="1" width="7" style="362" customWidth="1"/>
    <col min="2" max="2" width="26.85546875" style="362" customWidth="1"/>
    <col min="3" max="3" width="9.28515625" style="362" customWidth="1"/>
    <col min="4" max="10" width="9.28515625" style="363" customWidth="1"/>
    <col min="11" max="11" width="10.140625" style="363" customWidth="1"/>
    <col min="12" max="15" width="11.140625" style="363" customWidth="1"/>
    <col min="16" max="16" width="10.140625" style="363" customWidth="1"/>
    <col min="17" max="18" width="11.140625" style="363" customWidth="1"/>
    <col min="19" max="19" width="10.140625" style="363" customWidth="1"/>
    <col min="20" max="22" width="11.140625" style="362" customWidth="1"/>
    <col min="23" max="23" width="10.140625" style="362" customWidth="1"/>
    <col min="24" max="25" width="11.140625" style="362" customWidth="1"/>
    <col min="26" max="26" width="10.140625" style="362" customWidth="1"/>
    <col min="27" max="16384" width="11.42578125" style="362"/>
  </cols>
  <sheetData>
    <row r="2" spans="1:26">
      <c r="S2" s="364"/>
      <c r="T2" s="364"/>
    </row>
    <row r="3" spans="1:26">
      <c r="A3" s="365"/>
      <c r="B3" s="366"/>
      <c r="C3" s="291"/>
      <c r="D3" s="294"/>
      <c r="E3" s="294"/>
      <c r="F3" s="294"/>
      <c r="G3" s="294"/>
      <c r="H3" s="294"/>
      <c r="I3" s="294"/>
      <c r="J3" s="293"/>
      <c r="K3" s="294"/>
      <c r="L3" s="294"/>
      <c r="M3" s="294"/>
      <c r="N3" s="294"/>
      <c r="O3" s="293"/>
      <c r="P3" s="294"/>
      <c r="Q3" s="294"/>
      <c r="R3" s="293"/>
      <c r="S3" s="367"/>
      <c r="T3" s="368"/>
      <c r="U3" s="368"/>
      <c r="V3" s="368"/>
      <c r="W3" s="368"/>
      <c r="X3" s="368"/>
      <c r="Y3" s="368"/>
      <c r="Z3" s="368"/>
    </row>
    <row r="4" spans="1:26">
      <c r="A4" s="365"/>
      <c r="B4" s="366"/>
      <c r="C4" s="291"/>
      <c r="D4" s="292"/>
      <c r="E4" s="292"/>
      <c r="F4" s="292"/>
      <c r="G4" s="292"/>
      <c r="H4" s="292"/>
      <c r="I4" s="292"/>
      <c r="J4" s="302"/>
      <c r="K4" s="291"/>
      <c r="L4" s="369"/>
      <c r="M4" s="292"/>
      <c r="N4" s="292"/>
      <c r="O4" s="302"/>
      <c r="P4" s="291"/>
      <c r="Q4" s="369"/>
      <c r="R4" s="302"/>
      <c r="S4" s="370"/>
      <c r="T4" s="368"/>
      <c r="U4" s="368"/>
      <c r="V4" s="368"/>
      <c r="W4" s="368"/>
      <c r="X4" s="368"/>
      <c r="Y4" s="368"/>
      <c r="Z4" s="368"/>
    </row>
    <row r="5" spans="1:26">
      <c r="A5" s="371"/>
      <c r="B5" s="372"/>
      <c r="C5" s="365"/>
      <c r="D5" s="373"/>
      <c r="E5" s="373"/>
      <c r="F5" s="373"/>
      <c r="G5" s="373"/>
      <c r="H5" s="373"/>
      <c r="I5" s="373"/>
      <c r="J5" s="373"/>
      <c r="K5" s="303"/>
      <c r="L5" s="374"/>
      <c r="M5" s="375"/>
      <c r="N5" s="375"/>
      <c r="O5" s="375"/>
      <c r="P5" s="376"/>
      <c r="Q5" s="374"/>
      <c r="R5" s="375"/>
      <c r="S5" s="377"/>
      <c r="T5" s="368"/>
      <c r="U5" s="368"/>
      <c r="V5" s="368"/>
      <c r="W5" s="368"/>
      <c r="X5" s="368"/>
      <c r="Y5" s="368"/>
      <c r="Z5" s="368"/>
    </row>
    <row r="6" spans="1:26" s="383" customFormat="1">
      <c r="A6" s="378"/>
      <c r="B6" s="379"/>
      <c r="C6" s="379"/>
      <c r="D6" s="379"/>
      <c r="E6" s="379"/>
      <c r="F6" s="379"/>
      <c r="G6" s="379"/>
      <c r="H6" s="379"/>
      <c r="I6" s="379"/>
      <c r="J6" s="379"/>
      <c r="K6" s="380"/>
      <c r="L6" s="381"/>
      <c r="M6" s="379"/>
      <c r="N6" s="379"/>
      <c r="O6" s="379"/>
      <c r="P6" s="380"/>
      <c r="Q6" s="381"/>
      <c r="R6" s="379"/>
      <c r="S6" s="382"/>
      <c r="T6" s="368"/>
      <c r="U6" s="368"/>
      <c r="V6" s="368"/>
      <c r="W6" s="368"/>
      <c r="X6" s="368"/>
      <c r="Y6" s="368"/>
      <c r="Z6" s="368"/>
    </row>
    <row r="7" spans="1:26" s="383" customFormat="1">
      <c r="A7" s="384"/>
      <c r="B7" s="385"/>
      <c r="C7" s="385"/>
      <c r="D7" s="385"/>
      <c r="E7" s="385"/>
      <c r="F7" s="385"/>
      <c r="G7" s="385"/>
      <c r="H7" s="385"/>
      <c r="I7" s="385"/>
      <c r="J7" s="385"/>
      <c r="K7" s="386"/>
      <c r="L7" s="387"/>
      <c r="M7" s="385"/>
      <c r="N7" s="385"/>
      <c r="O7" s="385"/>
      <c r="P7" s="386"/>
      <c r="Q7" s="387"/>
      <c r="R7" s="385"/>
      <c r="S7" s="388"/>
      <c r="T7" s="368"/>
      <c r="U7" s="368"/>
      <c r="V7" s="368"/>
      <c r="W7" s="368"/>
      <c r="X7" s="368"/>
      <c r="Y7" s="368"/>
      <c r="Z7" s="368"/>
    </row>
    <row r="8" spans="1:26" s="383" customFormat="1">
      <c r="A8" s="384"/>
      <c r="B8" s="379"/>
      <c r="C8" s="379"/>
      <c r="D8" s="379"/>
      <c r="E8" s="379"/>
      <c r="F8" s="379"/>
      <c r="G8" s="379"/>
      <c r="H8" s="379"/>
      <c r="I8" s="379"/>
      <c r="J8" s="379"/>
      <c r="K8" s="380"/>
      <c r="L8" s="381"/>
      <c r="M8" s="379"/>
      <c r="N8" s="379"/>
      <c r="O8" s="379"/>
      <c r="P8" s="380"/>
      <c r="Q8" s="381"/>
      <c r="R8" s="379"/>
      <c r="S8" s="382"/>
      <c r="T8" s="368"/>
      <c r="U8" s="368"/>
      <c r="V8" s="368"/>
      <c r="W8" s="368"/>
      <c r="X8" s="368"/>
      <c r="Y8" s="368"/>
      <c r="Z8" s="368"/>
    </row>
    <row r="9" spans="1:26" s="383" customFormat="1">
      <c r="A9" s="384"/>
      <c r="B9" s="385"/>
      <c r="C9" s="385"/>
      <c r="D9" s="385"/>
      <c r="E9" s="385"/>
      <c r="F9" s="385"/>
      <c r="G9" s="385"/>
      <c r="H9" s="385"/>
      <c r="I9" s="385"/>
      <c r="J9" s="385"/>
      <c r="K9" s="386"/>
      <c r="L9" s="387"/>
      <c r="M9" s="385"/>
      <c r="N9" s="385"/>
      <c r="O9" s="385"/>
      <c r="P9" s="386"/>
      <c r="Q9" s="387"/>
      <c r="R9" s="385"/>
      <c r="S9" s="388"/>
      <c r="T9" s="368"/>
      <c r="U9" s="368"/>
      <c r="V9" s="368"/>
      <c r="W9" s="368"/>
      <c r="X9" s="368"/>
      <c r="Y9" s="368"/>
      <c r="Z9" s="368"/>
    </row>
    <row r="10" spans="1:26" s="383" customFormat="1">
      <c r="A10" s="384"/>
      <c r="B10" s="379"/>
      <c r="C10" s="379"/>
      <c r="D10" s="379"/>
      <c r="E10" s="379"/>
      <c r="F10" s="379"/>
      <c r="G10" s="379"/>
      <c r="H10" s="379"/>
      <c r="I10" s="379"/>
      <c r="J10" s="379"/>
      <c r="K10" s="380"/>
      <c r="L10" s="381"/>
      <c r="M10" s="379"/>
      <c r="N10" s="379"/>
      <c r="O10" s="379"/>
      <c r="P10" s="380"/>
      <c r="Q10" s="381"/>
      <c r="R10" s="379"/>
      <c r="S10" s="382"/>
      <c r="T10" s="368"/>
      <c r="U10" s="368"/>
      <c r="V10" s="368"/>
      <c r="W10" s="368"/>
      <c r="X10" s="368"/>
      <c r="Y10" s="368"/>
      <c r="Z10" s="368"/>
    </row>
    <row r="11" spans="1:26" s="383" customFormat="1">
      <c r="A11" s="384"/>
      <c r="B11" s="385"/>
      <c r="C11" s="385"/>
      <c r="D11" s="385"/>
      <c r="E11" s="385"/>
      <c r="F11" s="385"/>
      <c r="G11" s="385"/>
      <c r="H11" s="385"/>
      <c r="I11" s="385"/>
      <c r="J11" s="385"/>
      <c r="K11" s="386"/>
      <c r="L11" s="387"/>
      <c r="M11" s="385"/>
      <c r="N11" s="385"/>
      <c r="O11" s="385"/>
      <c r="P11" s="386"/>
      <c r="Q11" s="387"/>
      <c r="R11" s="385"/>
      <c r="S11" s="388"/>
      <c r="T11" s="368"/>
      <c r="U11" s="368"/>
      <c r="V11" s="368"/>
      <c r="W11" s="368"/>
      <c r="X11" s="368"/>
      <c r="Y11" s="368"/>
      <c r="Z11" s="368"/>
    </row>
    <row r="12" spans="1:26" s="383" customFormat="1">
      <c r="A12" s="384"/>
      <c r="B12" s="379"/>
      <c r="C12" s="379"/>
      <c r="D12" s="379"/>
      <c r="E12" s="379"/>
      <c r="F12" s="379"/>
      <c r="G12" s="379"/>
      <c r="H12" s="379"/>
      <c r="I12" s="379"/>
      <c r="J12" s="379"/>
      <c r="K12" s="380"/>
      <c r="L12" s="381"/>
      <c r="M12" s="379"/>
      <c r="N12" s="379"/>
      <c r="O12" s="379"/>
      <c r="P12" s="380"/>
      <c r="Q12" s="381"/>
      <c r="R12" s="379"/>
      <c r="S12" s="382"/>
      <c r="T12" s="368"/>
      <c r="U12" s="368"/>
      <c r="V12" s="368"/>
      <c r="W12" s="368"/>
      <c r="X12" s="368"/>
      <c r="Y12" s="368"/>
      <c r="Z12" s="368"/>
    </row>
    <row r="13" spans="1:26" s="383" customFormat="1">
      <c r="A13" s="389"/>
      <c r="B13" s="385"/>
      <c r="C13" s="385"/>
      <c r="D13" s="385"/>
      <c r="E13" s="385"/>
      <c r="F13" s="385"/>
      <c r="G13" s="385"/>
      <c r="H13" s="385"/>
      <c r="I13" s="385"/>
      <c r="J13" s="385"/>
      <c r="K13" s="386"/>
      <c r="L13" s="387"/>
      <c r="M13" s="385"/>
      <c r="N13" s="385"/>
      <c r="O13" s="385"/>
      <c r="P13" s="386"/>
      <c r="Q13" s="387"/>
      <c r="R13" s="385"/>
      <c r="S13" s="388"/>
      <c r="T13" s="368"/>
      <c r="U13" s="368"/>
      <c r="V13" s="368"/>
      <c r="W13" s="368"/>
      <c r="X13" s="368"/>
      <c r="Y13" s="368"/>
      <c r="Z13" s="368"/>
    </row>
    <row r="14" spans="1:26" s="383" customFormat="1">
      <c r="A14" s="378"/>
      <c r="B14" s="379"/>
      <c r="C14" s="379"/>
      <c r="D14" s="379"/>
      <c r="E14" s="379"/>
      <c r="F14" s="379"/>
      <c r="G14" s="379"/>
      <c r="H14" s="379"/>
      <c r="I14" s="379"/>
      <c r="J14" s="379"/>
      <c r="K14" s="381"/>
      <c r="L14" s="379"/>
      <c r="M14" s="379"/>
      <c r="N14" s="379"/>
      <c r="O14" s="379"/>
      <c r="P14" s="381"/>
      <c r="Q14" s="379"/>
      <c r="R14" s="390"/>
      <c r="S14" s="382"/>
      <c r="T14" s="368"/>
      <c r="U14" s="368"/>
      <c r="V14" s="368"/>
      <c r="W14" s="368"/>
      <c r="X14" s="368"/>
      <c r="Y14" s="368"/>
      <c r="Z14" s="368"/>
    </row>
    <row r="15" spans="1:26" s="383" customFormat="1">
      <c r="A15" s="384"/>
      <c r="B15" s="385"/>
      <c r="C15" s="385"/>
      <c r="D15" s="385"/>
      <c r="E15" s="385"/>
      <c r="F15" s="385"/>
      <c r="G15" s="385"/>
      <c r="H15" s="385"/>
      <c r="I15" s="385"/>
      <c r="J15" s="385"/>
      <c r="K15" s="387"/>
      <c r="L15" s="385"/>
      <c r="M15" s="385"/>
      <c r="N15" s="385"/>
      <c r="O15" s="385"/>
      <c r="P15" s="387"/>
      <c r="Q15" s="385"/>
      <c r="R15" s="391"/>
      <c r="S15" s="388"/>
      <c r="T15" s="368"/>
      <c r="U15" s="368"/>
      <c r="V15" s="368"/>
      <c r="W15" s="368"/>
      <c r="X15" s="368"/>
      <c r="Y15" s="368"/>
      <c r="Z15" s="368"/>
    </row>
    <row r="16" spans="1:26" s="383" customFormat="1">
      <c r="A16" s="384"/>
      <c r="B16" s="379"/>
      <c r="C16" s="379"/>
      <c r="D16" s="379"/>
      <c r="E16" s="379"/>
      <c r="F16" s="379"/>
      <c r="G16" s="379"/>
      <c r="H16" s="379"/>
      <c r="I16" s="379"/>
      <c r="J16" s="379"/>
      <c r="K16" s="392"/>
      <c r="L16" s="379"/>
      <c r="M16" s="379"/>
      <c r="N16" s="379"/>
      <c r="O16" s="379"/>
      <c r="P16" s="392"/>
      <c r="Q16" s="379"/>
      <c r="R16" s="390"/>
      <c r="S16" s="382"/>
      <c r="T16" s="368"/>
      <c r="U16" s="368"/>
      <c r="V16" s="368"/>
      <c r="W16" s="368"/>
      <c r="X16" s="368"/>
      <c r="Y16" s="368"/>
      <c r="Z16" s="368"/>
    </row>
    <row r="17" spans="1:26" s="383" customFormat="1">
      <c r="A17" s="384"/>
      <c r="B17" s="385"/>
      <c r="C17" s="385"/>
      <c r="D17" s="385"/>
      <c r="E17" s="385"/>
      <c r="F17" s="385"/>
      <c r="G17" s="385"/>
      <c r="H17" s="385"/>
      <c r="I17" s="385"/>
      <c r="J17" s="385"/>
      <c r="K17" s="387"/>
      <c r="L17" s="385"/>
      <c r="M17" s="385"/>
      <c r="N17" s="385"/>
      <c r="O17" s="385"/>
      <c r="P17" s="387"/>
      <c r="Q17" s="385"/>
      <c r="R17" s="391"/>
      <c r="S17" s="388"/>
      <c r="T17" s="368"/>
      <c r="U17" s="368"/>
      <c r="V17" s="368"/>
      <c r="W17" s="368"/>
      <c r="X17" s="368"/>
      <c r="Y17" s="368"/>
      <c r="Z17" s="368"/>
    </row>
    <row r="18" spans="1:26" s="383" customFormat="1">
      <c r="A18" s="384"/>
      <c r="B18" s="379"/>
      <c r="C18" s="379"/>
      <c r="D18" s="379"/>
      <c r="E18" s="379"/>
      <c r="F18" s="379"/>
      <c r="G18" s="379"/>
      <c r="H18" s="379"/>
      <c r="I18" s="379"/>
      <c r="J18" s="379"/>
      <c r="K18" s="381"/>
      <c r="L18" s="379"/>
      <c r="M18" s="379"/>
      <c r="N18" s="379"/>
      <c r="O18" s="379"/>
      <c r="P18" s="381"/>
      <c r="Q18" s="379"/>
      <c r="R18" s="390"/>
      <c r="S18" s="382"/>
      <c r="T18" s="368"/>
      <c r="U18" s="368"/>
      <c r="V18" s="368"/>
      <c r="W18" s="368"/>
      <c r="X18" s="368"/>
      <c r="Y18" s="368"/>
      <c r="Z18" s="368"/>
    </row>
    <row r="19" spans="1:26" s="383" customFormat="1">
      <c r="A19" s="384"/>
      <c r="B19" s="385"/>
      <c r="C19" s="385"/>
      <c r="D19" s="385"/>
      <c r="E19" s="385"/>
      <c r="F19" s="385"/>
      <c r="G19" s="385"/>
      <c r="H19" s="385"/>
      <c r="I19" s="385"/>
      <c r="J19" s="385"/>
      <c r="K19" s="387"/>
      <c r="L19" s="385"/>
      <c r="M19" s="385"/>
      <c r="N19" s="385"/>
      <c r="O19" s="385"/>
      <c r="P19" s="387"/>
      <c r="Q19" s="385"/>
      <c r="R19" s="391"/>
      <c r="S19" s="388"/>
      <c r="T19" s="368"/>
      <c r="U19" s="368"/>
      <c r="V19" s="368"/>
      <c r="W19" s="368"/>
      <c r="X19" s="368"/>
      <c r="Y19" s="368"/>
      <c r="Z19" s="368"/>
    </row>
    <row r="20" spans="1:26" s="383" customFormat="1">
      <c r="A20" s="384"/>
      <c r="B20" s="379"/>
      <c r="C20" s="379"/>
      <c r="D20" s="379"/>
      <c r="E20" s="379"/>
      <c r="F20" s="379"/>
      <c r="G20" s="379"/>
      <c r="H20" s="379"/>
      <c r="I20" s="379"/>
      <c r="J20" s="379"/>
      <c r="K20" s="381"/>
      <c r="L20" s="379"/>
      <c r="M20" s="379"/>
      <c r="N20" s="379"/>
      <c r="O20" s="379"/>
      <c r="P20" s="381"/>
      <c r="Q20" s="379"/>
      <c r="R20" s="390"/>
      <c r="S20" s="382"/>
      <c r="T20" s="368"/>
      <c r="U20" s="368"/>
      <c r="V20" s="368"/>
      <c r="W20" s="368"/>
      <c r="X20" s="368"/>
      <c r="Y20" s="368"/>
      <c r="Z20" s="368"/>
    </row>
    <row r="21" spans="1:26" s="383" customFormat="1">
      <c r="A21" s="389"/>
      <c r="B21" s="385"/>
      <c r="C21" s="385"/>
      <c r="D21" s="385"/>
      <c r="E21" s="385"/>
      <c r="F21" s="385"/>
      <c r="G21" s="385"/>
      <c r="H21" s="385"/>
      <c r="I21" s="385"/>
      <c r="J21" s="385"/>
      <c r="K21" s="387"/>
      <c r="L21" s="385"/>
      <c r="M21" s="385"/>
      <c r="N21" s="385"/>
      <c r="O21" s="385"/>
      <c r="P21" s="387"/>
      <c r="Q21" s="385"/>
      <c r="R21" s="391"/>
      <c r="S21" s="388"/>
      <c r="T21" s="368"/>
      <c r="U21" s="368"/>
      <c r="V21" s="368"/>
      <c r="W21" s="368"/>
      <c r="X21" s="368"/>
      <c r="Y21" s="368"/>
      <c r="Z21" s="368"/>
    </row>
    <row r="22" spans="1:26" s="383" customFormat="1">
      <c r="A22" s="378"/>
      <c r="B22" s="379"/>
      <c r="C22" s="379"/>
      <c r="D22" s="379"/>
      <c r="E22" s="379"/>
      <c r="F22" s="379"/>
      <c r="G22" s="379"/>
      <c r="H22" s="379"/>
      <c r="I22" s="379"/>
      <c r="J22" s="379"/>
      <c r="K22" s="381"/>
      <c r="L22" s="379"/>
      <c r="M22" s="379"/>
      <c r="N22" s="379"/>
      <c r="O22" s="379"/>
      <c r="P22" s="381"/>
      <c r="Q22" s="379"/>
      <c r="R22" s="390"/>
      <c r="S22" s="382"/>
      <c r="T22" s="368"/>
      <c r="U22" s="368"/>
      <c r="V22" s="368"/>
      <c r="W22" s="368"/>
      <c r="X22" s="368"/>
      <c r="Y22" s="368"/>
      <c r="Z22" s="368"/>
    </row>
    <row r="23" spans="1:26" s="383" customFormat="1">
      <c r="A23" s="384"/>
      <c r="B23" s="385"/>
      <c r="C23" s="385"/>
      <c r="D23" s="385"/>
      <c r="E23" s="385"/>
      <c r="F23" s="385"/>
      <c r="G23" s="385"/>
      <c r="H23" s="385"/>
      <c r="I23" s="385"/>
      <c r="J23" s="385"/>
      <c r="K23" s="387"/>
      <c r="L23" s="385"/>
      <c r="M23" s="385"/>
      <c r="N23" s="385"/>
      <c r="O23" s="385"/>
      <c r="P23" s="387"/>
      <c r="Q23" s="385"/>
      <c r="R23" s="391"/>
      <c r="S23" s="388"/>
      <c r="T23" s="368"/>
      <c r="U23" s="368"/>
      <c r="V23" s="368"/>
      <c r="W23" s="368"/>
      <c r="X23" s="368"/>
      <c r="Y23" s="368"/>
      <c r="Z23" s="368"/>
    </row>
    <row r="24" spans="1:26" s="383" customFormat="1">
      <c r="A24" s="384"/>
      <c r="B24" s="379"/>
      <c r="C24" s="379"/>
      <c r="D24" s="379"/>
      <c r="E24" s="379"/>
      <c r="F24" s="379"/>
      <c r="G24" s="379"/>
      <c r="H24" s="379"/>
      <c r="I24" s="379"/>
      <c r="J24" s="379"/>
      <c r="K24" s="381"/>
      <c r="L24" s="379"/>
      <c r="M24" s="379"/>
      <c r="N24" s="379"/>
      <c r="O24" s="379"/>
      <c r="P24" s="381"/>
      <c r="Q24" s="379"/>
      <c r="R24" s="390"/>
      <c r="S24" s="382"/>
      <c r="T24" s="368"/>
      <c r="U24" s="368"/>
      <c r="V24" s="368"/>
      <c r="W24" s="368"/>
      <c r="X24" s="368"/>
      <c r="Y24" s="368"/>
      <c r="Z24" s="368"/>
    </row>
    <row r="25" spans="1:26" s="383" customFormat="1">
      <c r="A25" s="384"/>
      <c r="B25" s="385"/>
      <c r="C25" s="385"/>
      <c r="D25" s="385"/>
      <c r="E25" s="385"/>
      <c r="F25" s="385"/>
      <c r="G25" s="385"/>
      <c r="H25" s="385"/>
      <c r="I25" s="385"/>
      <c r="J25" s="385"/>
      <c r="K25" s="387"/>
      <c r="L25" s="385"/>
      <c r="M25" s="385"/>
      <c r="N25" s="385"/>
      <c r="O25" s="385"/>
      <c r="P25" s="387"/>
      <c r="Q25" s="385"/>
      <c r="R25" s="391"/>
      <c r="S25" s="388"/>
      <c r="T25" s="368"/>
      <c r="U25" s="368"/>
      <c r="V25" s="368"/>
      <c r="W25" s="368"/>
      <c r="X25" s="368"/>
      <c r="Y25" s="368"/>
      <c r="Z25" s="368"/>
    </row>
    <row r="26" spans="1:26" s="383" customFormat="1">
      <c r="A26" s="384"/>
      <c r="B26" s="379"/>
      <c r="C26" s="379"/>
      <c r="D26" s="379"/>
      <c r="E26" s="379"/>
      <c r="F26" s="379"/>
      <c r="G26" s="379"/>
      <c r="H26" s="379"/>
      <c r="I26" s="379"/>
      <c r="J26" s="379"/>
      <c r="K26" s="381"/>
      <c r="L26" s="379"/>
      <c r="M26" s="379"/>
      <c r="N26" s="379"/>
      <c r="O26" s="379"/>
      <c r="P26" s="381"/>
      <c r="Q26" s="379"/>
      <c r="R26" s="390"/>
      <c r="S26" s="382"/>
      <c r="T26" s="368"/>
      <c r="U26" s="368"/>
      <c r="V26" s="368"/>
      <c r="W26" s="368"/>
      <c r="X26" s="368"/>
      <c r="Y26" s="368"/>
      <c r="Z26" s="368"/>
    </row>
    <row r="27" spans="1:26" s="383" customFormat="1">
      <c r="A27" s="384"/>
      <c r="B27" s="385"/>
      <c r="C27" s="385"/>
      <c r="D27" s="385"/>
      <c r="E27" s="385"/>
      <c r="F27" s="385"/>
      <c r="G27" s="385"/>
      <c r="H27" s="385"/>
      <c r="I27" s="385"/>
      <c r="J27" s="385"/>
      <c r="K27" s="387"/>
      <c r="L27" s="385"/>
      <c r="M27" s="385"/>
      <c r="N27" s="385"/>
      <c r="O27" s="385"/>
      <c r="P27" s="387"/>
      <c r="Q27" s="385"/>
      <c r="R27" s="391"/>
      <c r="S27" s="388"/>
      <c r="T27" s="368"/>
      <c r="U27" s="368"/>
      <c r="V27" s="368"/>
      <c r="W27" s="368"/>
      <c r="X27" s="368"/>
      <c r="Y27" s="368"/>
      <c r="Z27" s="368"/>
    </row>
    <row r="28" spans="1:26" s="383" customFormat="1">
      <c r="A28" s="384"/>
      <c r="B28" s="379"/>
      <c r="C28" s="379"/>
      <c r="D28" s="379"/>
      <c r="E28" s="379"/>
      <c r="F28" s="379"/>
      <c r="G28" s="379"/>
      <c r="H28" s="379"/>
      <c r="I28" s="379"/>
      <c r="J28" s="379"/>
      <c r="K28" s="381"/>
      <c r="L28" s="379"/>
      <c r="M28" s="379"/>
      <c r="N28" s="379"/>
      <c r="O28" s="379"/>
      <c r="P28" s="381"/>
      <c r="Q28" s="379"/>
      <c r="R28" s="390"/>
      <c r="S28" s="382"/>
      <c r="T28" s="368"/>
      <c r="U28" s="368"/>
      <c r="V28" s="368"/>
      <c r="W28" s="368"/>
      <c r="X28" s="368"/>
      <c r="Y28" s="368"/>
      <c r="Z28" s="368"/>
    </row>
    <row r="29" spans="1:26" s="383" customFormat="1">
      <c r="A29" s="389"/>
      <c r="B29" s="385"/>
      <c r="C29" s="385"/>
      <c r="D29" s="385"/>
      <c r="E29" s="385"/>
      <c r="F29" s="385"/>
      <c r="G29" s="385"/>
      <c r="H29" s="385"/>
      <c r="I29" s="385"/>
      <c r="J29" s="385"/>
      <c r="K29" s="387"/>
      <c r="L29" s="385"/>
      <c r="M29" s="385"/>
      <c r="N29" s="385"/>
      <c r="O29" s="385"/>
      <c r="P29" s="387"/>
      <c r="Q29" s="385"/>
      <c r="R29" s="391"/>
      <c r="S29" s="388"/>
      <c r="T29" s="368"/>
      <c r="U29" s="368"/>
      <c r="V29" s="368"/>
      <c r="W29" s="368"/>
      <c r="X29" s="368"/>
      <c r="Y29" s="368"/>
      <c r="Z29" s="368"/>
    </row>
    <row r="30" spans="1:26" s="383" customFormat="1">
      <c r="A30" s="378"/>
      <c r="B30" s="379"/>
      <c r="C30" s="379"/>
      <c r="D30" s="379"/>
      <c r="E30" s="379"/>
      <c r="F30" s="379"/>
      <c r="G30" s="379"/>
      <c r="H30" s="379"/>
      <c r="I30" s="379"/>
      <c r="J30" s="379"/>
      <c r="K30" s="381"/>
      <c r="L30" s="379"/>
      <c r="M30" s="379"/>
      <c r="N30" s="379"/>
      <c r="O30" s="379"/>
      <c r="P30" s="381"/>
      <c r="Q30" s="379"/>
      <c r="R30" s="390"/>
      <c r="S30" s="382"/>
      <c r="T30" s="368"/>
      <c r="U30" s="368"/>
      <c r="V30" s="368"/>
      <c r="W30" s="368"/>
      <c r="X30" s="368"/>
      <c r="Y30" s="368"/>
      <c r="Z30" s="368"/>
    </row>
    <row r="31" spans="1:26" s="383" customFormat="1">
      <c r="A31" s="384"/>
      <c r="B31" s="385"/>
      <c r="C31" s="385"/>
      <c r="D31" s="385"/>
      <c r="E31" s="385"/>
      <c r="F31" s="385"/>
      <c r="G31" s="385"/>
      <c r="H31" s="385"/>
      <c r="I31" s="385"/>
      <c r="J31" s="385"/>
      <c r="K31" s="387"/>
      <c r="L31" s="385"/>
      <c r="M31" s="385"/>
      <c r="N31" s="385"/>
      <c r="O31" s="385"/>
      <c r="P31" s="387"/>
      <c r="Q31" s="385"/>
      <c r="R31" s="391"/>
      <c r="S31" s="388"/>
      <c r="T31" s="368"/>
      <c r="U31" s="368"/>
      <c r="V31" s="368"/>
      <c r="W31" s="368"/>
      <c r="X31" s="368"/>
      <c r="Y31" s="368"/>
      <c r="Z31" s="368"/>
    </row>
    <row r="32" spans="1:26" s="383" customFormat="1">
      <c r="A32" s="384"/>
      <c r="B32" s="379"/>
      <c r="C32" s="379"/>
      <c r="D32" s="379"/>
      <c r="E32" s="379"/>
      <c r="F32" s="379"/>
      <c r="G32" s="379"/>
      <c r="H32" s="379"/>
      <c r="I32" s="379"/>
      <c r="J32" s="379"/>
      <c r="K32" s="381"/>
      <c r="L32" s="379"/>
      <c r="M32" s="379"/>
      <c r="N32" s="379"/>
      <c r="O32" s="379"/>
      <c r="P32" s="381"/>
      <c r="Q32" s="379"/>
      <c r="R32" s="390"/>
      <c r="S32" s="382"/>
      <c r="T32" s="368"/>
      <c r="U32" s="368"/>
      <c r="V32" s="368"/>
      <c r="W32" s="368"/>
      <c r="X32" s="368"/>
      <c r="Y32" s="368"/>
      <c r="Z32" s="368"/>
    </row>
    <row r="33" spans="1:26" s="383" customFormat="1">
      <c r="A33" s="384"/>
      <c r="B33" s="385"/>
      <c r="C33" s="385"/>
      <c r="D33" s="385"/>
      <c r="E33" s="385"/>
      <c r="F33" s="385"/>
      <c r="G33" s="385"/>
      <c r="H33" s="385"/>
      <c r="I33" s="385"/>
      <c r="J33" s="385"/>
      <c r="K33" s="387"/>
      <c r="L33" s="385"/>
      <c r="M33" s="385"/>
      <c r="N33" s="385"/>
      <c r="O33" s="385"/>
      <c r="P33" s="387"/>
      <c r="Q33" s="385"/>
      <c r="R33" s="391"/>
      <c r="S33" s="388"/>
      <c r="T33" s="368"/>
      <c r="U33" s="368"/>
      <c r="V33" s="368"/>
      <c r="W33" s="368"/>
      <c r="X33" s="368"/>
      <c r="Y33" s="368"/>
      <c r="Z33" s="368"/>
    </row>
    <row r="34" spans="1:26" s="383" customFormat="1">
      <c r="A34" s="384"/>
      <c r="B34" s="379"/>
      <c r="C34" s="379"/>
      <c r="D34" s="379"/>
      <c r="E34" s="379"/>
      <c r="F34" s="379"/>
      <c r="G34" s="379"/>
      <c r="H34" s="379"/>
      <c r="I34" s="379"/>
      <c r="J34" s="379"/>
      <c r="K34" s="381"/>
      <c r="L34" s="379"/>
      <c r="M34" s="379"/>
      <c r="N34" s="379"/>
      <c r="O34" s="379"/>
      <c r="P34" s="381"/>
      <c r="Q34" s="379"/>
      <c r="R34" s="390"/>
      <c r="S34" s="382"/>
      <c r="T34" s="368"/>
      <c r="U34" s="368"/>
      <c r="V34" s="368"/>
      <c r="W34" s="368"/>
      <c r="X34" s="368"/>
      <c r="Y34" s="368"/>
      <c r="Z34" s="368"/>
    </row>
    <row r="35" spans="1:26" s="383" customFormat="1">
      <c r="A35" s="384"/>
      <c r="B35" s="385"/>
      <c r="C35" s="385"/>
      <c r="D35" s="385"/>
      <c r="E35" s="385"/>
      <c r="F35" s="385"/>
      <c r="G35" s="385"/>
      <c r="H35" s="385"/>
      <c r="I35" s="385"/>
      <c r="J35" s="385"/>
      <c r="K35" s="387"/>
      <c r="L35" s="385"/>
      <c r="M35" s="385"/>
      <c r="N35" s="385"/>
      <c r="O35" s="385"/>
      <c r="P35" s="387"/>
      <c r="Q35" s="385"/>
      <c r="R35" s="391"/>
      <c r="S35" s="388"/>
      <c r="T35" s="368"/>
      <c r="U35" s="368"/>
      <c r="V35" s="368"/>
      <c r="W35" s="368"/>
      <c r="X35" s="368"/>
      <c r="Y35" s="368"/>
      <c r="Z35" s="368"/>
    </row>
    <row r="36" spans="1:26" s="383" customFormat="1">
      <c r="A36" s="384"/>
      <c r="B36" s="379"/>
      <c r="C36" s="379"/>
      <c r="D36" s="379"/>
      <c r="E36" s="379"/>
      <c r="F36" s="379"/>
      <c r="G36" s="379"/>
      <c r="H36" s="379"/>
      <c r="I36" s="379"/>
      <c r="J36" s="379"/>
      <c r="K36" s="381"/>
      <c r="L36" s="379"/>
      <c r="M36" s="379"/>
      <c r="N36" s="379"/>
      <c r="O36" s="379"/>
      <c r="P36" s="381"/>
      <c r="Q36" s="379"/>
      <c r="R36" s="390"/>
      <c r="S36" s="382"/>
      <c r="T36" s="368"/>
      <c r="U36" s="368"/>
      <c r="V36" s="368"/>
      <c r="W36" s="368"/>
      <c r="X36" s="368"/>
      <c r="Y36" s="368"/>
      <c r="Z36" s="368"/>
    </row>
    <row r="37" spans="1:26" s="383" customFormat="1">
      <c r="A37" s="389"/>
      <c r="B37" s="385"/>
      <c r="C37" s="385"/>
      <c r="D37" s="385"/>
      <c r="E37" s="385"/>
      <c r="F37" s="385"/>
      <c r="G37" s="385"/>
      <c r="H37" s="385"/>
      <c r="I37" s="385"/>
      <c r="J37" s="385"/>
      <c r="K37" s="387"/>
      <c r="L37" s="385"/>
      <c r="M37" s="385"/>
      <c r="N37" s="385"/>
      <c r="O37" s="385"/>
      <c r="P37" s="387"/>
      <c r="Q37" s="385"/>
      <c r="R37" s="391"/>
      <c r="S37" s="388"/>
      <c r="T37" s="368"/>
      <c r="U37" s="368"/>
      <c r="V37" s="368"/>
      <c r="W37" s="368"/>
      <c r="X37" s="368"/>
      <c r="Y37" s="368"/>
      <c r="Z37" s="368"/>
    </row>
    <row r="38" spans="1:26" s="383" customFormat="1">
      <c r="A38" s="378"/>
      <c r="B38" s="379"/>
      <c r="C38" s="379"/>
      <c r="D38" s="379"/>
      <c r="E38" s="379"/>
      <c r="F38" s="379"/>
      <c r="G38" s="379"/>
      <c r="H38" s="379"/>
      <c r="I38" s="379"/>
      <c r="J38" s="379"/>
      <c r="K38" s="381"/>
      <c r="L38" s="379"/>
      <c r="M38" s="379"/>
      <c r="N38" s="379"/>
      <c r="O38" s="379"/>
      <c r="P38" s="381"/>
      <c r="Q38" s="379"/>
      <c r="R38" s="390"/>
      <c r="S38" s="382"/>
      <c r="T38" s="368"/>
      <c r="U38" s="368"/>
      <c r="V38" s="368"/>
      <c r="W38" s="368"/>
      <c r="X38" s="368"/>
      <c r="Y38" s="368"/>
      <c r="Z38" s="368"/>
    </row>
    <row r="39" spans="1:26" s="383" customFormat="1">
      <c r="A39" s="384"/>
      <c r="B39" s="385"/>
      <c r="C39" s="385"/>
      <c r="D39" s="385"/>
      <c r="E39" s="385"/>
      <c r="F39" s="385"/>
      <c r="G39" s="385"/>
      <c r="H39" s="385"/>
      <c r="I39" s="385"/>
      <c r="J39" s="385"/>
      <c r="K39" s="387"/>
      <c r="L39" s="385"/>
      <c r="M39" s="385"/>
      <c r="N39" s="385"/>
      <c r="O39" s="385"/>
      <c r="P39" s="387"/>
      <c r="Q39" s="385"/>
      <c r="R39" s="391"/>
      <c r="S39" s="388"/>
      <c r="T39" s="368"/>
      <c r="U39" s="368"/>
      <c r="V39" s="368"/>
      <c r="W39" s="368"/>
      <c r="X39" s="368"/>
      <c r="Y39" s="368"/>
      <c r="Z39" s="368"/>
    </row>
    <row r="40" spans="1:26" s="383" customFormat="1">
      <c r="A40" s="384"/>
      <c r="B40" s="379"/>
      <c r="C40" s="379"/>
      <c r="D40" s="379"/>
      <c r="E40" s="379"/>
      <c r="F40" s="379"/>
      <c r="G40" s="379"/>
      <c r="H40" s="379"/>
      <c r="I40" s="379"/>
      <c r="J40" s="379"/>
      <c r="K40" s="381"/>
      <c r="L40" s="379"/>
      <c r="M40" s="379"/>
      <c r="N40" s="379"/>
      <c r="O40" s="379"/>
      <c r="P40" s="381"/>
      <c r="Q40" s="379"/>
      <c r="R40" s="390"/>
      <c r="S40" s="382"/>
      <c r="T40" s="368"/>
      <c r="U40" s="368"/>
      <c r="V40" s="368"/>
      <c r="W40" s="368"/>
      <c r="X40" s="368"/>
      <c r="Y40" s="368"/>
      <c r="Z40" s="368"/>
    </row>
    <row r="41" spans="1:26" s="383" customFormat="1">
      <c r="A41" s="384"/>
      <c r="B41" s="385"/>
      <c r="C41" s="385"/>
      <c r="D41" s="385"/>
      <c r="E41" s="385"/>
      <c r="F41" s="385"/>
      <c r="G41" s="385"/>
      <c r="H41" s="385"/>
      <c r="I41" s="385"/>
      <c r="J41" s="385"/>
      <c r="K41" s="387"/>
      <c r="L41" s="385"/>
      <c r="M41" s="385"/>
      <c r="N41" s="385"/>
      <c r="O41" s="385"/>
      <c r="P41" s="387"/>
      <c r="Q41" s="385"/>
      <c r="R41" s="391"/>
      <c r="S41" s="388"/>
      <c r="T41" s="368"/>
      <c r="U41" s="368"/>
      <c r="V41" s="368"/>
      <c r="W41" s="368"/>
      <c r="X41" s="368"/>
      <c r="Y41" s="368"/>
      <c r="Z41" s="368"/>
    </row>
    <row r="42" spans="1:26" s="383" customFormat="1">
      <c r="A42" s="384"/>
      <c r="B42" s="379"/>
      <c r="C42" s="379"/>
      <c r="D42" s="379"/>
      <c r="E42" s="379"/>
      <c r="F42" s="379"/>
      <c r="G42" s="379"/>
      <c r="H42" s="379"/>
      <c r="I42" s="379"/>
      <c r="J42" s="379"/>
      <c r="K42" s="381"/>
      <c r="L42" s="379"/>
      <c r="M42" s="379"/>
      <c r="N42" s="379"/>
      <c r="O42" s="379"/>
      <c r="P42" s="381"/>
      <c r="Q42" s="379"/>
      <c r="R42" s="390"/>
      <c r="S42" s="382"/>
      <c r="T42" s="368"/>
      <c r="U42" s="368"/>
      <c r="V42" s="368"/>
      <c r="W42" s="368"/>
      <c r="X42" s="368"/>
      <c r="Y42" s="368"/>
      <c r="Z42" s="368"/>
    </row>
    <row r="43" spans="1:26" s="383" customFormat="1">
      <c r="A43" s="384"/>
      <c r="B43" s="385"/>
      <c r="C43" s="385"/>
      <c r="D43" s="385"/>
      <c r="E43" s="385"/>
      <c r="F43" s="385"/>
      <c r="G43" s="385"/>
      <c r="H43" s="385"/>
      <c r="I43" s="385"/>
      <c r="J43" s="385"/>
      <c r="K43" s="387"/>
      <c r="L43" s="385"/>
      <c r="M43" s="385"/>
      <c r="N43" s="385"/>
      <c r="O43" s="385"/>
      <c r="P43" s="387"/>
      <c r="Q43" s="385"/>
      <c r="R43" s="391"/>
      <c r="S43" s="388"/>
      <c r="T43" s="368"/>
      <c r="U43" s="368"/>
      <c r="V43" s="368"/>
      <c r="W43" s="368"/>
      <c r="X43" s="368"/>
      <c r="Y43" s="368"/>
      <c r="Z43" s="368"/>
    </row>
    <row r="44" spans="1:26" s="383" customFormat="1">
      <c r="A44" s="384"/>
      <c r="B44" s="379"/>
      <c r="C44" s="379"/>
      <c r="D44" s="379"/>
      <c r="E44" s="379"/>
      <c r="F44" s="379"/>
      <c r="G44" s="379"/>
      <c r="H44" s="379"/>
      <c r="I44" s="379"/>
      <c r="J44" s="379"/>
      <c r="K44" s="381"/>
      <c r="L44" s="379"/>
      <c r="M44" s="379"/>
      <c r="N44" s="379"/>
      <c r="O44" s="379"/>
      <c r="P44" s="381"/>
      <c r="Q44" s="379"/>
      <c r="R44" s="390"/>
      <c r="S44" s="382"/>
      <c r="T44" s="368"/>
      <c r="U44" s="368"/>
      <c r="V44" s="368"/>
      <c r="W44" s="368"/>
      <c r="X44" s="368"/>
      <c r="Y44" s="368"/>
      <c r="Z44" s="368"/>
    </row>
    <row r="45" spans="1:26" s="383" customFormat="1">
      <c r="A45" s="389"/>
      <c r="B45" s="385"/>
      <c r="C45" s="385"/>
      <c r="D45" s="385"/>
      <c r="E45" s="385"/>
      <c r="F45" s="385"/>
      <c r="G45" s="385"/>
      <c r="H45" s="385"/>
      <c r="I45" s="385"/>
      <c r="J45" s="385"/>
      <c r="K45" s="387"/>
      <c r="L45" s="385"/>
      <c r="M45" s="385"/>
      <c r="N45" s="385"/>
      <c r="O45" s="385"/>
      <c r="P45" s="387"/>
      <c r="Q45" s="385"/>
      <c r="R45" s="391"/>
      <c r="S45" s="388"/>
      <c r="T45" s="368"/>
      <c r="U45" s="368"/>
      <c r="V45" s="368"/>
      <c r="W45" s="368"/>
      <c r="X45" s="368"/>
      <c r="Y45" s="368"/>
      <c r="Z45" s="368"/>
    </row>
    <row r="46" spans="1:26" s="383" customFormat="1">
      <c r="A46" s="378"/>
      <c r="B46" s="379"/>
      <c r="C46" s="379"/>
      <c r="D46" s="379"/>
      <c r="E46" s="379"/>
      <c r="F46" s="379"/>
      <c r="G46" s="379"/>
      <c r="H46" s="379"/>
      <c r="I46" s="379"/>
      <c r="J46" s="379"/>
      <c r="K46" s="381"/>
      <c r="L46" s="379"/>
      <c r="M46" s="379"/>
      <c r="N46" s="379"/>
      <c r="O46" s="379"/>
      <c r="P46" s="381"/>
      <c r="Q46" s="379"/>
      <c r="R46" s="390"/>
      <c r="S46" s="382"/>
      <c r="T46" s="368"/>
      <c r="U46" s="368"/>
      <c r="V46" s="368"/>
      <c r="W46" s="368"/>
      <c r="X46" s="368"/>
      <c r="Y46" s="368"/>
      <c r="Z46" s="368"/>
    </row>
    <row r="47" spans="1:26" s="383" customFormat="1">
      <c r="A47" s="384"/>
      <c r="B47" s="385"/>
      <c r="C47" s="385"/>
      <c r="D47" s="385"/>
      <c r="E47" s="385"/>
      <c r="F47" s="385"/>
      <c r="G47" s="385"/>
      <c r="H47" s="385"/>
      <c r="I47" s="385"/>
      <c r="J47" s="385"/>
      <c r="K47" s="387"/>
      <c r="L47" s="385"/>
      <c r="M47" s="385"/>
      <c r="N47" s="385"/>
      <c r="O47" s="385"/>
      <c r="P47" s="387"/>
      <c r="Q47" s="385"/>
      <c r="R47" s="391"/>
      <c r="S47" s="388"/>
      <c r="T47" s="368"/>
      <c r="U47" s="368"/>
      <c r="V47" s="368"/>
      <c r="W47" s="368"/>
      <c r="X47" s="368"/>
      <c r="Y47" s="368"/>
      <c r="Z47" s="368"/>
    </row>
    <row r="48" spans="1:26" s="383" customFormat="1">
      <c r="A48" s="384"/>
      <c r="B48" s="379"/>
      <c r="C48" s="379"/>
      <c r="D48" s="379"/>
      <c r="E48" s="379"/>
      <c r="F48" s="379"/>
      <c r="G48" s="379"/>
      <c r="H48" s="379"/>
      <c r="I48" s="379"/>
      <c r="J48" s="379"/>
      <c r="K48" s="381"/>
      <c r="L48" s="379"/>
      <c r="M48" s="379"/>
      <c r="N48" s="379"/>
      <c r="O48" s="379"/>
      <c r="P48" s="381"/>
      <c r="Q48" s="379"/>
      <c r="R48" s="390"/>
      <c r="S48" s="382"/>
      <c r="T48" s="368"/>
      <c r="U48" s="368"/>
      <c r="V48" s="368"/>
      <c r="W48" s="368"/>
      <c r="X48" s="368"/>
      <c r="Y48" s="368"/>
      <c r="Z48" s="368"/>
    </row>
    <row r="49" spans="1:26" s="383" customFormat="1">
      <c r="A49" s="384"/>
      <c r="B49" s="385"/>
      <c r="C49" s="385"/>
      <c r="D49" s="385"/>
      <c r="E49" s="385"/>
      <c r="F49" s="385"/>
      <c r="G49" s="385"/>
      <c r="H49" s="385"/>
      <c r="I49" s="385"/>
      <c r="J49" s="385"/>
      <c r="K49" s="387"/>
      <c r="L49" s="385"/>
      <c r="M49" s="385"/>
      <c r="N49" s="385"/>
      <c r="O49" s="385"/>
      <c r="P49" s="387"/>
      <c r="Q49" s="385"/>
      <c r="R49" s="391"/>
      <c r="S49" s="388"/>
      <c r="T49" s="368"/>
      <c r="U49" s="368"/>
      <c r="V49" s="368"/>
      <c r="W49" s="368"/>
      <c r="X49" s="368"/>
      <c r="Y49" s="368"/>
      <c r="Z49" s="368"/>
    </row>
    <row r="50" spans="1:26" s="383" customFormat="1">
      <c r="A50" s="384"/>
      <c r="B50" s="379"/>
      <c r="C50" s="379"/>
      <c r="D50" s="379"/>
      <c r="E50" s="379"/>
      <c r="F50" s="379"/>
      <c r="G50" s="379"/>
      <c r="H50" s="379"/>
      <c r="I50" s="379"/>
      <c r="J50" s="379"/>
      <c r="K50" s="381"/>
      <c r="L50" s="379"/>
      <c r="M50" s="379"/>
      <c r="N50" s="379"/>
      <c r="O50" s="379"/>
      <c r="P50" s="381"/>
      <c r="Q50" s="379"/>
      <c r="R50" s="390"/>
      <c r="S50" s="382"/>
      <c r="T50" s="368"/>
      <c r="U50" s="368"/>
      <c r="V50" s="368"/>
      <c r="W50" s="368"/>
      <c r="X50" s="368"/>
      <c r="Y50" s="368"/>
      <c r="Z50" s="368"/>
    </row>
    <row r="51" spans="1:26" s="383" customFormat="1">
      <c r="A51" s="384"/>
      <c r="B51" s="385"/>
      <c r="C51" s="385"/>
      <c r="D51" s="385"/>
      <c r="E51" s="385"/>
      <c r="F51" s="385"/>
      <c r="G51" s="385"/>
      <c r="H51" s="385"/>
      <c r="I51" s="385"/>
      <c r="J51" s="385"/>
      <c r="K51" s="387"/>
      <c r="L51" s="385"/>
      <c r="M51" s="385"/>
      <c r="N51" s="385"/>
      <c r="O51" s="385"/>
      <c r="P51" s="387"/>
      <c r="Q51" s="385"/>
      <c r="R51" s="391"/>
      <c r="S51" s="388"/>
      <c r="T51" s="368"/>
      <c r="U51" s="368"/>
      <c r="V51" s="368"/>
      <c r="W51" s="368"/>
      <c r="X51" s="368"/>
      <c r="Y51" s="368"/>
      <c r="Z51" s="368"/>
    </row>
    <row r="52" spans="1:26" s="383" customFormat="1">
      <c r="A52" s="384"/>
      <c r="B52" s="379"/>
      <c r="C52" s="379"/>
      <c r="D52" s="379"/>
      <c r="E52" s="379"/>
      <c r="F52" s="379"/>
      <c r="G52" s="379"/>
      <c r="H52" s="379"/>
      <c r="I52" s="379"/>
      <c r="J52" s="379"/>
      <c r="K52" s="381"/>
      <c r="L52" s="379"/>
      <c r="M52" s="379"/>
      <c r="N52" s="379"/>
      <c r="O52" s="379"/>
      <c r="P52" s="381"/>
      <c r="Q52" s="379"/>
      <c r="R52" s="390"/>
      <c r="S52" s="382"/>
      <c r="T52" s="368"/>
      <c r="U52" s="368"/>
      <c r="V52" s="368"/>
      <c r="W52" s="368"/>
      <c r="X52" s="368"/>
      <c r="Y52" s="368"/>
      <c r="Z52" s="368"/>
    </row>
    <row r="53" spans="1:26" s="383" customFormat="1">
      <c r="A53" s="389"/>
      <c r="B53" s="385"/>
      <c r="C53" s="385"/>
      <c r="D53" s="385"/>
      <c r="E53" s="385"/>
      <c r="F53" s="385"/>
      <c r="G53" s="385"/>
      <c r="H53" s="385"/>
      <c r="I53" s="385"/>
      <c r="J53" s="385"/>
      <c r="K53" s="387"/>
      <c r="L53" s="385"/>
      <c r="M53" s="385"/>
      <c r="N53" s="385"/>
      <c r="O53" s="385"/>
      <c r="P53" s="387"/>
      <c r="Q53" s="385"/>
      <c r="R53" s="391"/>
      <c r="S53" s="388"/>
      <c r="T53" s="368"/>
      <c r="U53" s="368"/>
      <c r="V53" s="368"/>
      <c r="W53" s="368"/>
      <c r="X53" s="368"/>
      <c r="Y53" s="368"/>
      <c r="Z53" s="368"/>
    </row>
    <row r="54" spans="1:26" s="383" customFormat="1">
      <c r="A54" s="378"/>
      <c r="B54" s="379"/>
      <c r="C54" s="379"/>
      <c r="D54" s="379"/>
      <c r="E54" s="379"/>
      <c r="F54" s="379"/>
      <c r="G54" s="379"/>
      <c r="H54" s="379"/>
      <c r="I54" s="379"/>
      <c r="J54" s="379"/>
      <c r="K54" s="381"/>
      <c r="L54" s="379"/>
      <c r="M54" s="379"/>
      <c r="N54" s="379"/>
      <c r="O54" s="379"/>
      <c r="P54" s="381"/>
      <c r="Q54" s="379"/>
      <c r="R54" s="390"/>
      <c r="S54" s="382"/>
      <c r="T54" s="368"/>
      <c r="U54" s="368"/>
      <c r="V54" s="368"/>
      <c r="W54" s="368"/>
      <c r="X54" s="368"/>
      <c r="Y54" s="368"/>
      <c r="Z54" s="368"/>
    </row>
    <row r="55" spans="1:26" s="383" customFormat="1">
      <c r="A55" s="384"/>
      <c r="B55" s="385"/>
      <c r="C55" s="385"/>
      <c r="D55" s="385"/>
      <c r="E55" s="385"/>
      <c r="F55" s="385"/>
      <c r="G55" s="385"/>
      <c r="H55" s="385"/>
      <c r="I55" s="385"/>
      <c r="J55" s="385"/>
      <c r="K55" s="387"/>
      <c r="L55" s="385"/>
      <c r="M55" s="385"/>
      <c r="N55" s="385"/>
      <c r="O55" s="385"/>
      <c r="P55" s="387"/>
      <c r="Q55" s="385"/>
      <c r="R55" s="391"/>
      <c r="S55" s="388"/>
      <c r="T55" s="368"/>
      <c r="U55" s="368"/>
      <c r="V55" s="368"/>
      <c r="W55" s="368"/>
      <c r="X55" s="368"/>
      <c r="Y55" s="368"/>
      <c r="Z55" s="368"/>
    </row>
    <row r="56" spans="1:26" s="383" customFormat="1">
      <c r="A56" s="384"/>
      <c r="B56" s="379"/>
      <c r="C56" s="379"/>
      <c r="D56" s="379"/>
      <c r="E56" s="379"/>
      <c r="F56" s="379"/>
      <c r="G56" s="379"/>
      <c r="H56" s="379"/>
      <c r="I56" s="379"/>
      <c r="J56" s="379"/>
      <c r="K56" s="381"/>
      <c r="L56" s="379"/>
      <c r="M56" s="379"/>
      <c r="N56" s="379"/>
      <c r="O56" s="379"/>
      <c r="P56" s="381"/>
      <c r="Q56" s="379"/>
      <c r="R56" s="390"/>
      <c r="S56" s="382"/>
      <c r="T56" s="368"/>
      <c r="U56" s="368"/>
      <c r="V56" s="368"/>
      <c r="W56" s="368"/>
      <c r="X56" s="368"/>
      <c r="Y56" s="368"/>
      <c r="Z56" s="368"/>
    </row>
    <row r="57" spans="1:26" s="383" customFormat="1">
      <c r="A57" s="384"/>
      <c r="B57" s="385"/>
      <c r="C57" s="385"/>
      <c r="D57" s="385"/>
      <c r="E57" s="385"/>
      <c r="F57" s="385"/>
      <c r="G57" s="385"/>
      <c r="H57" s="385"/>
      <c r="I57" s="385"/>
      <c r="J57" s="385"/>
      <c r="K57" s="387"/>
      <c r="L57" s="385"/>
      <c r="M57" s="385"/>
      <c r="N57" s="385"/>
      <c r="O57" s="385"/>
      <c r="P57" s="387"/>
      <c r="Q57" s="385"/>
      <c r="R57" s="391"/>
      <c r="S57" s="388"/>
      <c r="T57" s="368"/>
      <c r="U57" s="368"/>
      <c r="V57" s="368"/>
      <c r="W57" s="368"/>
      <c r="X57" s="368"/>
      <c r="Y57" s="368"/>
      <c r="Z57" s="368"/>
    </row>
    <row r="58" spans="1:26" s="383" customFormat="1">
      <c r="A58" s="384"/>
      <c r="B58" s="379"/>
      <c r="C58" s="379"/>
      <c r="D58" s="379"/>
      <c r="E58" s="379"/>
      <c r="F58" s="379"/>
      <c r="G58" s="379"/>
      <c r="H58" s="379"/>
      <c r="I58" s="379"/>
      <c r="J58" s="379"/>
      <c r="K58" s="381"/>
      <c r="L58" s="379"/>
      <c r="M58" s="379"/>
      <c r="N58" s="379"/>
      <c r="O58" s="379"/>
      <c r="P58" s="381"/>
      <c r="Q58" s="379"/>
      <c r="R58" s="390"/>
      <c r="S58" s="382"/>
      <c r="T58" s="368"/>
      <c r="U58" s="368"/>
      <c r="V58" s="368"/>
      <c r="W58" s="368"/>
      <c r="X58" s="368"/>
      <c r="Y58" s="368"/>
      <c r="Z58" s="368"/>
    </row>
    <row r="59" spans="1:26" s="383" customFormat="1">
      <c r="A59" s="384"/>
      <c r="B59" s="385"/>
      <c r="C59" s="385"/>
      <c r="D59" s="385"/>
      <c r="E59" s="385"/>
      <c r="F59" s="385"/>
      <c r="G59" s="385"/>
      <c r="H59" s="385"/>
      <c r="I59" s="385"/>
      <c r="J59" s="385"/>
      <c r="K59" s="387"/>
      <c r="L59" s="385"/>
      <c r="M59" s="385"/>
      <c r="N59" s="385"/>
      <c r="O59" s="385"/>
      <c r="P59" s="387"/>
      <c r="Q59" s="385"/>
      <c r="R59" s="391"/>
      <c r="S59" s="388"/>
      <c r="T59" s="368"/>
      <c r="U59" s="368"/>
      <c r="V59" s="368"/>
      <c r="W59" s="368"/>
      <c r="X59" s="368"/>
      <c r="Y59" s="368"/>
      <c r="Z59" s="368"/>
    </row>
    <row r="60" spans="1:26" s="383" customFormat="1">
      <c r="A60" s="384"/>
      <c r="B60" s="379"/>
      <c r="C60" s="379"/>
      <c r="D60" s="379"/>
      <c r="E60" s="379"/>
      <c r="F60" s="379"/>
      <c r="G60" s="379"/>
      <c r="H60" s="379"/>
      <c r="I60" s="379"/>
      <c r="J60" s="379"/>
      <c r="K60" s="381"/>
      <c r="L60" s="379"/>
      <c r="M60" s="379"/>
      <c r="N60" s="379"/>
      <c r="O60" s="379"/>
      <c r="P60" s="381"/>
      <c r="Q60" s="379"/>
      <c r="R60" s="390"/>
      <c r="S60" s="382"/>
      <c r="T60" s="368"/>
      <c r="U60" s="368"/>
      <c r="V60" s="368"/>
      <c r="W60" s="368"/>
      <c r="X60" s="368"/>
      <c r="Y60" s="368"/>
      <c r="Z60" s="368"/>
    </row>
    <row r="61" spans="1:26" s="383" customFormat="1">
      <c r="A61" s="389"/>
      <c r="B61" s="385"/>
      <c r="C61" s="385"/>
      <c r="D61" s="385"/>
      <c r="E61" s="385"/>
      <c r="F61" s="385"/>
      <c r="G61" s="385"/>
      <c r="H61" s="385"/>
      <c r="I61" s="385"/>
      <c r="J61" s="385"/>
      <c r="K61" s="387"/>
      <c r="L61" s="385"/>
      <c r="M61" s="385"/>
      <c r="N61" s="385"/>
      <c r="O61" s="385"/>
      <c r="P61" s="387"/>
      <c r="Q61" s="385"/>
      <c r="R61" s="391"/>
      <c r="S61" s="388"/>
      <c r="T61" s="368"/>
      <c r="U61" s="368"/>
      <c r="V61" s="368"/>
      <c r="W61" s="368"/>
      <c r="X61" s="368"/>
      <c r="Y61" s="368"/>
      <c r="Z61" s="368"/>
    </row>
    <row r="62" spans="1:26" s="383" customFormat="1">
      <c r="A62" s="378"/>
      <c r="B62" s="379"/>
      <c r="C62" s="379"/>
      <c r="D62" s="379"/>
      <c r="E62" s="379"/>
      <c r="F62" s="379"/>
      <c r="G62" s="379"/>
      <c r="H62" s="379"/>
      <c r="I62" s="379"/>
      <c r="J62" s="379"/>
      <c r="K62" s="381"/>
      <c r="L62" s="379"/>
      <c r="M62" s="379"/>
      <c r="N62" s="379"/>
      <c r="O62" s="379"/>
      <c r="P62" s="381"/>
      <c r="Q62" s="379"/>
      <c r="R62" s="390"/>
      <c r="S62" s="382"/>
      <c r="T62" s="368"/>
      <c r="U62" s="368"/>
      <c r="V62" s="368"/>
      <c r="W62" s="368"/>
      <c r="X62" s="368"/>
      <c r="Y62" s="368"/>
      <c r="Z62" s="368"/>
    </row>
    <row r="63" spans="1:26" s="383" customFormat="1">
      <c r="A63" s="384"/>
      <c r="B63" s="385"/>
      <c r="C63" s="385"/>
      <c r="D63" s="385"/>
      <c r="E63" s="385"/>
      <c r="F63" s="385"/>
      <c r="G63" s="385"/>
      <c r="H63" s="385"/>
      <c r="I63" s="385"/>
      <c r="J63" s="385"/>
      <c r="K63" s="387"/>
      <c r="L63" s="385"/>
      <c r="M63" s="385"/>
      <c r="N63" s="385"/>
      <c r="O63" s="385"/>
      <c r="P63" s="387"/>
      <c r="Q63" s="385"/>
      <c r="R63" s="391"/>
      <c r="S63" s="388"/>
      <c r="T63" s="368"/>
      <c r="U63" s="368"/>
      <c r="V63" s="368"/>
      <c r="W63" s="368"/>
      <c r="X63" s="368"/>
      <c r="Y63" s="368"/>
      <c r="Z63" s="368"/>
    </row>
    <row r="64" spans="1:26" s="383" customFormat="1">
      <c r="A64" s="384"/>
      <c r="B64" s="379"/>
      <c r="C64" s="379"/>
      <c r="D64" s="379"/>
      <c r="E64" s="379"/>
      <c r="F64" s="379"/>
      <c r="G64" s="379"/>
      <c r="H64" s="379"/>
      <c r="I64" s="379"/>
      <c r="J64" s="379"/>
      <c r="K64" s="381"/>
      <c r="L64" s="379"/>
      <c r="M64" s="379"/>
      <c r="N64" s="379"/>
      <c r="O64" s="379"/>
      <c r="P64" s="381"/>
      <c r="Q64" s="379"/>
      <c r="R64" s="390"/>
      <c r="S64" s="382"/>
      <c r="T64" s="368"/>
      <c r="U64" s="368"/>
      <c r="V64" s="368"/>
      <c r="W64" s="368"/>
      <c r="X64" s="368"/>
      <c r="Y64" s="368"/>
      <c r="Z64" s="368"/>
    </row>
    <row r="65" spans="1:26" s="383" customFormat="1">
      <c r="A65" s="384"/>
      <c r="B65" s="385"/>
      <c r="C65" s="385"/>
      <c r="D65" s="385"/>
      <c r="E65" s="385"/>
      <c r="F65" s="385"/>
      <c r="G65" s="385"/>
      <c r="H65" s="385"/>
      <c r="I65" s="385"/>
      <c r="J65" s="385"/>
      <c r="K65" s="387"/>
      <c r="L65" s="385"/>
      <c r="M65" s="385"/>
      <c r="N65" s="385"/>
      <c r="O65" s="385"/>
      <c r="P65" s="387"/>
      <c r="Q65" s="385"/>
      <c r="R65" s="391"/>
      <c r="S65" s="388"/>
      <c r="T65" s="368"/>
      <c r="U65" s="368"/>
      <c r="V65" s="368"/>
      <c r="W65" s="368"/>
      <c r="X65" s="368"/>
      <c r="Y65" s="368"/>
      <c r="Z65" s="368"/>
    </row>
    <row r="66" spans="1:26" s="383" customFormat="1">
      <c r="A66" s="384"/>
      <c r="B66" s="379"/>
      <c r="C66" s="379"/>
      <c r="D66" s="379"/>
      <c r="E66" s="379"/>
      <c r="F66" s="379"/>
      <c r="G66" s="379"/>
      <c r="H66" s="379"/>
      <c r="I66" s="379"/>
      <c r="J66" s="379"/>
      <c r="K66" s="381"/>
      <c r="L66" s="379"/>
      <c r="M66" s="379"/>
      <c r="N66" s="379"/>
      <c r="O66" s="379"/>
      <c r="P66" s="381"/>
      <c r="Q66" s="379"/>
      <c r="R66" s="390"/>
      <c r="S66" s="382"/>
      <c r="T66" s="368"/>
      <c r="U66" s="368"/>
      <c r="V66" s="368"/>
      <c r="W66" s="368"/>
      <c r="X66" s="368"/>
      <c r="Y66" s="368"/>
      <c r="Z66" s="368"/>
    </row>
    <row r="67" spans="1:26" s="383" customFormat="1">
      <c r="A67" s="384"/>
      <c r="B67" s="385"/>
      <c r="C67" s="385"/>
      <c r="D67" s="385"/>
      <c r="E67" s="385"/>
      <c r="F67" s="385"/>
      <c r="G67" s="385"/>
      <c r="H67" s="385"/>
      <c r="I67" s="385"/>
      <c r="J67" s="385"/>
      <c r="K67" s="387"/>
      <c r="L67" s="385"/>
      <c r="M67" s="385"/>
      <c r="N67" s="385"/>
      <c r="O67" s="385"/>
      <c r="P67" s="387"/>
      <c r="Q67" s="385"/>
      <c r="R67" s="391"/>
      <c r="S67" s="388"/>
      <c r="T67" s="368"/>
      <c r="U67" s="368"/>
      <c r="V67" s="368"/>
      <c r="W67" s="368"/>
      <c r="X67" s="368"/>
      <c r="Y67" s="368"/>
      <c r="Z67" s="368"/>
    </row>
    <row r="68" spans="1:26" s="383" customFormat="1">
      <c r="A68" s="384"/>
      <c r="B68" s="379"/>
      <c r="C68" s="379"/>
      <c r="D68" s="379"/>
      <c r="E68" s="379"/>
      <c r="F68" s="379"/>
      <c r="G68" s="379"/>
      <c r="H68" s="379"/>
      <c r="I68" s="379"/>
      <c r="J68" s="379"/>
      <c r="K68" s="381"/>
      <c r="L68" s="379"/>
      <c r="M68" s="379"/>
      <c r="N68" s="379"/>
      <c r="O68" s="379"/>
      <c r="P68" s="381"/>
      <c r="Q68" s="379"/>
      <c r="R68" s="390"/>
      <c r="S68" s="382"/>
      <c r="T68" s="368"/>
      <c r="U68" s="368"/>
      <c r="V68" s="368"/>
      <c r="W68" s="368"/>
      <c r="X68" s="368"/>
      <c r="Y68" s="368"/>
      <c r="Z68" s="368"/>
    </row>
    <row r="69" spans="1:26" s="383" customFormat="1">
      <c r="A69" s="389"/>
      <c r="B69" s="385"/>
      <c r="C69" s="385"/>
      <c r="D69" s="385"/>
      <c r="E69" s="385"/>
      <c r="F69" s="385"/>
      <c r="G69" s="385"/>
      <c r="H69" s="385"/>
      <c r="I69" s="385"/>
      <c r="J69" s="385"/>
      <c r="K69" s="387"/>
      <c r="L69" s="385"/>
      <c r="M69" s="385"/>
      <c r="N69" s="385"/>
      <c r="O69" s="385"/>
      <c r="P69" s="387"/>
      <c r="Q69" s="385"/>
      <c r="R69" s="391"/>
      <c r="S69" s="388"/>
      <c r="T69" s="368"/>
      <c r="U69" s="368"/>
      <c r="V69" s="368"/>
      <c r="W69" s="368"/>
      <c r="X69" s="368"/>
      <c r="Y69" s="368"/>
      <c r="Z69" s="368"/>
    </row>
    <row r="70" spans="1:26" s="383" customFormat="1">
      <c r="A70" s="378"/>
      <c r="B70" s="379"/>
      <c r="C70" s="379"/>
      <c r="D70" s="379"/>
      <c r="E70" s="379"/>
      <c r="F70" s="379"/>
      <c r="G70" s="379"/>
      <c r="H70" s="379"/>
      <c r="I70" s="379"/>
      <c r="J70" s="379"/>
      <c r="K70" s="381"/>
      <c r="L70" s="379"/>
      <c r="M70" s="379"/>
      <c r="N70" s="379"/>
      <c r="O70" s="379"/>
      <c r="P70" s="381"/>
      <c r="Q70" s="379"/>
      <c r="R70" s="390"/>
      <c r="S70" s="382"/>
      <c r="T70" s="368"/>
      <c r="U70" s="368"/>
      <c r="V70" s="368"/>
      <c r="W70" s="368"/>
      <c r="X70" s="368"/>
      <c r="Y70" s="368"/>
      <c r="Z70" s="368"/>
    </row>
    <row r="71" spans="1:26" s="383" customFormat="1">
      <c r="A71" s="384"/>
      <c r="B71" s="385"/>
      <c r="C71" s="385"/>
      <c r="D71" s="385"/>
      <c r="E71" s="385"/>
      <c r="F71" s="385"/>
      <c r="G71" s="385"/>
      <c r="H71" s="385"/>
      <c r="I71" s="385"/>
      <c r="J71" s="385"/>
      <c r="K71" s="387"/>
      <c r="L71" s="385"/>
      <c r="M71" s="385"/>
      <c r="N71" s="385"/>
      <c r="O71" s="385"/>
      <c r="P71" s="387"/>
      <c r="Q71" s="385"/>
      <c r="R71" s="391"/>
      <c r="S71" s="388"/>
      <c r="T71" s="368"/>
      <c r="U71" s="368"/>
      <c r="V71" s="368"/>
      <c r="W71" s="368"/>
      <c r="X71" s="368"/>
      <c r="Y71" s="368"/>
      <c r="Z71" s="368"/>
    </row>
    <row r="72" spans="1:26" s="383" customFormat="1">
      <c r="A72" s="384"/>
      <c r="B72" s="379"/>
      <c r="C72" s="379"/>
      <c r="D72" s="379"/>
      <c r="E72" s="379"/>
      <c r="F72" s="379"/>
      <c r="G72" s="379"/>
      <c r="H72" s="379"/>
      <c r="I72" s="379"/>
      <c r="J72" s="379"/>
      <c r="K72" s="381"/>
      <c r="L72" s="379"/>
      <c r="M72" s="379"/>
      <c r="N72" s="379"/>
      <c r="O72" s="379"/>
      <c r="P72" s="381"/>
      <c r="Q72" s="379"/>
      <c r="R72" s="390"/>
      <c r="S72" s="382"/>
      <c r="T72" s="368"/>
      <c r="U72" s="368"/>
      <c r="V72" s="368"/>
      <c r="W72" s="368"/>
      <c r="X72" s="368"/>
      <c r="Y72" s="368"/>
      <c r="Z72" s="368"/>
    </row>
    <row r="73" spans="1:26" s="383" customFormat="1">
      <c r="A73" s="384"/>
      <c r="B73" s="385"/>
      <c r="C73" s="385"/>
      <c r="D73" s="385"/>
      <c r="E73" s="385"/>
      <c r="F73" s="385"/>
      <c r="G73" s="385"/>
      <c r="H73" s="385"/>
      <c r="I73" s="385"/>
      <c r="J73" s="385"/>
      <c r="K73" s="387"/>
      <c r="L73" s="385"/>
      <c r="M73" s="385"/>
      <c r="N73" s="385"/>
      <c r="O73" s="385"/>
      <c r="P73" s="387"/>
      <c r="Q73" s="385"/>
      <c r="R73" s="391"/>
      <c r="S73" s="388"/>
      <c r="T73" s="368"/>
      <c r="U73" s="368"/>
      <c r="V73" s="368"/>
      <c r="W73" s="368"/>
      <c r="X73" s="368"/>
      <c r="Y73" s="368"/>
      <c r="Z73" s="368"/>
    </row>
    <row r="74" spans="1:26" s="383" customFormat="1">
      <c r="A74" s="384"/>
      <c r="B74" s="379"/>
      <c r="C74" s="379"/>
      <c r="D74" s="379"/>
      <c r="E74" s="379"/>
      <c r="F74" s="379"/>
      <c r="G74" s="379"/>
      <c r="H74" s="379"/>
      <c r="I74" s="379"/>
      <c r="J74" s="379"/>
      <c r="K74" s="381"/>
      <c r="L74" s="379"/>
      <c r="M74" s="379"/>
      <c r="N74" s="379"/>
      <c r="O74" s="379"/>
      <c r="P74" s="381"/>
      <c r="Q74" s="379"/>
      <c r="R74" s="390"/>
      <c r="S74" s="382"/>
      <c r="T74" s="368"/>
      <c r="U74" s="368"/>
      <c r="V74" s="368"/>
      <c r="W74" s="368"/>
      <c r="X74" s="368"/>
      <c r="Y74" s="368"/>
      <c r="Z74" s="368"/>
    </row>
    <row r="75" spans="1:26" s="383" customFormat="1">
      <c r="A75" s="384"/>
      <c r="B75" s="385"/>
      <c r="C75" s="385"/>
      <c r="D75" s="385"/>
      <c r="E75" s="385"/>
      <c r="F75" s="385"/>
      <c r="G75" s="385"/>
      <c r="H75" s="385"/>
      <c r="I75" s="385"/>
      <c r="J75" s="385"/>
      <c r="K75" s="387"/>
      <c r="L75" s="385"/>
      <c r="M75" s="385"/>
      <c r="N75" s="385"/>
      <c r="O75" s="385"/>
      <c r="P75" s="387"/>
      <c r="Q75" s="385"/>
      <c r="R75" s="391"/>
      <c r="S75" s="388"/>
      <c r="T75" s="368"/>
      <c r="U75" s="368"/>
      <c r="V75" s="368"/>
      <c r="W75" s="368"/>
      <c r="X75" s="368"/>
      <c r="Y75" s="368"/>
      <c r="Z75" s="368"/>
    </row>
    <row r="76" spans="1:26" s="383" customFormat="1">
      <c r="A76" s="384"/>
      <c r="B76" s="379"/>
      <c r="C76" s="379"/>
      <c r="D76" s="379"/>
      <c r="E76" s="379"/>
      <c r="F76" s="379"/>
      <c r="G76" s="379"/>
      <c r="H76" s="379"/>
      <c r="I76" s="379"/>
      <c r="J76" s="379"/>
      <c r="K76" s="381"/>
      <c r="L76" s="379"/>
      <c r="M76" s="379"/>
      <c r="N76" s="379"/>
      <c r="O76" s="379"/>
      <c r="P76" s="381"/>
      <c r="Q76" s="379"/>
      <c r="R76" s="390"/>
      <c r="S76" s="382"/>
      <c r="T76" s="368"/>
      <c r="U76" s="368"/>
      <c r="V76" s="368"/>
      <c r="W76" s="368"/>
      <c r="X76" s="368"/>
      <c r="Y76" s="368"/>
      <c r="Z76" s="368"/>
    </row>
    <row r="77" spans="1:26" s="383" customFormat="1">
      <c r="A77" s="389"/>
      <c r="B77" s="385"/>
      <c r="C77" s="385"/>
      <c r="D77" s="385"/>
      <c r="E77" s="385"/>
      <c r="F77" s="385"/>
      <c r="G77" s="385"/>
      <c r="H77" s="385"/>
      <c r="I77" s="385"/>
      <c r="J77" s="385"/>
      <c r="K77" s="387"/>
      <c r="L77" s="385"/>
      <c r="M77" s="385"/>
      <c r="N77" s="385"/>
      <c r="O77" s="385"/>
      <c r="P77" s="387"/>
      <c r="Q77" s="385"/>
      <c r="R77" s="391"/>
      <c r="S77" s="388"/>
      <c r="T77" s="368"/>
      <c r="U77" s="368"/>
      <c r="V77" s="368"/>
      <c r="W77" s="368"/>
      <c r="X77" s="368"/>
      <c r="Y77" s="368"/>
      <c r="Z77" s="368"/>
    </row>
    <row r="78" spans="1:26" s="383" customFormat="1">
      <c r="A78" s="378"/>
      <c r="B78" s="379"/>
      <c r="C78" s="379"/>
      <c r="D78" s="379"/>
      <c r="E78" s="379"/>
      <c r="F78" s="379"/>
      <c r="G78" s="379"/>
      <c r="H78" s="379"/>
      <c r="I78" s="379"/>
      <c r="J78" s="379"/>
      <c r="K78" s="381"/>
      <c r="L78" s="379"/>
      <c r="M78" s="379"/>
      <c r="N78" s="379"/>
      <c r="O78" s="379"/>
      <c r="P78" s="381"/>
      <c r="Q78" s="379"/>
      <c r="R78" s="390"/>
      <c r="S78" s="382"/>
      <c r="T78" s="368"/>
      <c r="U78" s="368"/>
      <c r="V78" s="368"/>
      <c r="W78" s="368"/>
      <c r="X78" s="368"/>
      <c r="Y78" s="368"/>
      <c r="Z78" s="368"/>
    </row>
    <row r="79" spans="1:26" s="383" customFormat="1">
      <c r="A79" s="384"/>
      <c r="B79" s="385"/>
      <c r="C79" s="385"/>
      <c r="D79" s="385"/>
      <c r="E79" s="385"/>
      <c r="F79" s="385"/>
      <c r="G79" s="385"/>
      <c r="H79" s="385"/>
      <c r="I79" s="385"/>
      <c r="J79" s="385"/>
      <c r="K79" s="387"/>
      <c r="L79" s="385"/>
      <c r="M79" s="385"/>
      <c r="N79" s="385"/>
      <c r="O79" s="385"/>
      <c r="P79" s="387"/>
      <c r="Q79" s="385"/>
      <c r="R79" s="391"/>
      <c r="S79" s="388"/>
      <c r="T79" s="368"/>
      <c r="U79" s="368"/>
      <c r="V79" s="368"/>
      <c r="W79" s="368"/>
      <c r="X79" s="368"/>
      <c r="Y79" s="368"/>
      <c r="Z79" s="368"/>
    </row>
    <row r="80" spans="1:26" s="383" customFormat="1">
      <c r="A80" s="384"/>
      <c r="B80" s="379"/>
      <c r="C80" s="379"/>
      <c r="D80" s="379"/>
      <c r="E80" s="379"/>
      <c r="F80" s="379"/>
      <c r="G80" s="379"/>
      <c r="H80" s="379"/>
      <c r="I80" s="379"/>
      <c r="J80" s="379"/>
      <c r="K80" s="381"/>
      <c r="L80" s="379"/>
      <c r="M80" s="379"/>
      <c r="N80" s="379"/>
      <c r="O80" s="379"/>
      <c r="P80" s="381"/>
      <c r="Q80" s="379"/>
      <c r="R80" s="390"/>
      <c r="S80" s="382"/>
      <c r="T80" s="368"/>
      <c r="U80" s="368"/>
      <c r="V80" s="368"/>
      <c r="W80" s="368"/>
      <c r="X80" s="368"/>
      <c r="Y80" s="368"/>
      <c r="Z80" s="368"/>
    </row>
    <row r="81" spans="1:26" s="383" customFormat="1">
      <c r="A81" s="384"/>
      <c r="B81" s="385"/>
      <c r="C81" s="385"/>
      <c r="D81" s="385"/>
      <c r="E81" s="385"/>
      <c r="F81" s="385"/>
      <c r="G81" s="385"/>
      <c r="H81" s="385"/>
      <c r="I81" s="385"/>
      <c r="J81" s="385"/>
      <c r="K81" s="387"/>
      <c r="L81" s="385"/>
      <c r="M81" s="385"/>
      <c r="N81" s="385"/>
      <c r="O81" s="385"/>
      <c r="P81" s="387"/>
      <c r="Q81" s="385"/>
      <c r="R81" s="391"/>
      <c r="S81" s="388"/>
      <c r="T81" s="368"/>
      <c r="U81" s="368"/>
      <c r="V81" s="368"/>
      <c r="W81" s="368"/>
      <c r="X81" s="368"/>
      <c r="Y81" s="368"/>
      <c r="Z81" s="368"/>
    </row>
    <row r="82" spans="1:26" s="383" customFormat="1">
      <c r="A82" s="384"/>
      <c r="B82" s="379"/>
      <c r="C82" s="379"/>
      <c r="D82" s="379"/>
      <c r="E82" s="379"/>
      <c r="F82" s="379"/>
      <c r="G82" s="379"/>
      <c r="H82" s="379"/>
      <c r="I82" s="379"/>
      <c r="J82" s="379"/>
      <c r="K82" s="381"/>
      <c r="L82" s="379"/>
      <c r="M82" s="379"/>
      <c r="N82" s="379"/>
      <c r="O82" s="379"/>
      <c r="P82" s="381"/>
      <c r="Q82" s="379"/>
      <c r="R82" s="390"/>
      <c r="S82" s="382"/>
      <c r="T82" s="368"/>
      <c r="U82" s="368"/>
      <c r="V82" s="368"/>
      <c r="W82" s="368"/>
      <c r="X82" s="368"/>
      <c r="Y82" s="368"/>
      <c r="Z82" s="368"/>
    </row>
    <row r="83" spans="1:26" s="383" customFormat="1">
      <c r="A83" s="384"/>
      <c r="B83" s="385"/>
      <c r="C83" s="385"/>
      <c r="D83" s="385"/>
      <c r="E83" s="385"/>
      <c r="F83" s="385"/>
      <c r="G83" s="385"/>
      <c r="H83" s="385"/>
      <c r="I83" s="385"/>
      <c r="J83" s="385"/>
      <c r="K83" s="387"/>
      <c r="L83" s="385"/>
      <c r="M83" s="385"/>
      <c r="N83" s="385"/>
      <c r="O83" s="385"/>
      <c r="P83" s="387"/>
      <c r="Q83" s="385"/>
      <c r="R83" s="391"/>
      <c r="S83" s="388"/>
      <c r="T83" s="368"/>
      <c r="U83" s="368"/>
      <c r="V83" s="368"/>
      <c r="W83" s="368"/>
      <c r="X83" s="368"/>
      <c r="Y83" s="368"/>
      <c r="Z83" s="368"/>
    </row>
    <row r="84" spans="1:26" s="383" customFormat="1">
      <c r="A84" s="384"/>
      <c r="B84" s="379"/>
      <c r="C84" s="379"/>
      <c r="D84" s="379"/>
      <c r="E84" s="379"/>
      <c r="F84" s="379"/>
      <c r="G84" s="379"/>
      <c r="H84" s="379"/>
      <c r="I84" s="379"/>
      <c r="J84" s="379"/>
      <c r="K84" s="381"/>
      <c r="L84" s="379"/>
      <c r="M84" s="379"/>
      <c r="N84" s="379"/>
      <c r="O84" s="379"/>
      <c r="P84" s="381"/>
      <c r="Q84" s="379"/>
      <c r="R84" s="390"/>
      <c r="S84" s="382"/>
      <c r="T84" s="368"/>
      <c r="U84" s="368"/>
      <c r="V84" s="368"/>
      <c r="W84" s="368"/>
      <c r="X84" s="368"/>
      <c r="Y84" s="368"/>
      <c r="Z84" s="368"/>
    </row>
    <row r="85" spans="1:26" s="383" customFormat="1">
      <c r="A85" s="389"/>
      <c r="B85" s="385"/>
      <c r="C85" s="385"/>
      <c r="D85" s="385"/>
      <c r="E85" s="385"/>
      <c r="F85" s="385"/>
      <c r="G85" s="385"/>
      <c r="H85" s="385"/>
      <c r="I85" s="385"/>
      <c r="J85" s="385"/>
      <c r="K85" s="387"/>
      <c r="L85" s="385"/>
      <c r="M85" s="385"/>
      <c r="N85" s="385"/>
      <c r="O85" s="385"/>
      <c r="P85" s="387"/>
      <c r="Q85" s="385"/>
      <c r="R85" s="391"/>
      <c r="S85" s="388"/>
      <c r="T85" s="368"/>
      <c r="U85" s="368"/>
      <c r="V85" s="368"/>
      <c r="W85" s="368"/>
      <c r="X85" s="368"/>
      <c r="Y85" s="368"/>
      <c r="Z85" s="368"/>
    </row>
    <row r="86" spans="1:26" s="383" customFormat="1">
      <c r="A86" s="378"/>
      <c r="B86" s="379"/>
      <c r="C86" s="379"/>
      <c r="D86" s="379"/>
      <c r="E86" s="379"/>
      <c r="F86" s="379"/>
      <c r="G86" s="379"/>
      <c r="H86" s="379"/>
      <c r="I86" s="379"/>
      <c r="J86" s="379"/>
      <c r="K86" s="381"/>
      <c r="L86" s="379"/>
      <c r="M86" s="379"/>
      <c r="N86" s="379"/>
      <c r="O86" s="379"/>
      <c r="P86" s="381"/>
      <c r="Q86" s="379"/>
      <c r="R86" s="390"/>
      <c r="S86" s="382"/>
      <c r="T86" s="368"/>
      <c r="U86" s="368"/>
      <c r="V86" s="368"/>
      <c r="W86" s="368"/>
      <c r="X86" s="368"/>
      <c r="Y86" s="368"/>
      <c r="Z86" s="368"/>
    </row>
    <row r="87" spans="1:26" s="383" customFormat="1">
      <c r="A87" s="384"/>
      <c r="B87" s="385"/>
      <c r="C87" s="385"/>
      <c r="D87" s="385"/>
      <c r="E87" s="385"/>
      <c r="F87" s="385"/>
      <c r="G87" s="385"/>
      <c r="H87" s="385"/>
      <c r="I87" s="385"/>
      <c r="J87" s="385"/>
      <c r="K87" s="387"/>
      <c r="L87" s="385"/>
      <c r="M87" s="385"/>
      <c r="N87" s="385"/>
      <c r="O87" s="385"/>
      <c r="P87" s="387"/>
      <c r="Q87" s="385"/>
      <c r="R87" s="391"/>
      <c r="S87" s="388"/>
      <c r="T87" s="368"/>
      <c r="U87" s="368"/>
      <c r="V87" s="368"/>
      <c r="W87" s="368"/>
      <c r="X87" s="368"/>
      <c r="Y87" s="368"/>
      <c r="Z87" s="368"/>
    </row>
    <row r="88" spans="1:26" s="383" customFormat="1">
      <c r="A88" s="384"/>
      <c r="B88" s="379"/>
      <c r="C88" s="379"/>
      <c r="D88" s="379"/>
      <c r="E88" s="379"/>
      <c r="F88" s="379"/>
      <c r="G88" s="379"/>
      <c r="H88" s="379"/>
      <c r="I88" s="379"/>
      <c r="J88" s="379"/>
      <c r="K88" s="381"/>
      <c r="L88" s="379"/>
      <c r="M88" s="379"/>
      <c r="N88" s="379"/>
      <c r="O88" s="379"/>
      <c r="P88" s="381"/>
      <c r="Q88" s="379"/>
      <c r="R88" s="390"/>
      <c r="S88" s="382"/>
      <c r="T88" s="368"/>
      <c r="U88" s="368"/>
      <c r="V88" s="368"/>
      <c r="W88" s="368"/>
      <c r="X88" s="368"/>
      <c r="Y88" s="368"/>
      <c r="Z88" s="368"/>
    </row>
    <row r="89" spans="1:26" s="383" customFormat="1">
      <c r="A89" s="384"/>
      <c r="B89" s="385"/>
      <c r="C89" s="385"/>
      <c r="D89" s="385"/>
      <c r="E89" s="385"/>
      <c r="F89" s="385"/>
      <c r="G89" s="385"/>
      <c r="H89" s="385"/>
      <c r="I89" s="385"/>
      <c r="J89" s="385"/>
      <c r="K89" s="387"/>
      <c r="L89" s="385"/>
      <c r="M89" s="385"/>
      <c r="N89" s="385"/>
      <c r="O89" s="385"/>
      <c r="P89" s="387"/>
      <c r="Q89" s="385"/>
      <c r="R89" s="391"/>
      <c r="S89" s="388"/>
      <c r="T89" s="368"/>
      <c r="U89" s="368"/>
      <c r="V89" s="368"/>
      <c r="W89" s="368"/>
      <c r="X89" s="368"/>
      <c r="Y89" s="368"/>
      <c r="Z89" s="368"/>
    </row>
    <row r="90" spans="1:26" s="383" customFormat="1">
      <c r="A90" s="384"/>
      <c r="B90" s="379"/>
      <c r="C90" s="379"/>
      <c r="D90" s="379"/>
      <c r="E90" s="379"/>
      <c r="F90" s="379"/>
      <c r="G90" s="379"/>
      <c r="H90" s="379"/>
      <c r="I90" s="379"/>
      <c r="J90" s="379"/>
      <c r="K90" s="381"/>
      <c r="L90" s="379"/>
      <c r="M90" s="379"/>
      <c r="N90" s="379"/>
      <c r="O90" s="379"/>
      <c r="P90" s="381"/>
      <c r="Q90" s="379"/>
      <c r="R90" s="390"/>
      <c r="S90" s="382"/>
      <c r="T90" s="368"/>
      <c r="U90" s="368"/>
      <c r="V90" s="368"/>
      <c r="W90" s="368"/>
      <c r="X90" s="368"/>
      <c r="Y90" s="368"/>
      <c r="Z90" s="368"/>
    </row>
    <row r="91" spans="1:26" s="383" customFormat="1">
      <c r="A91" s="384"/>
      <c r="B91" s="385"/>
      <c r="C91" s="385"/>
      <c r="D91" s="385"/>
      <c r="E91" s="385"/>
      <c r="F91" s="385"/>
      <c r="G91" s="385"/>
      <c r="H91" s="385"/>
      <c r="I91" s="385"/>
      <c r="J91" s="385"/>
      <c r="K91" s="387"/>
      <c r="L91" s="385"/>
      <c r="M91" s="385"/>
      <c r="N91" s="385"/>
      <c r="O91" s="385"/>
      <c r="P91" s="387"/>
      <c r="Q91" s="385"/>
      <c r="R91" s="391"/>
      <c r="S91" s="388"/>
      <c r="T91" s="368"/>
      <c r="U91" s="368"/>
      <c r="V91" s="368"/>
      <c r="W91" s="368"/>
      <c r="X91" s="368"/>
      <c r="Y91" s="368"/>
      <c r="Z91" s="368"/>
    </row>
    <row r="92" spans="1:26" s="383" customFormat="1">
      <c r="A92" s="384"/>
      <c r="B92" s="379"/>
      <c r="C92" s="379"/>
      <c r="D92" s="379"/>
      <c r="E92" s="379"/>
      <c r="F92" s="379"/>
      <c r="G92" s="379"/>
      <c r="H92" s="379"/>
      <c r="I92" s="379"/>
      <c r="J92" s="379"/>
      <c r="K92" s="381"/>
      <c r="L92" s="379"/>
      <c r="M92" s="379"/>
      <c r="N92" s="379"/>
      <c r="O92" s="379"/>
      <c r="P92" s="381"/>
      <c r="Q92" s="379"/>
      <c r="R92" s="390"/>
      <c r="S92" s="382"/>
      <c r="T92" s="368"/>
      <c r="U92" s="368"/>
      <c r="V92" s="368"/>
      <c r="W92" s="368"/>
      <c r="X92" s="368"/>
      <c r="Y92" s="368"/>
      <c r="Z92" s="368"/>
    </row>
    <row r="93" spans="1:26" s="383" customFormat="1">
      <c r="A93" s="389"/>
      <c r="B93" s="385"/>
      <c r="C93" s="385"/>
      <c r="D93" s="385"/>
      <c r="E93" s="385"/>
      <c r="F93" s="385"/>
      <c r="G93" s="385"/>
      <c r="H93" s="385"/>
      <c r="I93" s="385"/>
      <c r="J93" s="385"/>
      <c r="K93" s="387"/>
      <c r="L93" s="385"/>
      <c r="M93" s="385"/>
      <c r="N93" s="385"/>
      <c r="O93" s="385"/>
      <c r="P93" s="387"/>
      <c r="Q93" s="385"/>
      <c r="R93" s="391"/>
      <c r="S93" s="388"/>
      <c r="T93" s="368"/>
      <c r="U93" s="368"/>
      <c r="V93" s="368"/>
      <c r="W93" s="368"/>
      <c r="X93" s="368"/>
      <c r="Y93" s="368"/>
      <c r="Z93" s="368"/>
    </row>
    <row r="94" spans="1:26" s="383" customFormat="1">
      <c r="A94" s="378"/>
      <c r="B94" s="379"/>
      <c r="C94" s="379"/>
      <c r="D94" s="379"/>
      <c r="E94" s="379"/>
      <c r="F94" s="379"/>
      <c r="G94" s="379"/>
      <c r="H94" s="379"/>
      <c r="I94" s="379"/>
      <c r="J94" s="379"/>
      <c r="K94" s="381"/>
      <c r="L94" s="379"/>
      <c r="M94" s="379"/>
      <c r="N94" s="379"/>
      <c r="O94" s="379"/>
      <c r="P94" s="381"/>
      <c r="Q94" s="379"/>
      <c r="R94" s="390"/>
      <c r="S94" s="382"/>
      <c r="T94" s="368"/>
      <c r="U94" s="368"/>
      <c r="V94" s="368"/>
      <c r="W94" s="368"/>
      <c r="X94" s="368"/>
      <c r="Y94" s="368"/>
      <c r="Z94" s="368"/>
    </row>
    <row r="95" spans="1:26" s="383" customFormat="1">
      <c r="A95" s="384"/>
      <c r="B95" s="385"/>
      <c r="C95" s="385"/>
      <c r="D95" s="385"/>
      <c r="E95" s="385"/>
      <c r="F95" s="385"/>
      <c r="G95" s="385"/>
      <c r="H95" s="385"/>
      <c r="I95" s="385"/>
      <c r="J95" s="385"/>
      <c r="K95" s="387"/>
      <c r="L95" s="385"/>
      <c r="M95" s="385"/>
      <c r="N95" s="385"/>
      <c r="O95" s="385"/>
      <c r="P95" s="387"/>
      <c r="Q95" s="385"/>
      <c r="R95" s="391"/>
      <c r="S95" s="388"/>
      <c r="T95" s="368"/>
      <c r="U95" s="368"/>
      <c r="V95" s="368"/>
      <c r="W95" s="368"/>
      <c r="X95" s="368"/>
      <c r="Y95" s="368"/>
      <c r="Z95" s="368"/>
    </row>
    <row r="96" spans="1:26" s="383" customFormat="1">
      <c r="A96" s="384"/>
      <c r="B96" s="379"/>
      <c r="C96" s="379"/>
      <c r="D96" s="379"/>
      <c r="E96" s="379"/>
      <c r="F96" s="379"/>
      <c r="G96" s="379"/>
      <c r="H96" s="379"/>
      <c r="I96" s="379"/>
      <c r="J96" s="379"/>
      <c r="K96" s="381"/>
      <c r="L96" s="379"/>
      <c r="M96" s="379"/>
      <c r="N96" s="379"/>
      <c r="O96" s="379"/>
      <c r="P96" s="381"/>
      <c r="Q96" s="379"/>
      <c r="R96" s="390"/>
      <c r="S96" s="382"/>
      <c r="T96" s="368"/>
      <c r="U96" s="368"/>
      <c r="V96" s="368"/>
      <c r="W96" s="368"/>
      <c r="X96" s="368"/>
      <c r="Y96" s="368"/>
      <c r="Z96" s="368"/>
    </row>
    <row r="97" spans="1:26" s="383" customFormat="1">
      <c r="A97" s="384"/>
      <c r="B97" s="385"/>
      <c r="C97" s="385"/>
      <c r="D97" s="385"/>
      <c r="E97" s="385"/>
      <c r="F97" s="385"/>
      <c r="G97" s="385"/>
      <c r="H97" s="385"/>
      <c r="I97" s="385"/>
      <c r="J97" s="385"/>
      <c r="K97" s="387"/>
      <c r="L97" s="385"/>
      <c r="M97" s="385"/>
      <c r="N97" s="385"/>
      <c r="O97" s="385"/>
      <c r="P97" s="387"/>
      <c r="Q97" s="385"/>
      <c r="R97" s="391"/>
      <c r="S97" s="388"/>
      <c r="T97" s="368"/>
      <c r="U97" s="368"/>
      <c r="V97" s="368"/>
      <c r="W97" s="368"/>
      <c r="X97" s="368"/>
      <c r="Y97" s="368"/>
      <c r="Z97" s="368"/>
    </row>
    <row r="98" spans="1:26" s="383" customFormat="1">
      <c r="A98" s="384"/>
      <c r="B98" s="379"/>
      <c r="C98" s="379"/>
      <c r="D98" s="379"/>
      <c r="E98" s="379"/>
      <c r="F98" s="379"/>
      <c r="G98" s="379"/>
      <c r="H98" s="379"/>
      <c r="I98" s="379"/>
      <c r="J98" s="379"/>
      <c r="K98" s="381"/>
      <c r="L98" s="379"/>
      <c r="M98" s="379"/>
      <c r="N98" s="379"/>
      <c r="O98" s="379"/>
      <c r="P98" s="381"/>
      <c r="Q98" s="379"/>
      <c r="R98" s="390"/>
      <c r="S98" s="382"/>
      <c r="T98" s="368"/>
      <c r="U98" s="368"/>
      <c r="V98" s="368"/>
      <c r="W98" s="368"/>
      <c r="X98" s="368"/>
      <c r="Y98" s="368"/>
      <c r="Z98" s="368"/>
    </row>
    <row r="99" spans="1:26" s="383" customFormat="1">
      <c r="A99" s="384"/>
      <c r="B99" s="385"/>
      <c r="C99" s="385"/>
      <c r="D99" s="385"/>
      <c r="E99" s="385"/>
      <c r="F99" s="385"/>
      <c r="G99" s="385"/>
      <c r="H99" s="385"/>
      <c r="I99" s="385"/>
      <c r="J99" s="385"/>
      <c r="K99" s="387"/>
      <c r="L99" s="385"/>
      <c r="M99" s="385"/>
      <c r="N99" s="385"/>
      <c r="O99" s="385"/>
      <c r="P99" s="387"/>
      <c r="Q99" s="385"/>
      <c r="R99" s="391"/>
      <c r="S99" s="388"/>
      <c r="T99" s="368"/>
      <c r="U99" s="368"/>
      <c r="V99" s="368"/>
      <c r="W99" s="368"/>
      <c r="X99" s="368"/>
      <c r="Y99" s="368"/>
      <c r="Z99" s="368"/>
    </row>
    <row r="100" spans="1:26" s="383" customFormat="1">
      <c r="A100" s="384"/>
      <c r="B100" s="379"/>
      <c r="C100" s="379"/>
      <c r="D100" s="379"/>
      <c r="E100" s="379"/>
      <c r="F100" s="379"/>
      <c r="G100" s="379"/>
      <c r="H100" s="379"/>
      <c r="I100" s="379"/>
      <c r="J100" s="379"/>
      <c r="K100" s="381"/>
      <c r="L100" s="379"/>
      <c r="M100" s="379"/>
      <c r="N100" s="379"/>
      <c r="O100" s="379"/>
      <c r="P100" s="381"/>
      <c r="Q100" s="379"/>
      <c r="R100" s="390"/>
      <c r="S100" s="382"/>
      <c r="T100" s="368"/>
      <c r="U100" s="368"/>
      <c r="V100" s="368"/>
      <c r="W100" s="368"/>
      <c r="X100" s="368"/>
      <c r="Y100" s="368"/>
      <c r="Z100" s="368"/>
    </row>
    <row r="101" spans="1:26" s="383" customFormat="1">
      <c r="A101" s="389"/>
      <c r="B101" s="385"/>
      <c r="C101" s="385"/>
      <c r="D101" s="385"/>
      <c r="E101" s="385"/>
      <c r="F101" s="385"/>
      <c r="G101" s="385"/>
      <c r="H101" s="385"/>
      <c r="I101" s="385"/>
      <c r="J101" s="385"/>
      <c r="K101" s="387"/>
      <c r="L101" s="385"/>
      <c r="M101" s="385"/>
      <c r="N101" s="385"/>
      <c r="O101" s="385"/>
      <c r="P101" s="387"/>
      <c r="Q101" s="385"/>
      <c r="R101" s="391"/>
      <c r="S101" s="388"/>
      <c r="T101" s="368"/>
      <c r="U101" s="368"/>
      <c r="V101" s="368"/>
      <c r="W101" s="368"/>
      <c r="X101" s="368"/>
      <c r="Y101" s="368"/>
      <c r="Z101" s="368"/>
    </row>
    <row r="102" spans="1:26" s="383" customFormat="1">
      <c r="A102" s="378"/>
      <c r="B102" s="379"/>
      <c r="C102" s="379"/>
      <c r="D102" s="379"/>
      <c r="E102" s="379"/>
      <c r="F102" s="379"/>
      <c r="G102" s="379"/>
      <c r="H102" s="379"/>
      <c r="I102" s="379"/>
      <c r="J102" s="379"/>
      <c r="K102" s="381"/>
      <c r="L102" s="379"/>
      <c r="M102" s="379"/>
      <c r="N102" s="379"/>
      <c r="O102" s="379"/>
      <c r="P102" s="381"/>
      <c r="Q102" s="379"/>
      <c r="R102" s="390"/>
      <c r="S102" s="382"/>
      <c r="T102" s="368"/>
      <c r="U102" s="368"/>
      <c r="V102" s="368"/>
      <c r="W102" s="368"/>
      <c r="X102" s="368"/>
      <c r="Y102" s="368"/>
      <c r="Z102" s="368"/>
    </row>
    <row r="103" spans="1:26" s="383" customFormat="1">
      <c r="A103" s="384"/>
      <c r="B103" s="385"/>
      <c r="C103" s="385"/>
      <c r="D103" s="385"/>
      <c r="E103" s="385"/>
      <c r="F103" s="385"/>
      <c r="G103" s="385"/>
      <c r="H103" s="385"/>
      <c r="I103" s="385"/>
      <c r="J103" s="385"/>
      <c r="K103" s="387"/>
      <c r="L103" s="385"/>
      <c r="M103" s="385"/>
      <c r="N103" s="385"/>
      <c r="O103" s="385"/>
      <c r="P103" s="387"/>
      <c r="Q103" s="385"/>
      <c r="R103" s="391"/>
      <c r="S103" s="388"/>
      <c r="T103" s="368"/>
      <c r="U103" s="368"/>
      <c r="V103" s="368"/>
      <c r="W103" s="368"/>
      <c r="X103" s="368"/>
      <c r="Y103" s="368"/>
      <c r="Z103" s="368"/>
    </row>
    <row r="104" spans="1:26" s="383" customFormat="1">
      <c r="A104" s="384"/>
      <c r="B104" s="379"/>
      <c r="C104" s="379"/>
      <c r="D104" s="379"/>
      <c r="E104" s="379"/>
      <c r="F104" s="379"/>
      <c r="G104" s="379"/>
      <c r="H104" s="379"/>
      <c r="I104" s="379"/>
      <c r="J104" s="379"/>
      <c r="K104" s="381"/>
      <c r="L104" s="379"/>
      <c r="M104" s="379"/>
      <c r="N104" s="379"/>
      <c r="O104" s="379"/>
      <c r="P104" s="381"/>
      <c r="Q104" s="379"/>
      <c r="R104" s="390"/>
      <c r="S104" s="382"/>
      <c r="T104" s="368"/>
      <c r="U104" s="368"/>
      <c r="V104" s="368"/>
      <c r="W104" s="368"/>
      <c r="X104" s="368"/>
      <c r="Y104" s="368"/>
      <c r="Z104" s="368"/>
    </row>
    <row r="105" spans="1:26" s="383" customFormat="1">
      <c r="A105" s="384"/>
      <c r="B105" s="385"/>
      <c r="C105" s="385"/>
      <c r="D105" s="385"/>
      <c r="E105" s="385"/>
      <c r="F105" s="385"/>
      <c r="G105" s="385"/>
      <c r="H105" s="385"/>
      <c r="I105" s="385"/>
      <c r="J105" s="385"/>
      <c r="K105" s="387"/>
      <c r="L105" s="385"/>
      <c r="M105" s="385"/>
      <c r="N105" s="385"/>
      <c r="O105" s="385"/>
      <c r="P105" s="387"/>
      <c r="Q105" s="385"/>
      <c r="R105" s="391"/>
      <c r="S105" s="388"/>
      <c r="T105" s="368"/>
      <c r="U105" s="368"/>
      <c r="V105" s="368"/>
      <c r="W105" s="368"/>
      <c r="X105" s="368"/>
      <c r="Y105" s="368"/>
      <c r="Z105" s="368"/>
    </row>
    <row r="106" spans="1:26" s="383" customFormat="1">
      <c r="A106" s="384"/>
      <c r="B106" s="379"/>
      <c r="C106" s="379"/>
      <c r="D106" s="379"/>
      <c r="E106" s="379"/>
      <c r="F106" s="379"/>
      <c r="G106" s="379"/>
      <c r="H106" s="379"/>
      <c r="I106" s="379"/>
      <c r="J106" s="379"/>
      <c r="K106" s="381"/>
      <c r="L106" s="379"/>
      <c r="M106" s="379"/>
      <c r="N106" s="379"/>
      <c r="O106" s="379"/>
      <c r="P106" s="381"/>
      <c r="Q106" s="379"/>
      <c r="R106" s="390"/>
      <c r="S106" s="382"/>
      <c r="T106" s="368"/>
      <c r="U106" s="368"/>
      <c r="V106" s="368"/>
      <c r="W106" s="368"/>
      <c r="X106" s="368"/>
      <c r="Y106" s="368"/>
      <c r="Z106" s="368"/>
    </row>
    <row r="107" spans="1:26" s="383" customFormat="1">
      <c r="A107" s="384"/>
      <c r="B107" s="385"/>
      <c r="C107" s="385"/>
      <c r="D107" s="385"/>
      <c r="E107" s="385"/>
      <c r="F107" s="385"/>
      <c r="G107" s="385"/>
      <c r="H107" s="385"/>
      <c r="I107" s="385"/>
      <c r="J107" s="385"/>
      <c r="K107" s="387"/>
      <c r="L107" s="385"/>
      <c r="M107" s="385"/>
      <c r="N107" s="385"/>
      <c r="O107" s="385"/>
      <c r="P107" s="387"/>
      <c r="Q107" s="385"/>
      <c r="R107" s="391"/>
      <c r="S107" s="388"/>
      <c r="T107" s="368"/>
      <c r="U107" s="368"/>
      <c r="V107" s="368"/>
      <c r="W107" s="368"/>
      <c r="X107" s="368"/>
      <c r="Y107" s="368"/>
      <c r="Z107" s="368"/>
    </row>
    <row r="108" spans="1:26" s="383" customFormat="1">
      <c r="A108" s="384"/>
      <c r="B108" s="379"/>
      <c r="C108" s="379"/>
      <c r="D108" s="379"/>
      <c r="E108" s="379"/>
      <c r="F108" s="379"/>
      <c r="G108" s="379"/>
      <c r="H108" s="379"/>
      <c r="I108" s="379"/>
      <c r="J108" s="379"/>
      <c r="K108" s="381"/>
      <c r="L108" s="379"/>
      <c r="M108" s="379"/>
      <c r="N108" s="379"/>
      <c r="O108" s="379"/>
      <c r="P108" s="381"/>
      <c r="Q108" s="379"/>
      <c r="R108" s="390"/>
      <c r="S108" s="382"/>
      <c r="T108" s="368"/>
      <c r="U108" s="368"/>
      <c r="V108" s="368"/>
      <c r="W108" s="368"/>
      <c r="X108" s="368"/>
      <c r="Y108" s="368"/>
      <c r="Z108" s="368"/>
    </row>
    <row r="109" spans="1:26" s="383" customFormat="1">
      <c r="A109" s="389"/>
      <c r="B109" s="385"/>
      <c r="C109" s="385"/>
      <c r="D109" s="385"/>
      <c r="E109" s="385"/>
      <c r="F109" s="385"/>
      <c r="G109" s="385"/>
      <c r="H109" s="385"/>
      <c r="I109" s="385"/>
      <c r="J109" s="385"/>
      <c r="K109" s="387"/>
      <c r="L109" s="385"/>
      <c r="M109" s="385"/>
      <c r="N109" s="385"/>
      <c r="O109" s="385"/>
      <c r="P109" s="387"/>
      <c r="Q109" s="385"/>
      <c r="R109" s="391"/>
      <c r="S109" s="388"/>
      <c r="T109" s="368"/>
      <c r="U109" s="368"/>
      <c r="V109" s="368"/>
      <c r="W109" s="368"/>
      <c r="X109" s="368"/>
      <c r="Y109" s="368"/>
      <c r="Z109" s="368"/>
    </row>
    <row r="110" spans="1:26" s="383" customFormat="1">
      <c r="A110" s="378"/>
      <c r="B110" s="379"/>
      <c r="C110" s="379"/>
      <c r="D110" s="379"/>
      <c r="E110" s="379"/>
      <c r="F110" s="379"/>
      <c r="G110" s="379"/>
      <c r="H110" s="379"/>
      <c r="I110" s="379"/>
      <c r="J110" s="379"/>
      <c r="K110" s="381"/>
      <c r="L110" s="379"/>
      <c r="M110" s="379"/>
      <c r="N110" s="379"/>
      <c r="O110" s="379"/>
      <c r="P110" s="381"/>
      <c r="Q110" s="379"/>
      <c r="R110" s="390"/>
      <c r="S110" s="382"/>
      <c r="T110" s="368"/>
      <c r="U110" s="368"/>
      <c r="V110" s="368"/>
      <c r="W110" s="368"/>
      <c r="X110" s="368"/>
      <c r="Y110" s="368"/>
      <c r="Z110" s="368"/>
    </row>
    <row r="111" spans="1:26" s="383" customFormat="1">
      <c r="A111" s="384"/>
      <c r="B111" s="385"/>
      <c r="C111" s="385"/>
      <c r="D111" s="385"/>
      <c r="E111" s="385"/>
      <c r="F111" s="385"/>
      <c r="G111" s="385"/>
      <c r="H111" s="385"/>
      <c r="I111" s="385"/>
      <c r="J111" s="385"/>
      <c r="K111" s="387"/>
      <c r="L111" s="385"/>
      <c r="M111" s="385"/>
      <c r="N111" s="385"/>
      <c r="O111" s="385"/>
      <c r="P111" s="387"/>
      <c r="Q111" s="385"/>
      <c r="R111" s="391"/>
      <c r="S111" s="388"/>
      <c r="T111" s="368"/>
      <c r="U111" s="368"/>
      <c r="V111" s="368"/>
      <c r="W111" s="368"/>
      <c r="X111" s="368"/>
      <c r="Y111" s="368"/>
      <c r="Z111" s="368"/>
    </row>
    <row r="112" spans="1:26" s="383" customFormat="1">
      <c r="A112" s="384"/>
      <c r="B112" s="379"/>
      <c r="C112" s="379"/>
      <c r="D112" s="379"/>
      <c r="E112" s="379"/>
      <c r="F112" s="379"/>
      <c r="G112" s="379"/>
      <c r="H112" s="379"/>
      <c r="I112" s="379"/>
      <c r="J112" s="379"/>
      <c r="K112" s="381"/>
      <c r="L112" s="379"/>
      <c r="M112" s="379"/>
      <c r="N112" s="379"/>
      <c r="O112" s="379"/>
      <c r="P112" s="381"/>
      <c r="Q112" s="379"/>
      <c r="R112" s="390"/>
      <c r="S112" s="382"/>
      <c r="T112" s="368"/>
      <c r="U112" s="368"/>
      <c r="V112" s="368"/>
      <c r="W112" s="368"/>
      <c r="X112" s="368"/>
      <c r="Y112" s="368"/>
      <c r="Z112" s="368"/>
    </row>
    <row r="113" spans="1:26" s="383" customFormat="1">
      <c r="A113" s="384"/>
      <c r="B113" s="385"/>
      <c r="C113" s="385"/>
      <c r="D113" s="385"/>
      <c r="E113" s="385"/>
      <c r="F113" s="385"/>
      <c r="G113" s="385"/>
      <c r="H113" s="385"/>
      <c r="I113" s="385"/>
      <c r="J113" s="385"/>
      <c r="K113" s="387"/>
      <c r="L113" s="385"/>
      <c r="M113" s="385"/>
      <c r="N113" s="385"/>
      <c r="O113" s="385"/>
      <c r="P113" s="387"/>
      <c r="Q113" s="385"/>
      <c r="R113" s="391"/>
      <c r="S113" s="388"/>
      <c r="T113" s="368"/>
      <c r="U113" s="368"/>
      <c r="V113" s="368"/>
      <c r="W113" s="368"/>
      <c r="X113" s="368"/>
      <c r="Y113" s="368"/>
      <c r="Z113" s="368"/>
    </row>
    <row r="114" spans="1:26" s="383" customFormat="1">
      <c r="A114" s="384"/>
      <c r="B114" s="379"/>
      <c r="C114" s="379"/>
      <c r="D114" s="379"/>
      <c r="E114" s="379"/>
      <c r="F114" s="379"/>
      <c r="G114" s="379"/>
      <c r="H114" s="379"/>
      <c r="I114" s="379"/>
      <c r="J114" s="379"/>
      <c r="K114" s="381"/>
      <c r="L114" s="379"/>
      <c r="M114" s="379"/>
      <c r="N114" s="379"/>
      <c r="O114" s="379"/>
      <c r="P114" s="381"/>
      <c r="Q114" s="379"/>
      <c r="R114" s="390"/>
      <c r="S114" s="382"/>
      <c r="T114" s="368"/>
      <c r="U114" s="368"/>
      <c r="V114" s="368"/>
      <c r="W114" s="368"/>
      <c r="X114" s="368"/>
      <c r="Y114" s="368"/>
      <c r="Z114" s="368"/>
    </row>
    <row r="115" spans="1:26" s="383" customFormat="1">
      <c r="A115" s="384"/>
      <c r="B115" s="385"/>
      <c r="C115" s="385"/>
      <c r="D115" s="385"/>
      <c r="E115" s="385"/>
      <c r="F115" s="385"/>
      <c r="G115" s="385"/>
      <c r="H115" s="385"/>
      <c r="I115" s="385"/>
      <c r="J115" s="385"/>
      <c r="K115" s="387"/>
      <c r="L115" s="385"/>
      <c r="M115" s="385"/>
      <c r="N115" s="385"/>
      <c r="O115" s="385"/>
      <c r="P115" s="387"/>
      <c r="Q115" s="385"/>
      <c r="R115" s="391"/>
      <c r="S115" s="388"/>
      <c r="T115" s="368"/>
      <c r="U115" s="368"/>
      <c r="V115" s="368"/>
      <c r="W115" s="368"/>
      <c r="X115" s="368"/>
      <c r="Y115" s="368"/>
      <c r="Z115" s="368"/>
    </row>
    <row r="116" spans="1:26" s="383" customFormat="1">
      <c r="A116" s="384"/>
      <c r="B116" s="379"/>
      <c r="C116" s="379"/>
      <c r="D116" s="379"/>
      <c r="E116" s="379"/>
      <c r="F116" s="379"/>
      <c r="G116" s="379"/>
      <c r="H116" s="379"/>
      <c r="I116" s="379"/>
      <c r="J116" s="379"/>
      <c r="K116" s="381"/>
      <c r="L116" s="379"/>
      <c r="M116" s="379"/>
      <c r="N116" s="379"/>
      <c r="O116" s="379"/>
      <c r="P116" s="381"/>
      <c r="Q116" s="379"/>
      <c r="R116" s="390"/>
      <c r="S116" s="382"/>
      <c r="T116" s="368"/>
      <c r="U116" s="368"/>
      <c r="V116" s="368"/>
      <c r="W116" s="368"/>
      <c r="X116" s="368"/>
      <c r="Y116" s="368"/>
      <c r="Z116" s="368"/>
    </row>
    <row r="117" spans="1:26" s="383" customFormat="1">
      <c r="A117" s="389"/>
      <c r="B117" s="385"/>
      <c r="C117" s="385"/>
      <c r="D117" s="385"/>
      <c r="E117" s="385"/>
      <c r="F117" s="385"/>
      <c r="G117" s="385"/>
      <c r="H117" s="385"/>
      <c r="I117" s="385"/>
      <c r="J117" s="385"/>
      <c r="K117" s="387"/>
      <c r="L117" s="385"/>
      <c r="M117" s="385"/>
      <c r="N117" s="385"/>
      <c r="O117" s="385"/>
      <c r="P117" s="387"/>
      <c r="Q117" s="385"/>
      <c r="R117" s="391"/>
      <c r="S117" s="388"/>
      <c r="T117" s="368"/>
      <c r="U117" s="368"/>
      <c r="V117" s="368"/>
      <c r="W117" s="368"/>
      <c r="X117" s="368"/>
      <c r="Y117" s="368"/>
      <c r="Z117" s="368"/>
    </row>
    <row r="118" spans="1:26" s="383" customFormat="1">
      <c r="A118" s="378"/>
      <c r="B118" s="379"/>
      <c r="C118" s="379"/>
      <c r="D118" s="379"/>
      <c r="E118" s="379"/>
      <c r="F118" s="379"/>
      <c r="G118" s="379"/>
      <c r="H118" s="379"/>
      <c r="I118" s="379"/>
      <c r="J118" s="379"/>
      <c r="K118" s="381"/>
      <c r="L118" s="379"/>
      <c r="M118" s="379"/>
      <c r="N118" s="379"/>
      <c r="O118" s="379"/>
      <c r="P118" s="381"/>
      <c r="Q118" s="379"/>
      <c r="R118" s="390"/>
      <c r="S118" s="382"/>
      <c r="T118" s="368"/>
      <c r="U118" s="368"/>
      <c r="V118" s="368"/>
      <c r="W118" s="368"/>
      <c r="X118" s="368"/>
      <c r="Y118" s="368"/>
      <c r="Z118" s="368"/>
    </row>
    <row r="119" spans="1:26" s="383" customFormat="1">
      <c r="A119" s="384"/>
      <c r="B119" s="385"/>
      <c r="C119" s="385"/>
      <c r="D119" s="385"/>
      <c r="E119" s="385"/>
      <c r="F119" s="385"/>
      <c r="G119" s="385"/>
      <c r="H119" s="385"/>
      <c r="I119" s="385"/>
      <c r="J119" s="385"/>
      <c r="K119" s="387"/>
      <c r="L119" s="385"/>
      <c r="M119" s="385"/>
      <c r="N119" s="385"/>
      <c r="O119" s="385"/>
      <c r="P119" s="387"/>
      <c r="Q119" s="385"/>
      <c r="R119" s="391"/>
      <c r="S119" s="388"/>
      <c r="T119" s="368"/>
      <c r="U119" s="368"/>
      <c r="V119" s="368"/>
      <c r="W119" s="368"/>
      <c r="X119" s="368"/>
      <c r="Y119" s="368"/>
      <c r="Z119" s="368"/>
    </row>
    <row r="120" spans="1:26" s="383" customFormat="1">
      <c r="A120" s="384"/>
      <c r="B120" s="379"/>
      <c r="C120" s="379"/>
      <c r="D120" s="379"/>
      <c r="E120" s="379"/>
      <c r="F120" s="379"/>
      <c r="G120" s="379"/>
      <c r="H120" s="379"/>
      <c r="I120" s="379"/>
      <c r="J120" s="379"/>
      <c r="K120" s="381"/>
      <c r="L120" s="379"/>
      <c r="M120" s="379"/>
      <c r="N120" s="379"/>
      <c r="O120" s="379"/>
      <c r="P120" s="381"/>
      <c r="Q120" s="379"/>
      <c r="R120" s="390"/>
      <c r="S120" s="382"/>
      <c r="T120" s="368"/>
      <c r="U120" s="368"/>
      <c r="V120" s="368"/>
      <c r="W120" s="368"/>
      <c r="X120" s="368"/>
      <c r="Y120" s="368"/>
      <c r="Z120" s="368"/>
    </row>
    <row r="121" spans="1:26" s="383" customFormat="1">
      <c r="A121" s="384"/>
      <c r="B121" s="385"/>
      <c r="C121" s="385"/>
      <c r="D121" s="385"/>
      <c r="E121" s="385"/>
      <c r="F121" s="385"/>
      <c r="G121" s="385"/>
      <c r="H121" s="385"/>
      <c r="I121" s="385"/>
      <c r="J121" s="385"/>
      <c r="K121" s="387"/>
      <c r="L121" s="385"/>
      <c r="M121" s="385"/>
      <c r="N121" s="385"/>
      <c r="O121" s="385"/>
      <c r="P121" s="387"/>
      <c r="Q121" s="385"/>
      <c r="R121" s="391"/>
      <c r="S121" s="388"/>
      <c r="T121" s="368"/>
      <c r="U121" s="368"/>
      <c r="V121" s="368"/>
      <c r="W121" s="368"/>
      <c r="X121" s="368"/>
      <c r="Y121" s="368"/>
      <c r="Z121" s="368"/>
    </row>
    <row r="122" spans="1:26" s="383" customFormat="1">
      <c r="A122" s="384"/>
      <c r="B122" s="379"/>
      <c r="C122" s="379"/>
      <c r="D122" s="379"/>
      <c r="E122" s="379"/>
      <c r="F122" s="379"/>
      <c r="G122" s="379"/>
      <c r="H122" s="379"/>
      <c r="I122" s="379"/>
      <c r="J122" s="379"/>
      <c r="K122" s="381"/>
      <c r="L122" s="379"/>
      <c r="M122" s="379"/>
      <c r="N122" s="379"/>
      <c r="O122" s="379"/>
      <c r="P122" s="381"/>
      <c r="Q122" s="379"/>
      <c r="R122" s="390"/>
      <c r="S122" s="382"/>
      <c r="T122" s="368"/>
      <c r="U122" s="368"/>
      <c r="V122" s="368"/>
      <c r="W122" s="368"/>
      <c r="X122" s="368"/>
      <c r="Y122" s="368"/>
      <c r="Z122" s="368"/>
    </row>
    <row r="123" spans="1:26" s="383" customFormat="1">
      <c r="A123" s="384"/>
      <c r="B123" s="385"/>
      <c r="C123" s="385"/>
      <c r="D123" s="385"/>
      <c r="E123" s="385"/>
      <c r="F123" s="385"/>
      <c r="G123" s="385"/>
      <c r="H123" s="385"/>
      <c r="I123" s="385"/>
      <c r="J123" s="385"/>
      <c r="K123" s="387"/>
      <c r="L123" s="385"/>
      <c r="M123" s="385"/>
      <c r="N123" s="385"/>
      <c r="O123" s="385"/>
      <c r="P123" s="387"/>
      <c r="Q123" s="385"/>
      <c r="R123" s="391"/>
      <c r="S123" s="388"/>
      <c r="T123" s="368"/>
      <c r="U123" s="368"/>
      <c r="V123" s="368"/>
      <c r="W123" s="368"/>
      <c r="X123" s="368"/>
      <c r="Y123" s="368"/>
      <c r="Z123" s="368"/>
    </row>
    <row r="124" spans="1:26" s="383" customFormat="1">
      <c r="A124" s="384"/>
      <c r="B124" s="379"/>
      <c r="C124" s="379"/>
      <c r="D124" s="379"/>
      <c r="E124" s="379"/>
      <c r="F124" s="379"/>
      <c r="G124" s="379"/>
      <c r="H124" s="379"/>
      <c r="I124" s="379"/>
      <c r="J124" s="379"/>
      <c r="K124" s="381"/>
      <c r="L124" s="379"/>
      <c r="M124" s="379"/>
      <c r="N124" s="379"/>
      <c r="O124" s="379"/>
      <c r="P124" s="381"/>
      <c r="Q124" s="379"/>
      <c r="R124" s="390"/>
      <c r="S124" s="382"/>
      <c r="T124" s="368"/>
      <c r="U124" s="368"/>
      <c r="V124" s="368"/>
      <c r="W124" s="368"/>
      <c r="X124" s="368"/>
      <c r="Y124" s="368"/>
      <c r="Z124" s="368"/>
    </row>
    <row r="125" spans="1:26" s="383" customFormat="1">
      <c r="A125" s="389"/>
      <c r="B125" s="385"/>
      <c r="C125" s="385"/>
      <c r="D125" s="385"/>
      <c r="E125" s="385"/>
      <c r="F125" s="385"/>
      <c r="G125" s="385"/>
      <c r="H125" s="385"/>
      <c r="I125" s="385"/>
      <c r="J125" s="385"/>
      <c r="K125" s="387"/>
      <c r="L125" s="385"/>
      <c r="M125" s="385"/>
      <c r="N125" s="385"/>
      <c r="O125" s="385"/>
      <c r="P125" s="387"/>
      <c r="Q125" s="385"/>
      <c r="R125" s="391"/>
      <c r="S125" s="388"/>
      <c r="T125" s="368"/>
      <c r="U125" s="368"/>
      <c r="V125" s="368"/>
      <c r="W125" s="368"/>
      <c r="X125" s="368"/>
      <c r="Y125" s="368"/>
      <c r="Z125" s="368"/>
    </row>
    <row r="126" spans="1:26" s="383" customFormat="1">
      <c r="A126" s="378"/>
      <c r="B126" s="379"/>
      <c r="C126" s="379"/>
      <c r="D126" s="379"/>
      <c r="E126" s="379"/>
      <c r="F126" s="379"/>
      <c r="G126" s="379"/>
      <c r="H126" s="379"/>
      <c r="I126" s="379"/>
      <c r="J126" s="379"/>
      <c r="K126" s="381"/>
      <c r="L126" s="379"/>
      <c r="M126" s="379"/>
      <c r="N126" s="379"/>
      <c r="O126" s="379"/>
      <c r="P126" s="381"/>
      <c r="Q126" s="379"/>
      <c r="R126" s="390"/>
      <c r="S126" s="382"/>
      <c r="T126" s="368"/>
      <c r="U126" s="368"/>
      <c r="V126" s="368"/>
      <c r="W126" s="368"/>
      <c r="X126" s="368"/>
      <c r="Y126" s="368"/>
      <c r="Z126" s="368"/>
    </row>
    <row r="127" spans="1:26" s="383" customFormat="1">
      <c r="A127" s="384"/>
      <c r="B127" s="385"/>
      <c r="C127" s="385"/>
      <c r="D127" s="385"/>
      <c r="E127" s="385"/>
      <c r="F127" s="385"/>
      <c r="G127" s="385"/>
      <c r="H127" s="385"/>
      <c r="I127" s="385"/>
      <c r="J127" s="385"/>
      <c r="K127" s="387"/>
      <c r="L127" s="385"/>
      <c r="M127" s="385"/>
      <c r="N127" s="385"/>
      <c r="O127" s="385"/>
      <c r="P127" s="387"/>
      <c r="Q127" s="385"/>
      <c r="R127" s="391"/>
      <c r="S127" s="388"/>
      <c r="T127" s="368"/>
      <c r="U127" s="368"/>
      <c r="V127" s="368"/>
      <c r="W127" s="368"/>
      <c r="X127" s="368"/>
      <c r="Y127" s="368"/>
      <c r="Z127" s="368"/>
    </row>
    <row r="128" spans="1:26" s="383" customFormat="1">
      <c r="A128" s="384"/>
      <c r="B128" s="379"/>
      <c r="C128" s="379"/>
      <c r="D128" s="379"/>
      <c r="E128" s="379"/>
      <c r="F128" s="379"/>
      <c r="G128" s="379"/>
      <c r="H128" s="379"/>
      <c r="I128" s="379"/>
      <c r="J128" s="379"/>
      <c r="K128" s="381"/>
      <c r="L128" s="379"/>
      <c r="M128" s="379"/>
      <c r="N128" s="379"/>
      <c r="O128" s="379"/>
      <c r="P128" s="381"/>
      <c r="Q128" s="379"/>
      <c r="R128" s="390"/>
      <c r="S128" s="382"/>
      <c r="T128" s="368"/>
      <c r="U128" s="368"/>
      <c r="V128" s="368"/>
      <c r="W128" s="368"/>
      <c r="X128" s="368"/>
      <c r="Y128" s="368"/>
      <c r="Z128" s="368"/>
    </row>
    <row r="129" spans="1:26" s="383" customFormat="1">
      <c r="A129" s="384"/>
      <c r="B129" s="385"/>
      <c r="C129" s="385"/>
      <c r="D129" s="385"/>
      <c r="E129" s="385"/>
      <c r="F129" s="385"/>
      <c r="G129" s="385"/>
      <c r="H129" s="385"/>
      <c r="I129" s="385"/>
      <c r="J129" s="385"/>
      <c r="K129" s="387"/>
      <c r="L129" s="385"/>
      <c r="M129" s="385"/>
      <c r="N129" s="385"/>
      <c r="O129" s="385"/>
      <c r="P129" s="387"/>
      <c r="Q129" s="385"/>
      <c r="R129" s="391"/>
      <c r="S129" s="388"/>
      <c r="T129" s="368"/>
      <c r="U129" s="368"/>
      <c r="V129" s="368"/>
      <c r="W129" s="368"/>
      <c r="X129" s="368"/>
      <c r="Y129" s="368"/>
      <c r="Z129" s="368"/>
    </row>
    <row r="130" spans="1:26" s="383" customFormat="1">
      <c r="A130" s="384"/>
      <c r="B130" s="379"/>
      <c r="C130" s="379"/>
      <c r="D130" s="379"/>
      <c r="E130" s="379"/>
      <c r="F130" s="379"/>
      <c r="G130" s="379"/>
      <c r="H130" s="379"/>
      <c r="I130" s="379"/>
      <c r="J130" s="379"/>
      <c r="K130" s="381"/>
      <c r="L130" s="379"/>
      <c r="M130" s="379"/>
      <c r="N130" s="379"/>
      <c r="O130" s="379"/>
      <c r="P130" s="381"/>
      <c r="Q130" s="379"/>
      <c r="R130" s="390"/>
      <c r="S130" s="382"/>
      <c r="T130" s="368"/>
      <c r="U130" s="368"/>
      <c r="V130" s="368"/>
      <c r="W130" s="368"/>
      <c r="X130" s="368"/>
      <c r="Y130" s="368"/>
      <c r="Z130" s="368"/>
    </row>
    <row r="131" spans="1:26" s="383" customFormat="1">
      <c r="A131" s="384"/>
      <c r="B131" s="385"/>
      <c r="C131" s="385"/>
      <c r="D131" s="385"/>
      <c r="E131" s="385"/>
      <c r="F131" s="385"/>
      <c r="G131" s="385"/>
      <c r="H131" s="385"/>
      <c r="I131" s="385"/>
      <c r="J131" s="385"/>
      <c r="K131" s="387"/>
      <c r="L131" s="385"/>
      <c r="M131" s="385"/>
      <c r="N131" s="385"/>
      <c r="O131" s="385"/>
      <c r="P131" s="387"/>
      <c r="Q131" s="385"/>
      <c r="R131" s="391"/>
      <c r="S131" s="388"/>
      <c r="T131" s="368"/>
      <c r="U131" s="368"/>
      <c r="V131" s="368"/>
      <c r="W131" s="368"/>
      <c r="X131" s="368"/>
      <c r="Y131" s="368"/>
      <c r="Z131" s="368"/>
    </row>
    <row r="132" spans="1:26" s="383" customFormat="1">
      <c r="A132" s="384"/>
      <c r="B132" s="379"/>
      <c r="C132" s="379"/>
      <c r="D132" s="379"/>
      <c r="E132" s="379"/>
      <c r="F132" s="379"/>
      <c r="G132" s="379"/>
      <c r="H132" s="379"/>
      <c r="I132" s="379"/>
      <c r="J132" s="379"/>
      <c r="K132" s="381"/>
      <c r="L132" s="379"/>
      <c r="M132" s="379"/>
      <c r="N132" s="379"/>
      <c r="O132" s="379"/>
      <c r="P132" s="381"/>
      <c r="Q132" s="379"/>
      <c r="R132" s="390"/>
      <c r="S132" s="382"/>
      <c r="T132" s="368"/>
      <c r="U132" s="368"/>
      <c r="V132" s="368"/>
      <c r="W132" s="368"/>
      <c r="X132" s="368"/>
      <c r="Y132" s="368"/>
      <c r="Z132" s="368"/>
    </row>
    <row r="133" spans="1:26" s="383" customFormat="1">
      <c r="A133" s="389"/>
      <c r="B133" s="385"/>
      <c r="C133" s="385"/>
      <c r="D133" s="385"/>
      <c r="E133" s="385"/>
      <c r="F133" s="385"/>
      <c r="G133" s="385"/>
      <c r="H133" s="385"/>
      <c r="I133" s="385"/>
      <c r="J133" s="385"/>
      <c r="K133" s="387"/>
      <c r="L133" s="385"/>
      <c r="M133" s="385"/>
      <c r="N133" s="385"/>
      <c r="O133" s="385"/>
      <c r="P133" s="387"/>
      <c r="Q133" s="385"/>
      <c r="R133" s="391"/>
      <c r="S133" s="388"/>
      <c r="T133" s="368"/>
      <c r="U133" s="368"/>
      <c r="V133" s="368"/>
      <c r="W133" s="368"/>
      <c r="X133" s="368"/>
      <c r="Y133" s="368"/>
      <c r="Z133" s="368"/>
    </row>
    <row r="134" spans="1:26" s="383" customFormat="1">
      <c r="B134" s="393"/>
      <c r="P134" s="394"/>
      <c r="S134" s="395"/>
      <c r="T134" s="395"/>
      <c r="U134" s="395"/>
      <c r="V134" s="395"/>
    </row>
    <row r="135" spans="1:26" s="383" customFormat="1">
      <c r="S135" s="395"/>
      <c r="T135" s="395"/>
      <c r="U135" s="395"/>
      <c r="V135" s="395"/>
    </row>
    <row r="136" spans="1:26" s="383" customFormat="1">
      <c r="S136" s="395"/>
      <c r="T136" s="395"/>
      <c r="U136" s="395"/>
      <c r="V136" s="395"/>
    </row>
    <row r="137" spans="1:26" s="383" customFormat="1">
      <c r="B137" s="393"/>
      <c r="P137" s="394"/>
      <c r="S137" s="395"/>
      <c r="T137" s="395"/>
      <c r="U137" s="395"/>
      <c r="V137" s="395"/>
    </row>
    <row r="138" spans="1:26" s="383" customFormat="1">
      <c r="S138" s="395"/>
      <c r="T138" s="395"/>
      <c r="U138" s="395"/>
      <c r="V138" s="395"/>
    </row>
    <row r="139" spans="1:26" s="383" customFormat="1">
      <c r="S139" s="395"/>
      <c r="T139" s="395"/>
      <c r="U139" s="395"/>
      <c r="V139" s="395"/>
    </row>
    <row r="140" spans="1:26" s="383" customFormat="1">
      <c r="B140" s="393"/>
      <c r="P140" s="394"/>
      <c r="S140" s="395"/>
      <c r="T140" s="395"/>
      <c r="U140" s="395"/>
      <c r="V140" s="395"/>
    </row>
    <row r="141" spans="1:26" s="383" customFormat="1">
      <c r="S141" s="395"/>
      <c r="T141" s="395"/>
      <c r="U141" s="395"/>
      <c r="V141" s="395"/>
    </row>
    <row r="142" spans="1:26" s="383" customFormat="1">
      <c r="S142" s="395"/>
      <c r="T142" s="395"/>
      <c r="U142" s="395"/>
      <c r="V142" s="395"/>
    </row>
    <row r="143" spans="1:26" s="383" customFormat="1">
      <c r="B143" s="393"/>
      <c r="P143" s="394"/>
      <c r="S143" s="395"/>
      <c r="T143" s="395"/>
      <c r="U143" s="395"/>
      <c r="V143" s="395"/>
    </row>
    <row r="144" spans="1:26" s="383" customFormat="1">
      <c r="S144" s="395"/>
      <c r="T144" s="395"/>
      <c r="U144" s="395"/>
      <c r="V144" s="395"/>
    </row>
    <row r="145" spans="2:22" s="383" customFormat="1">
      <c r="S145" s="395"/>
      <c r="T145" s="395"/>
      <c r="U145" s="395"/>
      <c r="V145" s="395"/>
    </row>
    <row r="146" spans="2:22" s="383" customFormat="1">
      <c r="B146" s="393"/>
      <c r="P146" s="394"/>
      <c r="S146" s="395"/>
      <c r="T146" s="395"/>
      <c r="U146" s="395"/>
      <c r="V146" s="395"/>
    </row>
    <row r="147" spans="2:22" s="383" customFormat="1">
      <c r="S147" s="395"/>
      <c r="T147" s="395"/>
      <c r="U147" s="395"/>
      <c r="V147" s="395"/>
    </row>
    <row r="148" spans="2:22" s="383" customFormat="1">
      <c r="S148" s="395"/>
      <c r="T148" s="395"/>
      <c r="U148" s="395"/>
      <c r="V148" s="395"/>
    </row>
    <row r="149" spans="2:22" s="383" customFormat="1">
      <c r="B149" s="393"/>
      <c r="P149" s="394"/>
      <c r="S149" s="395"/>
      <c r="T149" s="395"/>
      <c r="U149" s="395"/>
      <c r="V149" s="395"/>
    </row>
    <row r="150" spans="2:22" s="383" customFormat="1">
      <c r="S150" s="395"/>
      <c r="T150" s="395"/>
      <c r="U150" s="395"/>
      <c r="V150" s="395"/>
    </row>
    <row r="151" spans="2:22" s="383" customFormat="1">
      <c r="S151" s="395"/>
      <c r="T151" s="395"/>
      <c r="U151" s="395"/>
      <c r="V151" s="395"/>
    </row>
    <row r="152" spans="2:22" s="383" customFormat="1">
      <c r="B152" s="393"/>
      <c r="P152" s="394"/>
      <c r="S152" s="395"/>
      <c r="T152" s="395"/>
      <c r="U152" s="395"/>
      <c r="V152" s="395"/>
    </row>
    <row r="153" spans="2:22" s="383" customFormat="1">
      <c r="S153" s="395"/>
      <c r="T153" s="395"/>
      <c r="U153" s="395"/>
      <c r="V153" s="395"/>
    </row>
    <row r="154" spans="2:22" s="383" customFormat="1">
      <c r="S154" s="395"/>
      <c r="T154" s="395"/>
      <c r="U154" s="395"/>
      <c r="V154" s="395"/>
    </row>
    <row r="155" spans="2:22" s="383" customFormat="1">
      <c r="B155" s="393"/>
      <c r="P155" s="394"/>
      <c r="S155" s="395"/>
      <c r="T155" s="395"/>
      <c r="U155" s="395"/>
      <c r="V155" s="395"/>
    </row>
    <row r="156" spans="2:22" s="383" customFormat="1">
      <c r="S156" s="395"/>
      <c r="T156" s="395"/>
      <c r="U156" s="395"/>
      <c r="V156" s="395"/>
    </row>
    <row r="157" spans="2:22" s="383" customFormat="1">
      <c r="S157" s="395"/>
      <c r="T157" s="395"/>
      <c r="U157" s="395"/>
      <c r="V157" s="395"/>
    </row>
    <row r="158" spans="2:22" s="383" customFormat="1">
      <c r="B158" s="393"/>
      <c r="P158" s="394"/>
      <c r="S158" s="395"/>
      <c r="T158" s="395"/>
      <c r="U158" s="395"/>
      <c r="V158" s="395"/>
    </row>
    <row r="159" spans="2:22" s="383" customFormat="1">
      <c r="S159" s="395"/>
      <c r="T159" s="395"/>
      <c r="U159" s="395"/>
      <c r="V159" s="395"/>
    </row>
    <row r="160" spans="2:22" s="383" customFormat="1">
      <c r="S160" s="395"/>
      <c r="T160" s="395"/>
      <c r="U160" s="395"/>
      <c r="V160" s="395"/>
    </row>
    <row r="161" spans="2:22" s="383" customFormat="1">
      <c r="B161" s="393"/>
      <c r="P161" s="394"/>
      <c r="S161" s="395"/>
      <c r="T161" s="395"/>
      <c r="U161" s="395"/>
      <c r="V161" s="395"/>
    </row>
    <row r="162" spans="2:22" s="383" customFormat="1">
      <c r="S162" s="395"/>
      <c r="T162" s="395"/>
      <c r="U162" s="395"/>
      <c r="V162" s="395"/>
    </row>
    <row r="163" spans="2:22" s="383" customFormat="1">
      <c r="S163" s="395"/>
      <c r="T163" s="395"/>
      <c r="U163" s="395"/>
      <c r="V163" s="395"/>
    </row>
    <row r="164" spans="2:22" s="383" customFormat="1">
      <c r="B164" s="393"/>
      <c r="P164" s="394"/>
      <c r="S164" s="395"/>
      <c r="T164" s="395"/>
      <c r="U164" s="395"/>
      <c r="V164" s="395"/>
    </row>
    <row r="165" spans="2:22" s="383" customFormat="1">
      <c r="S165" s="395"/>
      <c r="T165" s="395"/>
      <c r="U165" s="395"/>
      <c r="V165" s="395"/>
    </row>
    <row r="166" spans="2:22" s="383" customFormat="1">
      <c r="S166" s="395"/>
      <c r="T166" s="395"/>
      <c r="U166" s="395"/>
      <c r="V166" s="395"/>
    </row>
    <row r="167" spans="2:22" s="383" customFormat="1">
      <c r="B167" s="393"/>
      <c r="P167" s="394"/>
      <c r="S167" s="395"/>
      <c r="T167" s="395"/>
      <c r="U167" s="395"/>
      <c r="V167" s="395"/>
    </row>
    <row r="168" spans="2:22" s="383" customFormat="1">
      <c r="S168" s="395"/>
      <c r="T168" s="395"/>
      <c r="U168" s="395"/>
      <c r="V168" s="395"/>
    </row>
    <row r="169" spans="2:22" s="383" customFormat="1">
      <c r="S169" s="395"/>
      <c r="T169" s="395"/>
      <c r="U169" s="395"/>
      <c r="V169" s="395"/>
    </row>
    <row r="170" spans="2:22" s="383" customFormat="1">
      <c r="B170" s="393"/>
      <c r="P170" s="394"/>
      <c r="S170" s="395"/>
      <c r="T170" s="395"/>
      <c r="U170" s="395"/>
      <c r="V170" s="395"/>
    </row>
    <row r="171" spans="2:22" s="383" customFormat="1">
      <c r="S171" s="395"/>
      <c r="T171" s="395"/>
      <c r="U171" s="395"/>
      <c r="V171" s="395"/>
    </row>
    <row r="172" spans="2:22" s="383" customFormat="1">
      <c r="S172" s="395"/>
      <c r="T172" s="395"/>
      <c r="U172" s="395"/>
      <c r="V172" s="395"/>
    </row>
    <row r="173" spans="2:22" s="383" customFormat="1">
      <c r="B173" s="393"/>
      <c r="P173" s="394"/>
      <c r="S173" s="395"/>
      <c r="T173" s="395"/>
      <c r="U173" s="395"/>
      <c r="V173" s="395"/>
    </row>
    <row r="174" spans="2:22" s="383" customFormat="1">
      <c r="S174" s="395"/>
      <c r="T174" s="395"/>
      <c r="U174" s="395"/>
      <c r="V174" s="395"/>
    </row>
    <row r="175" spans="2:22" s="383" customFormat="1">
      <c r="S175" s="395"/>
      <c r="T175" s="395"/>
      <c r="U175" s="395"/>
      <c r="V175" s="395"/>
    </row>
    <row r="176" spans="2:22" s="383" customFormat="1">
      <c r="B176" s="393"/>
      <c r="P176" s="394"/>
      <c r="S176" s="395"/>
      <c r="T176" s="395"/>
      <c r="U176" s="395"/>
      <c r="V176" s="395"/>
    </row>
    <row r="177" spans="2:22" s="383" customFormat="1">
      <c r="S177" s="395"/>
      <c r="T177" s="395"/>
      <c r="U177" s="395"/>
      <c r="V177" s="395"/>
    </row>
    <row r="178" spans="2:22" s="383" customFormat="1">
      <c r="S178" s="395"/>
      <c r="T178" s="395"/>
      <c r="U178" s="395"/>
      <c r="V178" s="395"/>
    </row>
    <row r="179" spans="2:22" s="383" customFormat="1">
      <c r="B179" s="393"/>
      <c r="P179" s="394"/>
      <c r="S179" s="395"/>
      <c r="T179" s="395"/>
      <c r="U179" s="395"/>
      <c r="V179" s="395"/>
    </row>
    <row r="180" spans="2:22" s="383" customFormat="1">
      <c r="S180" s="395"/>
      <c r="T180" s="395"/>
      <c r="U180" s="395"/>
      <c r="V180" s="395"/>
    </row>
    <row r="181" spans="2:22" s="383" customFormat="1">
      <c r="S181" s="395"/>
      <c r="T181" s="395"/>
      <c r="U181" s="395"/>
      <c r="V181" s="395"/>
    </row>
    <row r="182" spans="2:22" s="383" customFormat="1">
      <c r="B182" s="393"/>
      <c r="P182" s="394"/>
      <c r="S182" s="395"/>
      <c r="T182" s="395"/>
      <c r="U182" s="395"/>
      <c r="V182" s="395"/>
    </row>
    <row r="183" spans="2:22" s="383" customFormat="1">
      <c r="S183" s="395"/>
      <c r="T183" s="395"/>
      <c r="U183" s="395"/>
      <c r="V183" s="395"/>
    </row>
    <row r="184" spans="2:22" s="383" customFormat="1">
      <c r="S184" s="395"/>
      <c r="T184" s="395"/>
      <c r="U184" s="395"/>
      <c r="V184" s="395"/>
    </row>
    <row r="185" spans="2:22" s="383" customFormat="1">
      <c r="B185" s="393"/>
      <c r="P185" s="394"/>
      <c r="S185" s="395"/>
      <c r="T185" s="395"/>
      <c r="U185" s="395"/>
      <c r="V185" s="395"/>
    </row>
    <row r="186" spans="2:22" s="383" customFormat="1">
      <c r="S186" s="395"/>
      <c r="T186" s="395"/>
      <c r="U186" s="395"/>
      <c r="V186" s="395"/>
    </row>
    <row r="187" spans="2:22" s="383" customFormat="1">
      <c r="S187" s="395"/>
      <c r="T187" s="395"/>
      <c r="U187" s="395"/>
      <c r="V187" s="395"/>
    </row>
    <row r="188" spans="2:22" s="383" customFormat="1">
      <c r="B188" s="393"/>
      <c r="P188" s="394"/>
      <c r="S188" s="395"/>
      <c r="T188" s="395"/>
      <c r="U188" s="395"/>
      <c r="V188" s="395"/>
    </row>
    <row r="189" spans="2:22" s="383" customFormat="1">
      <c r="S189" s="395"/>
      <c r="T189" s="395"/>
      <c r="U189" s="395"/>
      <c r="V189" s="395"/>
    </row>
    <row r="190" spans="2:22" s="383" customFormat="1">
      <c r="S190" s="395"/>
      <c r="T190" s="395"/>
      <c r="U190" s="395"/>
      <c r="V190" s="395"/>
    </row>
    <row r="191" spans="2:22" s="383" customFormat="1">
      <c r="B191" s="393"/>
      <c r="P191" s="394"/>
      <c r="S191" s="395"/>
      <c r="T191" s="395"/>
      <c r="U191" s="395"/>
      <c r="V191" s="395"/>
    </row>
    <row r="192" spans="2:22" s="383" customFormat="1">
      <c r="S192" s="395"/>
      <c r="T192" s="395"/>
      <c r="U192" s="395"/>
      <c r="V192" s="395"/>
    </row>
    <row r="193" spans="2:22" s="383" customFormat="1">
      <c r="S193" s="395"/>
      <c r="T193" s="395"/>
      <c r="U193" s="395"/>
      <c r="V193" s="395"/>
    </row>
    <row r="194" spans="2:22" s="383" customFormat="1">
      <c r="B194" s="393"/>
      <c r="P194" s="394"/>
      <c r="S194" s="395"/>
      <c r="T194" s="395"/>
      <c r="U194" s="395"/>
      <c r="V194" s="395"/>
    </row>
    <row r="195" spans="2:22" s="383" customFormat="1">
      <c r="S195" s="395"/>
      <c r="T195" s="395"/>
      <c r="U195" s="395"/>
      <c r="V195" s="395"/>
    </row>
    <row r="196" spans="2:22" s="383" customFormat="1">
      <c r="S196" s="395"/>
      <c r="T196" s="395"/>
      <c r="U196" s="395"/>
      <c r="V196" s="395"/>
    </row>
    <row r="197" spans="2:22" s="383" customFormat="1">
      <c r="B197" s="393"/>
      <c r="P197" s="394"/>
      <c r="S197" s="395"/>
      <c r="T197" s="395"/>
      <c r="U197" s="395"/>
      <c r="V197" s="395"/>
    </row>
    <row r="198" spans="2:22" s="383" customFormat="1">
      <c r="S198" s="395"/>
      <c r="T198" s="395"/>
      <c r="U198" s="395"/>
      <c r="V198" s="395"/>
    </row>
    <row r="199" spans="2:22" s="383" customFormat="1">
      <c r="S199" s="395"/>
      <c r="T199" s="395"/>
      <c r="U199" s="395"/>
      <c r="V199" s="395"/>
    </row>
    <row r="200" spans="2:22" s="383" customFormat="1">
      <c r="B200" s="393"/>
      <c r="P200" s="394"/>
      <c r="S200" s="395"/>
      <c r="T200" s="395"/>
      <c r="U200" s="395"/>
      <c r="V200" s="395"/>
    </row>
    <row r="201" spans="2:22" s="383" customFormat="1">
      <c r="S201" s="395"/>
      <c r="T201" s="395"/>
      <c r="U201" s="395"/>
      <c r="V201" s="395"/>
    </row>
    <row r="202" spans="2:22" s="383" customFormat="1">
      <c r="S202" s="395"/>
      <c r="T202" s="395"/>
      <c r="U202" s="395"/>
      <c r="V202" s="395"/>
    </row>
    <row r="203" spans="2:22" s="383" customFormat="1">
      <c r="B203" s="393"/>
      <c r="P203" s="394"/>
      <c r="S203" s="395"/>
      <c r="T203" s="395"/>
      <c r="U203" s="395"/>
      <c r="V203" s="395"/>
    </row>
    <row r="204" spans="2:22" s="383" customFormat="1">
      <c r="S204" s="395"/>
      <c r="T204" s="395"/>
      <c r="U204" s="395"/>
      <c r="V204" s="395"/>
    </row>
    <row r="205" spans="2:22" s="383" customFormat="1">
      <c r="S205" s="395"/>
      <c r="T205" s="395"/>
      <c r="U205" s="395"/>
      <c r="V205" s="395"/>
    </row>
    <row r="206" spans="2:22" s="383" customFormat="1">
      <c r="B206" s="393"/>
      <c r="P206" s="394"/>
      <c r="S206" s="395"/>
      <c r="T206" s="395"/>
      <c r="U206" s="395"/>
      <c r="V206" s="395"/>
    </row>
    <row r="207" spans="2:22" s="383" customFormat="1">
      <c r="S207" s="395"/>
      <c r="T207" s="395"/>
      <c r="U207" s="395"/>
      <c r="V207" s="395"/>
    </row>
    <row r="208" spans="2:22" s="383" customFormat="1">
      <c r="S208" s="395"/>
      <c r="T208" s="395"/>
      <c r="U208" s="395"/>
      <c r="V208" s="395"/>
    </row>
    <row r="209" spans="2:22" s="383" customFormat="1">
      <c r="B209" s="393"/>
      <c r="P209" s="394"/>
      <c r="S209" s="395"/>
      <c r="T209" s="395"/>
      <c r="U209" s="395"/>
      <c r="V209" s="395"/>
    </row>
    <row r="210" spans="2:22" s="383" customFormat="1">
      <c r="S210" s="395"/>
      <c r="T210" s="395"/>
      <c r="U210" s="395"/>
      <c r="V210" s="395"/>
    </row>
    <row r="211" spans="2:22" s="383" customFormat="1">
      <c r="S211" s="395"/>
      <c r="T211" s="395"/>
      <c r="U211" s="395"/>
      <c r="V211" s="395"/>
    </row>
    <row r="212" spans="2:22" s="383" customFormat="1">
      <c r="B212" s="393"/>
      <c r="P212" s="394"/>
      <c r="S212" s="395"/>
      <c r="T212" s="395"/>
      <c r="U212" s="395"/>
      <c r="V212" s="395"/>
    </row>
    <row r="213" spans="2:22" s="383" customFormat="1">
      <c r="S213" s="395"/>
      <c r="T213" s="395"/>
      <c r="U213" s="395"/>
      <c r="V213" s="395"/>
    </row>
    <row r="214" spans="2:22" s="383" customFormat="1">
      <c r="S214" s="395"/>
      <c r="T214" s="395"/>
      <c r="U214" s="395"/>
      <c r="V214" s="395"/>
    </row>
    <row r="215" spans="2:22" s="383" customFormat="1">
      <c r="B215" s="393"/>
      <c r="P215" s="394"/>
      <c r="S215" s="395"/>
      <c r="T215" s="395"/>
      <c r="U215" s="395"/>
      <c r="V215" s="395"/>
    </row>
    <row r="216" spans="2:22" s="383" customFormat="1">
      <c r="S216" s="395"/>
      <c r="T216" s="395"/>
      <c r="U216" s="395"/>
      <c r="V216" s="395"/>
    </row>
    <row r="217" spans="2:22" s="383" customFormat="1">
      <c r="S217" s="395"/>
      <c r="T217" s="395"/>
      <c r="U217" s="395"/>
      <c r="V217" s="395"/>
    </row>
    <row r="218" spans="2:22" s="383" customFormat="1">
      <c r="B218" s="393"/>
      <c r="P218" s="394"/>
      <c r="S218" s="395"/>
      <c r="T218" s="395"/>
      <c r="U218" s="395"/>
      <c r="V218" s="395"/>
    </row>
    <row r="219" spans="2:22" s="383" customFormat="1">
      <c r="S219" s="395"/>
      <c r="T219" s="395"/>
      <c r="U219" s="395"/>
      <c r="V219" s="395"/>
    </row>
    <row r="220" spans="2:22" s="383" customFormat="1">
      <c r="S220" s="395"/>
      <c r="T220" s="395"/>
      <c r="U220" s="395"/>
      <c r="V220" s="395"/>
    </row>
    <row r="221" spans="2:22" s="383" customFormat="1">
      <c r="B221" s="393"/>
      <c r="P221" s="394"/>
      <c r="S221" s="395"/>
      <c r="T221" s="395"/>
      <c r="U221" s="395"/>
      <c r="V221" s="395"/>
    </row>
    <row r="222" spans="2:22" s="383" customFormat="1">
      <c r="S222" s="395"/>
      <c r="T222" s="395"/>
      <c r="U222" s="395"/>
      <c r="V222" s="395"/>
    </row>
    <row r="223" spans="2:22" s="383" customFormat="1">
      <c r="S223" s="395"/>
      <c r="T223" s="395"/>
      <c r="U223" s="395"/>
      <c r="V223" s="395"/>
    </row>
    <row r="224" spans="2:22" s="383" customFormat="1">
      <c r="B224" s="393"/>
      <c r="P224" s="394"/>
      <c r="S224" s="395"/>
      <c r="T224" s="395"/>
      <c r="U224" s="395"/>
      <c r="V224" s="395"/>
    </row>
    <row r="225" spans="2:22" s="383" customFormat="1">
      <c r="S225" s="395"/>
      <c r="T225" s="395"/>
      <c r="U225" s="395"/>
      <c r="V225" s="395"/>
    </row>
    <row r="226" spans="2:22" s="383" customFormat="1">
      <c r="S226" s="395"/>
      <c r="T226" s="395"/>
      <c r="U226" s="395"/>
      <c r="V226" s="395"/>
    </row>
    <row r="227" spans="2:22" s="383" customFormat="1">
      <c r="B227" s="393"/>
      <c r="P227" s="394"/>
      <c r="S227" s="395"/>
      <c r="T227" s="395"/>
      <c r="U227" s="395"/>
      <c r="V227" s="395"/>
    </row>
    <row r="228" spans="2:22" s="383" customFormat="1">
      <c r="S228" s="395"/>
      <c r="T228" s="395"/>
      <c r="U228" s="395"/>
      <c r="V228" s="395"/>
    </row>
    <row r="229" spans="2:22" s="383" customFormat="1">
      <c r="S229" s="395"/>
      <c r="T229" s="395"/>
      <c r="U229" s="395"/>
      <c r="V229" s="395"/>
    </row>
    <row r="230" spans="2:22" s="383" customFormat="1">
      <c r="B230" s="393"/>
      <c r="P230" s="394"/>
      <c r="S230" s="395"/>
      <c r="T230" s="395"/>
      <c r="U230" s="395"/>
      <c r="V230" s="395"/>
    </row>
    <row r="231" spans="2:22" s="383" customFormat="1">
      <c r="S231" s="395"/>
      <c r="T231" s="395"/>
      <c r="U231" s="395"/>
      <c r="V231" s="395"/>
    </row>
    <row r="232" spans="2:22" s="383" customFormat="1">
      <c r="S232" s="395"/>
      <c r="T232" s="395"/>
      <c r="U232" s="395"/>
      <c r="V232" s="395"/>
    </row>
    <row r="233" spans="2:22" s="383" customFormat="1">
      <c r="B233" s="393"/>
      <c r="P233" s="394"/>
      <c r="S233" s="395"/>
      <c r="T233" s="395"/>
      <c r="U233" s="395"/>
      <c r="V233" s="395"/>
    </row>
    <row r="234" spans="2:22" s="383" customFormat="1">
      <c r="S234" s="395"/>
      <c r="T234" s="395"/>
      <c r="U234" s="395"/>
      <c r="V234" s="395"/>
    </row>
    <row r="235" spans="2:22" s="383" customFormat="1">
      <c r="S235" s="395"/>
      <c r="T235" s="395"/>
      <c r="U235" s="395"/>
      <c r="V235" s="395"/>
    </row>
    <row r="236" spans="2:22" s="383" customFormat="1">
      <c r="B236" s="393"/>
      <c r="P236" s="394"/>
      <c r="S236" s="395"/>
      <c r="T236" s="395"/>
      <c r="U236" s="395"/>
      <c r="V236" s="395"/>
    </row>
    <row r="237" spans="2:22" s="383" customFormat="1">
      <c r="S237" s="395"/>
      <c r="T237" s="395"/>
      <c r="U237" s="395"/>
      <c r="V237" s="395"/>
    </row>
    <row r="238" spans="2:22" s="383" customFormat="1">
      <c r="S238" s="395"/>
      <c r="T238" s="395"/>
      <c r="U238" s="395"/>
      <c r="V238" s="395"/>
    </row>
    <row r="239" spans="2:22" s="383" customFormat="1">
      <c r="B239" s="393"/>
      <c r="P239" s="394"/>
      <c r="S239" s="395"/>
      <c r="T239" s="395"/>
      <c r="U239" s="395"/>
      <c r="V239" s="395"/>
    </row>
    <row r="240" spans="2:22" s="383" customFormat="1">
      <c r="S240" s="395"/>
      <c r="T240" s="395"/>
      <c r="U240" s="395"/>
      <c r="V240" s="395"/>
    </row>
    <row r="241" spans="2:22" s="383" customFormat="1">
      <c r="S241" s="395"/>
      <c r="T241" s="395"/>
      <c r="U241" s="395"/>
      <c r="V241" s="395"/>
    </row>
    <row r="242" spans="2:22" s="383" customFormat="1">
      <c r="B242" s="393"/>
      <c r="P242" s="394"/>
      <c r="S242" s="395"/>
      <c r="T242" s="395"/>
      <c r="U242" s="395"/>
      <c r="V242" s="395"/>
    </row>
    <row r="243" spans="2:22" s="383" customFormat="1">
      <c r="S243" s="395"/>
      <c r="T243" s="395"/>
      <c r="U243" s="395"/>
      <c r="V243" s="395"/>
    </row>
    <row r="244" spans="2:22" s="383" customFormat="1">
      <c r="S244" s="395"/>
      <c r="T244" s="395"/>
      <c r="U244" s="395"/>
      <c r="V244" s="395"/>
    </row>
    <row r="245" spans="2:22" s="383" customFormat="1">
      <c r="B245" s="393"/>
      <c r="P245" s="394"/>
      <c r="S245" s="395"/>
      <c r="T245" s="395"/>
      <c r="U245" s="395"/>
      <c r="V245" s="395"/>
    </row>
    <row r="246" spans="2:22" s="383" customFormat="1">
      <c r="S246" s="395"/>
      <c r="T246" s="395"/>
      <c r="U246" s="395"/>
      <c r="V246" s="395"/>
    </row>
    <row r="247" spans="2:22" s="383" customFormat="1">
      <c r="S247" s="395"/>
      <c r="T247" s="395"/>
      <c r="U247" s="395"/>
      <c r="V247" s="395"/>
    </row>
    <row r="248" spans="2:22" s="383" customFormat="1">
      <c r="B248" s="393"/>
      <c r="P248" s="394"/>
      <c r="S248" s="395"/>
      <c r="T248" s="395"/>
      <c r="U248" s="395"/>
      <c r="V248" s="395"/>
    </row>
    <row r="249" spans="2:22" s="383" customFormat="1">
      <c r="S249" s="395"/>
      <c r="T249" s="395"/>
      <c r="U249" s="395"/>
      <c r="V249" s="395"/>
    </row>
    <row r="250" spans="2:22" s="383" customFormat="1">
      <c r="S250" s="395"/>
      <c r="T250" s="395"/>
      <c r="U250" s="395"/>
      <c r="V250" s="395"/>
    </row>
    <row r="251" spans="2:22" s="383" customFormat="1">
      <c r="B251" s="393"/>
      <c r="P251" s="394"/>
      <c r="S251" s="395"/>
      <c r="T251" s="395"/>
      <c r="U251" s="395"/>
      <c r="V251" s="395"/>
    </row>
    <row r="252" spans="2:22" s="383" customFormat="1">
      <c r="S252" s="395"/>
      <c r="T252" s="395"/>
      <c r="U252" s="395"/>
      <c r="V252" s="395"/>
    </row>
    <row r="253" spans="2:22" s="383" customFormat="1">
      <c r="S253" s="395"/>
      <c r="T253" s="395"/>
      <c r="U253" s="395"/>
      <c r="V253" s="395"/>
    </row>
    <row r="254" spans="2:22" s="383" customFormat="1">
      <c r="B254" s="393"/>
      <c r="P254" s="394"/>
      <c r="S254" s="395"/>
      <c r="T254" s="395"/>
      <c r="U254" s="395"/>
      <c r="V254" s="395"/>
    </row>
    <row r="255" spans="2:22" s="383" customFormat="1">
      <c r="S255" s="395"/>
      <c r="T255" s="395"/>
      <c r="U255" s="395"/>
      <c r="V255" s="395"/>
    </row>
    <row r="256" spans="2:22" s="383" customFormat="1">
      <c r="S256" s="395"/>
      <c r="T256" s="395"/>
      <c r="U256" s="395"/>
      <c r="V256" s="395"/>
    </row>
    <row r="257" spans="2:22" s="383" customFormat="1">
      <c r="B257" s="393"/>
      <c r="P257" s="394"/>
      <c r="S257" s="395"/>
      <c r="T257" s="395"/>
      <c r="U257" s="395"/>
      <c r="V257" s="395"/>
    </row>
    <row r="258" spans="2:22" s="383" customFormat="1">
      <c r="S258" s="395"/>
      <c r="T258" s="395"/>
      <c r="U258" s="395"/>
      <c r="V258" s="395"/>
    </row>
    <row r="259" spans="2:22" s="383" customFormat="1">
      <c r="S259" s="395"/>
      <c r="T259" s="395"/>
      <c r="U259" s="395"/>
      <c r="V259" s="395"/>
    </row>
    <row r="260" spans="2:22" s="383" customFormat="1">
      <c r="B260" s="393"/>
      <c r="P260" s="394"/>
      <c r="S260" s="395"/>
      <c r="T260" s="395"/>
      <c r="U260" s="395"/>
      <c r="V260" s="395"/>
    </row>
    <row r="261" spans="2:22" s="383" customFormat="1">
      <c r="S261" s="395"/>
      <c r="T261" s="395"/>
      <c r="U261" s="395"/>
      <c r="V261" s="395"/>
    </row>
    <row r="262" spans="2:22" s="383" customFormat="1">
      <c r="S262" s="395"/>
      <c r="T262" s="395"/>
      <c r="U262" s="395"/>
      <c r="V262" s="395"/>
    </row>
    <row r="263" spans="2:22" s="383" customFormat="1">
      <c r="B263" s="393"/>
      <c r="P263" s="394"/>
      <c r="S263" s="395"/>
      <c r="T263" s="395"/>
      <c r="U263" s="395"/>
      <c r="V263" s="395"/>
    </row>
    <row r="264" spans="2:22" s="383" customFormat="1">
      <c r="S264" s="395"/>
      <c r="T264" s="395"/>
      <c r="U264" s="395"/>
      <c r="V264" s="395"/>
    </row>
    <row r="265" spans="2:22" s="383" customFormat="1">
      <c r="S265" s="395"/>
      <c r="T265" s="395"/>
      <c r="U265" s="395"/>
      <c r="V265" s="395"/>
    </row>
    <row r="266" spans="2:22" s="383" customFormat="1">
      <c r="B266" s="393"/>
      <c r="P266" s="394"/>
      <c r="S266" s="395"/>
      <c r="T266" s="395"/>
      <c r="U266" s="395"/>
      <c r="V266" s="395"/>
    </row>
    <row r="267" spans="2:22" s="383" customFormat="1">
      <c r="S267" s="395"/>
      <c r="T267" s="395"/>
      <c r="U267" s="395"/>
      <c r="V267" s="395"/>
    </row>
    <row r="268" spans="2:22" s="383" customFormat="1">
      <c r="S268" s="395"/>
      <c r="T268" s="395"/>
      <c r="U268" s="395"/>
      <c r="V268" s="395"/>
    </row>
    <row r="269" spans="2:22" s="383" customFormat="1">
      <c r="B269" s="393"/>
      <c r="P269" s="394"/>
      <c r="S269" s="395"/>
      <c r="T269" s="395"/>
      <c r="U269" s="395"/>
      <c r="V269" s="395"/>
    </row>
    <row r="270" spans="2:22" s="383" customFormat="1">
      <c r="S270" s="395"/>
      <c r="T270" s="395"/>
      <c r="U270" s="395"/>
      <c r="V270" s="395"/>
    </row>
    <row r="271" spans="2:22" s="383" customFormat="1">
      <c r="S271" s="395"/>
      <c r="T271" s="395"/>
      <c r="U271" s="395"/>
      <c r="V271" s="395"/>
    </row>
    <row r="272" spans="2:22" s="383" customFormat="1">
      <c r="B272" s="393"/>
      <c r="P272" s="394"/>
      <c r="S272" s="395"/>
      <c r="T272" s="395"/>
      <c r="U272" s="395"/>
      <c r="V272" s="395"/>
    </row>
    <row r="273" spans="2:22" s="383" customFormat="1">
      <c r="S273" s="395"/>
      <c r="T273" s="395"/>
      <c r="U273" s="395"/>
      <c r="V273" s="395"/>
    </row>
    <row r="274" spans="2:22" s="383" customFormat="1">
      <c r="S274" s="395"/>
      <c r="T274" s="395"/>
      <c r="U274" s="395"/>
      <c r="V274" s="395"/>
    </row>
    <row r="275" spans="2:22" s="383" customFormat="1">
      <c r="B275" s="393"/>
      <c r="P275" s="394"/>
      <c r="S275" s="395"/>
      <c r="T275" s="395"/>
      <c r="U275" s="395"/>
      <c r="V275" s="395"/>
    </row>
    <row r="276" spans="2:22" s="383" customFormat="1">
      <c r="S276" s="395"/>
      <c r="T276" s="395"/>
      <c r="U276" s="395"/>
      <c r="V276" s="395"/>
    </row>
    <row r="277" spans="2:22" s="383" customFormat="1">
      <c r="S277" s="395"/>
      <c r="T277" s="395"/>
      <c r="U277" s="395"/>
      <c r="V277" s="395"/>
    </row>
    <row r="278" spans="2:22" s="383" customFormat="1">
      <c r="B278" s="393"/>
      <c r="P278" s="394"/>
      <c r="S278" s="396"/>
      <c r="T278" s="395"/>
      <c r="U278" s="395"/>
      <c r="V278" s="395"/>
    </row>
    <row r="279" spans="2:22" s="383" customFormat="1">
      <c r="S279" s="395"/>
      <c r="T279" s="395"/>
      <c r="U279" s="395"/>
      <c r="V279" s="395"/>
    </row>
    <row r="280" spans="2:22" s="383" customFormat="1">
      <c r="S280" s="395"/>
      <c r="T280" s="395"/>
      <c r="U280" s="395"/>
      <c r="V280" s="395"/>
    </row>
    <row r="281" spans="2:22" s="383" customFormat="1">
      <c r="B281" s="393"/>
      <c r="P281" s="394"/>
      <c r="S281" s="395"/>
      <c r="T281" s="395"/>
      <c r="U281" s="395"/>
      <c r="V281" s="395"/>
    </row>
    <row r="282" spans="2:22" s="383" customFormat="1">
      <c r="S282" s="395"/>
      <c r="T282" s="395"/>
      <c r="U282" s="395"/>
      <c r="V282" s="395"/>
    </row>
    <row r="283" spans="2:22" s="383" customFormat="1">
      <c r="S283" s="395"/>
      <c r="T283" s="395"/>
      <c r="U283" s="395"/>
      <c r="V283" s="395"/>
    </row>
    <row r="284" spans="2:22" s="383" customFormat="1">
      <c r="B284" s="393"/>
      <c r="P284" s="394"/>
      <c r="S284" s="395"/>
      <c r="T284" s="395"/>
      <c r="U284" s="395"/>
      <c r="V284" s="395"/>
    </row>
    <row r="285" spans="2:22" s="383" customFormat="1">
      <c r="S285" s="395"/>
      <c r="T285" s="395"/>
      <c r="U285" s="395"/>
      <c r="V285" s="395"/>
    </row>
    <row r="286" spans="2:22" s="383" customFormat="1">
      <c r="S286" s="395"/>
      <c r="T286" s="395"/>
      <c r="U286" s="395"/>
      <c r="V286" s="395"/>
    </row>
    <row r="287" spans="2:22" s="383" customFormat="1">
      <c r="B287" s="393"/>
      <c r="P287" s="394"/>
      <c r="S287" s="395"/>
      <c r="T287" s="395"/>
      <c r="U287" s="395"/>
      <c r="V287" s="395"/>
    </row>
    <row r="288" spans="2:22" s="383" customFormat="1">
      <c r="S288" s="395"/>
      <c r="T288" s="395"/>
      <c r="U288" s="395"/>
      <c r="V288" s="395"/>
    </row>
    <row r="289" spans="2:22" s="383" customFormat="1">
      <c r="S289" s="395"/>
      <c r="T289" s="395"/>
      <c r="U289" s="395"/>
      <c r="V289" s="395"/>
    </row>
    <row r="290" spans="2:22" s="383" customFormat="1">
      <c r="B290" s="393"/>
      <c r="P290" s="394"/>
      <c r="S290" s="395"/>
      <c r="T290" s="395"/>
      <c r="U290" s="395"/>
      <c r="V290" s="395"/>
    </row>
    <row r="291" spans="2:22" s="383" customFormat="1">
      <c r="S291" s="395"/>
      <c r="T291" s="395"/>
      <c r="U291" s="395"/>
      <c r="V291" s="395"/>
    </row>
    <row r="292" spans="2:22" s="383" customFormat="1">
      <c r="S292" s="395"/>
      <c r="T292" s="395"/>
      <c r="U292" s="395"/>
      <c r="V292" s="395"/>
    </row>
    <row r="293" spans="2:22" s="383" customFormat="1">
      <c r="B293" s="393"/>
      <c r="P293" s="394"/>
      <c r="S293" s="395"/>
      <c r="T293" s="395"/>
      <c r="U293" s="395"/>
      <c r="V293" s="395"/>
    </row>
    <row r="294" spans="2:22" s="383" customFormat="1">
      <c r="S294" s="395"/>
      <c r="T294" s="395"/>
      <c r="U294" s="395"/>
      <c r="V294" s="395"/>
    </row>
    <row r="295" spans="2:22" s="383" customFormat="1">
      <c r="S295" s="395"/>
      <c r="T295" s="395"/>
      <c r="U295" s="395"/>
      <c r="V295" s="395"/>
    </row>
    <row r="296" spans="2:22" s="383" customFormat="1">
      <c r="B296" s="393"/>
      <c r="P296" s="394"/>
      <c r="S296" s="396"/>
      <c r="T296" s="395"/>
      <c r="U296" s="395"/>
      <c r="V296" s="395"/>
    </row>
    <row r="297" spans="2:22" s="383" customFormat="1">
      <c r="S297" s="395"/>
      <c r="T297" s="395"/>
      <c r="U297" s="395"/>
      <c r="V297" s="395"/>
    </row>
    <row r="298" spans="2:22" s="383" customFormat="1">
      <c r="S298" s="395"/>
      <c r="T298" s="395"/>
      <c r="U298" s="395"/>
      <c r="V298" s="395"/>
    </row>
    <row r="299" spans="2:22" s="383" customFormat="1">
      <c r="B299" s="393"/>
      <c r="P299" s="394"/>
      <c r="S299" s="395"/>
      <c r="T299" s="395"/>
      <c r="U299" s="395"/>
      <c r="V299" s="395"/>
    </row>
    <row r="300" spans="2:22" s="383" customFormat="1">
      <c r="S300" s="395"/>
      <c r="T300" s="395"/>
      <c r="U300" s="395"/>
      <c r="V300" s="395"/>
    </row>
    <row r="301" spans="2:22" s="383" customFormat="1">
      <c r="S301" s="395"/>
      <c r="T301" s="395"/>
      <c r="U301" s="395"/>
      <c r="V301" s="395"/>
    </row>
    <row r="302" spans="2:22" s="383" customFormat="1">
      <c r="B302" s="393"/>
      <c r="P302" s="394"/>
      <c r="S302" s="395"/>
      <c r="T302" s="395"/>
      <c r="U302" s="395"/>
      <c r="V302" s="395"/>
    </row>
    <row r="303" spans="2:22" s="383" customFormat="1">
      <c r="S303" s="395"/>
      <c r="T303" s="395"/>
      <c r="U303" s="395"/>
      <c r="V303" s="395"/>
    </row>
    <row r="304" spans="2:22" s="383" customFormat="1">
      <c r="S304" s="395"/>
      <c r="T304" s="395"/>
      <c r="U304" s="395"/>
      <c r="V304" s="395"/>
    </row>
    <row r="305" spans="2:22" s="383" customFormat="1">
      <c r="B305" s="393"/>
      <c r="P305" s="394"/>
      <c r="S305" s="395"/>
      <c r="T305" s="395"/>
      <c r="U305" s="395"/>
      <c r="V305" s="395"/>
    </row>
    <row r="306" spans="2:22" s="383" customFormat="1">
      <c r="S306" s="395"/>
      <c r="T306" s="395"/>
      <c r="U306" s="395"/>
      <c r="V306" s="395"/>
    </row>
    <row r="307" spans="2:22" s="383" customFormat="1">
      <c r="S307" s="395"/>
      <c r="T307" s="395"/>
      <c r="U307" s="395"/>
      <c r="V307" s="395"/>
    </row>
    <row r="308" spans="2:22" s="383" customFormat="1">
      <c r="B308" s="393"/>
      <c r="P308" s="394"/>
      <c r="S308" s="395"/>
      <c r="T308" s="395"/>
      <c r="U308" s="395"/>
      <c r="V308" s="395"/>
    </row>
    <row r="309" spans="2:22" s="383" customFormat="1">
      <c r="S309" s="395"/>
      <c r="T309" s="395"/>
      <c r="U309" s="395"/>
      <c r="V309" s="395"/>
    </row>
    <row r="310" spans="2:22" s="383" customFormat="1">
      <c r="S310" s="395"/>
      <c r="T310" s="395"/>
      <c r="U310" s="395"/>
      <c r="V310" s="395"/>
    </row>
    <row r="311" spans="2:22" s="383" customFormat="1">
      <c r="B311" s="393"/>
      <c r="P311" s="394"/>
      <c r="S311" s="395"/>
      <c r="T311" s="395"/>
      <c r="U311" s="395"/>
      <c r="V311" s="395"/>
    </row>
    <row r="312" spans="2:22" s="383" customFormat="1">
      <c r="S312" s="395"/>
      <c r="T312" s="395"/>
      <c r="U312" s="395"/>
      <c r="V312" s="395"/>
    </row>
    <row r="313" spans="2:22" s="383" customFormat="1">
      <c r="S313" s="395"/>
      <c r="T313" s="395"/>
      <c r="U313" s="395"/>
      <c r="V313" s="395"/>
    </row>
    <row r="314" spans="2:22" s="383" customFormat="1">
      <c r="B314" s="393"/>
      <c r="P314" s="394"/>
      <c r="S314" s="395"/>
      <c r="T314" s="395"/>
      <c r="U314" s="395"/>
      <c r="V314" s="395"/>
    </row>
    <row r="315" spans="2:22" s="383" customFormat="1">
      <c r="S315" s="395"/>
      <c r="T315" s="395"/>
      <c r="U315" s="395"/>
      <c r="V315" s="395"/>
    </row>
    <row r="316" spans="2:22" s="383" customFormat="1">
      <c r="S316" s="395"/>
      <c r="T316" s="395"/>
      <c r="U316" s="395"/>
      <c r="V316" s="395"/>
    </row>
    <row r="317" spans="2:22" s="383" customFormat="1">
      <c r="B317" s="393"/>
      <c r="P317" s="394"/>
      <c r="S317" s="395"/>
      <c r="T317" s="395"/>
      <c r="U317" s="395"/>
      <c r="V317" s="395"/>
    </row>
    <row r="318" spans="2:22" s="383" customFormat="1">
      <c r="S318" s="395"/>
      <c r="T318" s="395"/>
      <c r="U318" s="395"/>
      <c r="V318" s="395"/>
    </row>
    <row r="319" spans="2:22" s="383" customFormat="1">
      <c r="S319" s="395"/>
      <c r="T319" s="395"/>
      <c r="U319" s="395"/>
      <c r="V319" s="395"/>
    </row>
    <row r="320" spans="2:22" s="383" customFormat="1">
      <c r="B320" s="393"/>
      <c r="P320" s="394"/>
      <c r="S320" s="395"/>
      <c r="T320" s="395"/>
      <c r="U320" s="395"/>
      <c r="V320" s="395"/>
    </row>
    <row r="321" spans="2:22" s="383" customFormat="1">
      <c r="S321" s="395"/>
      <c r="T321" s="395"/>
      <c r="U321" s="395"/>
      <c r="V321" s="395"/>
    </row>
    <row r="322" spans="2:22" s="383" customFormat="1">
      <c r="S322" s="395"/>
      <c r="T322" s="395"/>
      <c r="U322" s="395"/>
      <c r="V322" s="395"/>
    </row>
    <row r="323" spans="2:22" s="383" customFormat="1">
      <c r="B323" s="393"/>
      <c r="P323" s="394"/>
      <c r="S323" s="395"/>
      <c r="T323" s="395"/>
      <c r="U323" s="395"/>
      <c r="V323" s="395"/>
    </row>
    <row r="324" spans="2:22" s="383" customFormat="1">
      <c r="S324" s="395"/>
      <c r="T324" s="395"/>
      <c r="U324" s="395"/>
      <c r="V324" s="395"/>
    </row>
    <row r="325" spans="2:22" s="383" customFormat="1">
      <c r="S325" s="395"/>
      <c r="T325" s="395"/>
      <c r="U325" s="395"/>
      <c r="V325" s="395"/>
    </row>
    <row r="326" spans="2:22" s="383" customFormat="1">
      <c r="B326" s="393"/>
      <c r="P326" s="394"/>
      <c r="S326" s="395"/>
      <c r="T326" s="395"/>
      <c r="U326" s="395"/>
      <c r="V326" s="395"/>
    </row>
    <row r="327" spans="2:22" s="383" customFormat="1">
      <c r="S327" s="395"/>
      <c r="T327" s="395"/>
      <c r="U327" s="395"/>
      <c r="V327" s="395"/>
    </row>
    <row r="328" spans="2:22" s="383" customFormat="1">
      <c r="S328" s="395"/>
      <c r="T328" s="395"/>
      <c r="U328" s="395"/>
      <c r="V328" s="395"/>
    </row>
    <row r="329" spans="2:22" s="383" customFormat="1">
      <c r="B329" s="393"/>
      <c r="P329" s="394"/>
      <c r="S329" s="395"/>
      <c r="T329" s="395"/>
      <c r="U329" s="395"/>
      <c r="V329" s="395"/>
    </row>
    <row r="330" spans="2:22" s="383" customFormat="1">
      <c r="S330" s="395"/>
      <c r="T330" s="395"/>
      <c r="U330" s="395"/>
      <c r="V330" s="395"/>
    </row>
    <row r="331" spans="2:22" s="383" customFormat="1">
      <c r="S331" s="395"/>
      <c r="T331" s="395"/>
      <c r="U331" s="395"/>
      <c r="V331" s="395"/>
    </row>
    <row r="332" spans="2:22" s="383" customFormat="1">
      <c r="B332" s="393"/>
      <c r="P332" s="394"/>
      <c r="S332" s="395"/>
      <c r="T332" s="395"/>
      <c r="U332" s="395"/>
      <c r="V332" s="395"/>
    </row>
    <row r="333" spans="2:22" s="383" customFormat="1">
      <c r="S333" s="395"/>
      <c r="T333" s="395"/>
      <c r="U333" s="395"/>
      <c r="V333" s="395"/>
    </row>
    <row r="334" spans="2:22" s="383" customFormat="1">
      <c r="S334" s="395"/>
      <c r="T334" s="395"/>
      <c r="U334" s="395"/>
      <c r="V334" s="395"/>
    </row>
    <row r="335" spans="2:22" s="383" customFormat="1">
      <c r="B335" s="393"/>
      <c r="P335" s="394"/>
      <c r="S335" s="395"/>
      <c r="T335" s="395"/>
      <c r="U335" s="395"/>
      <c r="V335" s="395"/>
    </row>
    <row r="336" spans="2:22" s="383" customFormat="1">
      <c r="S336" s="395"/>
      <c r="T336" s="395"/>
      <c r="U336" s="395"/>
      <c r="V336" s="395"/>
    </row>
    <row r="337" spans="2:22" s="383" customFormat="1">
      <c r="S337" s="395"/>
      <c r="T337" s="395"/>
      <c r="U337" s="395"/>
      <c r="V337" s="395"/>
    </row>
    <row r="338" spans="2:22" s="383" customFormat="1">
      <c r="B338" s="393"/>
      <c r="P338" s="394"/>
      <c r="S338" s="395"/>
      <c r="T338" s="395"/>
      <c r="U338" s="395"/>
      <c r="V338" s="395"/>
    </row>
    <row r="339" spans="2:22" s="383" customFormat="1">
      <c r="S339" s="395"/>
      <c r="T339" s="395"/>
      <c r="U339" s="395"/>
      <c r="V339" s="395"/>
    </row>
    <row r="340" spans="2:22" s="383" customFormat="1">
      <c r="S340" s="395"/>
      <c r="T340" s="395"/>
      <c r="U340" s="395"/>
      <c r="V340" s="395"/>
    </row>
    <row r="341" spans="2:22" s="383" customFormat="1">
      <c r="B341" s="393"/>
      <c r="P341" s="394"/>
      <c r="S341" s="395"/>
      <c r="T341" s="395"/>
      <c r="U341" s="395"/>
      <c r="V341" s="395"/>
    </row>
    <row r="342" spans="2:22" s="383" customFormat="1">
      <c r="S342" s="395"/>
      <c r="T342" s="395"/>
      <c r="U342" s="395"/>
      <c r="V342" s="395"/>
    </row>
    <row r="343" spans="2:22" s="383" customFormat="1">
      <c r="S343" s="395"/>
      <c r="T343" s="395"/>
      <c r="U343" s="395"/>
      <c r="V343" s="395"/>
    </row>
    <row r="344" spans="2:22" s="383" customFormat="1">
      <c r="B344" s="393"/>
      <c r="P344" s="394"/>
      <c r="S344" s="395"/>
      <c r="T344" s="395"/>
      <c r="U344" s="395"/>
      <c r="V344" s="395"/>
    </row>
    <row r="345" spans="2:22" s="383" customFormat="1">
      <c r="S345" s="395"/>
      <c r="T345" s="395"/>
      <c r="U345" s="395"/>
      <c r="V345" s="395"/>
    </row>
    <row r="346" spans="2:22" s="383" customFormat="1">
      <c r="S346" s="395"/>
      <c r="T346" s="395"/>
      <c r="U346" s="395"/>
      <c r="V346" s="395"/>
    </row>
    <row r="347" spans="2:22" s="383" customFormat="1">
      <c r="B347" s="393"/>
      <c r="P347" s="394"/>
      <c r="S347" s="395"/>
      <c r="T347" s="395"/>
      <c r="U347" s="395"/>
      <c r="V347" s="395"/>
    </row>
    <row r="348" spans="2:22" s="383" customFormat="1">
      <c r="S348" s="395"/>
      <c r="T348" s="395"/>
      <c r="U348" s="395"/>
      <c r="V348" s="395"/>
    </row>
    <row r="349" spans="2:22" s="383" customFormat="1">
      <c r="S349" s="395"/>
      <c r="T349" s="395"/>
      <c r="U349" s="395"/>
      <c r="V349" s="395"/>
    </row>
    <row r="350" spans="2:22" s="383" customFormat="1">
      <c r="B350" s="393"/>
      <c r="P350" s="394"/>
      <c r="S350" s="395"/>
      <c r="T350" s="395"/>
      <c r="U350" s="395"/>
      <c r="V350" s="395"/>
    </row>
    <row r="351" spans="2:22" s="383" customFormat="1">
      <c r="S351" s="395"/>
      <c r="T351" s="395"/>
      <c r="U351" s="395"/>
      <c r="V351" s="395"/>
    </row>
    <row r="352" spans="2:22" s="383" customFormat="1">
      <c r="S352" s="395"/>
      <c r="T352" s="395"/>
      <c r="U352" s="395"/>
      <c r="V352" s="395"/>
    </row>
    <row r="353" spans="2:22" s="383" customFormat="1">
      <c r="B353" s="393"/>
      <c r="P353" s="394"/>
      <c r="S353" s="395"/>
      <c r="T353" s="395"/>
      <c r="U353" s="395"/>
      <c r="V353" s="395"/>
    </row>
    <row r="354" spans="2:22" s="383" customFormat="1">
      <c r="S354" s="395"/>
      <c r="T354" s="395"/>
      <c r="U354" s="395"/>
      <c r="V354" s="395"/>
    </row>
    <row r="355" spans="2:22" s="383" customFormat="1">
      <c r="S355" s="395"/>
      <c r="T355" s="395"/>
      <c r="U355" s="395"/>
      <c r="V355" s="395"/>
    </row>
    <row r="356" spans="2:22" s="383" customFormat="1">
      <c r="B356" s="393"/>
      <c r="P356" s="394"/>
      <c r="S356" s="395"/>
      <c r="T356" s="395"/>
      <c r="U356" s="395"/>
      <c r="V356" s="395"/>
    </row>
    <row r="357" spans="2:22" s="383" customFormat="1">
      <c r="S357" s="395"/>
      <c r="T357" s="395"/>
      <c r="U357" s="395"/>
      <c r="V357" s="395"/>
    </row>
    <row r="358" spans="2:22" s="383" customFormat="1">
      <c r="S358" s="395"/>
      <c r="T358" s="395"/>
      <c r="U358" s="395"/>
      <c r="V358" s="395"/>
    </row>
    <row r="359" spans="2:22" s="383" customFormat="1">
      <c r="B359" s="393"/>
      <c r="P359" s="394"/>
      <c r="S359" s="395"/>
      <c r="T359" s="395"/>
      <c r="U359" s="395"/>
      <c r="V359" s="395"/>
    </row>
    <row r="360" spans="2:22" s="383" customFormat="1">
      <c r="S360" s="395"/>
      <c r="T360" s="395"/>
      <c r="U360" s="395"/>
      <c r="V360" s="395"/>
    </row>
    <row r="361" spans="2:22" s="383" customFormat="1">
      <c r="S361" s="395"/>
      <c r="T361" s="395"/>
      <c r="U361" s="395"/>
      <c r="V361" s="395"/>
    </row>
    <row r="362" spans="2:22" s="383" customFormat="1">
      <c r="B362" s="393"/>
      <c r="P362" s="394"/>
      <c r="S362" s="395"/>
      <c r="T362" s="395"/>
      <c r="U362" s="395"/>
      <c r="V362" s="395"/>
    </row>
    <row r="363" spans="2:22" s="383" customFormat="1">
      <c r="S363" s="395"/>
      <c r="T363" s="395"/>
      <c r="U363" s="395"/>
      <c r="V363" s="395"/>
    </row>
    <row r="364" spans="2:22" s="383" customFormat="1">
      <c r="S364" s="395"/>
      <c r="T364" s="395"/>
      <c r="U364" s="395"/>
      <c r="V364" s="395"/>
    </row>
    <row r="365" spans="2:22" s="383" customFormat="1">
      <c r="B365" s="393"/>
      <c r="P365" s="394"/>
      <c r="S365" s="395"/>
      <c r="T365" s="395"/>
      <c r="U365" s="395"/>
      <c r="V365" s="395"/>
    </row>
    <row r="366" spans="2:22" s="383" customFormat="1">
      <c r="S366" s="395"/>
      <c r="T366" s="395"/>
      <c r="U366" s="395"/>
      <c r="V366" s="395"/>
    </row>
    <row r="367" spans="2:22" s="383" customFormat="1">
      <c r="S367" s="395"/>
      <c r="T367" s="395"/>
      <c r="U367" s="395"/>
      <c r="V367" s="395"/>
    </row>
    <row r="368" spans="2:22" s="383" customFormat="1">
      <c r="B368" s="393"/>
      <c r="P368" s="394"/>
      <c r="S368" s="395"/>
      <c r="T368" s="395"/>
      <c r="U368" s="395"/>
      <c r="V368" s="395"/>
    </row>
    <row r="369" spans="2:22" s="383" customFormat="1">
      <c r="S369" s="395"/>
      <c r="T369" s="395"/>
      <c r="U369" s="395"/>
      <c r="V369" s="395"/>
    </row>
    <row r="370" spans="2:22" s="383" customFormat="1">
      <c r="S370" s="395"/>
      <c r="T370" s="395"/>
      <c r="U370" s="395"/>
      <c r="V370" s="395"/>
    </row>
    <row r="371" spans="2:22" s="383" customFormat="1">
      <c r="B371" s="393"/>
      <c r="P371" s="394"/>
      <c r="S371" s="395"/>
      <c r="T371" s="395"/>
      <c r="U371" s="395"/>
      <c r="V371" s="395"/>
    </row>
    <row r="372" spans="2:22" s="383" customFormat="1">
      <c r="S372" s="395"/>
      <c r="T372" s="395"/>
      <c r="U372" s="395"/>
      <c r="V372" s="395"/>
    </row>
    <row r="373" spans="2:22" s="383" customFormat="1">
      <c r="S373" s="395"/>
      <c r="T373" s="395"/>
      <c r="U373" s="395"/>
      <c r="V373" s="395"/>
    </row>
    <row r="374" spans="2:22" s="383" customFormat="1">
      <c r="B374" s="393"/>
      <c r="P374" s="394"/>
      <c r="S374" s="395"/>
      <c r="T374" s="395"/>
      <c r="U374" s="395"/>
      <c r="V374" s="395"/>
    </row>
    <row r="375" spans="2:22" s="383" customFormat="1">
      <c r="S375" s="395"/>
      <c r="T375" s="395"/>
      <c r="U375" s="395"/>
      <c r="V375" s="395"/>
    </row>
    <row r="376" spans="2:22" s="383" customFormat="1">
      <c r="S376" s="395"/>
      <c r="T376" s="395"/>
      <c r="U376" s="395"/>
      <c r="V376" s="395"/>
    </row>
    <row r="377" spans="2:22" s="383" customFormat="1">
      <c r="B377" s="393"/>
      <c r="P377" s="394"/>
      <c r="S377" s="395"/>
      <c r="T377" s="395"/>
      <c r="U377" s="395"/>
      <c r="V377" s="395"/>
    </row>
    <row r="378" spans="2:22" s="383" customFormat="1">
      <c r="S378" s="395"/>
      <c r="T378" s="395"/>
      <c r="U378" s="395"/>
      <c r="V378" s="395"/>
    </row>
    <row r="379" spans="2:22" s="383" customFormat="1">
      <c r="S379" s="395"/>
      <c r="T379" s="395"/>
      <c r="U379" s="395"/>
      <c r="V379" s="395"/>
    </row>
    <row r="380" spans="2:22" s="383" customFormat="1">
      <c r="B380" s="393"/>
      <c r="P380" s="394"/>
      <c r="S380" s="395"/>
      <c r="T380" s="395"/>
      <c r="U380" s="395"/>
      <c r="V380" s="395"/>
    </row>
    <row r="381" spans="2:22" s="383" customFormat="1">
      <c r="S381" s="395"/>
      <c r="T381" s="395"/>
      <c r="U381" s="395"/>
      <c r="V381" s="395"/>
    </row>
    <row r="382" spans="2:22" s="383" customFormat="1">
      <c r="S382" s="395"/>
      <c r="T382" s="395"/>
      <c r="U382" s="395"/>
      <c r="V382" s="395"/>
    </row>
    <row r="383" spans="2:22" s="383" customFormat="1">
      <c r="B383" s="393"/>
      <c r="P383" s="394"/>
      <c r="S383" s="395"/>
      <c r="T383" s="395"/>
      <c r="U383" s="395"/>
      <c r="V383" s="395"/>
    </row>
    <row r="384" spans="2:22" s="383" customFormat="1">
      <c r="S384" s="395"/>
      <c r="T384" s="395"/>
      <c r="U384" s="395"/>
      <c r="V384" s="395"/>
    </row>
    <row r="385" spans="2:22" s="383" customFormat="1">
      <c r="S385" s="395"/>
      <c r="T385" s="395"/>
      <c r="U385" s="395"/>
      <c r="V385" s="395"/>
    </row>
    <row r="386" spans="2:22" s="383" customFormat="1">
      <c r="B386" s="393"/>
      <c r="P386" s="394"/>
      <c r="S386" s="395"/>
      <c r="T386" s="395"/>
      <c r="U386" s="395"/>
      <c r="V386" s="395"/>
    </row>
    <row r="387" spans="2:22" s="383" customFormat="1">
      <c r="S387" s="395"/>
      <c r="T387" s="395"/>
      <c r="U387" s="395"/>
      <c r="V387" s="395"/>
    </row>
    <row r="388" spans="2:22" s="383" customFormat="1">
      <c r="S388" s="395"/>
      <c r="T388" s="395"/>
      <c r="U388" s="395"/>
      <c r="V388" s="395"/>
    </row>
    <row r="389" spans="2:22" s="383" customFormat="1">
      <c r="B389" s="393"/>
      <c r="P389" s="394"/>
      <c r="S389" s="395"/>
      <c r="T389" s="395"/>
      <c r="U389" s="395"/>
      <c r="V389" s="395"/>
    </row>
    <row r="390" spans="2:22" s="383" customFormat="1">
      <c r="S390" s="395"/>
      <c r="T390" s="395"/>
      <c r="U390" s="395"/>
      <c r="V390" s="395"/>
    </row>
    <row r="391" spans="2:22" s="383" customFormat="1">
      <c r="S391" s="395"/>
      <c r="T391" s="395"/>
      <c r="U391" s="395"/>
      <c r="V391" s="395"/>
    </row>
    <row r="392" spans="2:22" s="383" customFormat="1">
      <c r="B392" s="393"/>
      <c r="P392" s="394"/>
      <c r="S392" s="395"/>
      <c r="T392" s="395"/>
      <c r="U392" s="395"/>
      <c r="V392" s="395"/>
    </row>
    <row r="393" spans="2:22" s="383" customFormat="1">
      <c r="S393" s="395"/>
      <c r="T393" s="395"/>
      <c r="U393" s="395"/>
      <c r="V393" s="395"/>
    </row>
    <row r="394" spans="2:22" s="383" customFormat="1">
      <c r="S394" s="395"/>
      <c r="T394" s="395"/>
      <c r="U394" s="395"/>
      <c r="V394" s="395"/>
    </row>
    <row r="395" spans="2:22" s="383" customFormat="1">
      <c r="B395" s="393"/>
      <c r="P395" s="394"/>
      <c r="S395" s="395"/>
      <c r="T395" s="395"/>
      <c r="U395" s="395"/>
      <c r="V395" s="395"/>
    </row>
    <row r="396" spans="2:22" s="383" customFormat="1">
      <c r="S396" s="395"/>
      <c r="T396" s="395"/>
      <c r="U396" s="395"/>
      <c r="V396" s="395"/>
    </row>
    <row r="397" spans="2:22" s="383" customFormat="1">
      <c r="S397" s="395"/>
      <c r="T397" s="395"/>
      <c r="U397" s="395"/>
      <c r="V397" s="395"/>
    </row>
    <row r="398" spans="2:22" s="383" customFormat="1">
      <c r="B398" s="393"/>
      <c r="P398" s="394"/>
      <c r="S398" s="395"/>
      <c r="T398" s="395"/>
      <c r="U398" s="395"/>
      <c r="V398" s="395"/>
    </row>
    <row r="399" spans="2:22" s="383" customFormat="1">
      <c r="S399" s="395"/>
      <c r="T399" s="395"/>
      <c r="U399" s="395"/>
      <c r="V399" s="395"/>
    </row>
    <row r="400" spans="2:22" s="383" customFormat="1">
      <c r="S400" s="395"/>
      <c r="T400" s="395"/>
      <c r="U400" s="395"/>
      <c r="V400" s="395"/>
    </row>
    <row r="401" spans="2:22" s="383" customFormat="1">
      <c r="B401" s="393"/>
      <c r="P401" s="394"/>
      <c r="S401" s="395"/>
      <c r="T401" s="395"/>
      <c r="U401" s="395"/>
      <c r="V401" s="395"/>
    </row>
    <row r="402" spans="2:22" s="383" customFormat="1">
      <c r="S402" s="395"/>
      <c r="T402" s="395"/>
      <c r="U402" s="395"/>
      <c r="V402" s="395"/>
    </row>
    <row r="403" spans="2:22" s="383" customFormat="1">
      <c r="S403" s="395"/>
      <c r="T403" s="395"/>
      <c r="U403" s="395"/>
      <c r="V403" s="395"/>
    </row>
    <row r="404" spans="2:22" s="383" customFormat="1">
      <c r="B404" s="393"/>
      <c r="P404" s="394"/>
      <c r="S404" s="395"/>
      <c r="T404" s="395"/>
      <c r="U404" s="395"/>
      <c r="V404" s="395"/>
    </row>
    <row r="405" spans="2:22" s="383" customFormat="1">
      <c r="S405" s="395"/>
      <c r="T405" s="395"/>
      <c r="U405" s="395"/>
      <c r="V405" s="395"/>
    </row>
    <row r="406" spans="2:22" s="383" customFormat="1">
      <c r="S406" s="395"/>
      <c r="T406" s="395"/>
      <c r="U406" s="395"/>
      <c r="V406" s="395"/>
    </row>
    <row r="407" spans="2:22" s="383" customFormat="1">
      <c r="B407" s="393"/>
      <c r="P407" s="394"/>
      <c r="S407" s="395"/>
      <c r="T407" s="395"/>
      <c r="U407" s="395"/>
      <c r="V407" s="395"/>
    </row>
    <row r="408" spans="2:22" s="383" customFormat="1">
      <c r="S408" s="395"/>
      <c r="T408" s="395"/>
      <c r="U408" s="395"/>
      <c r="V408" s="395"/>
    </row>
    <row r="409" spans="2:22" s="383" customFormat="1">
      <c r="S409" s="395"/>
      <c r="T409" s="395"/>
      <c r="U409" s="395"/>
      <c r="V409" s="395"/>
    </row>
    <row r="410" spans="2:22" s="383" customFormat="1">
      <c r="B410" s="393"/>
      <c r="P410" s="394"/>
      <c r="S410" s="395"/>
      <c r="T410" s="395"/>
      <c r="U410" s="395"/>
      <c r="V410" s="395"/>
    </row>
    <row r="411" spans="2:22" s="383" customFormat="1">
      <c r="S411" s="395"/>
      <c r="T411" s="395"/>
      <c r="U411" s="395"/>
      <c r="V411" s="395"/>
    </row>
    <row r="412" spans="2:22" s="383" customFormat="1">
      <c r="S412" s="395"/>
      <c r="T412" s="395"/>
      <c r="U412" s="395"/>
      <c r="V412" s="395"/>
    </row>
    <row r="413" spans="2:22" s="383" customFormat="1">
      <c r="B413" s="393"/>
      <c r="P413" s="394"/>
      <c r="S413" s="395"/>
      <c r="T413" s="395"/>
      <c r="U413" s="395"/>
      <c r="V413" s="395"/>
    </row>
    <row r="414" spans="2:22" s="383" customFormat="1">
      <c r="S414" s="395"/>
      <c r="T414" s="395"/>
      <c r="U414" s="395"/>
      <c r="V414" s="395"/>
    </row>
    <row r="415" spans="2:22" s="383" customFormat="1">
      <c r="S415" s="395"/>
      <c r="T415" s="395"/>
      <c r="U415" s="395"/>
      <c r="V415" s="395"/>
    </row>
    <row r="416" spans="2:22" s="383" customFormat="1">
      <c r="B416" s="393"/>
      <c r="P416" s="394"/>
      <c r="S416" s="395"/>
      <c r="T416" s="395"/>
      <c r="U416" s="395"/>
      <c r="V416" s="395"/>
    </row>
    <row r="417" spans="2:22" s="383" customFormat="1">
      <c r="S417" s="395"/>
      <c r="T417" s="395"/>
      <c r="U417" s="395"/>
      <c r="V417" s="395"/>
    </row>
    <row r="418" spans="2:22" s="383" customFormat="1">
      <c r="S418" s="395"/>
      <c r="T418" s="395"/>
      <c r="U418" s="395"/>
      <c r="V418" s="395"/>
    </row>
    <row r="419" spans="2:22" s="383" customFormat="1">
      <c r="B419" s="393"/>
      <c r="P419" s="394"/>
      <c r="S419" s="395"/>
      <c r="T419" s="395"/>
      <c r="U419" s="395"/>
      <c r="V419" s="395"/>
    </row>
    <row r="420" spans="2:22" s="383" customFormat="1">
      <c r="S420" s="395"/>
      <c r="T420" s="395"/>
      <c r="U420" s="395"/>
      <c r="V420" s="395"/>
    </row>
    <row r="421" spans="2:22" s="383" customFormat="1">
      <c r="S421" s="395"/>
      <c r="T421" s="395"/>
      <c r="U421" s="395"/>
      <c r="V421" s="395"/>
    </row>
    <row r="422" spans="2:22" s="383" customFormat="1">
      <c r="B422" s="393"/>
      <c r="P422" s="394"/>
      <c r="S422" s="395"/>
      <c r="T422" s="395"/>
      <c r="U422" s="395"/>
      <c r="V422" s="395"/>
    </row>
    <row r="423" spans="2:22" s="383" customFormat="1">
      <c r="S423" s="395"/>
      <c r="T423" s="395"/>
      <c r="U423" s="395"/>
      <c r="V423" s="395"/>
    </row>
    <row r="424" spans="2:22" s="383" customFormat="1">
      <c r="S424" s="395"/>
      <c r="T424" s="395"/>
      <c r="U424" s="395"/>
      <c r="V424" s="395"/>
    </row>
    <row r="425" spans="2:22" s="383" customFormat="1">
      <c r="B425" s="393"/>
      <c r="P425" s="394"/>
      <c r="S425" s="395"/>
      <c r="T425" s="395"/>
      <c r="U425" s="395"/>
      <c r="V425" s="395"/>
    </row>
    <row r="426" spans="2:22" s="383" customFormat="1">
      <c r="S426" s="395"/>
      <c r="T426" s="395"/>
      <c r="U426" s="395"/>
      <c r="V426" s="395"/>
    </row>
    <row r="427" spans="2:22" s="383" customFormat="1">
      <c r="S427" s="395"/>
      <c r="T427" s="395"/>
      <c r="U427" s="395"/>
      <c r="V427" s="395"/>
    </row>
    <row r="428" spans="2:22" s="383" customFormat="1">
      <c r="B428" s="393"/>
      <c r="P428" s="394"/>
      <c r="S428" s="395"/>
      <c r="T428" s="395"/>
      <c r="U428" s="395"/>
      <c r="V428" s="395"/>
    </row>
    <row r="429" spans="2:22" s="383" customFormat="1">
      <c r="S429" s="395"/>
      <c r="T429" s="395"/>
      <c r="U429" s="395"/>
      <c r="V429" s="395"/>
    </row>
    <row r="430" spans="2:22" s="383" customFormat="1">
      <c r="S430" s="395"/>
      <c r="T430" s="395"/>
      <c r="U430" s="395"/>
      <c r="V430" s="395"/>
    </row>
    <row r="431" spans="2:22" s="383" customFormat="1">
      <c r="B431" s="393"/>
      <c r="P431" s="394"/>
      <c r="S431" s="395"/>
      <c r="T431" s="395"/>
      <c r="U431" s="395"/>
      <c r="V431" s="395"/>
    </row>
    <row r="432" spans="2:22" s="383" customFormat="1">
      <c r="S432" s="395"/>
      <c r="T432" s="395"/>
      <c r="U432" s="395"/>
      <c r="V432" s="395"/>
    </row>
    <row r="433" spans="2:22" s="383" customFormat="1">
      <c r="S433" s="395"/>
      <c r="T433" s="395"/>
      <c r="U433" s="395"/>
      <c r="V433" s="395"/>
    </row>
    <row r="434" spans="2:22" s="383" customFormat="1">
      <c r="B434" s="393"/>
      <c r="P434" s="394"/>
      <c r="S434" s="395"/>
      <c r="T434" s="395"/>
      <c r="U434" s="395"/>
      <c r="V434" s="395"/>
    </row>
    <row r="435" spans="2:22" s="383" customFormat="1">
      <c r="S435" s="395"/>
      <c r="T435" s="395"/>
      <c r="U435" s="395"/>
      <c r="V435" s="395"/>
    </row>
    <row r="436" spans="2:22" s="383" customFormat="1">
      <c r="S436" s="395"/>
      <c r="T436" s="395"/>
      <c r="U436" s="395"/>
      <c r="V436" s="395"/>
    </row>
    <row r="437" spans="2:22" s="383" customFormat="1">
      <c r="B437" s="393"/>
      <c r="P437" s="394"/>
      <c r="S437" s="395"/>
      <c r="T437" s="395"/>
      <c r="U437" s="395"/>
      <c r="V437" s="395"/>
    </row>
    <row r="438" spans="2:22" s="383" customFormat="1">
      <c r="S438" s="395"/>
      <c r="T438" s="395"/>
      <c r="U438" s="395"/>
      <c r="V438" s="395"/>
    </row>
    <row r="439" spans="2:22" s="383" customFormat="1">
      <c r="S439" s="395"/>
      <c r="T439" s="395"/>
      <c r="U439" s="395"/>
      <c r="V439" s="395"/>
    </row>
    <row r="440" spans="2:22" s="383" customFormat="1">
      <c r="B440" s="393"/>
      <c r="P440" s="394"/>
      <c r="S440" s="395"/>
      <c r="T440" s="395"/>
      <c r="U440" s="395"/>
      <c r="V440" s="395"/>
    </row>
    <row r="441" spans="2:22" s="383" customFormat="1">
      <c r="S441" s="395"/>
      <c r="T441" s="395"/>
      <c r="U441" s="395"/>
      <c r="V441" s="395"/>
    </row>
    <row r="442" spans="2:22" s="383" customFormat="1">
      <c r="S442" s="395"/>
      <c r="T442" s="395"/>
      <c r="U442" s="395"/>
      <c r="V442" s="395"/>
    </row>
    <row r="443" spans="2:22" s="383" customFormat="1">
      <c r="B443" s="393"/>
      <c r="P443" s="394"/>
      <c r="S443" s="395"/>
      <c r="T443" s="395"/>
      <c r="U443" s="395"/>
      <c r="V443" s="395"/>
    </row>
    <row r="444" spans="2:22" s="383" customFormat="1">
      <c r="S444" s="395"/>
      <c r="T444" s="395"/>
      <c r="U444" s="395"/>
      <c r="V444" s="395"/>
    </row>
    <row r="445" spans="2:22" s="383" customFormat="1">
      <c r="S445" s="395"/>
      <c r="T445" s="395"/>
      <c r="U445" s="395"/>
      <c r="V445" s="395"/>
    </row>
    <row r="446" spans="2:22" s="383" customFormat="1">
      <c r="B446" s="393"/>
      <c r="P446" s="394"/>
      <c r="S446" s="395"/>
      <c r="T446" s="395"/>
      <c r="U446" s="395"/>
      <c r="V446" s="395"/>
    </row>
    <row r="447" spans="2:22" s="383" customFormat="1">
      <c r="S447" s="395"/>
      <c r="T447" s="395"/>
      <c r="U447" s="395"/>
      <c r="V447" s="395"/>
    </row>
    <row r="448" spans="2:22" s="383" customFormat="1">
      <c r="S448" s="395"/>
      <c r="T448" s="395"/>
      <c r="U448" s="395"/>
      <c r="V448" s="395"/>
    </row>
    <row r="449" spans="2:22" s="383" customFormat="1">
      <c r="B449" s="393"/>
      <c r="P449" s="394"/>
      <c r="S449" s="395"/>
      <c r="T449" s="395"/>
      <c r="U449" s="395"/>
      <c r="V449" s="395"/>
    </row>
    <row r="450" spans="2:22" s="383" customFormat="1">
      <c r="S450" s="395"/>
      <c r="T450" s="395"/>
      <c r="U450" s="395"/>
      <c r="V450" s="395"/>
    </row>
    <row r="451" spans="2:22" s="383" customFormat="1">
      <c r="S451" s="395"/>
      <c r="T451" s="395"/>
      <c r="U451" s="395"/>
      <c r="V451" s="395"/>
    </row>
    <row r="452" spans="2:22" s="383" customFormat="1">
      <c r="B452" s="393"/>
      <c r="P452" s="394"/>
      <c r="S452" s="395"/>
      <c r="T452" s="395"/>
      <c r="U452" s="395"/>
      <c r="V452" s="395"/>
    </row>
    <row r="453" spans="2:22" s="383" customFormat="1">
      <c r="S453" s="395"/>
      <c r="T453" s="395"/>
      <c r="U453" s="395"/>
      <c r="V453" s="395"/>
    </row>
    <row r="454" spans="2:22" s="383" customFormat="1">
      <c r="S454" s="395"/>
      <c r="T454" s="395"/>
      <c r="U454" s="395"/>
      <c r="V454" s="395"/>
    </row>
    <row r="455" spans="2:22" s="383" customFormat="1">
      <c r="B455" s="393"/>
      <c r="P455" s="394"/>
      <c r="S455" s="395"/>
      <c r="T455" s="395"/>
      <c r="U455" s="395"/>
      <c r="V455" s="395"/>
    </row>
    <row r="456" spans="2:22" s="383" customFormat="1">
      <c r="S456" s="395"/>
      <c r="T456" s="395"/>
      <c r="U456" s="395"/>
      <c r="V456" s="395"/>
    </row>
    <row r="457" spans="2:22" s="383" customFormat="1">
      <c r="S457" s="395"/>
      <c r="T457" s="395"/>
      <c r="U457" s="395"/>
      <c r="V457" s="395"/>
    </row>
    <row r="458" spans="2:22" s="383" customFormat="1">
      <c r="B458" s="393"/>
      <c r="P458" s="394"/>
      <c r="S458" s="395"/>
      <c r="T458" s="395"/>
      <c r="U458" s="395"/>
      <c r="V458" s="395"/>
    </row>
    <row r="459" spans="2:22" s="383" customFormat="1">
      <c r="S459" s="395"/>
      <c r="T459" s="395"/>
      <c r="U459" s="395"/>
      <c r="V459" s="395"/>
    </row>
    <row r="460" spans="2:22" s="383" customFormat="1">
      <c r="S460" s="395"/>
      <c r="T460" s="395"/>
      <c r="U460" s="395"/>
      <c r="V460" s="395"/>
    </row>
    <row r="461" spans="2:22" s="383" customFormat="1">
      <c r="B461" s="393"/>
      <c r="P461" s="394"/>
      <c r="S461" s="395"/>
      <c r="T461" s="395"/>
      <c r="U461" s="395"/>
      <c r="V461" s="395"/>
    </row>
    <row r="462" spans="2:22" s="383" customFormat="1">
      <c r="S462" s="395"/>
      <c r="T462" s="395"/>
      <c r="U462" s="395"/>
      <c r="V462" s="395"/>
    </row>
    <row r="463" spans="2:22" s="383" customFormat="1">
      <c r="S463" s="395"/>
      <c r="T463" s="395"/>
      <c r="U463" s="395"/>
      <c r="V463" s="395"/>
    </row>
    <row r="464" spans="2:22" s="383" customFormat="1">
      <c r="B464" s="393"/>
      <c r="P464" s="394"/>
      <c r="S464" s="395"/>
      <c r="T464" s="395"/>
      <c r="U464" s="395"/>
      <c r="V464" s="395"/>
    </row>
    <row r="465" spans="2:22" s="383" customFormat="1">
      <c r="S465" s="395"/>
      <c r="T465" s="395"/>
      <c r="U465" s="395"/>
      <c r="V465" s="395"/>
    </row>
    <row r="466" spans="2:22" s="383" customFormat="1">
      <c r="S466" s="395"/>
      <c r="T466" s="395"/>
      <c r="U466" s="395"/>
      <c r="V466" s="395"/>
    </row>
    <row r="467" spans="2:22" s="383" customFormat="1">
      <c r="B467" s="393"/>
      <c r="P467" s="394"/>
      <c r="S467" s="395"/>
      <c r="T467" s="395"/>
      <c r="U467" s="395"/>
      <c r="V467" s="395"/>
    </row>
    <row r="468" spans="2:22" s="383" customFormat="1">
      <c r="S468" s="395"/>
      <c r="T468" s="395"/>
      <c r="U468" s="395"/>
      <c r="V468" s="395"/>
    </row>
    <row r="469" spans="2:22" s="383" customFormat="1">
      <c r="S469" s="395"/>
      <c r="T469" s="395"/>
      <c r="U469" s="395"/>
      <c r="V469" s="395"/>
    </row>
    <row r="470" spans="2:22" s="383" customFormat="1">
      <c r="B470" s="393"/>
      <c r="P470" s="394"/>
      <c r="S470" s="395"/>
      <c r="T470" s="395"/>
      <c r="U470" s="395"/>
      <c r="V470" s="395"/>
    </row>
    <row r="471" spans="2:22" s="383" customFormat="1">
      <c r="S471" s="395"/>
      <c r="T471" s="395"/>
      <c r="U471" s="395"/>
      <c r="V471" s="395"/>
    </row>
    <row r="472" spans="2:22" s="383" customFormat="1">
      <c r="S472" s="395"/>
      <c r="T472" s="395"/>
      <c r="U472" s="395"/>
      <c r="V472" s="395"/>
    </row>
    <row r="473" spans="2:22" s="383" customFormat="1">
      <c r="B473" s="393"/>
      <c r="P473" s="394"/>
      <c r="S473" s="395"/>
      <c r="T473" s="395"/>
      <c r="U473" s="395"/>
      <c r="V473" s="395"/>
    </row>
    <row r="474" spans="2:22" s="383" customFormat="1">
      <c r="S474" s="395"/>
      <c r="T474" s="395"/>
      <c r="U474" s="395"/>
      <c r="V474" s="395"/>
    </row>
    <row r="475" spans="2:22" s="383" customFormat="1">
      <c r="S475" s="395"/>
      <c r="T475" s="395"/>
      <c r="U475" s="395"/>
      <c r="V475" s="395"/>
    </row>
    <row r="476" spans="2:22" s="383" customFormat="1">
      <c r="B476" s="393"/>
      <c r="P476" s="394"/>
      <c r="S476" s="395"/>
      <c r="T476" s="395"/>
      <c r="U476" s="395"/>
      <c r="V476" s="395"/>
    </row>
    <row r="477" spans="2:22" s="383" customFormat="1">
      <c r="S477" s="395"/>
      <c r="T477" s="395"/>
      <c r="U477" s="395"/>
      <c r="V477" s="395"/>
    </row>
    <row r="478" spans="2:22" s="383" customFormat="1">
      <c r="S478" s="395"/>
      <c r="T478" s="395"/>
      <c r="U478" s="395"/>
      <c r="V478" s="395"/>
    </row>
    <row r="479" spans="2:22" s="383" customFormat="1">
      <c r="B479" s="393"/>
      <c r="P479" s="394"/>
      <c r="S479" s="395"/>
      <c r="T479" s="395"/>
      <c r="U479" s="395"/>
      <c r="V479" s="395"/>
    </row>
    <row r="480" spans="2:22" s="383" customFormat="1">
      <c r="S480" s="395"/>
      <c r="T480" s="395"/>
      <c r="U480" s="395"/>
      <c r="V480" s="395"/>
    </row>
    <row r="481" spans="2:22" s="383" customFormat="1">
      <c r="S481" s="395"/>
      <c r="T481" s="395"/>
      <c r="U481" s="395"/>
      <c r="V481" s="395"/>
    </row>
    <row r="482" spans="2:22" s="383" customFormat="1">
      <c r="B482" s="393"/>
      <c r="P482" s="394"/>
      <c r="S482" s="395"/>
      <c r="T482" s="395"/>
      <c r="U482" s="395"/>
      <c r="V482" s="395"/>
    </row>
    <row r="483" spans="2:22" s="383" customFormat="1">
      <c r="S483" s="395"/>
      <c r="T483" s="395"/>
      <c r="U483" s="395"/>
      <c r="V483" s="395"/>
    </row>
    <row r="484" spans="2:22" s="383" customFormat="1">
      <c r="S484" s="395"/>
      <c r="T484" s="395"/>
      <c r="U484" s="395"/>
      <c r="V484" s="395"/>
    </row>
    <row r="485" spans="2:22" s="383" customFormat="1">
      <c r="B485" s="393"/>
      <c r="P485" s="394"/>
      <c r="S485" s="395"/>
      <c r="T485" s="395"/>
      <c r="U485" s="395"/>
      <c r="V485" s="395"/>
    </row>
    <row r="486" spans="2:22" s="383" customFormat="1">
      <c r="S486" s="395"/>
      <c r="T486" s="395"/>
      <c r="U486" s="395"/>
      <c r="V486" s="395"/>
    </row>
    <row r="487" spans="2:22" s="383" customFormat="1">
      <c r="S487" s="395"/>
      <c r="T487" s="395"/>
      <c r="U487" s="395"/>
      <c r="V487" s="395"/>
    </row>
    <row r="488" spans="2:22" s="383" customFormat="1">
      <c r="B488" s="393"/>
      <c r="P488" s="394"/>
      <c r="S488" s="395"/>
      <c r="T488" s="395"/>
      <c r="U488" s="395"/>
      <c r="V488" s="395"/>
    </row>
    <row r="489" spans="2:22" s="383" customFormat="1">
      <c r="S489" s="395"/>
      <c r="T489" s="395"/>
      <c r="U489" s="395"/>
      <c r="V489" s="395"/>
    </row>
    <row r="490" spans="2:22" s="383" customFormat="1">
      <c r="S490" s="395"/>
      <c r="T490" s="395"/>
      <c r="U490" s="395"/>
      <c r="V490" s="395"/>
    </row>
    <row r="491" spans="2:22" s="383" customFormat="1">
      <c r="B491" s="393"/>
      <c r="P491" s="394"/>
      <c r="S491" s="395"/>
      <c r="T491" s="395"/>
      <c r="U491" s="395"/>
      <c r="V491" s="395"/>
    </row>
    <row r="492" spans="2:22" s="383" customFormat="1">
      <c r="S492" s="395"/>
      <c r="T492" s="395"/>
      <c r="U492" s="395"/>
      <c r="V492" s="395"/>
    </row>
    <row r="493" spans="2:22" s="383" customFormat="1">
      <c r="S493" s="395"/>
      <c r="T493" s="395"/>
      <c r="U493" s="395"/>
      <c r="V493" s="395"/>
    </row>
    <row r="494" spans="2:22" s="383" customFormat="1">
      <c r="B494" s="393"/>
      <c r="P494" s="394"/>
      <c r="S494" s="395"/>
      <c r="T494" s="395"/>
      <c r="U494" s="395"/>
      <c r="V494" s="395"/>
    </row>
    <row r="495" spans="2:22" s="383" customFormat="1">
      <c r="S495" s="395"/>
      <c r="T495" s="395"/>
      <c r="U495" s="395"/>
      <c r="V495" s="395"/>
    </row>
    <row r="496" spans="2:22" s="383" customFormat="1">
      <c r="S496" s="395"/>
      <c r="T496" s="395"/>
      <c r="U496" s="395"/>
      <c r="V496" s="395"/>
    </row>
    <row r="497" spans="2:22" s="383" customFormat="1">
      <c r="B497" s="393"/>
      <c r="P497" s="394"/>
      <c r="S497" s="395"/>
      <c r="T497" s="395"/>
      <c r="U497" s="395"/>
      <c r="V497" s="395"/>
    </row>
    <row r="498" spans="2:22" s="383" customFormat="1">
      <c r="S498" s="395"/>
      <c r="T498" s="395"/>
      <c r="U498" s="395"/>
      <c r="V498" s="395"/>
    </row>
    <row r="499" spans="2:22" s="383" customFormat="1">
      <c r="S499" s="395"/>
      <c r="T499" s="395"/>
      <c r="U499" s="395"/>
      <c r="V499" s="395"/>
    </row>
    <row r="500" spans="2:22" s="383" customFormat="1">
      <c r="B500" s="393"/>
      <c r="P500" s="394"/>
      <c r="S500" s="395"/>
      <c r="T500" s="395"/>
      <c r="U500" s="395"/>
      <c r="V500" s="395"/>
    </row>
    <row r="501" spans="2:22" s="383" customFormat="1">
      <c r="S501" s="395"/>
      <c r="T501" s="395"/>
      <c r="U501" s="395"/>
      <c r="V501" s="395"/>
    </row>
    <row r="502" spans="2:22" s="383" customFormat="1">
      <c r="S502" s="395"/>
      <c r="T502" s="395"/>
      <c r="U502" s="395"/>
      <c r="V502" s="395"/>
    </row>
    <row r="503" spans="2:22" s="383" customFormat="1">
      <c r="B503" s="393"/>
      <c r="P503" s="394"/>
      <c r="S503" s="395"/>
      <c r="T503" s="395"/>
      <c r="U503" s="395"/>
      <c r="V503" s="395"/>
    </row>
    <row r="504" spans="2:22" s="383" customFormat="1">
      <c r="S504" s="395"/>
      <c r="T504" s="395"/>
      <c r="U504" s="395"/>
      <c r="V504" s="395"/>
    </row>
    <row r="505" spans="2:22" s="383" customFormat="1">
      <c r="S505" s="395"/>
      <c r="T505" s="395"/>
      <c r="U505" s="395"/>
      <c r="V505" s="395"/>
    </row>
    <row r="506" spans="2:22" s="383" customFormat="1">
      <c r="B506" s="393"/>
      <c r="P506" s="394"/>
      <c r="S506" s="395"/>
      <c r="T506" s="395"/>
      <c r="U506" s="395"/>
      <c r="V506" s="395"/>
    </row>
    <row r="507" spans="2:22" s="383" customFormat="1">
      <c r="S507" s="395"/>
      <c r="T507" s="395"/>
      <c r="U507" s="395"/>
      <c r="V507" s="395"/>
    </row>
    <row r="508" spans="2:22" s="383" customFormat="1">
      <c r="S508" s="395"/>
      <c r="T508" s="395"/>
      <c r="U508" s="395"/>
      <c r="V508" s="395"/>
    </row>
    <row r="509" spans="2:22" s="383" customFormat="1">
      <c r="B509" s="393"/>
      <c r="P509" s="394"/>
      <c r="S509" s="395"/>
      <c r="T509" s="395"/>
      <c r="U509" s="395"/>
      <c r="V509" s="395"/>
    </row>
    <row r="510" spans="2:22" s="383" customFormat="1">
      <c r="S510" s="395"/>
      <c r="T510" s="395"/>
      <c r="U510" s="395"/>
      <c r="V510" s="395"/>
    </row>
    <row r="511" spans="2:22" s="383" customFormat="1">
      <c r="S511" s="395"/>
      <c r="T511" s="395"/>
      <c r="U511" s="395"/>
      <c r="V511" s="395"/>
    </row>
    <row r="512" spans="2:22" s="383" customFormat="1">
      <c r="B512" s="393"/>
      <c r="P512" s="394"/>
      <c r="S512" s="395"/>
      <c r="T512" s="395"/>
      <c r="U512" s="395"/>
      <c r="V512" s="395"/>
    </row>
    <row r="513" spans="2:22" s="383" customFormat="1">
      <c r="S513" s="395"/>
      <c r="T513" s="395"/>
      <c r="U513" s="395"/>
      <c r="V513" s="395"/>
    </row>
    <row r="514" spans="2:22" s="383" customFormat="1">
      <c r="S514" s="395"/>
      <c r="T514" s="395"/>
      <c r="U514" s="395"/>
      <c r="V514" s="395"/>
    </row>
    <row r="515" spans="2:22" s="383" customFormat="1">
      <c r="B515" s="393"/>
      <c r="P515" s="394"/>
      <c r="S515" s="395"/>
      <c r="T515" s="395"/>
      <c r="U515" s="395"/>
      <c r="V515" s="395"/>
    </row>
    <row r="516" spans="2:22" s="383" customFormat="1">
      <c r="S516" s="395"/>
      <c r="T516" s="395"/>
      <c r="U516" s="395"/>
      <c r="V516" s="395"/>
    </row>
    <row r="517" spans="2:22" s="383" customFormat="1">
      <c r="S517" s="395"/>
      <c r="T517" s="395"/>
      <c r="U517" s="395"/>
      <c r="V517" s="395"/>
    </row>
    <row r="518" spans="2:22" s="383" customFormat="1">
      <c r="B518" s="393"/>
      <c r="P518" s="394"/>
      <c r="S518" s="395"/>
      <c r="T518" s="395"/>
      <c r="U518" s="395"/>
      <c r="V518" s="395"/>
    </row>
    <row r="519" spans="2:22" s="383" customFormat="1">
      <c r="S519" s="395"/>
      <c r="T519" s="395"/>
      <c r="U519" s="395"/>
      <c r="V519" s="395"/>
    </row>
    <row r="520" spans="2:22" s="383" customFormat="1">
      <c r="S520" s="395"/>
      <c r="T520" s="395"/>
      <c r="U520" s="395"/>
      <c r="V520" s="395"/>
    </row>
    <row r="521" spans="2:22" s="383" customFormat="1">
      <c r="B521" s="393"/>
      <c r="P521" s="394"/>
      <c r="S521" s="395"/>
      <c r="T521" s="395"/>
      <c r="U521" s="395"/>
      <c r="V521" s="395"/>
    </row>
    <row r="522" spans="2:22" s="383" customFormat="1">
      <c r="S522" s="395"/>
      <c r="T522" s="395"/>
      <c r="U522" s="395"/>
      <c r="V522" s="395"/>
    </row>
    <row r="523" spans="2:22" s="383" customFormat="1">
      <c r="S523" s="395"/>
      <c r="T523" s="395"/>
      <c r="U523" s="395"/>
      <c r="V523" s="395"/>
    </row>
    <row r="524" spans="2:22" s="383" customFormat="1">
      <c r="B524" s="393"/>
      <c r="P524" s="394"/>
      <c r="S524" s="395"/>
      <c r="T524" s="395"/>
      <c r="U524" s="395"/>
      <c r="V524" s="395"/>
    </row>
    <row r="525" spans="2:22" s="383" customFormat="1">
      <c r="S525" s="395"/>
      <c r="T525" s="395"/>
      <c r="U525" s="395"/>
      <c r="V525" s="395"/>
    </row>
    <row r="526" spans="2:22" s="383" customFormat="1">
      <c r="S526" s="395"/>
      <c r="T526" s="395"/>
      <c r="U526" s="395"/>
      <c r="V526" s="395"/>
    </row>
    <row r="527" spans="2:22" s="383" customFormat="1">
      <c r="B527" s="393"/>
      <c r="P527" s="394"/>
      <c r="S527" s="395"/>
      <c r="T527" s="395"/>
      <c r="U527" s="395"/>
      <c r="V527" s="395"/>
    </row>
    <row r="528" spans="2:22" s="383" customFormat="1">
      <c r="S528" s="395"/>
      <c r="T528" s="395"/>
      <c r="U528" s="395"/>
      <c r="V528" s="395"/>
    </row>
    <row r="529" spans="2:22" s="383" customFormat="1">
      <c r="S529" s="395"/>
      <c r="T529" s="395"/>
      <c r="U529" s="395"/>
      <c r="V529" s="395"/>
    </row>
    <row r="530" spans="2:22" s="383" customFormat="1">
      <c r="B530" s="393"/>
      <c r="P530" s="394"/>
      <c r="S530" s="395"/>
      <c r="T530" s="395"/>
      <c r="U530" s="395"/>
      <c r="V530" s="395"/>
    </row>
    <row r="531" spans="2:22" s="383" customFormat="1">
      <c r="S531" s="395"/>
      <c r="T531" s="395"/>
      <c r="U531" s="395"/>
      <c r="V531" s="395"/>
    </row>
    <row r="532" spans="2:22" s="383" customFormat="1">
      <c r="S532" s="395"/>
      <c r="T532" s="395"/>
      <c r="U532" s="395"/>
      <c r="V532" s="395"/>
    </row>
    <row r="533" spans="2:22" s="383" customFormat="1">
      <c r="B533" s="393"/>
      <c r="P533" s="394"/>
      <c r="S533" s="395"/>
      <c r="T533" s="395"/>
      <c r="U533" s="395"/>
      <c r="V533" s="395"/>
    </row>
    <row r="534" spans="2:22" s="383" customFormat="1">
      <c r="S534" s="395"/>
      <c r="T534" s="395"/>
      <c r="U534" s="395"/>
      <c r="V534" s="395"/>
    </row>
    <row r="535" spans="2:22" s="383" customFormat="1">
      <c r="S535" s="395"/>
      <c r="T535" s="395"/>
      <c r="U535" s="395"/>
      <c r="V535" s="395"/>
    </row>
    <row r="536" spans="2:22" s="383" customFormat="1">
      <c r="B536" s="393"/>
      <c r="P536" s="394"/>
      <c r="S536" s="395"/>
      <c r="T536" s="395"/>
      <c r="U536" s="395"/>
      <c r="V536" s="395"/>
    </row>
    <row r="537" spans="2:22" s="383" customFormat="1">
      <c r="S537" s="395"/>
      <c r="T537" s="395"/>
      <c r="U537" s="395"/>
      <c r="V537" s="395"/>
    </row>
    <row r="538" spans="2:22" s="383" customFormat="1">
      <c r="S538" s="395"/>
      <c r="T538" s="395"/>
      <c r="U538" s="395"/>
      <c r="V538" s="395"/>
    </row>
    <row r="539" spans="2:22" s="383" customFormat="1">
      <c r="B539" s="393"/>
      <c r="P539" s="394"/>
      <c r="S539" s="395"/>
      <c r="T539" s="395"/>
      <c r="U539" s="395"/>
      <c r="V539" s="395"/>
    </row>
    <row r="540" spans="2:22" s="383" customFormat="1">
      <c r="S540" s="395"/>
      <c r="T540" s="395"/>
      <c r="U540" s="395"/>
      <c r="V540" s="395"/>
    </row>
    <row r="541" spans="2:22" s="383" customFormat="1">
      <c r="S541" s="395"/>
      <c r="T541" s="395"/>
      <c r="U541" s="395"/>
      <c r="V541" s="395"/>
    </row>
    <row r="542" spans="2:22" s="383" customFormat="1">
      <c r="B542" s="393"/>
      <c r="P542" s="394"/>
      <c r="S542" s="395"/>
      <c r="T542" s="395"/>
      <c r="U542" s="395"/>
      <c r="V542" s="395"/>
    </row>
    <row r="543" spans="2:22" s="383" customFormat="1">
      <c r="S543" s="395"/>
      <c r="T543" s="395"/>
      <c r="U543" s="395"/>
      <c r="V543" s="395"/>
    </row>
    <row r="544" spans="2:22" s="383" customFormat="1">
      <c r="S544" s="395"/>
      <c r="T544" s="395"/>
      <c r="U544" s="395"/>
      <c r="V544" s="395"/>
    </row>
    <row r="545" spans="2:22" s="383" customFormat="1">
      <c r="B545" s="393"/>
      <c r="P545" s="394"/>
      <c r="S545" s="395"/>
      <c r="T545" s="395"/>
      <c r="U545" s="395"/>
      <c r="V545" s="395"/>
    </row>
    <row r="546" spans="2:22" s="383" customFormat="1">
      <c r="S546" s="395"/>
      <c r="T546" s="395"/>
      <c r="U546" s="395"/>
      <c r="V546" s="395"/>
    </row>
    <row r="547" spans="2:22" s="383" customFormat="1">
      <c r="S547" s="395"/>
      <c r="T547" s="395"/>
      <c r="U547" s="395"/>
      <c r="V547" s="395"/>
    </row>
    <row r="548" spans="2:22" s="383" customFormat="1">
      <c r="B548" s="393"/>
      <c r="P548" s="394"/>
      <c r="S548" s="395"/>
      <c r="T548" s="395"/>
      <c r="U548" s="395"/>
      <c r="V548" s="395"/>
    </row>
    <row r="549" spans="2:22" s="383" customFormat="1">
      <c r="S549" s="395"/>
      <c r="T549" s="395"/>
      <c r="U549" s="395"/>
      <c r="V549" s="395"/>
    </row>
    <row r="550" spans="2:22" s="383" customFormat="1">
      <c r="S550" s="395"/>
      <c r="T550" s="395"/>
      <c r="U550" s="395"/>
      <c r="V550" s="395"/>
    </row>
    <row r="551" spans="2:22" s="383" customFormat="1">
      <c r="B551" s="393"/>
      <c r="P551" s="394"/>
      <c r="S551" s="395"/>
      <c r="T551" s="395"/>
      <c r="U551" s="395"/>
      <c r="V551" s="395"/>
    </row>
    <row r="552" spans="2:22" s="383" customFormat="1">
      <c r="S552" s="395"/>
      <c r="T552" s="395"/>
      <c r="U552" s="395"/>
      <c r="V552" s="395"/>
    </row>
    <row r="553" spans="2:22" s="383" customFormat="1">
      <c r="S553" s="395"/>
      <c r="T553" s="395"/>
      <c r="U553" s="395"/>
      <c r="V553" s="395"/>
    </row>
    <row r="554" spans="2:22" s="383" customFormat="1">
      <c r="B554" s="393"/>
      <c r="P554" s="394"/>
      <c r="S554" s="395"/>
      <c r="T554" s="395"/>
      <c r="U554" s="395"/>
      <c r="V554" s="395"/>
    </row>
    <row r="555" spans="2:22" s="383" customFormat="1">
      <c r="S555" s="395"/>
      <c r="T555" s="395"/>
      <c r="U555" s="395"/>
      <c r="V555" s="395"/>
    </row>
    <row r="556" spans="2:22" s="383" customFormat="1">
      <c r="S556" s="395"/>
      <c r="T556" s="395"/>
      <c r="U556" s="395"/>
      <c r="V556" s="395"/>
    </row>
    <row r="557" spans="2:22" s="383" customFormat="1">
      <c r="B557" s="393"/>
      <c r="P557" s="394"/>
      <c r="S557" s="395"/>
      <c r="T557" s="395"/>
      <c r="U557" s="395"/>
      <c r="V557" s="395"/>
    </row>
    <row r="558" spans="2:22" s="383" customFormat="1">
      <c r="S558" s="395"/>
      <c r="T558" s="395"/>
      <c r="U558" s="395"/>
      <c r="V558" s="395"/>
    </row>
    <row r="559" spans="2:22" s="383" customFormat="1">
      <c r="S559" s="395"/>
      <c r="T559" s="395"/>
      <c r="U559" s="395"/>
      <c r="V559" s="395"/>
    </row>
    <row r="560" spans="2:22" s="383" customFormat="1">
      <c r="B560" s="393"/>
      <c r="P560" s="394"/>
      <c r="S560" s="395"/>
      <c r="T560" s="395"/>
      <c r="U560" s="395"/>
      <c r="V560" s="395"/>
    </row>
    <row r="561" spans="2:22" s="383" customFormat="1">
      <c r="S561" s="395"/>
      <c r="T561" s="395"/>
      <c r="U561" s="395"/>
      <c r="V561" s="395"/>
    </row>
    <row r="562" spans="2:22" s="383" customFormat="1">
      <c r="S562" s="395"/>
      <c r="T562" s="395"/>
      <c r="U562" s="395"/>
      <c r="V562" s="395"/>
    </row>
    <row r="563" spans="2:22" s="383" customFormat="1">
      <c r="B563" s="393"/>
      <c r="P563" s="394"/>
      <c r="S563" s="395"/>
      <c r="T563" s="395"/>
      <c r="U563" s="395"/>
      <c r="V563" s="395"/>
    </row>
    <row r="564" spans="2:22" s="383" customFormat="1">
      <c r="S564" s="395"/>
      <c r="T564" s="395"/>
      <c r="U564" s="395"/>
      <c r="V564" s="395"/>
    </row>
    <row r="565" spans="2:22" s="383" customFormat="1">
      <c r="S565" s="395"/>
      <c r="T565" s="395"/>
      <c r="U565" s="395"/>
      <c r="V565" s="395"/>
    </row>
    <row r="566" spans="2:22" s="383" customFormat="1">
      <c r="B566" s="393"/>
      <c r="P566" s="394"/>
      <c r="S566" s="395"/>
      <c r="T566" s="395"/>
      <c r="U566" s="395"/>
      <c r="V566" s="395"/>
    </row>
    <row r="567" spans="2:22" s="383" customFormat="1">
      <c r="S567" s="395"/>
      <c r="T567" s="395"/>
      <c r="U567" s="395"/>
      <c r="V567" s="395"/>
    </row>
    <row r="568" spans="2:22" s="383" customFormat="1">
      <c r="S568" s="395"/>
      <c r="T568" s="395"/>
      <c r="U568" s="395"/>
      <c r="V568" s="395"/>
    </row>
    <row r="569" spans="2:22" s="383" customFormat="1">
      <c r="B569" s="393"/>
      <c r="P569" s="394"/>
      <c r="S569" s="395"/>
      <c r="T569" s="395"/>
      <c r="U569" s="395"/>
      <c r="V569" s="395"/>
    </row>
    <row r="570" spans="2:22" s="383" customFormat="1">
      <c r="S570" s="395"/>
      <c r="T570" s="395"/>
      <c r="U570" s="395"/>
      <c r="V570" s="395"/>
    </row>
    <row r="571" spans="2:22" s="383" customFormat="1">
      <c r="S571" s="395"/>
      <c r="T571" s="395"/>
      <c r="U571" s="395"/>
      <c r="V571" s="395"/>
    </row>
    <row r="572" spans="2:22" s="383" customFormat="1">
      <c r="B572" s="393"/>
      <c r="P572" s="394"/>
      <c r="S572" s="395"/>
      <c r="T572" s="395"/>
      <c r="U572" s="395"/>
      <c r="V572" s="395"/>
    </row>
    <row r="573" spans="2:22" s="383" customFormat="1">
      <c r="S573" s="395"/>
      <c r="T573" s="395"/>
      <c r="U573" s="395"/>
      <c r="V573" s="395"/>
    </row>
    <row r="574" spans="2:22" s="383" customFormat="1">
      <c r="S574" s="395"/>
      <c r="T574" s="395"/>
      <c r="U574" s="395"/>
      <c r="V574" s="395"/>
    </row>
    <row r="575" spans="2:22" s="383" customFormat="1">
      <c r="B575" s="393"/>
      <c r="P575" s="394"/>
      <c r="S575" s="395"/>
      <c r="T575" s="395"/>
      <c r="U575" s="395"/>
      <c r="V575" s="395"/>
    </row>
    <row r="576" spans="2:22" s="383" customFormat="1">
      <c r="S576" s="395"/>
      <c r="T576" s="395"/>
      <c r="U576" s="395"/>
      <c r="V576" s="395"/>
    </row>
    <row r="577" spans="2:22" s="383" customFormat="1">
      <c r="S577" s="395"/>
      <c r="T577" s="395"/>
      <c r="U577" s="395"/>
      <c r="V577" s="395"/>
    </row>
    <row r="578" spans="2:22" s="383" customFormat="1">
      <c r="B578" s="393"/>
      <c r="P578" s="394"/>
      <c r="S578" s="395"/>
      <c r="T578" s="395"/>
      <c r="U578" s="395"/>
      <c r="V578" s="395"/>
    </row>
    <row r="579" spans="2:22" s="383" customFormat="1">
      <c r="S579" s="395"/>
      <c r="T579" s="395"/>
      <c r="U579" s="395"/>
      <c r="V579" s="395"/>
    </row>
    <row r="580" spans="2:22" s="383" customFormat="1">
      <c r="S580" s="395"/>
      <c r="T580" s="395"/>
      <c r="U580" s="395"/>
      <c r="V580" s="395"/>
    </row>
    <row r="581" spans="2:22" s="383" customFormat="1">
      <c r="B581" s="393"/>
      <c r="P581" s="394"/>
      <c r="S581" s="395"/>
      <c r="T581" s="395"/>
      <c r="U581" s="395"/>
      <c r="V581" s="395"/>
    </row>
    <row r="582" spans="2:22" s="383" customFormat="1">
      <c r="S582" s="395"/>
      <c r="T582" s="395"/>
      <c r="U582" s="395"/>
      <c r="V582" s="395"/>
    </row>
    <row r="583" spans="2:22" s="383" customFormat="1">
      <c r="S583" s="395"/>
      <c r="T583" s="395"/>
      <c r="U583" s="395"/>
      <c r="V583" s="395"/>
    </row>
    <row r="584" spans="2:22" s="383" customFormat="1">
      <c r="B584" s="393"/>
      <c r="P584" s="394"/>
      <c r="S584" s="395"/>
      <c r="T584" s="395"/>
      <c r="U584" s="395"/>
      <c r="V584" s="395"/>
    </row>
    <row r="585" spans="2:22" s="383" customFormat="1">
      <c r="S585" s="395"/>
      <c r="T585" s="395"/>
      <c r="U585" s="395"/>
      <c r="V585" s="395"/>
    </row>
    <row r="586" spans="2:22" s="383" customFormat="1">
      <c r="S586" s="395"/>
      <c r="T586" s="395"/>
      <c r="U586" s="395"/>
      <c r="V586" s="395"/>
    </row>
    <row r="587" spans="2:22" s="383" customFormat="1">
      <c r="B587" s="393"/>
      <c r="P587" s="394"/>
      <c r="S587" s="395"/>
      <c r="T587" s="395"/>
      <c r="U587" s="395"/>
      <c r="V587" s="395"/>
    </row>
    <row r="588" spans="2:22" s="383" customFormat="1">
      <c r="S588" s="395"/>
      <c r="T588" s="395"/>
      <c r="U588" s="395"/>
      <c r="V588" s="395"/>
    </row>
    <row r="589" spans="2:22" s="383" customFormat="1">
      <c r="S589" s="395"/>
      <c r="T589" s="395"/>
      <c r="U589" s="395"/>
      <c r="V589" s="395"/>
    </row>
    <row r="590" spans="2:22" s="383" customFormat="1">
      <c r="B590" s="393"/>
      <c r="P590" s="394"/>
      <c r="S590" s="395"/>
      <c r="T590" s="395"/>
      <c r="U590" s="395"/>
      <c r="V590" s="395"/>
    </row>
    <row r="591" spans="2:22" s="383" customFormat="1">
      <c r="S591" s="395"/>
      <c r="T591" s="395"/>
      <c r="U591" s="395"/>
      <c r="V591" s="395"/>
    </row>
    <row r="592" spans="2:22" s="383" customFormat="1">
      <c r="S592" s="395"/>
      <c r="T592" s="395"/>
      <c r="U592" s="395"/>
      <c r="V592" s="395"/>
    </row>
    <row r="593" spans="2:22" s="383" customFormat="1">
      <c r="B593" s="393"/>
      <c r="P593" s="394"/>
      <c r="S593" s="395"/>
      <c r="T593" s="395"/>
      <c r="U593" s="395"/>
      <c r="V593" s="395"/>
    </row>
    <row r="594" spans="2:22" s="383" customFormat="1">
      <c r="S594" s="395"/>
      <c r="T594" s="395"/>
      <c r="U594" s="395"/>
      <c r="V594" s="395"/>
    </row>
    <row r="595" spans="2:22" s="383" customFormat="1">
      <c r="S595" s="395"/>
      <c r="T595" s="395"/>
      <c r="U595" s="395"/>
      <c r="V595" s="395"/>
    </row>
    <row r="596" spans="2:22" s="383" customFormat="1">
      <c r="B596" s="393"/>
      <c r="P596" s="394"/>
      <c r="S596" s="395"/>
      <c r="T596" s="395"/>
      <c r="U596" s="395"/>
      <c r="V596" s="395"/>
    </row>
    <row r="597" spans="2:22" s="383" customFormat="1">
      <c r="S597" s="395"/>
      <c r="T597" s="395"/>
      <c r="U597" s="395"/>
      <c r="V597" s="395"/>
    </row>
    <row r="598" spans="2:22" s="383" customFormat="1">
      <c r="S598" s="395"/>
      <c r="T598" s="395"/>
      <c r="U598" s="395"/>
      <c r="V598" s="395"/>
    </row>
    <row r="599" spans="2:22" s="383" customFormat="1">
      <c r="B599" s="393"/>
      <c r="P599" s="394"/>
      <c r="S599" s="395"/>
      <c r="T599" s="395"/>
      <c r="U599" s="395"/>
      <c r="V599" s="395"/>
    </row>
    <row r="600" spans="2:22" s="383" customFormat="1">
      <c r="S600" s="395"/>
      <c r="T600" s="395"/>
      <c r="U600" s="395"/>
      <c r="V600" s="395"/>
    </row>
    <row r="601" spans="2:22" s="383" customFormat="1">
      <c r="S601" s="395"/>
      <c r="T601" s="395"/>
      <c r="U601" s="395"/>
      <c r="V601" s="395"/>
    </row>
    <row r="602" spans="2:22" s="383" customFormat="1">
      <c r="B602" s="393"/>
      <c r="P602" s="394"/>
      <c r="S602" s="395"/>
      <c r="T602" s="395"/>
      <c r="U602" s="395"/>
      <c r="V602" s="395"/>
    </row>
    <row r="603" spans="2:22" s="383" customFormat="1">
      <c r="S603" s="395"/>
      <c r="T603" s="395"/>
      <c r="U603" s="395"/>
      <c r="V603" s="395"/>
    </row>
    <row r="604" spans="2:22" s="383" customFormat="1">
      <c r="S604" s="395"/>
      <c r="T604" s="395"/>
      <c r="U604" s="395"/>
      <c r="V604" s="395"/>
    </row>
    <row r="605" spans="2:22" s="383" customFormat="1">
      <c r="B605" s="393"/>
      <c r="P605" s="394"/>
      <c r="S605" s="395"/>
      <c r="T605" s="395"/>
      <c r="U605" s="395"/>
      <c r="V605" s="395"/>
    </row>
    <row r="606" spans="2:22" s="383" customFormat="1">
      <c r="S606" s="395"/>
      <c r="T606" s="395"/>
      <c r="U606" s="395"/>
      <c r="V606" s="395"/>
    </row>
    <row r="607" spans="2:22" s="383" customFormat="1">
      <c r="S607" s="395"/>
      <c r="T607" s="395"/>
      <c r="U607" s="395"/>
      <c r="V607" s="395"/>
    </row>
    <row r="608" spans="2:22" s="383" customFormat="1">
      <c r="B608" s="393"/>
      <c r="P608" s="394"/>
      <c r="S608" s="395"/>
      <c r="T608" s="395"/>
      <c r="U608" s="395"/>
      <c r="V608" s="395"/>
    </row>
    <row r="609" spans="2:22" s="383" customFormat="1">
      <c r="S609" s="395"/>
      <c r="T609" s="395"/>
      <c r="U609" s="395"/>
      <c r="V609" s="395"/>
    </row>
    <row r="610" spans="2:22" s="383" customFormat="1">
      <c r="S610" s="395"/>
      <c r="T610" s="395"/>
      <c r="U610" s="395"/>
      <c r="V610" s="395"/>
    </row>
    <row r="611" spans="2:22" s="383" customFormat="1">
      <c r="B611" s="393"/>
      <c r="P611" s="394"/>
      <c r="S611" s="395"/>
      <c r="T611" s="395"/>
      <c r="U611" s="395"/>
      <c r="V611" s="395"/>
    </row>
    <row r="612" spans="2:22" s="383" customFormat="1">
      <c r="S612" s="395"/>
      <c r="T612" s="395"/>
      <c r="U612" s="395"/>
      <c r="V612" s="395"/>
    </row>
    <row r="613" spans="2:22" s="383" customFormat="1">
      <c r="S613" s="395"/>
      <c r="T613" s="395"/>
      <c r="U613" s="395"/>
      <c r="V613" s="395"/>
    </row>
    <row r="614" spans="2:22" s="383" customFormat="1">
      <c r="B614" s="393"/>
      <c r="P614" s="394"/>
      <c r="S614" s="395"/>
      <c r="T614" s="395"/>
      <c r="U614" s="395"/>
      <c r="V614" s="395"/>
    </row>
    <row r="615" spans="2:22" s="383" customFormat="1">
      <c r="S615" s="395"/>
      <c r="T615" s="395"/>
      <c r="U615" s="395"/>
      <c r="V615" s="395"/>
    </row>
    <row r="616" spans="2:22" s="383" customFormat="1">
      <c r="S616" s="395"/>
      <c r="T616" s="395"/>
      <c r="U616" s="395"/>
      <c r="V616" s="395"/>
    </row>
    <row r="617" spans="2:22" s="383" customFormat="1">
      <c r="B617" s="393"/>
      <c r="P617" s="394"/>
      <c r="S617" s="395"/>
      <c r="T617" s="395"/>
      <c r="U617" s="395"/>
      <c r="V617" s="395"/>
    </row>
    <row r="618" spans="2:22" s="383" customFormat="1"/>
    <row r="619" spans="2:22" s="383" customFormat="1"/>
    <row r="620" spans="2:22" s="383" customFormat="1"/>
    <row r="621" spans="2:22" s="383" customFormat="1"/>
    <row r="622" spans="2:22" s="383" customFormat="1"/>
    <row r="623" spans="2:22" s="383" customFormat="1"/>
    <row r="624" spans="2:22" s="383" customFormat="1"/>
    <row r="625" s="383" customFormat="1"/>
    <row r="626" s="383" customFormat="1"/>
    <row r="627" s="383" customFormat="1"/>
    <row r="628" s="383" customFormat="1"/>
    <row r="629" s="383" customFormat="1"/>
    <row r="630" s="383" customFormat="1"/>
    <row r="631" s="383" customFormat="1"/>
    <row r="632" s="383" customFormat="1"/>
    <row r="633" s="383" customFormat="1"/>
    <row r="634" s="383" customFormat="1"/>
    <row r="635" s="383" customFormat="1"/>
    <row r="636" s="383" customFormat="1"/>
    <row r="637" s="383" customFormat="1"/>
    <row r="638" s="383" customFormat="1"/>
    <row r="639" s="383" customFormat="1"/>
    <row r="640" s="383" customFormat="1"/>
    <row r="641" s="383" customFormat="1"/>
    <row r="642" s="383" customFormat="1"/>
    <row r="643" s="383" customFormat="1"/>
    <row r="644" s="383" customFormat="1"/>
    <row r="645" s="383" customFormat="1"/>
    <row r="646" s="383" customFormat="1"/>
    <row r="647" s="383" customFormat="1"/>
    <row r="648" s="383" customFormat="1"/>
    <row r="649" s="383" customFormat="1"/>
    <row r="650" s="383" customFormat="1"/>
    <row r="651" s="383" customFormat="1"/>
    <row r="652" s="383" customFormat="1"/>
    <row r="653" s="383" customFormat="1"/>
    <row r="654" s="383" customFormat="1"/>
    <row r="655" s="383" customFormat="1"/>
    <row r="656" s="383" customFormat="1"/>
    <row r="657" s="383" customFormat="1"/>
    <row r="658" s="383" customFormat="1"/>
    <row r="659" s="383" customFormat="1"/>
    <row r="660" s="383" customFormat="1"/>
    <row r="661" s="383" customFormat="1"/>
    <row r="662" s="383" customFormat="1"/>
    <row r="663" s="383" customFormat="1"/>
    <row r="664" s="383" customFormat="1"/>
    <row r="665" s="383" customFormat="1"/>
    <row r="666" s="383" customFormat="1"/>
    <row r="667" s="383" customFormat="1"/>
    <row r="668" s="383" customFormat="1"/>
    <row r="669" s="383" customFormat="1"/>
    <row r="670" s="383" customFormat="1"/>
    <row r="671" s="383" customFormat="1"/>
    <row r="672" s="383" customFormat="1"/>
    <row r="673" s="383" customFormat="1"/>
    <row r="674" s="383" customFormat="1"/>
    <row r="675" s="383" customFormat="1"/>
    <row r="676" s="383" customFormat="1"/>
    <row r="677" s="383" customFormat="1"/>
    <row r="678" s="383" customFormat="1"/>
    <row r="679" s="383" customFormat="1"/>
    <row r="680" s="383" customFormat="1"/>
    <row r="681" s="383" customFormat="1"/>
    <row r="682" s="383" customFormat="1"/>
    <row r="683" s="383" customFormat="1"/>
    <row r="684" s="383" customFormat="1"/>
    <row r="685" s="383" customFormat="1"/>
    <row r="686" s="383" customFormat="1"/>
    <row r="687" s="383" customFormat="1"/>
    <row r="688" s="383" customFormat="1"/>
    <row r="689" s="383" customFormat="1"/>
    <row r="690" s="383" customFormat="1"/>
    <row r="691" s="383" customFormat="1"/>
    <row r="692" s="383" customFormat="1"/>
    <row r="693" s="383" customFormat="1"/>
    <row r="694" s="383" customFormat="1"/>
    <row r="695" s="383" customFormat="1"/>
    <row r="696" s="383" customFormat="1"/>
    <row r="697" s="383" customFormat="1"/>
    <row r="698" s="383" customFormat="1"/>
    <row r="699" s="383" customFormat="1"/>
    <row r="700" s="383" customFormat="1"/>
    <row r="701" s="383" customFormat="1"/>
    <row r="702" s="383" customFormat="1"/>
    <row r="703" s="383" customFormat="1"/>
    <row r="704" s="383" customFormat="1"/>
    <row r="705" s="383" customFormat="1"/>
    <row r="706" s="383" customFormat="1"/>
    <row r="707" s="383" customFormat="1"/>
    <row r="708" s="383" customFormat="1"/>
    <row r="709" s="383" customFormat="1"/>
    <row r="710" s="383" customFormat="1"/>
    <row r="711" s="383" customFormat="1"/>
    <row r="712" s="383" customFormat="1"/>
    <row r="713" s="383" customFormat="1"/>
    <row r="714" s="383" customFormat="1"/>
    <row r="715" s="383" customFormat="1"/>
    <row r="716" s="383" customFormat="1"/>
    <row r="717" s="383" customFormat="1"/>
    <row r="718" s="383" customFormat="1"/>
    <row r="719" s="383" customFormat="1"/>
    <row r="720" s="383" customFormat="1"/>
    <row r="721" s="383" customFormat="1"/>
    <row r="722" s="383" customFormat="1"/>
    <row r="723" s="383" customFormat="1"/>
    <row r="724" s="383" customFormat="1"/>
    <row r="725" s="383" customFormat="1"/>
    <row r="726" s="383" customFormat="1"/>
    <row r="727" s="383" customFormat="1"/>
    <row r="728" s="383" customFormat="1"/>
    <row r="729" s="383" customFormat="1"/>
    <row r="730" s="383" customFormat="1"/>
    <row r="731" s="383" customFormat="1"/>
    <row r="732" s="383" customFormat="1"/>
    <row r="733" s="383" customFormat="1"/>
    <row r="734" s="383" customFormat="1"/>
    <row r="735" s="383" customFormat="1"/>
    <row r="736" s="383" customFormat="1"/>
    <row r="737" s="383" customFormat="1"/>
    <row r="738" s="383" customFormat="1"/>
    <row r="739" s="383" customFormat="1"/>
    <row r="740" s="383" customFormat="1"/>
    <row r="741" s="383" customFormat="1"/>
    <row r="742" s="383" customFormat="1"/>
    <row r="743" s="383" customFormat="1"/>
    <row r="744" s="383" customFormat="1"/>
    <row r="745" s="383" customFormat="1"/>
    <row r="746" s="383" customFormat="1"/>
    <row r="747" s="383" customFormat="1"/>
    <row r="748" s="383" customFormat="1"/>
    <row r="749" s="383" customFormat="1"/>
    <row r="750" s="383" customFormat="1"/>
    <row r="751" s="383" customFormat="1"/>
    <row r="752" s="383" customFormat="1"/>
    <row r="753" s="383" customFormat="1"/>
    <row r="754" s="383" customFormat="1"/>
    <row r="755" s="383" customFormat="1"/>
    <row r="756" s="383" customFormat="1"/>
    <row r="757" s="383" customFormat="1"/>
    <row r="758" s="383" customFormat="1"/>
    <row r="759" s="383" customFormat="1"/>
    <row r="760" s="383" customFormat="1"/>
    <row r="761" s="383" customFormat="1"/>
    <row r="762" s="383" customFormat="1"/>
    <row r="763" s="383" customFormat="1"/>
    <row r="764" s="383" customFormat="1"/>
    <row r="765" s="383" customFormat="1"/>
    <row r="766" s="383" customFormat="1"/>
    <row r="767" s="383" customFormat="1"/>
    <row r="768" s="383" customFormat="1"/>
    <row r="769" s="383" customFormat="1"/>
    <row r="770" s="383" customFormat="1"/>
    <row r="771" s="383" customFormat="1"/>
    <row r="772" s="383" customFormat="1"/>
    <row r="773" s="383" customFormat="1"/>
    <row r="774" s="383" customFormat="1"/>
    <row r="775" s="383" customFormat="1"/>
    <row r="776" s="383" customFormat="1"/>
    <row r="777" s="383" customFormat="1"/>
    <row r="778" s="383" customFormat="1"/>
    <row r="779" s="383" customFormat="1"/>
    <row r="780" s="383" customFormat="1"/>
    <row r="781" s="383" customFormat="1"/>
    <row r="782" s="383" customFormat="1"/>
    <row r="783" s="383" customFormat="1"/>
    <row r="784" s="383" customFormat="1"/>
    <row r="785" s="383" customFormat="1"/>
    <row r="786" s="383" customFormat="1"/>
    <row r="787" s="383" customFormat="1"/>
    <row r="788" s="383" customFormat="1"/>
    <row r="789" s="383" customFormat="1"/>
    <row r="790" s="383" customFormat="1"/>
    <row r="791" s="383" customFormat="1"/>
    <row r="792" s="383" customFormat="1"/>
    <row r="793" s="383" customFormat="1"/>
    <row r="794" s="383" customFormat="1"/>
    <row r="795" s="383" customFormat="1"/>
    <row r="796" s="383" customFormat="1"/>
    <row r="797" s="383" customFormat="1"/>
    <row r="798" s="383" customFormat="1"/>
    <row r="799" s="383" customFormat="1"/>
    <row r="800" s="383" customFormat="1"/>
    <row r="801" s="383" customFormat="1"/>
    <row r="802" s="383" customFormat="1"/>
    <row r="803" s="383" customFormat="1"/>
    <row r="804" s="383" customFormat="1"/>
    <row r="805" s="383" customFormat="1"/>
    <row r="806" s="383" customFormat="1"/>
    <row r="807" s="383" customFormat="1"/>
    <row r="808" s="383" customFormat="1"/>
    <row r="809" s="383" customFormat="1"/>
    <row r="810" s="383" customFormat="1"/>
    <row r="811" s="383" customFormat="1"/>
    <row r="812" s="383" customFormat="1"/>
    <row r="813" s="383" customFormat="1"/>
    <row r="814" s="383" customFormat="1"/>
    <row r="815" s="383" customFormat="1"/>
    <row r="816" s="383" customFormat="1"/>
    <row r="817" s="383" customFormat="1"/>
    <row r="818" s="383" customFormat="1"/>
    <row r="819" s="383" customFormat="1"/>
    <row r="820" s="383" customFormat="1"/>
    <row r="821" s="383" customFormat="1"/>
    <row r="822" s="383" customFormat="1"/>
    <row r="823" s="383" customFormat="1"/>
    <row r="824" s="383" customFormat="1"/>
    <row r="825" s="383" customFormat="1"/>
    <row r="826" s="383" customFormat="1"/>
    <row r="827" s="383" customFormat="1"/>
    <row r="828" s="383" customFormat="1"/>
    <row r="829" s="383" customFormat="1"/>
    <row r="830" s="383" customFormat="1"/>
    <row r="831" s="383" customFormat="1"/>
    <row r="832" s="383" customFormat="1"/>
    <row r="833" s="383" customFormat="1"/>
    <row r="834" s="383" customFormat="1"/>
    <row r="835" s="383" customFormat="1"/>
    <row r="836" s="383" customFormat="1"/>
    <row r="837" s="383" customFormat="1"/>
    <row r="838" s="383" customFormat="1"/>
    <row r="839" s="383" customFormat="1"/>
    <row r="840" s="383" customFormat="1"/>
    <row r="841" s="383" customFormat="1"/>
    <row r="842" s="383" customFormat="1"/>
    <row r="843" s="383" customFormat="1"/>
    <row r="844" s="383" customFormat="1"/>
    <row r="845" s="383" customFormat="1"/>
    <row r="846" s="383" customFormat="1"/>
    <row r="847" s="383" customFormat="1"/>
    <row r="848" s="383" customFormat="1"/>
    <row r="849" s="383" customFormat="1"/>
    <row r="850" s="383" customFormat="1"/>
    <row r="851" s="383" customFormat="1"/>
    <row r="852" s="383" customFormat="1"/>
    <row r="853" s="383" customFormat="1"/>
    <row r="854" s="383" customFormat="1"/>
    <row r="855" s="383" customFormat="1"/>
    <row r="856" s="383" customFormat="1"/>
    <row r="857" s="383" customFormat="1"/>
    <row r="858" s="383" customFormat="1"/>
    <row r="859" s="383" customFormat="1"/>
    <row r="860" s="383" customFormat="1"/>
    <row r="861" s="383" customFormat="1"/>
    <row r="862" s="383" customFormat="1"/>
    <row r="863" s="383" customFormat="1"/>
    <row r="864" s="383" customFormat="1"/>
    <row r="865" s="383" customFormat="1"/>
    <row r="866" s="383" customFormat="1"/>
    <row r="867" s="383" customFormat="1"/>
    <row r="868" s="383" customFormat="1"/>
    <row r="869" s="383" customFormat="1"/>
    <row r="870" s="383" customFormat="1"/>
    <row r="871" s="383" customFormat="1"/>
    <row r="872" s="383" customFormat="1"/>
    <row r="873" s="383" customFormat="1"/>
    <row r="874" s="383" customFormat="1"/>
    <row r="875" s="383" customFormat="1"/>
    <row r="876" s="383" customFormat="1"/>
    <row r="877" s="383" customFormat="1"/>
    <row r="878" s="383" customFormat="1"/>
    <row r="879" s="383" customFormat="1"/>
    <row r="880" s="383" customFormat="1"/>
    <row r="881" s="383" customFormat="1"/>
    <row r="882" s="383" customForma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B6CE3-955B-4A0C-9001-CCAFD9F03E83}">
  <sheetPr>
    <tabColor theme="5" tint="0.59999389629810485"/>
  </sheetPr>
  <dimension ref="A1:P113"/>
  <sheetViews>
    <sheetView showZeros="0" view="pageBreakPreview" topLeftCell="A49" zoomScaleNormal="100" zoomScaleSheetLayoutView="100" workbookViewId="0">
      <selection activeCell="E66" sqref="E66"/>
    </sheetView>
  </sheetViews>
  <sheetFormatPr defaultRowHeight="15"/>
  <cols>
    <col min="1" max="1" width="12.7109375" style="368" customWidth="1"/>
    <col min="2" max="8" width="7.28515625" style="368" customWidth="1"/>
    <col min="9" max="9" width="7.28515625" style="289" customWidth="1"/>
    <col min="10" max="12" width="7.28515625" style="368" customWidth="1"/>
    <col min="13" max="13" width="7.28515625" style="585" customWidth="1"/>
    <col min="14" max="16" width="7.28515625" style="368" customWidth="1"/>
    <col min="17" max="16384" width="9.140625" style="368"/>
  </cols>
  <sheetData>
    <row r="1" spans="1:16" ht="18">
      <c r="A1" s="577" t="s">
        <v>977</v>
      </c>
      <c r="B1" s="473"/>
      <c r="C1" s="473"/>
      <c r="D1" s="473"/>
      <c r="E1" s="473"/>
      <c r="F1" s="473"/>
      <c r="G1" s="578"/>
      <c r="H1" s="578"/>
      <c r="I1" s="579"/>
      <c r="J1" s="578"/>
      <c r="K1" s="578"/>
      <c r="L1" s="578"/>
      <c r="M1" s="580"/>
      <c r="N1" s="578"/>
      <c r="O1" s="578"/>
      <c r="P1" s="578"/>
    </row>
    <row r="2" spans="1:16" s="478" customFormat="1" ht="12.75">
      <c r="A2" s="479"/>
      <c r="B2" s="475"/>
      <c r="C2" s="475"/>
      <c r="D2" s="475"/>
      <c r="E2" s="475"/>
      <c r="F2" s="475"/>
      <c r="G2" s="475"/>
      <c r="H2" s="475"/>
      <c r="I2" s="475"/>
      <c r="J2" s="475"/>
      <c r="K2" s="475"/>
      <c r="L2" s="475"/>
      <c r="M2" s="480"/>
      <c r="N2" s="475"/>
      <c r="O2" s="475"/>
      <c r="P2" s="475"/>
    </row>
    <row r="3" spans="1:16" ht="15.75">
      <c r="A3" s="581" t="s">
        <v>991</v>
      </c>
      <c r="B3" s="475"/>
      <c r="C3" s="475"/>
      <c r="D3" s="475"/>
      <c r="E3" s="475"/>
      <c r="F3" s="475"/>
      <c r="G3" s="578"/>
      <c r="H3" s="578"/>
      <c r="I3" s="579"/>
      <c r="J3" s="578"/>
      <c r="K3" s="578"/>
      <c r="L3" s="578"/>
      <c r="M3" s="580"/>
      <c r="N3" s="578"/>
      <c r="O3" s="578"/>
      <c r="P3" s="578"/>
    </row>
    <row r="4" spans="1:16">
      <c r="A4" s="582"/>
      <c r="B4" s="583"/>
      <c r="C4" s="583"/>
      <c r="D4" s="583"/>
      <c r="E4" s="583"/>
      <c r="F4" s="583"/>
      <c r="G4" s="583"/>
      <c r="H4" s="583"/>
      <c r="I4" s="584"/>
      <c r="J4" s="583"/>
      <c r="K4" s="583"/>
      <c r="L4" s="583"/>
    </row>
    <row r="5" spans="1:16" s="589" customFormat="1" ht="18" customHeight="1">
      <c r="A5" s="586"/>
      <c r="B5" s="663" t="s">
        <v>877</v>
      </c>
      <c r="C5" s="663"/>
      <c r="D5" s="663"/>
      <c r="E5" s="663"/>
      <c r="F5" s="663"/>
      <c r="G5" s="663"/>
      <c r="H5" s="664"/>
      <c r="I5" s="665" t="s">
        <v>763</v>
      </c>
      <c r="J5" s="663"/>
      <c r="K5" s="663"/>
      <c r="L5" s="663"/>
      <c r="M5" s="663"/>
      <c r="N5" s="587" t="s">
        <v>765</v>
      </c>
      <c r="O5" s="588"/>
      <c r="P5" s="588"/>
    </row>
    <row r="6" spans="1:16" s="595" customFormat="1" ht="25.5">
      <c r="A6" s="590"/>
      <c r="B6" s="591">
        <v>1</v>
      </c>
      <c r="C6" s="591">
        <v>2</v>
      </c>
      <c r="D6" s="591">
        <v>3</v>
      </c>
      <c r="E6" s="591">
        <v>4</v>
      </c>
      <c r="F6" s="591">
        <v>5</v>
      </c>
      <c r="G6" s="591">
        <v>6</v>
      </c>
      <c r="H6" s="592" t="s">
        <v>978</v>
      </c>
      <c r="I6" s="593" t="s">
        <v>979</v>
      </c>
      <c r="J6" s="591">
        <v>1</v>
      </c>
      <c r="K6" s="591">
        <v>2</v>
      </c>
      <c r="L6" s="591">
        <v>3</v>
      </c>
      <c r="M6" s="594" t="s">
        <v>980</v>
      </c>
      <c r="N6" s="594">
        <v>1</v>
      </c>
      <c r="O6" s="591">
        <v>2</v>
      </c>
      <c r="P6" s="594" t="s">
        <v>980</v>
      </c>
    </row>
    <row r="7" spans="1:16" ht="15.75" customHeight="1">
      <c r="A7" s="478" t="s">
        <v>894</v>
      </c>
      <c r="B7" s="596">
        <f>+OLD...Tabs!B41+OLD...Tabs!C41</f>
        <v>92.981702996154283</v>
      </c>
      <c r="C7" s="596">
        <f>+OLD...Tabs!B72+OLD...Tabs!C72</f>
        <v>84.704052869668629</v>
      </c>
      <c r="D7" s="596">
        <f>+OLD...Tabs!B102+OLD...Tabs!C102</f>
        <v>83.477285743946922</v>
      </c>
      <c r="E7" s="596">
        <f>+OLD...Tabs!B133+OLD...Tabs!C133</f>
        <v>86.773930705923178</v>
      </c>
      <c r="F7" s="596">
        <f>+OLD...Tabs!B164+OLD...Tabs!C164</f>
        <v>94.931373260152967</v>
      </c>
      <c r="G7" s="596">
        <f>+OLD...Tabs!B194+OLD...Tabs!C194</f>
        <v>26.891615541922288</v>
      </c>
      <c r="H7" s="597">
        <f>+OLD...Tabs!B9+OLD...Tabs!C9</f>
        <v>87.420420466090931</v>
      </c>
      <c r="I7" s="598">
        <f>+OLD...Tabs!B256+OLD...Tabs!C256</f>
        <v>0</v>
      </c>
      <c r="J7" s="596">
        <f>+OLD...Tabs!B287+OLD...Tabs!C287</f>
        <v>69.327720247374998</v>
      </c>
      <c r="K7" s="596">
        <f>+OLD...Tabs!B318+OLD...Tabs!C318</f>
        <v>81.991962463994241</v>
      </c>
      <c r="L7" s="596">
        <f>+OLD...Tabs!B349+OLD...Tabs!C349</f>
        <v>75.279031249722223</v>
      </c>
      <c r="M7" s="598">
        <f>+OLD...Tabs!B225+OLD...Tabs!C225</f>
        <v>77.988379122612031</v>
      </c>
      <c r="N7" s="599">
        <f>+OLD...Tabs!B410+OLD...Tabs!C410</f>
        <v>93.180369662205237</v>
      </c>
      <c r="O7" s="511">
        <f>+OLD...Tabs!B440+OLD...Tabs!C440</f>
        <v>100</v>
      </c>
      <c r="P7" s="600">
        <f>+OLD...Tabs!B380+OLD...Tabs!C380</f>
        <v>97.244799713396475</v>
      </c>
    </row>
    <row r="8" spans="1:16" ht="15.75" customHeight="1">
      <c r="A8" s="478" t="s">
        <v>895</v>
      </c>
      <c r="B8" s="596">
        <f>+OLD...Tabs!B42+OLD...Tabs!C42</f>
        <v>91.221600347162067</v>
      </c>
      <c r="C8" s="596">
        <f>+OLD...Tabs!B73+OLD...Tabs!C73</f>
        <v>68.928272502421635</v>
      </c>
      <c r="D8" s="596">
        <f>+OLD...Tabs!B103+OLD...Tabs!C103</f>
        <v>81.916432134923809</v>
      </c>
      <c r="E8" s="596">
        <f>+OLD...Tabs!B134+OLD...Tabs!C134</f>
        <v>84.668498836838026</v>
      </c>
      <c r="F8" s="596">
        <f>+OLD...Tabs!B165+OLD...Tabs!C165</f>
        <v>79.137059556076466</v>
      </c>
      <c r="G8" s="596">
        <f>+OLD...Tabs!B195+OLD...Tabs!C195</f>
        <v>82.556010294924263</v>
      </c>
      <c r="H8" s="601">
        <f>+OLD...Tabs!B10+OLD...Tabs!C10</f>
        <v>83.763122310710727</v>
      </c>
      <c r="I8" s="598">
        <f>+OLD...Tabs!B257+OLD...Tabs!C257</f>
        <v>0</v>
      </c>
      <c r="J8" s="596">
        <f>+OLD...Tabs!B288+OLD...Tabs!C288</f>
        <v>69.056205993762887</v>
      </c>
      <c r="K8" s="596">
        <f>+OLD...Tabs!B319+OLD...Tabs!C319</f>
        <v>78.823529411764696</v>
      </c>
      <c r="L8" s="596">
        <f>+OLD...Tabs!B350+OLD...Tabs!C350</f>
        <v>75.04138958160155</v>
      </c>
      <c r="M8" s="598">
        <f>+OLD...Tabs!B226+OLD...Tabs!C226</f>
        <v>73.744016219025767</v>
      </c>
      <c r="N8" s="599">
        <f>+OLD...Tabs!B411+OLD...Tabs!C411</f>
        <v>0</v>
      </c>
      <c r="O8" s="511">
        <f>+OLD...Tabs!B441+OLD...Tabs!C441</f>
        <v>0</v>
      </c>
      <c r="P8" s="598">
        <f>+OLD...Tabs!B381+OLD...Tabs!C381</f>
        <v>0</v>
      </c>
    </row>
    <row r="9" spans="1:16" ht="15.75" customHeight="1">
      <c r="A9" s="478" t="s">
        <v>896</v>
      </c>
      <c r="B9" s="596">
        <f>+OLD...Tabs!B43+OLD...Tabs!C43</f>
        <v>96.921737321819819</v>
      </c>
      <c r="C9" s="596">
        <f>+OLD...Tabs!B74+OLD...Tabs!C74</f>
        <v>0</v>
      </c>
      <c r="D9" s="596">
        <f>+OLD...Tabs!B104+OLD...Tabs!C104</f>
        <v>96.862700078719499</v>
      </c>
      <c r="E9" s="596">
        <f>+OLD...Tabs!B135+OLD...Tabs!C135</f>
        <v>0</v>
      </c>
      <c r="F9" s="596">
        <f>+OLD...Tabs!B166+OLD...Tabs!C166</f>
        <v>0</v>
      </c>
      <c r="G9" s="596">
        <f>+OLD...Tabs!B196+OLD...Tabs!C196</f>
        <v>0</v>
      </c>
      <c r="H9" s="601">
        <f>+OLD...Tabs!B11+OLD...Tabs!C11</f>
        <v>96.91129213605403</v>
      </c>
      <c r="I9" s="598">
        <f>+OLD...Tabs!B258+OLD...Tabs!C258</f>
        <v>0</v>
      </c>
      <c r="J9" s="596">
        <f>+OLD...Tabs!B289+OLD...Tabs!C289</f>
        <v>0</v>
      </c>
      <c r="K9" s="596">
        <f>+OLD...Tabs!B320+OLD...Tabs!C320</f>
        <v>87.471846537536123</v>
      </c>
      <c r="L9" s="596">
        <f>+OLD...Tabs!B351+OLD...Tabs!C351</f>
        <v>0</v>
      </c>
      <c r="M9" s="598">
        <f>+OLD...Tabs!B227+OLD...Tabs!C227</f>
        <v>87.471846537536123</v>
      </c>
      <c r="N9" s="599">
        <f>+OLD...Tabs!B412+OLD...Tabs!C412</f>
        <v>0</v>
      </c>
      <c r="O9" s="511">
        <f>+OLD...Tabs!B442+OLD...Tabs!C442</f>
        <v>0</v>
      </c>
      <c r="P9" s="598">
        <f>+OLD...Tabs!B382+OLD...Tabs!C382</f>
        <v>0</v>
      </c>
    </row>
    <row r="10" spans="1:16" ht="15.75" customHeight="1">
      <c r="A10" s="478" t="s">
        <v>897</v>
      </c>
      <c r="B10" s="596">
        <f>+OLD...Tabs!B44+OLD...Tabs!C44</f>
        <v>79.966129422091527</v>
      </c>
      <c r="C10" s="596">
        <f>+OLD...Tabs!B75+OLD...Tabs!C75</f>
        <v>0</v>
      </c>
      <c r="D10" s="596">
        <f>+OLD...Tabs!B105+OLD...Tabs!C105</f>
        <v>88.096096260886156</v>
      </c>
      <c r="E10" s="596">
        <f>+OLD...Tabs!B136+OLD...Tabs!C136</f>
        <v>78.399043381279242</v>
      </c>
      <c r="F10" s="596">
        <f>+OLD...Tabs!B167+OLD...Tabs!C167</f>
        <v>0</v>
      </c>
      <c r="G10" s="596">
        <f>+OLD...Tabs!B197+OLD...Tabs!C197</f>
        <v>100</v>
      </c>
      <c r="H10" s="601">
        <f>+OLD...Tabs!B12+OLD...Tabs!C12</f>
        <v>80.955811596306418</v>
      </c>
      <c r="I10" s="598">
        <f>+OLD...Tabs!B259+OLD...Tabs!C259</f>
        <v>76.882119997957233</v>
      </c>
      <c r="J10" s="596">
        <f>+OLD...Tabs!B290+OLD...Tabs!C290</f>
        <v>80.645548738670271</v>
      </c>
      <c r="K10" s="596">
        <f>+OLD...Tabs!B321+OLD...Tabs!C321</f>
        <v>76.121066881033812</v>
      </c>
      <c r="L10" s="596">
        <f>+OLD...Tabs!B352+OLD...Tabs!C352</f>
        <v>74.12848484848486</v>
      </c>
      <c r="M10" s="598">
        <f>+OLD...Tabs!B228+OLD...Tabs!C228</f>
        <v>77.404068081035263</v>
      </c>
      <c r="N10" s="599">
        <f>+OLD...Tabs!B413+OLD...Tabs!C413</f>
        <v>0</v>
      </c>
      <c r="O10" s="511">
        <f>+OLD...Tabs!B443+OLD...Tabs!C443</f>
        <v>0</v>
      </c>
      <c r="P10" s="598">
        <f>+OLD...Tabs!B383+OLD...Tabs!C383</f>
        <v>0</v>
      </c>
    </row>
    <row r="11" spans="1:16" ht="15.75" customHeight="1">
      <c r="A11" s="478"/>
      <c r="B11" s="596"/>
      <c r="C11" s="596"/>
      <c r="D11" s="596"/>
      <c r="E11" s="596"/>
      <c r="F11" s="596"/>
      <c r="G11" s="596"/>
      <c r="H11" s="601"/>
      <c r="I11" s="598"/>
      <c r="J11" s="596"/>
      <c r="K11" s="596"/>
      <c r="L11" s="596"/>
      <c r="M11" s="598"/>
      <c r="N11" s="599"/>
      <c r="O11" s="511"/>
      <c r="P11" s="598"/>
    </row>
    <row r="12" spans="1:16" ht="15.75" customHeight="1">
      <c r="A12" s="478" t="s">
        <v>898</v>
      </c>
      <c r="B12" s="596">
        <f>+OLD...Tabs!B46+OLD...Tabs!C46</f>
        <v>95.363476941317259</v>
      </c>
      <c r="C12" s="596">
        <f>+OLD...Tabs!B77+OLD...Tabs!C77</f>
        <v>99.048473429439213</v>
      </c>
      <c r="D12" s="596">
        <f>+OLD...Tabs!B107+OLD...Tabs!C107</f>
        <v>81.673813307745363</v>
      </c>
      <c r="E12" s="596">
        <f>+OLD...Tabs!B138+OLD...Tabs!C138</f>
        <v>87.223557041974431</v>
      </c>
      <c r="F12" s="596">
        <f>+OLD...Tabs!B169+OLD...Tabs!C169</f>
        <v>84.6597655575723</v>
      </c>
      <c r="G12" s="596">
        <f>+OLD...Tabs!B199+OLD...Tabs!C199</f>
        <v>90.36414942630644</v>
      </c>
      <c r="H12" s="601">
        <f>+OLD...Tabs!B14+OLD...Tabs!C14</f>
        <v>88.628363225487419</v>
      </c>
      <c r="I12" s="598">
        <f>+OLD...Tabs!B261+OLD...Tabs!C261</f>
        <v>79.44752805521594</v>
      </c>
      <c r="J12" s="596">
        <f>+OLD...Tabs!B292+OLD...Tabs!C292</f>
        <v>76.384773043304435</v>
      </c>
      <c r="K12" s="596">
        <f>+OLD...Tabs!B323+OLD...Tabs!C323</f>
        <v>80.243902439024382</v>
      </c>
      <c r="L12" s="596">
        <f>+OLD...Tabs!B354+OLD...Tabs!C354</f>
        <v>68.23548213108532</v>
      </c>
      <c r="M12" s="598">
        <f>+OLD...Tabs!B230+OLD...Tabs!C230</f>
        <v>77.814178557685722</v>
      </c>
      <c r="N12" s="599">
        <f>+OLD...Tabs!B415+OLD...Tabs!C415</f>
        <v>67.398714291569135</v>
      </c>
      <c r="O12" s="511">
        <f>+OLD...Tabs!B445+OLD...Tabs!C445</f>
        <v>0</v>
      </c>
      <c r="P12" s="598">
        <f>+OLD...Tabs!B385+OLD...Tabs!C385</f>
        <v>67.398714291569135</v>
      </c>
    </row>
    <row r="13" spans="1:16" ht="15.75" customHeight="1">
      <c r="A13" s="478" t="s">
        <v>899</v>
      </c>
      <c r="B13" s="596">
        <f>+OLD...Tabs!B47+OLD...Tabs!C47</f>
        <v>91.877097184584798</v>
      </c>
      <c r="C13" s="596">
        <f>+OLD...Tabs!B78+OLD...Tabs!C78</f>
        <v>0</v>
      </c>
      <c r="D13" s="596">
        <f>+OLD...Tabs!B108+OLD...Tabs!C108</f>
        <v>82.318314243524767</v>
      </c>
      <c r="E13" s="596">
        <f>+OLD...Tabs!B139+OLD...Tabs!C139</f>
        <v>75.221539786505915</v>
      </c>
      <c r="F13" s="596">
        <f>+OLD...Tabs!B170+OLD...Tabs!C170</f>
        <v>0</v>
      </c>
      <c r="G13" s="596">
        <f>+OLD...Tabs!B200+OLD...Tabs!C200</f>
        <v>0</v>
      </c>
      <c r="H13" s="601">
        <f>+OLD...Tabs!B15+OLD...Tabs!C15</f>
        <v>85.977012888076032</v>
      </c>
      <c r="I13" s="598">
        <f>+OLD...Tabs!B262+OLD...Tabs!C262</f>
        <v>0</v>
      </c>
      <c r="J13" s="596">
        <f>+OLD...Tabs!B293+OLD...Tabs!C293</f>
        <v>74.408156915307387</v>
      </c>
      <c r="K13" s="596">
        <f>+OLD...Tabs!B324+OLD...Tabs!C324</f>
        <v>63.853369946425801</v>
      </c>
      <c r="L13" s="596">
        <f>+OLD...Tabs!B355+OLD...Tabs!C355</f>
        <v>53.621667016586187</v>
      </c>
      <c r="M13" s="598">
        <f>+OLD...Tabs!B231+OLD...Tabs!C231</f>
        <v>66.604748464117037</v>
      </c>
      <c r="N13" s="599">
        <f>+OLD...Tabs!B416+OLD...Tabs!C416</f>
        <v>74.187576988777494</v>
      </c>
      <c r="O13" s="511">
        <f>+OLD...Tabs!B446+OLD...Tabs!C446</f>
        <v>0</v>
      </c>
      <c r="P13" s="598">
        <f>+OLD...Tabs!B386+OLD...Tabs!C386</f>
        <v>74.187576988777494</v>
      </c>
    </row>
    <row r="14" spans="1:16" ht="15.75" customHeight="1">
      <c r="A14" s="478" t="s">
        <v>900</v>
      </c>
      <c r="B14" s="596">
        <f>+OLD...Tabs!B48+OLD...Tabs!C48</f>
        <v>98.653789874158619</v>
      </c>
      <c r="C14" s="596">
        <f>+OLD...Tabs!B79+OLD...Tabs!C79</f>
        <v>90.95497057161657</v>
      </c>
      <c r="D14" s="596">
        <f>+OLD...Tabs!B109+OLD...Tabs!C109</f>
        <v>87.885738962099794</v>
      </c>
      <c r="E14" s="596">
        <f>+OLD...Tabs!B140+OLD...Tabs!C140</f>
        <v>79.257131948211963</v>
      </c>
      <c r="F14" s="596">
        <f>+OLD...Tabs!B171+OLD...Tabs!C171</f>
        <v>87.40234375</v>
      </c>
      <c r="G14" s="596">
        <f>+OLD...Tabs!B201+OLD...Tabs!C201</f>
        <v>77.356656948493708</v>
      </c>
      <c r="H14" s="601">
        <f>+OLD...Tabs!B16+OLD...Tabs!C16</f>
        <v>89.100255853984095</v>
      </c>
      <c r="I14" s="598">
        <f>+OLD...Tabs!B263+OLD...Tabs!C263</f>
        <v>0</v>
      </c>
      <c r="J14" s="596">
        <f>+OLD...Tabs!B294+OLD...Tabs!C294</f>
        <v>86.433417472218864</v>
      </c>
      <c r="K14" s="596">
        <f>+OLD...Tabs!B325+OLD...Tabs!C325</f>
        <v>92.520256553243698</v>
      </c>
      <c r="L14" s="596">
        <f>+OLD...Tabs!B356+OLD...Tabs!C356</f>
        <v>79.023730423070532</v>
      </c>
      <c r="M14" s="598">
        <f>+OLD...Tabs!B232+OLD...Tabs!C232</f>
        <v>87.062044899378449</v>
      </c>
      <c r="N14" s="599">
        <f>+OLD...Tabs!B417+OLD...Tabs!C417</f>
        <v>92.347929542899536</v>
      </c>
      <c r="O14" s="511">
        <f>+OLD...Tabs!B447+OLD...Tabs!C447</f>
        <v>0</v>
      </c>
      <c r="P14" s="598">
        <f>+OLD...Tabs!B387+OLD...Tabs!C387</f>
        <v>92.347929542899536</v>
      </c>
    </row>
    <row r="15" spans="1:16" ht="15.75" customHeight="1">
      <c r="A15" s="478" t="s">
        <v>901</v>
      </c>
      <c r="B15" s="596">
        <f>+OLD...Tabs!B49+OLD...Tabs!C49</f>
        <v>96.884760062071535</v>
      </c>
      <c r="C15" s="596">
        <f>+OLD...Tabs!B80+OLD...Tabs!C80</f>
        <v>90.206368363804316</v>
      </c>
      <c r="D15" s="596">
        <f>+OLD...Tabs!B110+OLD...Tabs!C110</f>
        <v>88.848060971131602</v>
      </c>
      <c r="E15" s="596">
        <f>+OLD...Tabs!B141+OLD...Tabs!C141</f>
        <v>86.443834997034784</v>
      </c>
      <c r="F15" s="596">
        <f>+OLD...Tabs!B172+OLD...Tabs!C172</f>
        <v>81.534950071326676</v>
      </c>
      <c r="G15" s="596">
        <f>+OLD...Tabs!B202+OLD...Tabs!C202</f>
        <v>100</v>
      </c>
      <c r="H15" s="601">
        <f>+OLD...Tabs!B17+OLD...Tabs!C17</f>
        <v>73.215311405422966</v>
      </c>
      <c r="I15" s="598">
        <f>+OLD...Tabs!B264+OLD...Tabs!C264</f>
        <v>0</v>
      </c>
      <c r="J15" s="596">
        <f>+OLD...Tabs!B295+OLD...Tabs!C295</f>
        <v>83.465300187738464</v>
      </c>
      <c r="K15" s="596">
        <f>+OLD...Tabs!B326+OLD...Tabs!C326</f>
        <v>76.959737515293071</v>
      </c>
      <c r="L15" s="596">
        <f>+OLD...Tabs!B357+OLD...Tabs!C357</f>
        <v>79.76730336888464</v>
      </c>
      <c r="M15" s="598">
        <f>+OLD...Tabs!B233+OLD...Tabs!C233</f>
        <v>81.950991945893946</v>
      </c>
      <c r="N15" s="599">
        <f>+OLD...Tabs!B418+OLD...Tabs!C418</f>
        <v>0</v>
      </c>
      <c r="O15" s="511">
        <f>+OLD...Tabs!B448+OLD...Tabs!C448</f>
        <v>0</v>
      </c>
      <c r="P15" s="598">
        <f>+OLD...Tabs!B388+OLD...Tabs!C388</f>
        <v>0</v>
      </c>
    </row>
    <row r="16" spans="1:16" ht="15.75" customHeight="1">
      <c r="A16" s="478"/>
      <c r="B16" s="596"/>
      <c r="C16" s="596"/>
      <c r="D16" s="596"/>
      <c r="E16" s="596"/>
      <c r="F16" s="596"/>
      <c r="G16" s="596"/>
      <c r="H16" s="601"/>
      <c r="I16" s="598"/>
      <c r="J16" s="596"/>
      <c r="K16" s="596"/>
      <c r="L16" s="596"/>
      <c r="M16" s="598"/>
      <c r="N16" s="599"/>
      <c r="O16" s="511"/>
      <c r="P16" s="598"/>
    </row>
    <row r="17" spans="1:16" ht="15.75" customHeight="1">
      <c r="A17" s="478" t="s">
        <v>902</v>
      </c>
      <c r="B17" s="596">
        <f>+OLD...Tabs!B51+OLD...Tabs!C51</f>
        <v>88.513867348788494</v>
      </c>
      <c r="C17" s="596">
        <f>+OLD...Tabs!B82+OLD...Tabs!C82</f>
        <v>89.83828147302313</v>
      </c>
      <c r="D17" s="596">
        <f>+OLD...Tabs!B112+OLD...Tabs!C112</f>
        <v>0</v>
      </c>
      <c r="E17" s="596">
        <f>+OLD...Tabs!B143+OLD...Tabs!C143</f>
        <v>83.360417421268508</v>
      </c>
      <c r="F17" s="596">
        <f>+OLD...Tabs!B174+OLD...Tabs!C174</f>
        <v>49.646163783822573</v>
      </c>
      <c r="G17" s="596">
        <f>+OLD...Tabs!B204+OLD...Tabs!C204</f>
        <v>0</v>
      </c>
      <c r="H17" s="601">
        <f>+OLD...Tabs!B19+OLD...Tabs!C19</f>
        <v>86.912526124239733</v>
      </c>
      <c r="I17" s="598">
        <f>+OLD...Tabs!B266+OLD...Tabs!C266</f>
        <v>0</v>
      </c>
      <c r="J17" s="596">
        <f>+OLD...Tabs!B297+OLD...Tabs!C297</f>
        <v>75.983852897764663</v>
      </c>
      <c r="K17" s="596">
        <f>+OLD...Tabs!B328+OLD...Tabs!C328</f>
        <v>75.570756030946924</v>
      </c>
      <c r="L17" s="596">
        <f>+OLD...Tabs!B359+OLD...Tabs!C359</f>
        <v>83.076566125290014</v>
      </c>
      <c r="M17" s="598">
        <f>+OLD...Tabs!B235+OLD...Tabs!C235</f>
        <v>76.177834509423548</v>
      </c>
      <c r="N17" s="599">
        <f>+OLD...Tabs!B420+OLD...Tabs!C420</f>
        <v>0</v>
      </c>
      <c r="O17" s="511">
        <f>+OLD...Tabs!B450+OLD...Tabs!C450</f>
        <v>0</v>
      </c>
      <c r="P17" s="598">
        <f>+OLD...Tabs!B390+OLD...Tabs!C390</f>
        <v>0</v>
      </c>
    </row>
    <row r="18" spans="1:16" ht="15.75" customHeight="1">
      <c r="A18" s="478" t="s">
        <v>903</v>
      </c>
      <c r="B18" s="596">
        <f>+OLD...Tabs!B52+OLD...Tabs!C52</f>
        <v>88.391296864040527</v>
      </c>
      <c r="C18" s="596">
        <f>+OLD...Tabs!B83+OLD...Tabs!C83</f>
        <v>79.930899316468782</v>
      </c>
      <c r="D18" s="596">
        <f>+OLD...Tabs!B113+OLD...Tabs!C113</f>
        <v>89.091458339359008</v>
      </c>
      <c r="E18" s="596">
        <f>+OLD...Tabs!B144+OLD...Tabs!C144</f>
        <v>72.550418474993876</v>
      </c>
      <c r="F18" s="596">
        <f>+OLD...Tabs!B175+OLD...Tabs!C175</f>
        <v>81.617717656848413</v>
      </c>
      <c r="G18" s="596">
        <f>+OLD...Tabs!B205+OLD...Tabs!C205</f>
        <v>90.559757942511354</v>
      </c>
      <c r="H18" s="601">
        <f>+OLD...Tabs!B20+OLD...Tabs!C20</f>
        <v>86.774675858518805</v>
      </c>
      <c r="I18" s="598">
        <f>+OLD...Tabs!B267+OLD...Tabs!C267</f>
        <v>0</v>
      </c>
      <c r="J18" s="596">
        <f>+OLD...Tabs!B298+OLD...Tabs!C298</f>
        <v>57.692605774288552</v>
      </c>
      <c r="K18" s="596">
        <f>+OLD...Tabs!B329+OLD...Tabs!C329</f>
        <v>55.11011405688118</v>
      </c>
      <c r="L18" s="596">
        <f>+OLD...Tabs!B360+OLD...Tabs!C360</f>
        <v>50.639059367161408</v>
      </c>
      <c r="M18" s="598">
        <f>+OLD...Tabs!B236+OLD...Tabs!C236</f>
        <v>55.710151718116961</v>
      </c>
      <c r="N18" s="599">
        <f>+OLD...Tabs!B421+OLD...Tabs!C421</f>
        <v>0</v>
      </c>
      <c r="O18" s="511">
        <f>+OLD...Tabs!B451+OLD...Tabs!C451</f>
        <v>0</v>
      </c>
      <c r="P18" s="598">
        <f>+OLD...Tabs!B391+OLD...Tabs!C391</f>
        <v>0</v>
      </c>
    </row>
    <row r="19" spans="1:16" ht="15.75" customHeight="1">
      <c r="A19" s="478" t="s">
        <v>904</v>
      </c>
      <c r="B19" s="596">
        <f>+OLD...Tabs!B53+OLD...Tabs!C53</f>
        <v>87.432107973568094</v>
      </c>
      <c r="C19" s="596">
        <f>+OLD...Tabs!B84+OLD...Tabs!C84</f>
        <v>0</v>
      </c>
      <c r="D19" s="596">
        <f>+OLD...Tabs!B114+OLD...Tabs!C114</f>
        <v>79.514003386451961</v>
      </c>
      <c r="E19" s="596">
        <f>+OLD...Tabs!B145+OLD...Tabs!C145</f>
        <v>66.288948465892162</v>
      </c>
      <c r="F19" s="596">
        <f>+OLD...Tabs!B176+OLD...Tabs!C176</f>
        <v>81.210997568471257</v>
      </c>
      <c r="G19" s="596">
        <f>+OLD...Tabs!B206+OLD...Tabs!C206</f>
        <v>77.717585627643714</v>
      </c>
      <c r="H19" s="601">
        <f>+OLD...Tabs!B21+OLD...Tabs!C21</f>
        <v>83.183541684190004</v>
      </c>
      <c r="I19" s="598">
        <f>+OLD...Tabs!B268+OLD...Tabs!C268</f>
        <v>70.095421474093797</v>
      </c>
      <c r="J19" s="596">
        <f>+OLD...Tabs!B299+OLD...Tabs!C299</f>
        <v>70.28740009581152</v>
      </c>
      <c r="K19" s="596">
        <f>+OLD...Tabs!B330+OLD...Tabs!C330</f>
        <v>72.798977542450245</v>
      </c>
      <c r="L19" s="596">
        <f>+OLD...Tabs!B361+OLD...Tabs!C361</f>
        <v>74.875646435391289</v>
      </c>
      <c r="M19" s="598">
        <f>+OLD...Tabs!B237+OLD...Tabs!C237</f>
        <v>71.845371330483346</v>
      </c>
      <c r="N19" s="599">
        <f>+OLD...Tabs!B422+OLD...Tabs!C422</f>
        <v>0</v>
      </c>
      <c r="O19" s="511">
        <f>+OLD...Tabs!B452+OLD...Tabs!C452</f>
        <v>0</v>
      </c>
      <c r="P19" s="598">
        <f>+OLD...Tabs!B392+OLD...Tabs!C392</f>
        <v>0</v>
      </c>
    </row>
    <row r="20" spans="1:16" ht="15.75" customHeight="1">
      <c r="A20" s="478" t="s">
        <v>905</v>
      </c>
      <c r="B20" s="596">
        <f>+OLD...Tabs!B54+OLD...Tabs!C54</f>
        <v>93.657682584677772</v>
      </c>
      <c r="C20" s="596">
        <f>+OLD...Tabs!B85+OLD...Tabs!C85</f>
        <v>0</v>
      </c>
      <c r="D20" s="596">
        <f>+OLD...Tabs!B115+OLD...Tabs!C115</f>
        <v>96.839081799223052</v>
      </c>
      <c r="E20" s="596">
        <f>+OLD...Tabs!B146+OLD...Tabs!C146</f>
        <v>0</v>
      </c>
      <c r="F20" s="596">
        <f>+OLD...Tabs!B177+OLD...Tabs!C177</f>
        <v>92.401620357468502</v>
      </c>
      <c r="G20" s="596">
        <f>+OLD...Tabs!B207+OLD...Tabs!C207</f>
        <v>88.041029628697871</v>
      </c>
      <c r="H20" s="601">
        <f>+OLD...Tabs!B22+OLD...Tabs!C22</f>
        <v>93.622864779283248</v>
      </c>
      <c r="I20" s="598">
        <f>+OLD...Tabs!B269+OLD...Tabs!C269</f>
        <v>0</v>
      </c>
      <c r="J20" s="596">
        <f>+OLD...Tabs!B300+OLD...Tabs!C300</f>
        <v>71.730699634597656</v>
      </c>
      <c r="K20" s="596">
        <f>+OLD...Tabs!B331+OLD...Tabs!C331</f>
        <v>72.858189898255958</v>
      </c>
      <c r="L20" s="596">
        <f>+OLD...Tabs!B362+OLD...Tabs!C362</f>
        <v>79.986669921685788</v>
      </c>
      <c r="M20" s="598">
        <f>+OLD...Tabs!B238+OLD...Tabs!C238</f>
        <v>73.052051908583209</v>
      </c>
      <c r="N20" s="599">
        <f>+OLD...Tabs!B423+OLD...Tabs!C423</f>
        <v>0</v>
      </c>
      <c r="O20" s="511">
        <f>+OLD...Tabs!B453+OLD...Tabs!C453</f>
        <v>0</v>
      </c>
      <c r="P20" s="598">
        <f>+OLD...Tabs!B393+OLD...Tabs!C393</f>
        <v>0</v>
      </c>
    </row>
    <row r="21" spans="1:16" ht="15.75" customHeight="1">
      <c r="A21" s="478"/>
      <c r="B21" s="596"/>
      <c r="C21" s="596"/>
      <c r="D21" s="596"/>
      <c r="E21" s="596"/>
      <c r="F21" s="596"/>
      <c r="G21" s="596"/>
      <c r="H21" s="601"/>
      <c r="I21" s="598"/>
      <c r="J21" s="596"/>
      <c r="K21" s="596"/>
      <c r="L21" s="596"/>
      <c r="M21" s="598"/>
      <c r="N21" s="599"/>
      <c r="O21" s="511"/>
      <c r="P21" s="598"/>
    </row>
    <row r="22" spans="1:16" ht="15.75" customHeight="1">
      <c r="A22" s="478" t="s">
        <v>906</v>
      </c>
      <c r="B22" s="596">
        <f>+OLD...Tabs!B56+OLD...Tabs!C56</f>
        <v>88.471352377472684</v>
      </c>
      <c r="C22" s="596">
        <f>+OLD...Tabs!B87+OLD...Tabs!C87</f>
        <v>78.260878398420203</v>
      </c>
      <c r="D22" s="596">
        <f>+OLD...Tabs!B117+OLD...Tabs!C117</f>
        <v>77.875709786476179</v>
      </c>
      <c r="E22" s="596">
        <f>+OLD...Tabs!B148+OLD...Tabs!C148</f>
        <v>0</v>
      </c>
      <c r="F22" s="596">
        <f>+OLD...Tabs!B179+OLD...Tabs!C179</f>
        <v>88.797542076742573</v>
      </c>
      <c r="G22" s="596">
        <f>+OLD...Tabs!B209+OLD...Tabs!C209</f>
        <v>0</v>
      </c>
      <c r="H22" s="601">
        <f>+OLD...Tabs!B24+OLD...Tabs!C24</f>
        <v>82.18026248632394</v>
      </c>
      <c r="I22" s="598">
        <f>+OLD...Tabs!B271+OLD...Tabs!C271</f>
        <v>0</v>
      </c>
      <c r="J22" s="596">
        <f>+OLD...Tabs!B302+OLD...Tabs!C302</f>
        <v>75.407352681649428</v>
      </c>
      <c r="K22" s="596">
        <f>+OLD...Tabs!B333+OLD...Tabs!C333</f>
        <v>72.745208809456557</v>
      </c>
      <c r="L22" s="596">
        <f>+OLD...Tabs!B364+OLD...Tabs!C364</f>
        <v>74.573803312503799</v>
      </c>
      <c r="M22" s="598">
        <f>+OLD...Tabs!B240+OLD...Tabs!C240</f>
        <v>74.260246488275811</v>
      </c>
      <c r="N22" s="599">
        <f>+OLD...Tabs!B425+OLD...Tabs!C425</f>
        <v>0</v>
      </c>
      <c r="O22" s="511">
        <f>+OLD...Tabs!B455+OLD...Tabs!C455</f>
        <v>0</v>
      </c>
      <c r="P22" s="598">
        <f>+OLD...Tabs!B395+OLD...Tabs!C395</f>
        <v>0</v>
      </c>
    </row>
    <row r="23" spans="1:16" ht="15.75" customHeight="1">
      <c r="A23" s="478" t="s">
        <v>907</v>
      </c>
      <c r="B23" s="596">
        <f>+OLD...Tabs!B57+OLD...Tabs!C57</f>
        <v>87.233282181898716</v>
      </c>
      <c r="C23" s="596">
        <f>+OLD...Tabs!B88+OLD...Tabs!C88</f>
        <v>87.553577824076044</v>
      </c>
      <c r="D23" s="596">
        <f>+OLD...Tabs!B118+OLD...Tabs!C118</f>
        <v>82.841571843520441</v>
      </c>
      <c r="E23" s="596">
        <f>+OLD...Tabs!B149+OLD...Tabs!C149</f>
        <v>55.371221144574896</v>
      </c>
      <c r="F23" s="596">
        <f>+OLD...Tabs!B180+OLD...Tabs!C180</f>
        <v>63.922213897556027</v>
      </c>
      <c r="G23" s="596">
        <f>+OLD...Tabs!B210+OLD...Tabs!C210</f>
        <v>0</v>
      </c>
      <c r="H23" s="601">
        <f>+OLD...Tabs!B25+OLD...Tabs!C25</f>
        <v>84.734915767741299</v>
      </c>
      <c r="I23" s="598">
        <f>+OLD...Tabs!B272+OLD...Tabs!C272</f>
        <v>78.428238156995462</v>
      </c>
      <c r="J23" s="596">
        <f>+OLD...Tabs!B303+OLD...Tabs!C303</f>
        <v>75.357542393585561</v>
      </c>
      <c r="K23" s="596">
        <f>+OLD...Tabs!B334+OLD...Tabs!C334</f>
        <v>73.570979621191981</v>
      </c>
      <c r="L23" s="596">
        <f>+OLD...Tabs!B365+OLD...Tabs!C365</f>
        <v>66.902009223057163</v>
      </c>
      <c r="M23" s="598">
        <f>+OLD...Tabs!B241+OLD...Tabs!C241</f>
        <v>74.960456664942271</v>
      </c>
      <c r="N23" s="599">
        <f>+OLD...Tabs!B426+OLD...Tabs!C426</f>
        <v>0</v>
      </c>
      <c r="O23" s="511">
        <f>+OLD...Tabs!B456+OLD...Tabs!C456</f>
        <v>0</v>
      </c>
      <c r="P23" s="598">
        <f>+OLD...Tabs!B396+OLD...Tabs!C396</f>
        <v>0</v>
      </c>
    </row>
    <row r="24" spans="1:16" ht="15.75" customHeight="1">
      <c r="A24" s="478" t="s">
        <v>908</v>
      </c>
      <c r="B24" s="596">
        <f>+OLD...Tabs!B58+OLD...Tabs!C58</f>
        <v>92.421726357203525</v>
      </c>
      <c r="C24" s="596">
        <f>+OLD...Tabs!B89+OLD...Tabs!C89</f>
        <v>99.965652318817334</v>
      </c>
      <c r="D24" s="596">
        <f>+OLD...Tabs!B119+OLD...Tabs!C119</f>
        <v>93.017893153510926</v>
      </c>
      <c r="E24" s="596">
        <f>+OLD...Tabs!B150+OLD...Tabs!C150</f>
        <v>0</v>
      </c>
      <c r="F24" s="596">
        <f>+OLD...Tabs!B181+OLD...Tabs!C181</f>
        <v>100</v>
      </c>
      <c r="G24" s="596">
        <f>+OLD...Tabs!B211+OLD...Tabs!C211</f>
        <v>80.502502887947642</v>
      </c>
      <c r="H24" s="601">
        <f>+OLD...Tabs!B26+OLD...Tabs!C26</f>
        <v>92.982580243704021</v>
      </c>
      <c r="I24" s="598">
        <f>+OLD...Tabs!B273+OLD...Tabs!C273</f>
        <v>0</v>
      </c>
      <c r="J24" s="596">
        <f>+OLD...Tabs!B304+OLD...Tabs!C304</f>
        <v>72.855841402237331</v>
      </c>
      <c r="K24" s="596">
        <f>+OLD...Tabs!B335+OLD...Tabs!C335</f>
        <v>69.67858669609393</v>
      </c>
      <c r="L24" s="596">
        <f>+OLD...Tabs!B366+OLD...Tabs!C366</f>
        <v>64.582292132467046</v>
      </c>
      <c r="M24" s="598">
        <f>+OLD...Tabs!B242+OLD...Tabs!C242</f>
        <v>71.203774870014698</v>
      </c>
      <c r="N24" s="599">
        <f>+OLD...Tabs!B427+OLD...Tabs!C427</f>
        <v>0</v>
      </c>
      <c r="O24" s="511">
        <f>+OLD...Tabs!B457+OLD...Tabs!C457</f>
        <v>0</v>
      </c>
      <c r="P24" s="598">
        <f>+OLD...Tabs!B397+OLD...Tabs!C397</f>
        <v>0</v>
      </c>
    </row>
    <row r="25" spans="1:16" ht="15.75" customHeight="1">
      <c r="A25" s="484" t="s">
        <v>909</v>
      </c>
      <c r="B25" s="602">
        <f>+OLD...Tabs!B59+OLD...Tabs!C59</f>
        <v>90.143473572298788</v>
      </c>
      <c r="C25" s="602">
        <f>+OLD...Tabs!B90+OLD...Tabs!C90</f>
        <v>0</v>
      </c>
      <c r="D25" s="602">
        <f>+OLD...Tabs!B120+OLD...Tabs!C120</f>
        <v>86.662300068133987</v>
      </c>
      <c r="E25" s="602">
        <f>+OLD...Tabs!B151+OLD...Tabs!C151</f>
        <v>0</v>
      </c>
      <c r="F25" s="602">
        <f>+OLD...Tabs!B182+OLD...Tabs!C182</f>
        <v>88.511526043941615</v>
      </c>
      <c r="G25" s="602">
        <f>+OLD...Tabs!B212+OLD...Tabs!C212</f>
        <v>75.353745303381572</v>
      </c>
      <c r="H25" s="603">
        <f>+OLD...Tabs!B27+OLD...Tabs!C27</f>
        <v>86.801045030661484</v>
      </c>
      <c r="I25" s="604">
        <f>+OLD...Tabs!B274+OLD...Tabs!C274</f>
        <v>90.45590115040477</v>
      </c>
      <c r="J25" s="602">
        <f>+OLD...Tabs!B305+OLD...Tabs!C305</f>
        <v>0</v>
      </c>
      <c r="K25" s="602">
        <f>+OLD...Tabs!B336+OLD...Tabs!C336</f>
        <v>0</v>
      </c>
      <c r="L25" s="605">
        <f>+OLD...Tabs!B367+OLD...Tabs!C367</f>
        <v>74.69886894102882</v>
      </c>
      <c r="M25" s="604">
        <f>+OLD...Tabs!B243+OLD...Tabs!C243</f>
        <v>76.323382852373598</v>
      </c>
      <c r="N25" s="606">
        <f>+OLD...Tabs!B428+OLD...Tabs!C428</f>
        <v>0</v>
      </c>
      <c r="O25" s="523">
        <f>+OLD...Tabs!B458+OLD...Tabs!C458</f>
        <v>0</v>
      </c>
      <c r="P25" s="604">
        <f>+OLD...Tabs!B398+OLD...Tabs!C398</f>
        <v>0</v>
      </c>
    </row>
    <row r="26" spans="1:16" s="524" customFormat="1" ht="24" customHeight="1">
      <c r="A26" s="662" t="s">
        <v>981</v>
      </c>
      <c r="B26" s="662"/>
      <c r="C26" s="662"/>
      <c r="D26" s="662"/>
      <c r="E26" s="662"/>
      <c r="F26" s="662"/>
      <c r="G26" s="662"/>
      <c r="H26" s="662"/>
      <c r="I26" s="662"/>
      <c r="J26" s="662"/>
      <c r="K26" s="662"/>
      <c r="L26" s="662"/>
      <c r="M26" s="662"/>
      <c r="N26" s="662"/>
      <c r="O26" s="662"/>
      <c r="P26" s="662"/>
    </row>
    <row r="27" spans="1:16" s="524" customFormat="1" ht="11.25">
      <c r="M27" s="607"/>
      <c r="P27" s="532" t="s">
        <v>1015</v>
      </c>
    </row>
    <row r="28" spans="1:16" ht="18">
      <c r="A28" s="650" t="s">
        <v>982</v>
      </c>
      <c r="B28" s="650"/>
      <c r="C28" s="650"/>
      <c r="D28" s="650"/>
      <c r="E28" s="650"/>
      <c r="F28" s="650"/>
      <c r="G28" s="650"/>
      <c r="H28" s="650"/>
      <c r="I28" s="650"/>
      <c r="J28" s="650"/>
      <c r="K28" s="650"/>
      <c r="L28" s="650"/>
      <c r="M28" s="650"/>
      <c r="N28" s="650"/>
      <c r="O28" s="650"/>
      <c r="P28" s="650"/>
    </row>
    <row r="29" spans="1:16" s="478" customFormat="1" ht="12.75">
      <c r="A29" s="479"/>
      <c r="B29" s="475"/>
      <c r="C29" s="475"/>
      <c r="D29" s="475"/>
      <c r="E29" s="475"/>
      <c r="F29" s="475"/>
      <c r="G29" s="475"/>
      <c r="H29" s="475"/>
      <c r="I29" s="475"/>
      <c r="J29" s="475"/>
      <c r="K29" s="475"/>
      <c r="L29" s="475"/>
      <c r="M29" s="480"/>
    </row>
    <row r="30" spans="1:16" ht="15.75">
      <c r="A30" s="666" t="s">
        <v>994</v>
      </c>
      <c r="B30" s="666"/>
      <c r="C30" s="666"/>
      <c r="D30" s="666"/>
      <c r="E30" s="666"/>
      <c r="F30" s="666"/>
      <c r="G30" s="666"/>
      <c r="H30" s="666"/>
      <c r="I30" s="666"/>
      <c r="J30" s="666"/>
      <c r="K30" s="666"/>
      <c r="L30" s="666"/>
      <c r="M30" s="666"/>
      <c r="N30" s="666"/>
      <c r="O30" s="666"/>
      <c r="P30" s="666"/>
    </row>
    <row r="31" spans="1:16" s="478" customFormat="1" ht="9.75" customHeight="1">
      <c r="A31" s="608"/>
      <c r="B31" s="475"/>
      <c r="C31" s="475"/>
      <c r="D31" s="475"/>
      <c r="E31" s="475"/>
      <c r="F31" s="475"/>
      <c r="G31" s="475"/>
      <c r="H31" s="475"/>
      <c r="I31" s="475"/>
      <c r="J31" s="475"/>
      <c r="K31" s="475"/>
      <c r="L31" s="475"/>
      <c r="M31" s="480"/>
    </row>
    <row r="32" spans="1:16" s="589" customFormat="1" ht="18" customHeight="1">
      <c r="A32" s="586"/>
      <c r="B32" s="588" t="s">
        <v>877</v>
      </c>
      <c r="C32" s="588"/>
      <c r="D32" s="588"/>
      <c r="E32" s="588"/>
      <c r="F32" s="588"/>
      <c r="G32" s="588"/>
      <c r="H32" s="609"/>
      <c r="I32" s="587" t="s">
        <v>763</v>
      </c>
      <c r="J32" s="588"/>
      <c r="K32" s="588"/>
      <c r="L32" s="588"/>
      <c r="M32" s="588"/>
      <c r="N32" s="587" t="s">
        <v>765</v>
      </c>
      <c r="O32" s="588"/>
      <c r="P32" s="588"/>
    </row>
    <row r="33" spans="1:16" s="595" customFormat="1" ht="26.25" customHeight="1">
      <c r="A33" s="590"/>
      <c r="B33" s="591">
        <v>1</v>
      </c>
      <c r="C33" s="591">
        <v>2</v>
      </c>
      <c r="D33" s="591">
        <v>3</v>
      </c>
      <c r="E33" s="591">
        <v>4</v>
      </c>
      <c r="F33" s="591">
        <v>5</v>
      </c>
      <c r="G33" s="591">
        <v>6</v>
      </c>
      <c r="H33" s="592" t="s">
        <v>978</v>
      </c>
      <c r="I33" s="593" t="s">
        <v>979</v>
      </c>
      <c r="J33" s="591">
        <v>1</v>
      </c>
      <c r="K33" s="591">
        <v>2</v>
      </c>
      <c r="L33" s="591">
        <v>3</v>
      </c>
      <c r="M33" s="594" t="s">
        <v>980</v>
      </c>
      <c r="N33" s="594">
        <v>1</v>
      </c>
      <c r="O33" s="591">
        <v>2</v>
      </c>
      <c r="P33" s="594" t="s">
        <v>980</v>
      </c>
    </row>
    <row r="34" spans="1:16" ht="15.75" customHeight="1">
      <c r="A34" s="478" t="s">
        <v>894</v>
      </c>
      <c r="B34" s="596">
        <f>+OLD...Tabs!D41</f>
        <v>7.0182970038457153</v>
      </c>
      <c r="C34" s="596">
        <f>+OLD...Tabs!D72</f>
        <v>15.295947130331358</v>
      </c>
      <c r="D34" s="596">
        <f>+OLD...Tabs!D102</f>
        <v>16.522714256053071</v>
      </c>
      <c r="E34" s="596">
        <f>+OLD...Tabs!D133</f>
        <v>13.226069294076826</v>
      </c>
      <c r="F34" s="596">
        <f>+OLD...Tabs!D164</f>
        <v>5.0686267398470308</v>
      </c>
      <c r="G34" s="596">
        <f>+OLD...Tabs!D194</f>
        <v>73.108384458077708</v>
      </c>
      <c r="H34" s="600">
        <f>+OLD...Tabs!D9</f>
        <v>12.579579533909074</v>
      </c>
      <c r="I34" s="600">
        <f>+OLD...Tabs!D256</f>
        <v>0</v>
      </c>
      <c r="J34" s="596">
        <f>+OLD...Tabs!D287</f>
        <v>30.672279752625002</v>
      </c>
      <c r="K34" s="596">
        <f>+OLD...Tabs!D318</f>
        <v>18.008037536005762</v>
      </c>
      <c r="L34" s="596">
        <f>+OLD...Tabs!D349</f>
        <v>24.72096875027777</v>
      </c>
      <c r="M34" s="598">
        <f>+OLD...Tabs!D225</f>
        <v>22.011620877387966</v>
      </c>
      <c r="N34" s="599">
        <f>+OLD...Tabs!D410</f>
        <v>6.8196303377947745</v>
      </c>
      <c r="O34" s="511">
        <f>+OLD...Tabs!D440</f>
        <v>0</v>
      </c>
      <c r="P34" s="598">
        <f>+OLD...Tabs!D380</f>
        <v>2.7552002866035243</v>
      </c>
    </row>
    <row r="35" spans="1:16" ht="15.75" customHeight="1">
      <c r="A35" s="478" t="s">
        <v>895</v>
      </c>
      <c r="B35" s="596">
        <f>+OLD...Tabs!D42</f>
        <v>8.2175993997784129</v>
      </c>
      <c r="C35" s="596">
        <f>+OLD...Tabs!D73</f>
        <v>31.071727497578362</v>
      </c>
      <c r="D35" s="596">
        <f>+OLD...Tabs!D103</f>
        <v>18.083567865076184</v>
      </c>
      <c r="E35" s="596">
        <f>+OLD...Tabs!D134</f>
        <v>15.331501163161976</v>
      </c>
      <c r="F35" s="596">
        <f>+OLD...Tabs!D165</f>
        <v>20.862940443923524</v>
      </c>
      <c r="G35" s="596">
        <f>+OLD...Tabs!D195</f>
        <v>17.443989705075737</v>
      </c>
      <c r="H35" s="598">
        <f>+OLD...Tabs!D10</f>
        <v>16.069783578077896</v>
      </c>
      <c r="I35" s="598">
        <f>+OLD...Tabs!D257</f>
        <v>0</v>
      </c>
      <c r="J35" s="596">
        <f>+OLD...Tabs!D288</f>
        <v>30.943794006237116</v>
      </c>
      <c r="K35" s="596">
        <f>+OLD...Tabs!D319</f>
        <v>21.176470588235293</v>
      </c>
      <c r="L35" s="596">
        <f>+OLD...Tabs!D350</f>
        <v>24.958610418398447</v>
      </c>
      <c r="M35" s="598">
        <f>+OLD...Tabs!D226</f>
        <v>26.25598378097423</v>
      </c>
      <c r="N35" s="599">
        <f>+OLD...Tabs!D411</f>
        <v>0</v>
      </c>
      <c r="O35" s="511">
        <f>+OLD...Tabs!D441</f>
        <v>0</v>
      </c>
      <c r="P35" s="598">
        <f>+OLD...Tabs!D381</f>
        <v>0</v>
      </c>
    </row>
    <row r="36" spans="1:16" ht="15.75" customHeight="1">
      <c r="A36" s="478" t="s">
        <v>896</v>
      </c>
      <c r="B36" s="596">
        <f>+OLD...Tabs!D43</f>
        <v>3.0782626781801872</v>
      </c>
      <c r="C36" s="596">
        <f>+OLD...Tabs!D74</f>
        <v>0</v>
      </c>
      <c r="D36" s="596">
        <f>+OLD...Tabs!D104</f>
        <v>3.1372999212805035</v>
      </c>
      <c r="E36" s="596">
        <f>+OLD...Tabs!D135</f>
        <v>0</v>
      </c>
      <c r="F36" s="596">
        <f>+OLD...Tabs!D166</f>
        <v>0</v>
      </c>
      <c r="G36" s="596">
        <f>+OLD...Tabs!D196</f>
        <v>0</v>
      </c>
      <c r="H36" s="598">
        <f>+OLD...Tabs!D11</f>
        <v>3.0887078639459729</v>
      </c>
      <c r="I36" s="598">
        <f>+OLD...Tabs!D258</f>
        <v>0</v>
      </c>
      <c r="J36" s="596">
        <f>+OLD...Tabs!D289</f>
        <v>0</v>
      </c>
      <c r="K36" s="596">
        <f>+OLD...Tabs!D320</f>
        <v>12.52815346246388</v>
      </c>
      <c r="L36" s="596">
        <f>+OLD...Tabs!D351</f>
        <v>0</v>
      </c>
      <c r="M36" s="598">
        <f>+OLD...Tabs!D227</f>
        <v>12.52815346246388</v>
      </c>
      <c r="N36" s="599">
        <f>+OLD...Tabs!D412</f>
        <v>0</v>
      </c>
      <c r="O36" s="511">
        <f>+OLD...Tabs!D442</f>
        <v>0</v>
      </c>
      <c r="P36" s="598">
        <f>+OLD...Tabs!D382</f>
        <v>0</v>
      </c>
    </row>
    <row r="37" spans="1:16" ht="15.75" customHeight="1">
      <c r="A37" s="478" t="s">
        <v>936</v>
      </c>
      <c r="B37" s="596">
        <f>+OLD...Tabs!D44</f>
        <v>19.89021058448219</v>
      </c>
      <c r="C37" s="596">
        <f>+OLD...Tabs!D75</f>
        <v>0</v>
      </c>
      <c r="D37" s="596">
        <f>+OLD...Tabs!D105</f>
        <v>11.903903739113844</v>
      </c>
      <c r="E37" s="596">
        <f>+OLD...Tabs!D136</f>
        <v>21.600956618720751</v>
      </c>
      <c r="F37" s="596">
        <f>+OLD...Tabs!D167</f>
        <v>0</v>
      </c>
      <c r="G37" s="596">
        <f>+OLD...Tabs!D197</f>
        <v>0</v>
      </c>
      <c r="H37" s="598">
        <f>+OLD...Tabs!D12</f>
        <v>18.926082289846406</v>
      </c>
      <c r="I37" s="598">
        <f>+OLD...Tabs!D259</f>
        <v>23.085685953925427</v>
      </c>
      <c r="J37" s="596">
        <f>+OLD...Tabs!D290</f>
        <v>19.354451261329725</v>
      </c>
      <c r="K37" s="596">
        <f>+OLD...Tabs!D321</f>
        <v>23.878933118966184</v>
      </c>
      <c r="L37" s="596">
        <f>+OLD...Tabs!D352</f>
        <v>25.871515151515151</v>
      </c>
      <c r="M37" s="598">
        <f>+OLD...Tabs!D228</f>
        <v>22.568997596629696</v>
      </c>
      <c r="N37" s="599">
        <f>+OLD...Tabs!D413</f>
        <v>0</v>
      </c>
      <c r="O37" s="511">
        <f>+OLD...Tabs!D443</f>
        <v>0</v>
      </c>
      <c r="P37" s="598">
        <f>+OLD...Tabs!D383</f>
        <v>0</v>
      </c>
    </row>
    <row r="38" spans="1:16" ht="15.75" customHeight="1">
      <c r="B38" s="478"/>
      <c r="C38" s="478"/>
      <c r="D38" s="478"/>
      <c r="E38" s="478"/>
      <c r="F38" s="478"/>
      <c r="G38" s="478"/>
      <c r="H38" s="610"/>
      <c r="I38" s="610"/>
      <c r="J38" s="478"/>
      <c r="K38" s="478"/>
      <c r="L38" s="478"/>
      <c r="M38" s="610"/>
      <c r="N38" s="610"/>
      <c r="O38" s="478"/>
      <c r="P38" s="610"/>
    </row>
    <row r="39" spans="1:16" ht="15.75" customHeight="1">
      <c r="A39" s="478" t="s">
        <v>898</v>
      </c>
      <c r="B39" s="596">
        <f>+OLD...Tabs!D46</f>
        <v>4.6365230586827479</v>
      </c>
      <c r="C39" s="596">
        <f>+OLD...Tabs!D77</f>
        <v>0.95152657056079182</v>
      </c>
      <c r="D39" s="596">
        <f>+OLD...Tabs!D107</f>
        <v>18.191141072786699</v>
      </c>
      <c r="E39" s="596">
        <f>+OLD...Tabs!D138</f>
        <v>12.769131103022575</v>
      </c>
      <c r="F39" s="596">
        <f>+OLD...Tabs!D169</f>
        <v>15.340234442427697</v>
      </c>
      <c r="G39" s="596">
        <f>+OLD...Tabs!D199</f>
        <v>9.6358505736935598</v>
      </c>
      <c r="H39" s="598">
        <f>+OLD...Tabs!D14</f>
        <v>11.328203345975153</v>
      </c>
      <c r="I39" s="598">
        <f>+OLD...Tabs!D261</f>
        <v>20.552471944784052</v>
      </c>
      <c r="J39" s="596">
        <f>+OLD...Tabs!D292</f>
        <v>23.615226956695569</v>
      </c>
      <c r="K39" s="596">
        <f>+OLD...Tabs!D323</f>
        <v>19.463414634146343</v>
      </c>
      <c r="L39" s="596">
        <f>+OLD...Tabs!D354</f>
        <v>31.764517868914684</v>
      </c>
      <c r="M39" s="598">
        <f>+OLD...Tabs!D230</f>
        <v>22.154721178225596</v>
      </c>
      <c r="N39" s="599">
        <f>+OLD...Tabs!D415</f>
        <v>32.601285708430879</v>
      </c>
      <c r="O39" s="511">
        <f>+OLD...Tabs!D445</f>
        <v>0</v>
      </c>
      <c r="P39" s="598">
        <f>+OLD...Tabs!D385</f>
        <v>32.601285708430879</v>
      </c>
    </row>
    <row r="40" spans="1:16" ht="15.75" customHeight="1">
      <c r="A40" s="478" t="s">
        <v>899</v>
      </c>
      <c r="B40" s="596">
        <f>+OLD...Tabs!D47</f>
        <v>8.1229028154152036</v>
      </c>
      <c r="C40" s="596">
        <f>+OLD...Tabs!D78</f>
        <v>0</v>
      </c>
      <c r="D40" s="596">
        <f>+OLD...Tabs!D108</f>
        <v>17.681685756475236</v>
      </c>
      <c r="E40" s="596">
        <f>+OLD...Tabs!D139</f>
        <v>24.778460213494096</v>
      </c>
      <c r="F40" s="596">
        <f>+OLD...Tabs!D170</f>
        <v>0</v>
      </c>
      <c r="G40" s="596">
        <f>+OLD...Tabs!D200</f>
        <v>0</v>
      </c>
      <c r="H40" s="598">
        <f>+OLD...Tabs!D15</f>
        <v>14.022987111923968</v>
      </c>
      <c r="I40" s="598">
        <f>+OLD...Tabs!D262</f>
        <v>0</v>
      </c>
      <c r="J40" s="596">
        <f>+OLD...Tabs!D293</f>
        <v>25.591843084692616</v>
      </c>
      <c r="K40" s="596">
        <f>+OLD...Tabs!D324</f>
        <v>36.146630053574199</v>
      </c>
      <c r="L40" s="596">
        <f>+OLD...Tabs!D355</f>
        <v>46.37833298341382</v>
      </c>
      <c r="M40" s="598">
        <f>+OLD...Tabs!D231</f>
        <v>33.395251535882963</v>
      </c>
      <c r="N40" s="599">
        <f>+OLD...Tabs!D416</f>
        <v>25.812423011222496</v>
      </c>
      <c r="O40" s="511">
        <f>+OLD...Tabs!D446</f>
        <v>0</v>
      </c>
      <c r="P40" s="598">
        <f>+OLD...Tabs!D386</f>
        <v>25.812423011222496</v>
      </c>
    </row>
    <row r="41" spans="1:16" ht="15.75" customHeight="1">
      <c r="A41" s="478" t="s">
        <v>900</v>
      </c>
      <c r="B41" s="596">
        <f>+OLD...Tabs!D48</f>
        <v>1.3462101258413817</v>
      </c>
      <c r="C41" s="596">
        <f>+OLD...Tabs!D79</f>
        <v>9.0450294283834261</v>
      </c>
      <c r="D41" s="596">
        <f>+OLD...Tabs!D109</f>
        <v>12.114261037900215</v>
      </c>
      <c r="E41" s="596">
        <f>+OLD...Tabs!D140</f>
        <v>20.74286805178804</v>
      </c>
      <c r="F41" s="596">
        <f>+OLD...Tabs!D171</f>
        <v>12.59765625</v>
      </c>
      <c r="G41" s="596">
        <f>+OLD...Tabs!D201</f>
        <v>22.643343051506299</v>
      </c>
      <c r="H41" s="598">
        <f>+OLD...Tabs!D16</f>
        <v>10.899744146015895</v>
      </c>
      <c r="I41" s="598">
        <f>+OLD...Tabs!D263</f>
        <v>0</v>
      </c>
      <c r="J41" s="596">
        <f>+OLD...Tabs!D294</f>
        <v>13.566582527781144</v>
      </c>
      <c r="K41" s="596">
        <f>+OLD...Tabs!D325</f>
        <v>7.4797434467563164</v>
      </c>
      <c r="L41" s="596">
        <f>+OLD...Tabs!D356</f>
        <v>20.976269576929461</v>
      </c>
      <c r="M41" s="598">
        <f>+OLD...Tabs!D232</f>
        <v>12.937955100621565</v>
      </c>
      <c r="N41" s="599">
        <f>+OLD...Tabs!D417</f>
        <v>7.6520704571004643</v>
      </c>
      <c r="O41" s="511">
        <f>+OLD...Tabs!D447</f>
        <v>0</v>
      </c>
      <c r="P41" s="598">
        <f>+OLD...Tabs!D387</f>
        <v>7.6520704571004643</v>
      </c>
    </row>
    <row r="42" spans="1:16" ht="15.75" customHeight="1">
      <c r="A42" s="478" t="s">
        <v>901</v>
      </c>
      <c r="B42" s="596">
        <f>+OLD...Tabs!D49</f>
        <v>3.1152399379284605</v>
      </c>
      <c r="C42" s="596">
        <f>+OLD...Tabs!D80</f>
        <v>9.7936316361956699</v>
      </c>
      <c r="D42" s="596">
        <f>+OLD...Tabs!D110</f>
        <v>11.151939028868391</v>
      </c>
      <c r="E42" s="596">
        <f>+OLD...Tabs!D141</f>
        <v>13.556165002965219</v>
      </c>
      <c r="F42" s="596">
        <f>+OLD...Tabs!D172</f>
        <v>18.465049928673324</v>
      </c>
      <c r="G42" s="596">
        <f>+OLD...Tabs!D202</f>
        <v>0</v>
      </c>
      <c r="H42" s="598">
        <f>+OLD...Tabs!D17</f>
        <v>26.784688594577027</v>
      </c>
      <c r="I42" s="598">
        <f>+OLD...Tabs!D264</f>
        <v>0</v>
      </c>
      <c r="J42" s="596">
        <f>+OLD...Tabs!D295</f>
        <v>16.53469981226154</v>
      </c>
      <c r="K42" s="596">
        <f>+OLD...Tabs!D326</f>
        <v>23.040262484706929</v>
      </c>
      <c r="L42" s="596">
        <f>+OLD...Tabs!D357</f>
        <v>20.232696631115363</v>
      </c>
      <c r="M42" s="598">
        <f>+OLD...Tabs!D233</f>
        <v>18.049008054106057</v>
      </c>
      <c r="N42" s="599">
        <f>+OLD...Tabs!D418</f>
        <v>0</v>
      </c>
      <c r="O42" s="511">
        <f>+OLD...Tabs!D448</f>
        <v>0</v>
      </c>
      <c r="P42" s="598">
        <f>+OLD...Tabs!D388</f>
        <v>0</v>
      </c>
    </row>
    <row r="43" spans="1:16" ht="15.75" customHeight="1">
      <c r="B43" s="478"/>
      <c r="C43" s="478"/>
      <c r="D43" s="478"/>
      <c r="E43" s="478"/>
      <c r="F43" s="478"/>
      <c r="G43" s="478"/>
      <c r="H43" s="610"/>
      <c r="I43" s="610"/>
      <c r="J43" s="478"/>
      <c r="K43" s="478"/>
      <c r="L43" s="478"/>
      <c r="M43" s="610"/>
      <c r="N43" s="610"/>
      <c r="O43" s="478"/>
      <c r="P43" s="610"/>
    </row>
    <row r="44" spans="1:16" ht="15.75" customHeight="1">
      <c r="A44" s="478" t="s">
        <v>951</v>
      </c>
      <c r="B44" s="596">
        <f>+OLD...Tabs!D51</f>
        <v>11.486132651211504</v>
      </c>
      <c r="C44" s="596">
        <f>+OLD...Tabs!D82</f>
        <v>10.034541821296031</v>
      </c>
      <c r="D44" s="596">
        <f>+OLD...Tabs!D112</f>
        <v>0</v>
      </c>
      <c r="E44" s="596">
        <f>+OLD...Tabs!D143</f>
        <v>16.069837789155272</v>
      </c>
      <c r="F44" s="596">
        <f>+OLD...Tabs!D174</f>
        <v>50.353836216177413</v>
      </c>
      <c r="G44" s="596">
        <f>+OLD...Tabs!D204</f>
        <v>0</v>
      </c>
      <c r="H44" s="598">
        <f>+OLD...Tabs!D19</f>
        <v>12.971303331748592</v>
      </c>
      <c r="I44" s="598">
        <f>+OLD...Tabs!D266</f>
        <v>0</v>
      </c>
      <c r="J44" s="596">
        <f>+OLD...Tabs!D297</f>
        <v>24.01614710223534</v>
      </c>
      <c r="K44" s="596">
        <f>+OLD...Tabs!D328</f>
        <v>24.429243969053076</v>
      </c>
      <c r="L44" s="596">
        <f>+OLD...Tabs!D359</f>
        <v>16.923433874709975</v>
      </c>
      <c r="M44" s="598">
        <f>+OLD...Tabs!D235</f>
        <v>23.822165490576449</v>
      </c>
      <c r="N44" s="599">
        <f>+OLD...Tabs!D420</f>
        <v>0</v>
      </c>
      <c r="O44" s="511">
        <f>+OLD...Tabs!D450</f>
        <v>0</v>
      </c>
      <c r="P44" s="598">
        <f>+OLD...Tabs!D390</f>
        <v>0</v>
      </c>
    </row>
    <row r="45" spans="1:16" ht="15.75" customHeight="1">
      <c r="A45" s="478" t="s">
        <v>903</v>
      </c>
      <c r="B45" s="596">
        <f>+OLD...Tabs!D52</f>
        <v>11.608703135959479</v>
      </c>
      <c r="C45" s="596">
        <f>+OLD...Tabs!D83</f>
        <v>20.069100683531218</v>
      </c>
      <c r="D45" s="596">
        <f>+OLD...Tabs!D113</f>
        <v>10.908541660641001</v>
      </c>
      <c r="E45" s="596">
        <f>+OLD...Tabs!D144</f>
        <v>27.44958152500611</v>
      </c>
      <c r="F45" s="596">
        <f>+OLD...Tabs!D175</f>
        <v>18.382282343151584</v>
      </c>
      <c r="G45" s="596">
        <f>+OLD...Tabs!D205</f>
        <v>9.4402420574886516</v>
      </c>
      <c r="H45" s="598">
        <f>+OLD...Tabs!D20</f>
        <v>13.225324141481199</v>
      </c>
      <c r="I45" s="598">
        <f>+OLD...Tabs!D267</f>
        <v>0</v>
      </c>
      <c r="J45" s="596">
        <f>+OLD...Tabs!D298</f>
        <v>42.307394225711448</v>
      </c>
      <c r="K45" s="596">
        <f>+OLD...Tabs!D329</f>
        <v>44.889885943118827</v>
      </c>
      <c r="L45" s="596">
        <f>+OLD...Tabs!D360</f>
        <v>49.360940632838592</v>
      </c>
      <c r="M45" s="598">
        <f>+OLD...Tabs!D236</f>
        <v>44.28984828188306</v>
      </c>
      <c r="N45" s="599">
        <f>+OLD...Tabs!D421</f>
        <v>0</v>
      </c>
      <c r="O45" s="511">
        <f>+OLD...Tabs!D451</f>
        <v>0</v>
      </c>
      <c r="P45" s="598">
        <f>+OLD...Tabs!D391</f>
        <v>0</v>
      </c>
    </row>
    <row r="46" spans="1:16" ht="15.75" customHeight="1">
      <c r="A46" s="478" t="s">
        <v>904</v>
      </c>
      <c r="B46" s="596">
        <f>+OLD...Tabs!D53</f>
        <v>12.485009490846465</v>
      </c>
      <c r="C46" s="596">
        <f>+OLD...Tabs!D84</f>
        <v>0</v>
      </c>
      <c r="D46" s="596">
        <f>+OLD...Tabs!D114</f>
        <v>20.485996613548032</v>
      </c>
      <c r="E46" s="596">
        <f>+OLD...Tabs!D145</f>
        <v>33.711051534107831</v>
      </c>
      <c r="F46" s="596">
        <f>+OLD...Tabs!D176</f>
        <v>18.789002431528747</v>
      </c>
      <c r="G46" s="596">
        <f>+OLD...Tabs!D206</f>
        <v>22.282414372356286</v>
      </c>
      <c r="H46" s="598">
        <f>+OLD...Tabs!D21</f>
        <v>16.775276716198398</v>
      </c>
      <c r="I46" s="598">
        <f>+OLD...Tabs!D268</f>
        <v>29.844908765437669</v>
      </c>
      <c r="J46" s="596">
        <f>+OLD...Tabs!D299</f>
        <v>29.711048998287108</v>
      </c>
      <c r="K46" s="596">
        <f>+OLD...Tabs!D330</f>
        <v>27.201022457549755</v>
      </c>
      <c r="L46" s="596">
        <f>+OLD...Tabs!D361</f>
        <v>25.124353564608715</v>
      </c>
      <c r="M46" s="598">
        <f>+OLD...Tabs!D237</f>
        <v>28.145100599300733</v>
      </c>
      <c r="N46" s="599">
        <f>+OLD...Tabs!D422</f>
        <v>0</v>
      </c>
      <c r="O46" s="511">
        <f>+OLD...Tabs!D452</f>
        <v>0</v>
      </c>
      <c r="P46" s="598">
        <f>+OLD...Tabs!D392</f>
        <v>0</v>
      </c>
    </row>
    <row r="47" spans="1:16" s="524" customFormat="1" ht="16.5" customHeight="1">
      <c r="A47" s="478" t="s">
        <v>905</v>
      </c>
      <c r="B47" s="596">
        <f>+OLD...Tabs!D54</f>
        <v>6.3423174153222295</v>
      </c>
      <c r="C47" s="596">
        <f>+OLD...Tabs!D85</f>
        <v>0</v>
      </c>
      <c r="D47" s="596">
        <f>+OLD...Tabs!D115</f>
        <v>3.160918200776945</v>
      </c>
      <c r="E47" s="596">
        <f>+OLD...Tabs!D146</f>
        <v>0</v>
      </c>
      <c r="F47" s="596">
        <f>+OLD...Tabs!D177</f>
        <v>7.5983796425314862</v>
      </c>
      <c r="G47" s="596">
        <f>+OLD...Tabs!D207</f>
        <v>11.958970371302131</v>
      </c>
      <c r="H47" s="598">
        <f>+OLD...Tabs!D22</f>
        <v>6.3771352207167542</v>
      </c>
      <c r="I47" s="598">
        <f>+OLD...Tabs!D269</f>
        <v>0</v>
      </c>
      <c r="J47" s="596">
        <f>+OLD...Tabs!D300</f>
        <v>28.269300365402355</v>
      </c>
      <c r="K47" s="596">
        <f>+OLD...Tabs!D331</f>
        <v>27.141810101744031</v>
      </c>
      <c r="L47" s="596">
        <f>+OLD...Tabs!D362</f>
        <v>20.013330078314212</v>
      </c>
      <c r="M47" s="598">
        <f>+OLD...Tabs!D238</f>
        <v>26.947948091416794</v>
      </c>
      <c r="N47" s="599">
        <f>+OLD...Tabs!D423</f>
        <v>0</v>
      </c>
      <c r="O47" s="511">
        <f>+OLD...Tabs!D453</f>
        <v>0</v>
      </c>
      <c r="P47" s="598">
        <f>+OLD...Tabs!D393</f>
        <v>0</v>
      </c>
    </row>
    <row r="48" spans="1:16" s="524" customFormat="1" ht="14.25" customHeight="1">
      <c r="H48" s="611"/>
      <c r="I48" s="611"/>
      <c r="M48" s="611"/>
      <c r="N48" s="611"/>
      <c r="P48" s="611"/>
    </row>
    <row r="49" spans="1:16" s="524" customFormat="1" ht="15" customHeight="1">
      <c r="A49" s="478" t="s">
        <v>906</v>
      </c>
      <c r="B49" s="596">
        <f>+OLD...Tabs!D56</f>
        <v>10.952994626709188</v>
      </c>
      <c r="C49" s="596">
        <f>+OLD...Tabs!D87</f>
        <v>21.253154115892681</v>
      </c>
      <c r="D49" s="596">
        <f>+OLD...Tabs!D117</f>
        <v>21.386073729130445</v>
      </c>
      <c r="E49" s="596">
        <f>+OLD...Tabs!D148</f>
        <v>0</v>
      </c>
      <c r="F49" s="596">
        <f>+OLD...Tabs!D179</f>
        <v>11.078661422196712</v>
      </c>
      <c r="G49" s="596">
        <f>+OLD...Tabs!D209</f>
        <v>0</v>
      </c>
      <c r="H49" s="598">
        <f>+OLD...Tabs!D24</f>
        <v>17.215031803788211</v>
      </c>
      <c r="I49" s="598">
        <f>+OLD...Tabs!D271</f>
        <v>0</v>
      </c>
      <c r="J49" s="596">
        <f>+OLD...Tabs!D302</f>
        <v>24.508354223917095</v>
      </c>
      <c r="K49" s="596">
        <f>+OLD...Tabs!D333</f>
        <v>27.060204800748668</v>
      </c>
      <c r="L49" s="596">
        <f>+OLD...Tabs!D364</f>
        <v>25.0965641367874</v>
      </c>
      <c r="M49" s="598">
        <f>+OLD...Tabs!D240</f>
        <v>25.601666189535678</v>
      </c>
      <c r="N49" s="599">
        <f>+OLD...Tabs!D425</f>
        <v>0</v>
      </c>
      <c r="O49" s="511">
        <f>+OLD...Tabs!D455</f>
        <v>0</v>
      </c>
      <c r="P49" s="598">
        <f>+OLD...Tabs!D395</f>
        <v>0</v>
      </c>
    </row>
    <row r="50" spans="1:16" s="524" customFormat="1" ht="12.75">
      <c r="A50" s="478" t="s">
        <v>907</v>
      </c>
      <c r="B50" s="596">
        <f>+OLD...Tabs!D57</f>
        <v>12.766717818101279</v>
      </c>
      <c r="C50" s="596">
        <f>+OLD...Tabs!D88</f>
        <v>12.446422175923963</v>
      </c>
      <c r="D50" s="596">
        <f>+OLD...Tabs!D118</f>
        <v>17.158428156479566</v>
      </c>
      <c r="E50" s="596">
        <f>+OLD...Tabs!D149</f>
        <v>44.628778855425104</v>
      </c>
      <c r="F50" s="596">
        <f>+OLD...Tabs!D180</f>
        <v>36.077786102443973</v>
      </c>
      <c r="G50" s="596">
        <f>+OLD...Tabs!D210</f>
        <v>0</v>
      </c>
      <c r="H50" s="598">
        <f>+OLD...Tabs!D25</f>
        <v>15.265084232258694</v>
      </c>
      <c r="I50" s="598">
        <f>+OLD...Tabs!D272</f>
        <v>21.571761843004541</v>
      </c>
      <c r="J50" s="596">
        <f>+OLD...Tabs!D303</f>
        <v>24.642457606414435</v>
      </c>
      <c r="K50" s="596">
        <f>+OLD...Tabs!D334</f>
        <v>26.429020378808016</v>
      </c>
      <c r="L50" s="596">
        <f>+OLD...Tabs!D365</f>
        <v>33.097990776942837</v>
      </c>
      <c r="M50" s="598">
        <f>+OLD...Tabs!D241</f>
        <v>25.039543335057729</v>
      </c>
      <c r="N50" s="599">
        <f>+OLD...Tabs!D426</f>
        <v>0</v>
      </c>
      <c r="O50" s="511">
        <f>+OLD...Tabs!D456</f>
        <v>0</v>
      </c>
      <c r="P50" s="598">
        <f>+OLD...Tabs!D396</f>
        <v>0</v>
      </c>
    </row>
    <row r="51" spans="1:16" s="524" customFormat="1" ht="16.5" customHeight="1">
      <c r="A51" s="478" t="s">
        <v>908</v>
      </c>
      <c r="B51" s="596">
        <f>+OLD...Tabs!D58</f>
        <v>7.5782736427964759</v>
      </c>
      <c r="C51" s="596">
        <f>+OLD...Tabs!D89</f>
        <v>3.4347681182676532E-2</v>
      </c>
      <c r="D51" s="596">
        <f>+OLD...Tabs!D119</f>
        <v>6.9821068464890672</v>
      </c>
      <c r="E51" s="596">
        <f>+OLD...Tabs!D150</f>
        <v>0</v>
      </c>
      <c r="F51" s="596">
        <f>+OLD...Tabs!D181</f>
        <v>0</v>
      </c>
      <c r="G51" s="596">
        <f>+OLD...Tabs!D211</f>
        <v>19.497497112052368</v>
      </c>
      <c r="H51" s="598">
        <f>+OLD...Tabs!D26</f>
        <v>7.0174197562959844</v>
      </c>
      <c r="I51" s="598">
        <f>+OLD...Tabs!D273</f>
        <v>0</v>
      </c>
      <c r="J51" s="596">
        <f>+OLD...Tabs!D304</f>
        <v>27.144158597762665</v>
      </c>
      <c r="K51" s="596">
        <f>+OLD...Tabs!D335</f>
        <v>30.321413303906066</v>
      </c>
      <c r="L51" s="596">
        <f>+OLD...Tabs!D366</f>
        <v>35.417707867532947</v>
      </c>
      <c r="M51" s="598">
        <f>+OLD...Tabs!D242</f>
        <v>28.796225129985302</v>
      </c>
      <c r="N51" s="599">
        <f>+OLD...Tabs!D427</f>
        <v>0</v>
      </c>
      <c r="O51" s="511">
        <f>+OLD...Tabs!D457</f>
        <v>0</v>
      </c>
      <c r="P51" s="598">
        <f>+OLD...Tabs!D397</f>
        <v>0</v>
      </c>
    </row>
    <row r="52" spans="1:16" s="478" customFormat="1">
      <c r="A52" s="478" t="s">
        <v>909</v>
      </c>
      <c r="B52" s="596">
        <f>+OLD...Tabs!D59</f>
        <v>9.8565264277012137</v>
      </c>
      <c r="C52" s="596">
        <f>+OLD...Tabs!D90</f>
        <v>0</v>
      </c>
      <c r="D52" s="596">
        <f>+OLD...Tabs!D120</f>
        <v>13.337699931866005</v>
      </c>
      <c r="E52" s="596">
        <f>+OLD...Tabs!D151</f>
        <v>0</v>
      </c>
      <c r="F52" s="596">
        <f>+OLD...Tabs!D182</f>
        <v>11.488473956058391</v>
      </c>
      <c r="G52" s="596">
        <f>+OLD...Tabs!D212</f>
        <v>24.646254696618435</v>
      </c>
      <c r="H52" s="598">
        <f>+OLD...Tabs!D27</f>
        <v>13.19895496933851</v>
      </c>
      <c r="I52" s="598">
        <f>+OLD...Tabs!D274</f>
        <v>9.5440988495952279</v>
      </c>
      <c r="J52" s="596">
        <f>+OLD...Tabs!D305</f>
        <v>0</v>
      </c>
      <c r="K52" s="596">
        <f>+OLD...Tabs!D336</f>
        <v>0</v>
      </c>
      <c r="L52" s="596">
        <f>+OLD...Tabs!D367</f>
        <v>25.30113105897118</v>
      </c>
      <c r="M52" s="612">
        <f>+OLD...Tabs!D243</f>
        <v>23.676617147626409</v>
      </c>
      <c r="N52" s="599">
        <f>+OLD...Tabs!D428</f>
        <v>0</v>
      </c>
      <c r="O52" s="511">
        <f>+OLD...Tabs!D458</f>
        <v>0</v>
      </c>
      <c r="P52" s="598">
        <f>+OLD...Tabs!D398</f>
        <v>0</v>
      </c>
    </row>
    <row r="53" spans="1:16" ht="24" customHeight="1">
      <c r="A53" s="662" t="s">
        <v>981</v>
      </c>
      <c r="B53" s="662"/>
      <c r="C53" s="662"/>
      <c r="D53" s="662"/>
      <c r="E53" s="662"/>
      <c r="F53" s="662"/>
      <c r="G53" s="662"/>
      <c r="H53" s="662"/>
      <c r="I53" s="662"/>
      <c r="J53" s="662"/>
      <c r="K53" s="662"/>
      <c r="L53" s="662"/>
      <c r="M53" s="662"/>
      <c r="N53" s="662"/>
      <c r="O53" s="662"/>
      <c r="P53" s="662"/>
    </row>
    <row r="54" spans="1:16" ht="23.25" customHeight="1">
      <c r="A54" s="655" t="s">
        <v>983</v>
      </c>
      <c r="B54" s="656"/>
      <c r="C54" s="656"/>
      <c r="D54" s="656"/>
      <c r="E54" s="656"/>
      <c r="F54" s="656"/>
      <c r="G54" s="656"/>
      <c r="H54" s="656"/>
      <c r="I54" s="656"/>
      <c r="J54" s="656"/>
      <c r="K54" s="656"/>
      <c r="L54" s="656"/>
      <c r="M54" s="656"/>
      <c r="N54" s="656"/>
      <c r="O54" s="656"/>
      <c r="P54" s="656"/>
    </row>
    <row r="55" spans="1:16">
      <c r="A55" s="524"/>
      <c r="B55" s="524"/>
      <c r="C55" s="524"/>
      <c r="D55" s="524"/>
      <c r="E55" s="524"/>
      <c r="F55" s="524"/>
      <c r="G55" s="524"/>
      <c r="H55" s="524"/>
      <c r="I55" s="524"/>
      <c r="J55" s="524"/>
      <c r="K55" s="524"/>
      <c r="L55" s="524"/>
      <c r="M55" s="607"/>
      <c r="N55" s="524"/>
      <c r="O55" s="524"/>
      <c r="P55" s="532" t="s">
        <v>1015</v>
      </c>
    </row>
    <row r="56" spans="1:16" s="589" customFormat="1" ht="18">
      <c r="A56" s="472" t="s">
        <v>984</v>
      </c>
      <c r="B56" s="473"/>
      <c r="C56" s="473"/>
      <c r="D56" s="473"/>
      <c r="E56" s="473"/>
      <c r="F56" s="473"/>
      <c r="G56" s="578"/>
      <c r="H56" s="578"/>
      <c r="I56" s="613" t="s">
        <v>320</v>
      </c>
      <c r="J56" s="614"/>
      <c r="K56" s="614"/>
      <c r="L56" s="614"/>
      <c r="M56" s="615"/>
      <c r="N56" s="368"/>
      <c r="O56" s="368"/>
      <c r="P56" s="368"/>
    </row>
    <row r="57" spans="1:16" s="595" customFormat="1" ht="12.75">
      <c r="A57" s="479"/>
      <c r="B57" s="475"/>
      <c r="C57" s="475"/>
      <c r="D57" s="475"/>
      <c r="E57" s="475"/>
      <c r="F57" s="475"/>
      <c r="G57" s="475"/>
      <c r="H57" s="475"/>
      <c r="I57" s="616"/>
      <c r="J57" s="616"/>
      <c r="K57" s="616"/>
      <c r="L57" s="616"/>
      <c r="M57" s="617"/>
      <c r="N57" s="478"/>
      <c r="O57" s="478"/>
      <c r="P57" s="478"/>
    </row>
    <row r="58" spans="1:16" ht="15" customHeight="1">
      <c r="A58" s="581" t="s">
        <v>985</v>
      </c>
      <c r="B58" s="473"/>
      <c r="C58" s="473"/>
      <c r="D58" s="473"/>
      <c r="E58" s="473"/>
      <c r="F58" s="473"/>
      <c r="G58" s="578"/>
      <c r="H58" s="578"/>
      <c r="I58" s="613" t="s">
        <v>320</v>
      </c>
      <c r="J58" s="614"/>
      <c r="K58" s="614"/>
      <c r="L58" s="614"/>
      <c r="M58" s="615"/>
    </row>
    <row r="59" spans="1:16" ht="15.75" customHeight="1">
      <c r="A59" s="581" t="s">
        <v>986</v>
      </c>
      <c r="B59" s="475"/>
      <c r="C59" s="475"/>
      <c r="D59" s="475"/>
      <c r="E59" s="475"/>
      <c r="F59" s="475"/>
      <c r="G59" s="578"/>
      <c r="H59" s="578"/>
      <c r="I59" s="613" t="s">
        <v>320</v>
      </c>
      <c r="J59" s="614"/>
      <c r="K59" s="614"/>
      <c r="L59" s="614"/>
      <c r="M59" s="615"/>
    </row>
    <row r="60" spans="1:16" ht="15.75" customHeight="1">
      <c r="A60" s="581" t="s">
        <v>998</v>
      </c>
      <c r="B60" s="475"/>
      <c r="C60" s="475"/>
      <c r="D60" s="475"/>
      <c r="E60" s="475"/>
      <c r="F60" s="475"/>
      <c r="G60" s="578"/>
      <c r="H60" s="578"/>
      <c r="I60" s="613" t="s">
        <v>320</v>
      </c>
      <c r="J60" s="614"/>
      <c r="K60" s="614"/>
      <c r="L60" s="614"/>
      <c r="M60" s="615"/>
    </row>
    <row r="61" spans="1:16" ht="15.75" customHeight="1">
      <c r="A61" s="618"/>
      <c r="B61" s="619"/>
      <c r="C61" s="619"/>
      <c r="D61" s="619"/>
      <c r="E61" s="619"/>
      <c r="F61" s="619"/>
      <c r="G61" s="619"/>
      <c r="H61" s="619"/>
      <c r="I61" s="290"/>
      <c r="J61" s="585"/>
      <c r="K61" s="585"/>
      <c r="L61" s="585"/>
    </row>
    <row r="62" spans="1:16" ht="15.75" customHeight="1">
      <c r="A62" s="586"/>
      <c r="B62" s="591" t="s">
        <v>877</v>
      </c>
      <c r="C62" s="591"/>
      <c r="D62" s="591"/>
      <c r="E62" s="591"/>
      <c r="F62" s="591"/>
      <c r="G62" s="591"/>
      <c r="H62" s="591"/>
      <c r="I62" s="620"/>
      <c r="J62" s="620"/>
      <c r="K62" s="620"/>
      <c r="L62" s="620"/>
      <c r="M62" s="620"/>
      <c r="N62" s="589"/>
      <c r="O62" s="589"/>
      <c r="P62" s="589"/>
    </row>
    <row r="63" spans="1:16" ht="15.75" customHeight="1">
      <c r="A63" s="590"/>
      <c r="B63" s="591">
        <v>1</v>
      </c>
      <c r="C63" s="591">
        <v>2</v>
      </c>
      <c r="D63" s="591">
        <v>3</v>
      </c>
      <c r="E63" s="591">
        <v>4</v>
      </c>
      <c r="F63" s="591">
        <v>5</v>
      </c>
      <c r="G63" s="591">
        <v>6</v>
      </c>
      <c r="H63" s="594" t="s">
        <v>978</v>
      </c>
      <c r="I63" s="620"/>
      <c r="J63" s="620"/>
      <c r="K63" s="620"/>
      <c r="L63" s="620"/>
      <c r="M63" s="620"/>
      <c r="N63" s="595"/>
      <c r="O63" s="595"/>
      <c r="P63" s="595"/>
    </row>
    <row r="64" spans="1:16" ht="15.75" customHeight="1">
      <c r="A64" s="478" t="s">
        <v>894</v>
      </c>
      <c r="B64" s="621">
        <f>+OLD...Tabs!J41+OLD...Tabs!K41</f>
        <v>81.594835616921216</v>
      </c>
      <c r="C64" s="621">
        <f>+OLD...Tabs!J72+OLD...Tabs!K72</f>
        <v>72.021143926081294</v>
      </c>
      <c r="D64" s="621">
        <f>+OLD...Tabs!J102+OLD...Tabs!K102</f>
        <v>62.609969279933047</v>
      </c>
      <c r="E64" s="621">
        <f>+OLD...Tabs!J133+OLD...Tabs!K133</f>
        <v>68.389600310438496</v>
      </c>
      <c r="F64" s="621">
        <f>+OLD...Tabs!J164+OLD...Tabs!K164</f>
        <v>24.309958061055301</v>
      </c>
      <c r="G64" s="621">
        <f>+OLD...Tabs!J194+OLD...Tabs!K194</f>
        <v>0</v>
      </c>
      <c r="H64" s="600">
        <f>+OLD...Tabs!J9+OLD...Tabs!K9</f>
        <v>69.43978416613767</v>
      </c>
      <c r="I64" s="622"/>
      <c r="J64" s="623"/>
      <c r="K64" s="623"/>
      <c r="L64" s="623"/>
      <c r="M64" s="623"/>
    </row>
    <row r="65" spans="1:16" ht="15.75" customHeight="1">
      <c r="A65" s="478" t="s">
        <v>895</v>
      </c>
      <c r="B65" s="624">
        <f>+OLD...Tabs!J42+OLD...Tabs!K42</f>
        <v>73.962734467501718</v>
      </c>
      <c r="C65" s="624">
        <f>+OLD...Tabs!J73+OLD...Tabs!K73</f>
        <v>74.841398471868487</v>
      </c>
      <c r="D65" s="624">
        <f>+OLD...Tabs!J103+OLD...Tabs!K103</f>
        <v>38.698328278829344</v>
      </c>
      <c r="E65" s="624">
        <f>+OLD...Tabs!J134+OLD...Tabs!K134</f>
        <v>32.218500640331001</v>
      </c>
      <c r="F65" s="624">
        <f>+OLD...Tabs!J165+OLD...Tabs!K165</f>
        <v>13.561253561253562</v>
      </c>
      <c r="G65" s="624">
        <f>+OLD...Tabs!J195+OLD...Tabs!K195</f>
        <v>74.454828660436135</v>
      </c>
      <c r="H65" s="598">
        <f>+OLD...Tabs!J10+OLD...Tabs!K10</f>
        <v>62.095034895083465</v>
      </c>
      <c r="I65" s="622"/>
      <c r="J65" s="623"/>
      <c r="K65" s="623"/>
      <c r="L65" s="623"/>
      <c r="M65" s="623"/>
    </row>
    <row r="66" spans="1:16" ht="15.75" customHeight="1">
      <c r="A66" s="478" t="s">
        <v>896</v>
      </c>
      <c r="B66" s="624">
        <f>+OLD...Tabs!J43+OLD...Tabs!K43</f>
        <v>91.579647735043523</v>
      </c>
      <c r="C66" s="624">
        <f>+OLD...Tabs!J74+OLD...Tabs!K74</f>
        <v>0</v>
      </c>
      <c r="D66" s="624">
        <f>+OLD...Tabs!J104+OLD...Tabs!K104</f>
        <v>95.306530835000913</v>
      </c>
      <c r="E66" s="624">
        <f>+OLD...Tabs!J135+OLD...Tabs!K135</f>
        <v>0</v>
      </c>
      <c r="F66" s="624">
        <f>+OLD...Tabs!J166+OLD...Tabs!K166</f>
        <v>0</v>
      </c>
      <c r="G66" s="624">
        <f>+OLD...Tabs!J196+OLD...Tabs!K196</f>
        <v>0</v>
      </c>
      <c r="H66" s="598">
        <f>+OLD...Tabs!J11+OLD...Tabs!K11</f>
        <v>91.923360848265219</v>
      </c>
      <c r="I66" s="622"/>
      <c r="J66" s="623"/>
      <c r="K66" s="623"/>
      <c r="L66" s="623"/>
      <c r="M66" s="623"/>
    </row>
    <row r="67" spans="1:16" ht="15.75" customHeight="1">
      <c r="A67" s="478" t="s">
        <v>897</v>
      </c>
      <c r="B67" s="624">
        <f>+OLD...Tabs!J44+OLD...Tabs!K44</f>
        <v>80.213229772904924</v>
      </c>
      <c r="C67" s="624">
        <f>+OLD...Tabs!J75+OLD...Tabs!K75</f>
        <v>0</v>
      </c>
      <c r="D67" s="624">
        <f>+OLD...Tabs!J105+OLD...Tabs!K105</f>
        <v>69.90251415712099</v>
      </c>
      <c r="E67" s="624">
        <f>+OLD...Tabs!J136+OLD...Tabs!K136</f>
        <v>62.794689282649301</v>
      </c>
      <c r="F67" s="624">
        <f>+OLD...Tabs!J167+OLD...Tabs!K167</f>
        <v>0</v>
      </c>
      <c r="G67" s="624">
        <f>+OLD...Tabs!J197+OLD...Tabs!K197</f>
        <v>0</v>
      </c>
      <c r="H67" s="598">
        <f>+OLD...Tabs!J12+OLD...Tabs!K12</f>
        <v>78.960461322251163</v>
      </c>
      <c r="I67" s="622"/>
      <c r="J67" s="623"/>
      <c r="K67" s="623"/>
      <c r="L67" s="623"/>
      <c r="M67" s="623"/>
    </row>
    <row r="68" spans="1:16" ht="15.75" customHeight="1">
      <c r="A68" s="478"/>
      <c r="B68" s="624"/>
      <c r="C68" s="624"/>
      <c r="D68" s="624"/>
      <c r="E68" s="624"/>
      <c r="F68" s="624"/>
      <c r="G68" s="624"/>
      <c r="H68" s="598"/>
      <c r="I68" s="622"/>
      <c r="J68" s="623"/>
      <c r="K68" s="623"/>
      <c r="L68" s="623"/>
      <c r="M68" s="623"/>
    </row>
    <row r="69" spans="1:16" ht="15.75" customHeight="1">
      <c r="A69" s="478" t="s">
        <v>898</v>
      </c>
      <c r="B69" s="624">
        <f>+OLD...Tabs!J46+OLD...Tabs!K46</f>
        <v>95.971012316010814</v>
      </c>
      <c r="C69" s="624">
        <f>+OLD...Tabs!J77+OLD...Tabs!K77</f>
        <v>89.849406313350713</v>
      </c>
      <c r="D69" s="624">
        <f>+OLD...Tabs!J107+OLD...Tabs!K107</f>
        <v>39.539089280706875</v>
      </c>
      <c r="E69" s="624">
        <f>+OLD...Tabs!J138+OLD...Tabs!K138</f>
        <v>83.220365985241827</v>
      </c>
      <c r="F69" s="624">
        <f>+OLD...Tabs!J169+OLD...Tabs!K169</f>
        <v>68.929365667690348</v>
      </c>
      <c r="G69" s="624">
        <f>+OLD...Tabs!J199+OLD...Tabs!K199</f>
        <v>0</v>
      </c>
      <c r="H69" s="598">
        <f>+OLD...Tabs!J14+OLD...Tabs!K14</f>
        <v>83.290355639033947</v>
      </c>
      <c r="I69" s="622"/>
      <c r="J69" s="623"/>
      <c r="K69" s="623"/>
      <c r="L69" s="623"/>
      <c r="M69" s="623"/>
    </row>
    <row r="70" spans="1:16" ht="15.75" customHeight="1">
      <c r="A70" s="478" t="s">
        <v>899</v>
      </c>
      <c r="B70" s="624">
        <f>+OLD...Tabs!J47+OLD...Tabs!K47</f>
        <v>83.071756562264397</v>
      </c>
      <c r="C70" s="624">
        <f>+OLD...Tabs!J78+OLD...Tabs!K78</f>
        <v>0</v>
      </c>
      <c r="D70" s="624">
        <f>+OLD...Tabs!J108+OLD...Tabs!K108</f>
        <v>51.320038898827029</v>
      </c>
      <c r="E70" s="624">
        <f>+OLD...Tabs!J139+OLD...Tabs!K139</f>
        <v>74.270318814548716</v>
      </c>
      <c r="F70" s="624">
        <f>+OLD...Tabs!J170+OLD...Tabs!K170</f>
        <v>0</v>
      </c>
      <c r="G70" s="624">
        <f>+OLD...Tabs!J200+OLD...Tabs!K200</f>
        <v>0</v>
      </c>
      <c r="H70" s="598">
        <f>+OLD...Tabs!J15+OLD...Tabs!K15</f>
        <v>66.950387775800607</v>
      </c>
      <c r="I70" s="622"/>
      <c r="J70" s="623"/>
      <c r="K70" s="623"/>
      <c r="L70" s="623"/>
      <c r="M70" s="623"/>
    </row>
    <row r="71" spans="1:16" ht="15.75" customHeight="1">
      <c r="A71" s="478" t="s">
        <v>900</v>
      </c>
      <c r="B71" s="624">
        <f>+OLD...Tabs!J48+OLD...Tabs!K48</f>
        <v>97.387695312499986</v>
      </c>
      <c r="C71" s="624">
        <f>+OLD...Tabs!J79+OLD...Tabs!K79</f>
        <v>86.9485854200245</v>
      </c>
      <c r="D71" s="624">
        <f>+OLD...Tabs!J109+OLD...Tabs!K109</f>
        <v>74.40559183455791</v>
      </c>
      <c r="E71" s="624">
        <f>+OLD...Tabs!J140+OLD...Tabs!K140</f>
        <v>56.03768427586283</v>
      </c>
      <c r="F71" s="624">
        <f>+OLD...Tabs!J171+OLD...Tabs!K171</f>
        <v>78.504672897196244</v>
      </c>
      <c r="G71" s="624">
        <f>+OLD...Tabs!J201+OLD...Tabs!K201</f>
        <v>0</v>
      </c>
      <c r="H71" s="598">
        <f>+OLD...Tabs!J16+OLD...Tabs!K16</f>
        <v>81.084700312736601</v>
      </c>
      <c r="I71" s="622"/>
      <c r="J71" s="623"/>
      <c r="K71" s="623"/>
      <c r="L71" s="623"/>
      <c r="M71" s="623"/>
    </row>
    <row r="72" spans="1:16" ht="15.75" customHeight="1">
      <c r="A72" s="478" t="s">
        <v>901</v>
      </c>
      <c r="B72" s="624">
        <f>+OLD...Tabs!J49+OLD...Tabs!K49</f>
        <v>93.740481254560734</v>
      </c>
      <c r="C72" s="624">
        <f>+OLD...Tabs!J80+OLD...Tabs!K80</f>
        <v>81.762757666133894</v>
      </c>
      <c r="D72" s="624">
        <f>+OLD...Tabs!J110+OLD...Tabs!K110</f>
        <v>79.076186393718558</v>
      </c>
      <c r="E72" s="624">
        <f>+OLD...Tabs!J141+OLD...Tabs!K141</f>
        <v>69.907179739365631</v>
      </c>
      <c r="F72" s="624">
        <f>+OLD...Tabs!J172+OLD...Tabs!K172</f>
        <v>89.91935483870968</v>
      </c>
      <c r="G72" s="624">
        <f>+OLD...Tabs!J202+OLD...Tabs!K202</f>
        <v>100</v>
      </c>
      <c r="H72" s="598">
        <f>+OLD...Tabs!J17+OLD...Tabs!K17</f>
        <v>58.854085472681263</v>
      </c>
      <c r="I72" s="622"/>
      <c r="J72" s="623"/>
      <c r="K72" s="623"/>
      <c r="L72" s="623"/>
      <c r="M72" s="623"/>
    </row>
    <row r="73" spans="1:16" ht="15.75" customHeight="1">
      <c r="A73" s="478"/>
      <c r="B73" s="624"/>
      <c r="C73" s="624"/>
      <c r="D73" s="624"/>
      <c r="E73" s="624"/>
      <c r="F73" s="624"/>
      <c r="G73" s="624"/>
      <c r="H73" s="598"/>
      <c r="I73" s="622"/>
      <c r="J73" s="623"/>
      <c r="K73" s="623"/>
      <c r="L73" s="623"/>
      <c r="M73" s="623"/>
    </row>
    <row r="74" spans="1:16" ht="15.75" customHeight="1">
      <c r="A74" s="478" t="s">
        <v>902</v>
      </c>
      <c r="B74" s="624">
        <f>+OLD...Tabs!J51+OLD...Tabs!K51</f>
        <v>71.88327653474839</v>
      </c>
      <c r="C74" s="624">
        <f>+OLD...Tabs!J82+OLD...Tabs!K82</f>
        <v>81.869648575128224</v>
      </c>
      <c r="D74" s="624">
        <f>+OLD...Tabs!J112+OLD...Tabs!K112</f>
        <v>0</v>
      </c>
      <c r="E74" s="624">
        <f>+OLD...Tabs!J143+OLD...Tabs!K143</f>
        <v>27.789572430137259</v>
      </c>
      <c r="F74" s="624">
        <f>+OLD...Tabs!J174+OLD...Tabs!K174</f>
        <v>67.188252286952334</v>
      </c>
      <c r="G74" s="624">
        <f>+OLD...Tabs!J204+OLD...Tabs!K204</f>
        <v>0</v>
      </c>
      <c r="H74" s="598">
        <f>+OLD...Tabs!J19+OLD...Tabs!K19</f>
        <v>68.63532937010271</v>
      </c>
      <c r="I74" s="622"/>
      <c r="J74" s="623"/>
      <c r="K74" s="623"/>
      <c r="L74" s="623"/>
      <c r="M74" s="623"/>
    </row>
    <row r="75" spans="1:16" ht="15.75" customHeight="1">
      <c r="A75" s="478" t="s">
        <v>903</v>
      </c>
      <c r="B75" s="624">
        <f>+OLD...Tabs!J52+OLD...Tabs!K52</f>
        <v>84.47580476806813</v>
      </c>
      <c r="C75" s="624">
        <f>+OLD...Tabs!J83+OLD...Tabs!K83</f>
        <v>51.704185653798874</v>
      </c>
      <c r="D75" s="624">
        <f>+OLD...Tabs!J113+OLD...Tabs!K113</f>
        <v>71.884736201038521</v>
      </c>
      <c r="E75" s="624">
        <f>+OLD...Tabs!J144+OLD...Tabs!K144</f>
        <v>71.895424836601308</v>
      </c>
      <c r="F75" s="624">
        <f>+OLD...Tabs!J175+OLD...Tabs!K175</f>
        <v>71.090276860777323</v>
      </c>
      <c r="G75" s="624">
        <f>+OLD...Tabs!J205+OLD...Tabs!K205</f>
        <v>78.478824546240276</v>
      </c>
      <c r="H75" s="598">
        <f>+OLD...Tabs!J20+OLD...Tabs!K20</f>
        <v>77.749522695161318</v>
      </c>
      <c r="I75" s="622"/>
      <c r="J75" s="623"/>
      <c r="K75" s="623"/>
      <c r="L75" s="623"/>
      <c r="M75" s="623"/>
    </row>
    <row r="76" spans="1:16" ht="15.75" customHeight="1">
      <c r="A76" s="478" t="s">
        <v>904</v>
      </c>
      <c r="B76" s="624">
        <f>+OLD...Tabs!J53+OLD...Tabs!K53</f>
        <v>80.936571196973802</v>
      </c>
      <c r="C76" s="624">
        <f>+OLD...Tabs!J84+OLD...Tabs!K84</f>
        <v>0</v>
      </c>
      <c r="D76" s="624">
        <f>+OLD...Tabs!J114+OLD...Tabs!K114</f>
        <v>84.154328018223239</v>
      </c>
      <c r="E76" s="624">
        <f>+OLD...Tabs!J145+OLD...Tabs!K145</f>
        <v>39.732142857142854</v>
      </c>
      <c r="F76" s="624">
        <f>+OLD...Tabs!J176+OLD...Tabs!K176</f>
        <v>50.778167735689216</v>
      </c>
      <c r="G76" s="624">
        <f>+OLD...Tabs!J206+OLD...Tabs!K206</f>
        <v>100</v>
      </c>
      <c r="H76" s="598">
        <f>+OLD...Tabs!J21+OLD...Tabs!K21</f>
        <v>77.374424827194787</v>
      </c>
      <c r="I76" s="622"/>
      <c r="J76" s="623"/>
      <c r="K76" s="623"/>
      <c r="L76" s="623"/>
      <c r="M76" s="623"/>
    </row>
    <row r="77" spans="1:16" s="524" customFormat="1">
      <c r="A77" s="478" t="s">
        <v>905</v>
      </c>
      <c r="B77" s="624">
        <f>+OLD...Tabs!J54+OLD...Tabs!K54</f>
        <v>80.122793080726908</v>
      </c>
      <c r="C77" s="624">
        <f>+OLD...Tabs!J85+OLD...Tabs!K85</f>
        <v>0</v>
      </c>
      <c r="D77" s="624">
        <f>+OLD...Tabs!J115+OLD...Tabs!K115</f>
        <v>88.327573964497034</v>
      </c>
      <c r="E77" s="624">
        <f>+OLD...Tabs!J146+OLD...Tabs!K146</f>
        <v>0</v>
      </c>
      <c r="F77" s="624">
        <f>+OLD...Tabs!J177+OLD...Tabs!K177</f>
        <v>69.898513275661912</v>
      </c>
      <c r="G77" s="624">
        <f>+OLD...Tabs!J207+OLD...Tabs!K207</f>
        <v>89.864681126578176</v>
      </c>
      <c r="H77" s="598">
        <f>+OLD...Tabs!J22+OLD...Tabs!K22</f>
        <v>83.102590742197393</v>
      </c>
      <c r="I77" s="622"/>
      <c r="J77" s="623"/>
      <c r="K77" s="623"/>
      <c r="L77" s="623"/>
      <c r="M77" s="623"/>
      <c r="N77" s="368"/>
      <c r="O77" s="368"/>
      <c r="P77" s="368"/>
    </row>
    <row r="78" spans="1:16" s="524" customFormat="1" ht="27.75" customHeight="1">
      <c r="A78" s="478"/>
      <c r="B78" s="624"/>
      <c r="C78" s="624"/>
      <c r="D78" s="624"/>
      <c r="E78" s="624"/>
      <c r="F78" s="624"/>
      <c r="G78" s="624"/>
      <c r="H78" s="598"/>
      <c r="I78" s="622"/>
      <c r="J78" s="623"/>
      <c r="K78" s="623"/>
      <c r="L78" s="623"/>
      <c r="M78" s="623"/>
      <c r="N78" s="368"/>
      <c r="O78" s="368"/>
      <c r="P78" s="368"/>
    </row>
    <row r="79" spans="1:16" s="524" customFormat="1">
      <c r="A79" s="478" t="s">
        <v>906</v>
      </c>
      <c r="B79" s="624">
        <f>+OLD...Tabs!J56+OLD...Tabs!K56</f>
        <v>73.483024860912735</v>
      </c>
      <c r="C79" s="624">
        <f>+OLD...Tabs!J87+OLD...Tabs!K87</f>
        <v>56.601535240753662</v>
      </c>
      <c r="D79" s="624">
        <f>+OLD...Tabs!J117+OLD...Tabs!K117</f>
        <v>53.996247654784241</v>
      </c>
      <c r="E79" s="624">
        <f>+OLD...Tabs!J148+OLD...Tabs!K148</f>
        <v>0</v>
      </c>
      <c r="F79" s="624">
        <f>+OLD...Tabs!J179+OLD...Tabs!K179</f>
        <v>12.305854241338112</v>
      </c>
      <c r="G79" s="624">
        <f>+OLD...Tabs!J209+OLD...Tabs!K209</f>
        <v>0</v>
      </c>
      <c r="H79" s="598">
        <f>+OLD...Tabs!J24+OLD...Tabs!K24</f>
        <v>63.009414237443622</v>
      </c>
      <c r="I79" s="622"/>
      <c r="J79" s="623"/>
      <c r="K79" s="623"/>
      <c r="L79" s="623"/>
      <c r="M79" s="623"/>
      <c r="N79" s="368"/>
      <c r="O79" s="368"/>
      <c r="P79" s="368"/>
    </row>
    <row r="80" spans="1:16">
      <c r="A80" s="478" t="s">
        <v>907</v>
      </c>
      <c r="B80" s="624">
        <f>+OLD...Tabs!J57+OLD...Tabs!K57</f>
        <v>85.119808262687684</v>
      </c>
      <c r="C80" s="624">
        <f>+OLD...Tabs!J88+OLD...Tabs!K88</f>
        <v>66.653717238700125</v>
      </c>
      <c r="D80" s="624">
        <f>+OLD...Tabs!J118+OLD...Tabs!K118</f>
        <v>48.881780617343559</v>
      </c>
      <c r="E80" s="624">
        <f>+OLD...Tabs!J149+OLD...Tabs!K149</f>
        <v>36.175233715547755</v>
      </c>
      <c r="F80" s="624">
        <f>+OLD...Tabs!J180+OLD...Tabs!K180</f>
        <v>31.596913456297866</v>
      </c>
      <c r="G80" s="624">
        <f>+OLD...Tabs!J210+OLD...Tabs!K210</f>
        <v>0</v>
      </c>
      <c r="H80" s="598">
        <f>+OLD...Tabs!J25+OLD...Tabs!K25</f>
        <v>70.422359761795661</v>
      </c>
      <c r="I80" s="622"/>
      <c r="J80" s="623"/>
      <c r="K80" s="623"/>
      <c r="L80" s="623"/>
      <c r="M80" s="623"/>
    </row>
    <row r="81" spans="1:16" s="478" customFormat="1">
      <c r="A81" s="478" t="s">
        <v>908</v>
      </c>
      <c r="B81" s="624">
        <f>+OLD...Tabs!J58+OLD...Tabs!K58</f>
        <v>88.247828141838994</v>
      </c>
      <c r="C81" s="624">
        <f>+OLD...Tabs!J89+OLD...Tabs!K89</f>
        <v>98.819379717455263</v>
      </c>
      <c r="D81" s="624">
        <f>+OLD...Tabs!J119+OLD...Tabs!K119</f>
        <v>81.135700578452969</v>
      </c>
      <c r="E81" s="624">
        <f>+OLD...Tabs!J150+OLD...Tabs!K150</f>
        <v>0</v>
      </c>
      <c r="F81" s="624">
        <f>+OLD...Tabs!J181+OLD...Tabs!K181</f>
        <v>100</v>
      </c>
      <c r="G81" s="624">
        <f>+OLD...Tabs!J211+OLD...Tabs!K211</f>
        <v>0</v>
      </c>
      <c r="H81" s="598">
        <f>+OLD...Tabs!J26+OLD...Tabs!K26</f>
        <v>88.242884832333104</v>
      </c>
      <c r="I81" s="622"/>
      <c r="J81" s="623"/>
      <c r="K81" s="623"/>
      <c r="L81" s="623"/>
      <c r="M81" s="623"/>
      <c r="N81" s="368"/>
      <c r="O81" s="368"/>
      <c r="P81" s="368"/>
    </row>
    <row r="82" spans="1:16">
      <c r="A82" s="484" t="s">
        <v>909</v>
      </c>
      <c r="B82" s="602">
        <f>+OLD...Tabs!J59+OLD...Tabs!K59</f>
        <v>70.78839604281545</v>
      </c>
      <c r="C82" s="602">
        <f>+OLD...Tabs!J90+OLD...Tabs!K90</f>
        <v>0</v>
      </c>
      <c r="D82" s="602">
        <f>+OLD...Tabs!J120+OLD...Tabs!K120</f>
        <v>75.58934554219789</v>
      </c>
      <c r="E82" s="602">
        <f>+OLD...Tabs!J151+OLD...Tabs!K151</f>
        <v>0</v>
      </c>
      <c r="F82" s="602">
        <f>+OLD...Tabs!J182+OLD...Tabs!K182</f>
        <v>41.992671624097426</v>
      </c>
      <c r="G82" s="602">
        <f>+OLD...Tabs!J212+OLD...Tabs!K212</f>
        <v>80</v>
      </c>
      <c r="H82" s="604">
        <f>+OLD...Tabs!J27+OLD...Tabs!K27</f>
        <v>69.648213354199271</v>
      </c>
      <c r="I82" s="622"/>
      <c r="J82" s="623"/>
      <c r="K82" s="623"/>
      <c r="L82" s="623"/>
      <c r="M82" s="623"/>
    </row>
    <row r="83" spans="1:16" ht="34.5" customHeight="1">
      <c r="A83" s="661" t="s">
        <v>987</v>
      </c>
      <c r="B83" s="661"/>
      <c r="C83" s="661"/>
      <c r="D83" s="661"/>
      <c r="E83" s="661"/>
      <c r="F83" s="661"/>
      <c r="G83" s="661"/>
      <c r="H83" s="661"/>
      <c r="I83" s="524"/>
      <c r="J83" s="524"/>
      <c r="K83" s="524"/>
      <c r="L83" s="524"/>
      <c r="M83" s="540"/>
      <c r="N83" s="524"/>
      <c r="O83" s="524"/>
      <c r="P83" s="524"/>
    </row>
    <row r="84" spans="1:16" s="595" customFormat="1" ht="12.75">
      <c r="A84" s="524"/>
      <c r="B84" s="524"/>
      <c r="C84" s="524"/>
      <c r="D84" s="524"/>
      <c r="E84" s="524"/>
      <c r="F84" s="524"/>
      <c r="G84" s="524"/>
      <c r="H84" s="532" t="s">
        <v>1015</v>
      </c>
      <c r="I84" s="524"/>
      <c r="J84" s="524"/>
      <c r="K84" s="524"/>
      <c r="L84" s="524"/>
      <c r="M84" s="540"/>
      <c r="N84" s="524"/>
      <c r="O84" s="524"/>
      <c r="P84" s="524"/>
    </row>
    <row r="85" spans="1:16" s="595" customFormat="1" ht="18">
      <c r="A85" s="472" t="s">
        <v>988</v>
      </c>
      <c r="B85" s="473"/>
      <c r="C85" s="473"/>
      <c r="D85" s="473"/>
      <c r="E85" s="473"/>
      <c r="F85" s="473"/>
      <c r="G85" s="578"/>
      <c r="H85" s="578"/>
      <c r="I85" s="613"/>
      <c r="J85" s="614"/>
      <c r="K85" s="614"/>
      <c r="L85" s="614"/>
      <c r="M85" s="615"/>
      <c r="N85" s="368"/>
      <c r="O85" s="368"/>
      <c r="P85" s="368"/>
    </row>
    <row r="86" spans="1:16" ht="11.25" customHeight="1">
      <c r="A86" s="479"/>
      <c r="B86" s="475"/>
      <c r="C86" s="475"/>
      <c r="D86" s="475"/>
      <c r="E86" s="475"/>
      <c r="F86" s="475"/>
      <c r="G86" s="475"/>
      <c r="H86" s="475"/>
      <c r="I86" s="616"/>
      <c r="J86" s="616"/>
      <c r="K86" s="616"/>
      <c r="L86" s="616"/>
      <c r="M86" s="617"/>
      <c r="N86" s="478"/>
      <c r="O86" s="478"/>
      <c r="P86" s="478"/>
    </row>
    <row r="87" spans="1:16" ht="15.75" customHeight="1">
      <c r="A87" s="581" t="s">
        <v>989</v>
      </c>
      <c r="B87" s="473"/>
      <c r="C87" s="473"/>
      <c r="D87" s="473"/>
      <c r="E87" s="473"/>
      <c r="F87" s="473"/>
      <c r="G87" s="578"/>
      <c r="H87" s="578"/>
      <c r="I87" s="613"/>
      <c r="J87" s="614"/>
      <c r="K87" s="614"/>
      <c r="L87" s="614"/>
      <c r="M87" s="615"/>
    </row>
    <row r="88" spans="1:16" ht="15.75" customHeight="1">
      <c r="A88" s="581" t="s">
        <v>998</v>
      </c>
      <c r="B88" s="475"/>
      <c r="C88" s="475"/>
      <c r="D88" s="475"/>
      <c r="E88" s="475"/>
      <c r="F88" s="475"/>
      <c r="G88" s="578"/>
      <c r="H88" s="578"/>
      <c r="I88" s="613"/>
      <c r="J88" s="614"/>
      <c r="K88" s="614"/>
      <c r="L88" s="614"/>
      <c r="M88" s="615"/>
    </row>
    <row r="89" spans="1:16" ht="15.75" customHeight="1">
      <c r="A89" s="625"/>
      <c r="B89" s="616"/>
      <c r="C89" s="616"/>
      <c r="D89" s="616"/>
      <c r="E89" s="616"/>
      <c r="F89" s="616"/>
      <c r="G89" s="614"/>
      <c r="H89" s="614"/>
      <c r="I89" s="613"/>
      <c r="J89" s="614"/>
      <c r="K89" s="614"/>
      <c r="L89" s="614"/>
      <c r="M89" s="615"/>
    </row>
    <row r="90" spans="1:16" ht="15.75" customHeight="1">
      <c r="A90" s="590"/>
      <c r="B90" s="591" t="s">
        <v>877</v>
      </c>
      <c r="C90" s="591"/>
      <c r="D90" s="591"/>
      <c r="E90" s="591"/>
      <c r="F90" s="591"/>
      <c r="G90" s="591"/>
      <c r="H90" s="591"/>
      <c r="I90" s="620"/>
      <c r="J90" s="620"/>
      <c r="K90" s="620"/>
      <c r="L90" s="620"/>
      <c r="M90" s="620"/>
      <c r="N90" s="620"/>
      <c r="O90" s="595"/>
      <c r="P90" s="595"/>
    </row>
    <row r="91" spans="1:16" ht="15.75" customHeight="1">
      <c r="A91" s="590"/>
      <c r="B91" s="591">
        <v>1</v>
      </c>
      <c r="C91" s="591">
        <v>2</v>
      </c>
      <c r="D91" s="591">
        <v>3</v>
      </c>
      <c r="E91" s="591">
        <v>4</v>
      </c>
      <c r="F91" s="591">
        <v>5</v>
      </c>
      <c r="G91" s="591">
        <v>6</v>
      </c>
      <c r="H91" s="594" t="s">
        <v>978</v>
      </c>
      <c r="I91" s="620"/>
      <c r="J91" s="620"/>
      <c r="K91" s="620"/>
      <c r="L91" s="620"/>
      <c r="M91" s="620"/>
      <c r="N91" s="620"/>
      <c r="O91" s="595"/>
      <c r="P91" s="595"/>
    </row>
    <row r="92" spans="1:16">
      <c r="A92" s="478" t="s">
        <v>894</v>
      </c>
      <c r="B92" s="621">
        <f>+OLD...Tabs!L41</f>
        <v>18.405164383078791</v>
      </c>
      <c r="C92" s="621">
        <f>+OLD...Tabs!L72</f>
        <v>27.978856073918713</v>
      </c>
      <c r="D92" s="621">
        <f>+OLD...Tabs!L102</f>
        <v>37.390030720066953</v>
      </c>
      <c r="E92" s="621">
        <f>+OLD...Tabs!L133</f>
        <v>31.610399689561508</v>
      </c>
      <c r="F92" s="621">
        <f>+OLD...Tabs!L164</f>
        <v>75.690041938944702</v>
      </c>
      <c r="G92" s="621">
        <f>+OLD...Tabs!L194</f>
        <v>0</v>
      </c>
      <c r="H92" s="600">
        <f>+OLD...Tabs!L9</f>
        <v>30.560215833862337</v>
      </c>
      <c r="I92" s="622"/>
      <c r="J92" s="623"/>
      <c r="K92" s="623"/>
      <c r="L92" s="623"/>
      <c r="M92" s="623"/>
      <c r="N92" s="585"/>
    </row>
    <row r="93" spans="1:16">
      <c r="A93" s="478" t="s">
        <v>895</v>
      </c>
      <c r="B93" s="624">
        <f>+OLD...Tabs!L42</f>
        <v>26.037265532498289</v>
      </c>
      <c r="C93" s="624">
        <f>+OLD...Tabs!L73</f>
        <v>25.158601528131513</v>
      </c>
      <c r="D93" s="624">
        <f>+OLD...Tabs!L103</f>
        <v>61.301671721170656</v>
      </c>
      <c r="E93" s="624">
        <f>+OLD...Tabs!L134</f>
        <v>67.781499359668985</v>
      </c>
      <c r="F93" s="624">
        <f>+OLD...Tabs!L165</f>
        <v>86.438746438746435</v>
      </c>
      <c r="G93" s="624">
        <f>+OLD...Tabs!L195</f>
        <v>25.545171339563861</v>
      </c>
      <c r="H93" s="598">
        <f>+OLD...Tabs!L10</f>
        <v>37.904965104916535</v>
      </c>
      <c r="I93" s="622"/>
      <c r="J93" s="623"/>
      <c r="K93" s="623"/>
      <c r="L93" s="623"/>
      <c r="M93" s="623"/>
      <c r="N93" s="585"/>
    </row>
    <row r="94" spans="1:16">
      <c r="A94" s="478" t="s">
        <v>896</v>
      </c>
      <c r="B94" s="624">
        <f>+OLD...Tabs!L43</f>
        <v>8.4203522649564757</v>
      </c>
      <c r="C94" s="624">
        <f>+OLD...Tabs!L74</f>
        <v>0</v>
      </c>
      <c r="D94" s="624">
        <f>+OLD...Tabs!L104</f>
        <v>4.6934691649990903</v>
      </c>
      <c r="E94" s="624">
        <f>+OLD...Tabs!L135</f>
        <v>0</v>
      </c>
      <c r="F94" s="624">
        <f>+OLD...Tabs!L166</f>
        <v>0</v>
      </c>
      <c r="G94" s="624">
        <f>+OLD...Tabs!L196</f>
        <v>0</v>
      </c>
      <c r="H94" s="598">
        <f>+OLD...Tabs!L11</f>
        <v>8.0766391517347831</v>
      </c>
      <c r="I94" s="622"/>
      <c r="J94" s="623"/>
      <c r="K94" s="623"/>
      <c r="L94" s="623"/>
      <c r="M94" s="623"/>
      <c r="N94" s="585"/>
    </row>
    <row r="95" spans="1:16">
      <c r="A95" s="478" t="s">
        <v>936</v>
      </c>
      <c r="B95" s="624">
        <f>+OLD...Tabs!L44</f>
        <v>19.748966258659561</v>
      </c>
      <c r="C95" s="624">
        <f>+OLD...Tabs!L75</f>
        <v>0</v>
      </c>
      <c r="D95" s="624">
        <f>+OLD...Tabs!L105</f>
        <v>30.097485842879014</v>
      </c>
      <c r="E95" s="624">
        <f>+OLD...Tabs!L136</f>
        <v>37.205310717350699</v>
      </c>
      <c r="F95" s="624">
        <f>+OLD...Tabs!L167</f>
        <v>0</v>
      </c>
      <c r="G95" s="624">
        <f>+OLD...Tabs!L197</f>
        <v>0</v>
      </c>
      <c r="H95" s="598">
        <f>+OLD...Tabs!L12</f>
        <v>21.005885897035853</v>
      </c>
      <c r="I95" s="622"/>
      <c r="J95" s="623"/>
      <c r="K95" s="623"/>
      <c r="L95" s="623"/>
      <c r="M95" s="623"/>
      <c r="N95" s="585"/>
    </row>
    <row r="96" spans="1:16">
      <c r="A96" s="478"/>
      <c r="B96" s="624"/>
      <c r="C96" s="624"/>
      <c r="D96" s="624"/>
      <c r="E96" s="624"/>
      <c r="F96" s="624"/>
      <c r="G96" s="624"/>
      <c r="H96" s="598"/>
      <c r="I96" s="622"/>
      <c r="J96" s="623"/>
      <c r="K96" s="623"/>
      <c r="L96" s="623"/>
      <c r="M96" s="623"/>
      <c r="N96" s="585"/>
    </row>
    <row r="97" spans="1:16">
      <c r="A97" s="478" t="s">
        <v>898</v>
      </c>
      <c r="B97" s="624">
        <f>+OLD...Tabs!L46</f>
        <v>4.0289876839891861</v>
      </c>
      <c r="C97" s="624">
        <f>+OLD...Tabs!L77</f>
        <v>10.150593686649291</v>
      </c>
      <c r="D97" s="624">
        <f>+OLD...Tabs!L107</f>
        <v>60.323564589878735</v>
      </c>
      <c r="E97" s="624">
        <f>+OLD...Tabs!L138</f>
        <v>16.77963401475817</v>
      </c>
      <c r="F97" s="624">
        <f>+OLD...Tabs!L169</f>
        <v>31.070634332309648</v>
      </c>
      <c r="G97" s="624">
        <f>+OLD...Tabs!L199</f>
        <v>0</v>
      </c>
      <c r="H97" s="598">
        <f>+OLD...Tabs!L14</f>
        <v>16.689680528775369</v>
      </c>
      <c r="I97" s="622"/>
      <c r="J97" s="623"/>
      <c r="K97" s="623"/>
      <c r="L97" s="623"/>
      <c r="M97" s="623"/>
      <c r="N97" s="585"/>
    </row>
    <row r="98" spans="1:16">
      <c r="A98" s="478" t="s">
        <v>899</v>
      </c>
      <c r="B98" s="624">
        <f>+OLD...Tabs!L47</f>
        <v>16.928243437735588</v>
      </c>
      <c r="C98" s="624">
        <f>+OLD...Tabs!L78</f>
        <v>0</v>
      </c>
      <c r="D98" s="624">
        <f>+OLD...Tabs!L108</f>
        <v>48.679961101172964</v>
      </c>
      <c r="E98" s="624">
        <f>+OLD...Tabs!L139</f>
        <v>25.72968118545128</v>
      </c>
      <c r="F98" s="624">
        <f>+OLD...Tabs!L170</f>
        <v>0</v>
      </c>
      <c r="G98" s="624">
        <f>+OLD...Tabs!L200</f>
        <v>0</v>
      </c>
      <c r="H98" s="598">
        <f>+OLD...Tabs!L15</f>
        <v>33.049612224199393</v>
      </c>
      <c r="I98" s="622"/>
      <c r="J98" s="623"/>
      <c r="K98" s="623"/>
      <c r="L98" s="623"/>
      <c r="M98" s="623"/>
      <c r="N98" s="585"/>
    </row>
    <row r="99" spans="1:16">
      <c r="A99" s="478" t="s">
        <v>900</v>
      </c>
      <c r="B99" s="624">
        <f>+OLD...Tabs!L48</f>
        <v>2.612304687500008</v>
      </c>
      <c r="C99" s="624">
        <f>+OLD...Tabs!L79</f>
        <v>13.051414579975498</v>
      </c>
      <c r="D99" s="624">
        <f>+OLD...Tabs!L109</f>
        <v>25.594408165442072</v>
      </c>
      <c r="E99" s="624">
        <f>+OLD...Tabs!L140</f>
        <v>43.96231572413717</v>
      </c>
      <c r="F99" s="624">
        <f>+OLD...Tabs!L171</f>
        <v>21.495327102803746</v>
      </c>
      <c r="G99" s="624">
        <f>+OLD...Tabs!L201</f>
        <v>0</v>
      </c>
      <c r="H99" s="598">
        <f>+OLD...Tabs!L16</f>
        <v>18.915299687263389</v>
      </c>
      <c r="I99" s="622"/>
      <c r="J99" s="623"/>
      <c r="K99" s="623"/>
      <c r="L99" s="623"/>
      <c r="M99" s="623"/>
      <c r="N99" s="585"/>
    </row>
    <row r="100" spans="1:16">
      <c r="A100" s="478" t="s">
        <v>901</v>
      </c>
      <c r="B100" s="624">
        <f>+OLD...Tabs!L49</f>
        <v>6.2595187454392738</v>
      </c>
      <c r="C100" s="624">
        <f>+OLD...Tabs!L80</f>
        <v>18.237242333866106</v>
      </c>
      <c r="D100" s="624">
        <f>+OLD...Tabs!L110</f>
        <v>20.923813606281431</v>
      </c>
      <c r="E100" s="624">
        <f>+OLD...Tabs!L141</f>
        <v>30.092820260634372</v>
      </c>
      <c r="F100" s="624">
        <f>+OLD...Tabs!L172</f>
        <v>10.080645161290322</v>
      </c>
      <c r="G100" s="624">
        <f>+OLD...Tabs!L202</f>
        <v>0</v>
      </c>
      <c r="H100" s="598">
        <f>+OLD...Tabs!L17</f>
        <v>41.145914527318745</v>
      </c>
      <c r="I100" s="622"/>
      <c r="J100" s="623"/>
      <c r="K100" s="623"/>
      <c r="L100" s="623"/>
      <c r="M100" s="623"/>
      <c r="N100" s="585"/>
    </row>
    <row r="101" spans="1:16">
      <c r="A101" s="478"/>
      <c r="B101" s="624"/>
      <c r="C101" s="624"/>
      <c r="D101" s="624"/>
      <c r="E101" s="624"/>
      <c r="F101" s="624"/>
      <c r="G101" s="624"/>
      <c r="H101" s="598"/>
      <c r="I101" s="622"/>
      <c r="J101" s="623"/>
      <c r="K101" s="623"/>
      <c r="L101" s="623"/>
      <c r="M101" s="623"/>
      <c r="N101" s="585"/>
    </row>
    <row r="102" spans="1:16">
      <c r="A102" s="478" t="s">
        <v>902</v>
      </c>
      <c r="B102" s="624">
        <f>+OLD...Tabs!L51</f>
        <v>27.682902518439764</v>
      </c>
      <c r="C102" s="624">
        <f>+OLD...Tabs!L82</f>
        <v>18.118306013671543</v>
      </c>
      <c r="D102" s="624">
        <f>+OLD...Tabs!L112</f>
        <v>0</v>
      </c>
      <c r="E102" s="624">
        <f>+OLD...Tabs!L143</f>
        <v>72.003061123728642</v>
      </c>
      <c r="F102" s="624">
        <f>+OLD...Tabs!L174</f>
        <v>32.811747713047666</v>
      </c>
      <c r="G102" s="624">
        <f>+OLD...Tabs!L204</f>
        <v>0</v>
      </c>
      <c r="H102" s="598">
        <f>+OLD...Tabs!L19</f>
        <v>31.143140993798767</v>
      </c>
      <c r="I102" s="622"/>
      <c r="J102" s="623"/>
      <c r="K102" s="623"/>
      <c r="L102" s="623"/>
      <c r="M102" s="623"/>
      <c r="N102" s="585"/>
    </row>
    <row r="103" spans="1:16">
      <c r="A103" s="478" t="s">
        <v>903</v>
      </c>
      <c r="B103" s="624">
        <f>+OLD...Tabs!L52</f>
        <v>15.524195231931861</v>
      </c>
      <c r="C103" s="624">
        <f>+OLD...Tabs!L83</f>
        <v>48.295814346201126</v>
      </c>
      <c r="D103" s="624">
        <f>+OLD...Tabs!L113</f>
        <v>28.115263798961472</v>
      </c>
      <c r="E103" s="624">
        <f>+OLD...Tabs!L144</f>
        <v>28.104575163398692</v>
      </c>
      <c r="F103" s="624">
        <f>+OLD...Tabs!L175</f>
        <v>28.909723139222681</v>
      </c>
      <c r="G103" s="624">
        <f>+OLD...Tabs!L205</f>
        <v>21.521175453759721</v>
      </c>
      <c r="H103" s="598">
        <f>+OLD...Tabs!L20</f>
        <v>22.250477304838689</v>
      </c>
      <c r="I103" s="622"/>
      <c r="J103" s="623"/>
      <c r="K103" s="623"/>
      <c r="L103" s="623"/>
      <c r="M103" s="623"/>
      <c r="N103" s="585"/>
    </row>
    <row r="104" spans="1:16">
      <c r="A104" s="478" t="s">
        <v>904</v>
      </c>
      <c r="B104" s="624">
        <f>+OLD...Tabs!L53</f>
        <v>18.934747365576872</v>
      </c>
      <c r="C104" s="624">
        <f>+OLD...Tabs!L84</f>
        <v>0</v>
      </c>
      <c r="D104" s="624">
        <f>+OLD...Tabs!L114</f>
        <v>15.845671981776766</v>
      </c>
      <c r="E104" s="624">
        <f>+OLD...Tabs!L145</f>
        <v>60.267857142857146</v>
      </c>
      <c r="F104" s="624">
        <f>+OLD...Tabs!L176</f>
        <v>49.221832264310784</v>
      </c>
      <c r="G104" s="624">
        <f>+OLD...Tabs!L206</f>
        <v>0</v>
      </c>
      <c r="H104" s="598">
        <f>+OLD...Tabs!L21</f>
        <v>22.529037358360526</v>
      </c>
      <c r="I104" s="622"/>
      <c r="J104" s="623"/>
      <c r="K104" s="623"/>
      <c r="L104" s="623"/>
      <c r="M104" s="623"/>
      <c r="N104" s="585"/>
    </row>
    <row r="105" spans="1:16" s="524" customFormat="1">
      <c r="A105" s="478" t="s">
        <v>905</v>
      </c>
      <c r="B105" s="624">
        <f>+OLD...Tabs!L54</f>
        <v>19.877206919273092</v>
      </c>
      <c r="C105" s="624">
        <f>+OLD...Tabs!L85</f>
        <v>0</v>
      </c>
      <c r="D105" s="624">
        <f>+OLD...Tabs!L115</f>
        <v>11.672426035502959</v>
      </c>
      <c r="E105" s="624">
        <f>+OLD...Tabs!L146</f>
        <v>0</v>
      </c>
      <c r="F105" s="624">
        <f>+OLD...Tabs!L177</f>
        <v>30.101486724338088</v>
      </c>
      <c r="G105" s="624">
        <f>+OLD...Tabs!L207</f>
        <v>10.13531887342182</v>
      </c>
      <c r="H105" s="598">
        <f>+OLD...Tabs!L22</f>
        <v>16.897409257802607</v>
      </c>
      <c r="I105" s="622"/>
      <c r="J105" s="623"/>
      <c r="K105" s="623"/>
      <c r="L105" s="623"/>
      <c r="M105" s="623"/>
      <c r="N105" s="585"/>
      <c r="O105" s="368"/>
      <c r="P105" s="368"/>
    </row>
    <row r="106" spans="1:16" s="524" customFormat="1">
      <c r="A106" s="478"/>
      <c r="B106" s="624"/>
      <c r="C106" s="624"/>
      <c r="D106" s="624"/>
      <c r="E106" s="624"/>
      <c r="F106" s="624"/>
      <c r="G106" s="624"/>
      <c r="H106" s="598"/>
      <c r="I106" s="622"/>
      <c r="J106" s="623"/>
      <c r="K106" s="623"/>
      <c r="L106" s="623"/>
      <c r="M106" s="623"/>
      <c r="N106" s="585"/>
      <c r="O106" s="368"/>
      <c r="P106" s="368"/>
    </row>
    <row r="107" spans="1:16" s="524" customFormat="1">
      <c r="A107" s="478" t="s">
        <v>906</v>
      </c>
      <c r="B107" s="624">
        <f>+OLD...Tabs!L56</f>
        <v>22.235983898838359</v>
      </c>
      <c r="C107" s="624">
        <f>+OLD...Tabs!L87</f>
        <v>38.810886252616896</v>
      </c>
      <c r="D107" s="624">
        <f>+OLD...Tabs!L117</f>
        <v>42.37501379538682</v>
      </c>
      <c r="E107" s="624">
        <f>+OLD...Tabs!L148</f>
        <v>0</v>
      </c>
      <c r="F107" s="624">
        <f>+OLD...Tabs!L179</f>
        <v>87.591739204642423</v>
      </c>
      <c r="G107" s="624">
        <f>+OLD...Tabs!L209</f>
        <v>0</v>
      </c>
      <c r="H107" s="598">
        <f>+OLD...Tabs!L24</f>
        <v>32.903176146618932</v>
      </c>
      <c r="I107" s="622"/>
      <c r="J107" s="623"/>
      <c r="K107" s="623"/>
      <c r="L107" s="623"/>
      <c r="M107" s="623"/>
      <c r="N107" s="585"/>
      <c r="O107" s="368"/>
      <c r="P107" s="368"/>
    </row>
    <row r="108" spans="1:16" s="524" customFormat="1">
      <c r="A108" s="478" t="s">
        <v>907</v>
      </c>
      <c r="B108" s="624">
        <f>+OLD...Tabs!L57</f>
        <v>14.880191737312323</v>
      </c>
      <c r="C108" s="624">
        <f>+OLD...Tabs!L88</f>
        <v>33.346282761299875</v>
      </c>
      <c r="D108" s="624">
        <f>+OLD...Tabs!L118</f>
        <v>51.118219382656441</v>
      </c>
      <c r="E108" s="624">
        <f>+OLD...Tabs!L149</f>
        <v>71.221976825099091</v>
      </c>
      <c r="F108" s="624">
        <f>+OLD...Tabs!L180</f>
        <v>61.389518372966918</v>
      </c>
      <c r="G108" s="624">
        <f>+OLD...Tabs!L210</f>
        <v>0</v>
      </c>
      <c r="H108" s="598">
        <f>+OLD...Tabs!L25</f>
        <v>29.577640238204339</v>
      </c>
      <c r="I108" s="622"/>
      <c r="J108" s="623"/>
      <c r="K108" s="623"/>
      <c r="L108" s="623"/>
      <c r="M108" s="623"/>
      <c r="N108" s="585"/>
      <c r="O108" s="368"/>
      <c r="P108" s="368"/>
    </row>
    <row r="109" spans="1:16">
      <c r="A109" s="478" t="s">
        <v>908</v>
      </c>
      <c r="B109" s="624">
        <f>+OLD...Tabs!L58</f>
        <v>11.752171858160999</v>
      </c>
      <c r="C109" s="624">
        <f>+OLD...Tabs!L89</f>
        <v>1.1806202825447301</v>
      </c>
      <c r="D109" s="624">
        <f>+OLD...Tabs!L119</f>
        <v>18.864299421547031</v>
      </c>
      <c r="E109" s="624">
        <f>+OLD...Tabs!L150</f>
        <v>0</v>
      </c>
      <c r="F109" s="624">
        <f>+OLD...Tabs!L181</f>
        <v>0</v>
      </c>
      <c r="G109" s="624">
        <f>+OLD...Tabs!L211</f>
        <v>0</v>
      </c>
      <c r="H109" s="598">
        <f>+OLD...Tabs!L26</f>
        <v>11.757115167666891</v>
      </c>
      <c r="I109" s="622"/>
      <c r="J109" s="623"/>
      <c r="K109" s="623"/>
      <c r="L109" s="623"/>
      <c r="M109" s="623"/>
      <c r="N109" s="585"/>
    </row>
    <row r="110" spans="1:16">
      <c r="A110" s="484" t="s">
        <v>909</v>
      </c>
      <c r="B110" s="602">
        <f>+OLD...Tabs!L59</f>
        <v>29.211603957184558</v>
      </c>
      <c r="C110" s="602">
        <f>+OLD...Tabs!L90</f>
        <v>0</v>
      </c>
      <c r="D110" s="602">
        <f>+OLD...Tabs!L120</f>
        <v>24.410654457802099</v>
      </c>
      <c r="E110" s="602">
        <f>+OLD...Tabs!L151</f>
        <v>0</v>
      </c>
      <c r="F110" s="602">
        <f>+OLD...Tabs!L182</f>
        <v>58.007328375902581</v>
      </c>
      <c r="G110" s="602">
        <f>+OLD...Tabs!L212</f>
        <v>20</v>
      </c>
      <c r="H110" s="604">
        <f>+OLD...Tabs!L27</f>
        <v>30.351786645800729</v>
      </c>
      <c r="I110" s="622"/>
      <c r="J110" s="623"/>
      <c r="K110" s="623"/>
      <c r="L110" s="623"/>
      <c r="M110" s="623"/>
      <c r="N110" s="585"/>
      <c r="O110" s="585"/>
      <c r="P110" s="585"/>
    </row>
    <row r="111" spans="1:16" ht="35.25" customHeight="1">
      <c r="A111" s="662" t="s">
        <v>987</v>
      </c>
      <c r="B111" s="662"/>
      <c r="C111" s="662"/>
      <c r="D111" s="662"/>
      <c r="E111" s="662"/>
      <c r="F111" s="662"/>
      <c r="G111" s="662"/>
      <c r="H111" s="662"/>
      <c r="I111" s="626"/>
      <c r="J111" s="627"/>
      <c r="K111" s="627"/>
      <c r="L111" s="627"/>
      <c r="M111" s="627"/>
      <c r="N111" s="627"/>
      <c r="O111" s="627"/>
      <c r="P111" s="627"/>
    </row>
    <row r="112" spans="1:16" ht="24" customHeight="1">
      <c r="A112" s="655" t="s">
        <v>990</v>
      </c>
      <c r="B112" s="656"/>
      <c r="C112" s="656"/>
      <c r="D112" s="656"/>
      <c r="E112" s="656"/>
      <c r="F112" s="656"/>
      <c r="G112" s="656"/>
      <c r="H112" s="656"/>
      <c r="I112" s="540"/>
      <c r="J112" s="540"/>
      <c r="K112" s="540"/>
      <c r="L112" s="540"/>
      <c r="M112" s="540"/>
      <c r="N112" s="540"/>
      <c r="O112" s="524"/>
      <c r="P112" s="524"/>
    </row>
    <row r="113" spans="1:16">
      <c r="A113" s="524"/>
      <c r="B113" s="524"/>
      <c r="C113" s="524"/>
      <c r="D113" s="524"/>
      <c r="E113" s="524"/>
      <c r="F113" s="524"/>
      <c r="G113" s="524"/>
      <c r="H113" s="532" t="s">
        <v>1015</v>
      </c>
      <c r="I113" s="540"/>
      <c r="J113" s="540"/>
      <c r="K113" s="540"/>
      <c r="L113" s="540"/>
      <c r="M113" s="540"/>
      <c r="N113" s="540"/>
      <c r="O113" s="524"/>
      <c r="P113" s="524"/>
    </row>
  </sheetData>
  <mergeCells count="10">
    <mergeCell ref="A54:P54"/>
    <mergeCell ref="A83:H83"/>
    <mergeCell ref="A111:H111"/>
    <mergeCell ref="A112:H112"/>
    <mergeCell ref="B5:H5"/>
    <mergeCell ref="I5:M5"/>
    <mergeCell ref="A26:P26"/>
    <mergeCell ref="A28:P28"/>
    <mergeCell ref="A30:P30"/>
    <mergeCell ref="A53:P53"/>
  </mergeCells>
  <pageMargins left="0.7" right="0.7" top="0.75" bottom="0.75" header="0.3" footer="0.3"/>
  <pageSetup firstPageNumber="87" orientation="landscape" useFirstPageNumber="1" r:id="rId1"/>
  <headerFooter>
    <oddHeader>&amp;R&amp;"Arial,Regular"&amp;8SREB-State Data Exchange</oddHeader>
    <oddFooter>&amp;CC-&amp;P</oddFooter>
  </headerFooter>
  <rowBreaks count="3" manualBreakCount="3">
    <brk id="27" max="15" man="1"/>
    <brk id="55" max="15" man="1"/>
    <brk id="84" max="15"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8CEFF-9EBC-4EC7-91D8-B3B5D90AAB97}">
  <sheetPr>
    <tabColor rgb="FFC00000"/>
  </sheetPr>
  <dimension ref="A1:AO532"/>
  <sheetViews>
    <sheetView showZeros="0" tabSelected="1" view="pageBreakPreview" topLeftCell="A79" zoomScaleNormal="100" zoomScaleSheetLayoutView="100" workbookViewId="0">
      <selection activeCell="W11" sqref="W11"/>
    </sheetView>
  </sheetViews>
  <sheetFormatPr defaultRowHeight="12.75"/>
  <cols>
    <col min="1" max="1" width="13.42578125" style="478" customWidth="1"/>
    <col min="2" max="2" width="9.140625" style="478" customWidth="1"/>
    <col min="3" max="3" width="9.42578125" style="478" bestFit="1" customWidth="1"/>
    <col min="4" max="4" width="9.85546875" style="478" bestFit="1" customWidth="1"/>
    <col min="5" max="5" width="5.7109375" style="478" bestFit="1" customWidth="1"/>
    <col min="6" max="6" width="11.42578125" style="478" customWidth="1"/>
    <col min="7" max="7" width="7.85546875" style="478" bestFit="1" customWidth="1"/>
    <col min="8" max="8" width="12.28515625" style="512" bestFit="1" customWidth="1"/>
    <col min="9" max="9" width="13" style="563" customWidth="1"/>
    <col min="10" max="11" width="9" style="478" customWidth="1"/>
    <col min="12" max="12" width="10" style="478" bestFit="1" customWidth="1"/>
    <col min="13" max="13" width="6.42578125" style="478" bestFit="1" customWidth="1"/>
    <col min="14" max="14" width="11.28515625" style="478" customWidth="1"/>
    <col min="15" max="15" width="7.85546875" style="478" bestFit="1" customWidth="1"/>
    <col min="16" max="16" width="12.28515625" style="478" bestFit="1" customWidth="1"/>
    <col min="17" max="17" width="11.5703125" style="482" bestFit="1" customWidth="1"/>
    <col min="18" max="18" width="11.5703125" style="488" bestFit="1" customWidth="1"/>
    <col min="19" max="16384" width="9.140625" style="564"/>
  </cols>
  <sheetData>
    <row r="1" spans="1:41" ht="18">
      <c r="A1" s="472" t="s">
        <v>915</v>
      </c>
      <c r="B1" s="473"/>
      <c r="C1" s="473"/>
      <c r="D1" s="473"/>
      <c r="E1" s="473"/>
      <c r="F1" s="473"/>
      <c r="G1" s="473"/>
      <c r="H1" s="474"/>
      <c r="I1" s="472" t="s">
        <v>916</v>
      </c>
      <c r="J1" s="475"/>
      <c r="K1" s="475"/>
      <c r="L1" s="473"/>
      <c r="M1" s="475"/>
      <c r="N1" s="475"/>
      <c r="O1" s="475"/>
      <c r="P1" s="475"/>
      <c r="Q1" s="476"/>
      <c r="R1" s="477"/>
    </row>
    <row r="2" spans="1:41" ht="15">
      <c r="A2" s="479"/>
      <c r="B2" s="475"/>
      <c r="C2" s="475"/>
      <c r="D2" s="475"/>
      <c r="E2" s="475"/>
      <c r="F2" s="475"/>
      <c r="G2" s="475"/>
      <c r="H2" s="480"/>
      <c r="I2" s="479"/>
      <c r="J2" s="475"/>
      <c r="K2" s="475"/>
      <c r="L2" s="475"/>
      <c r="M2" s="475"/>
      <c r="N2" s="475"/>
      <c r="O2" s="475"/>
      <c r="P2" s="475"/>
      <c r="Q2" s="671"/>
      <c r="R2" s="672"/>
      <c r="S2" s="672"/>
      <c r="T2" s="672"/>
      <c r="U2" s="672"/>
      <c r="V2" s="672"/>
      <c r="W2" s="672"/>
      <c r="X2" s="672"/>
    </row>
    <row r="3" spans="1:41" ht="15.75">
      <c r="A3" s="481" t="s">
        <v>917</v>
      </c>
      <c r="B3" s="475"/>
      <c r="C3" s="475"/>
      <c r="D3" s="475"/>
      <c r="E3" s="475"/>
      <c r="F3" s="475"/>
      <c r="G3" s="475"/>
      <c r="H3" s="480"/>
      <c r="I3" s="481" t="s">
        <v>918</v>
      </c>
      <c r="J3" s="475"/>
      <c r="K3" s="475"/>
      <c r="L3" s="475"/>
      <c r="M3" s="475"/>
      <c r="N3" s="475"/>
      <c r="O3" s="475"/>
      <c r="P3" s="475"/>
      <c r="R3" s="483" t="s">
        <v>320</v>
      </c>
    </row>
    <row r="4" spans="1:41" ht="15.75">
      <c r="A4" s="481" t="s">
        <v>1000</v>
      </c>
      <c r="B4" s="475"/>
      <c r="C4" s="475"/>
      <c r="D4" s="475"/>
      <c r="E4" s="475"/>
      <c r="F4" s="475"/>
      <c r="G4" s="475"/>
      <c r="H4" s="480"/>
      <c r="I4" s="481" t="s">
        <v>1000</v>
      </c>
      <c r="J4" s="475"/>
      <c r="K4" s="475"/>
      <c r="L4" s="475"/>
      <c r="M4" s="475"/>
      <c r="N4" s="475"/>
      <c r="O4" s="475"/>
      <c r="P4" s="475"/>
      <c r="R4" s="483" t="s">
        <v>320</v>
      </c>
    </row>
    <row r="5" spans="1:41">
      <c r="A5" s="484"/>
      <c r="B5" s="485"/>
      <c r="C5" s="485"/>
      <c r="D5" s="485"/>
      <c r="E5" s="485"/>
      <c r="F5" s="485"/>
      <c r="G5" s="485"/>
      <c r="H5" s="485"/>
      <c r="I5" s="486"/>
      <c r="L5" s="487"/>
      <c r="P5" s="484"/>
    </row>
    <row r="6" spans="1:41" s="494" customFormat="1" ht="12">
      <c r="A6" s="489"/>
      <c r="B6" s="490" t="s">
        <v>919</v>
      </c>
      <c r="C6" s="490"/>
      <c r="D6" s="490"/>
      <c r="E6" s="490"/>
      <c r="F6" s="490"/>
      <c r="G6" s="490"/>
      <c r="H6" s="491"/>
      <c r="I6" s="489"/>
      <c r="J6" s="490" t="s">
        <v>919</v>
      </c>
      <c r="K6" s="490"/>
      <c r="L6" s="490"/>
      <c r="M6" s="490"/>
      <c r="N6" s="490"/>
      <c r="O6" s="490"/>
      <c r="P6" s="491"/>
      <c r="Q6" s="565"/>
      <c r="R6" s="566"/>
    </row>
    <row r="7" spans="1:41" s="494" customFormat="1" ht="12">
      <c r="A7" s="489"/>
      <c r="B7" s="490" t="s">
        <v>920</v>
      </c>
      <c r="C7" s="490"/>
      <c r="D7" s="659" t="s">
        <v>921</v>
      </c>
      <c r="E7" s="657"/>
      <c r="F7" s="657"/>
      <c r="G7" s="657"/>
      <c r="H7" s="495" t="s">
        <v>320</v>
      </c>
      <c r="I7" s="489"/>
      <c r="J7" s="490" t="s">
        <v>920</v>
      </c>
      <c r="K7" s="490"/>
      <c r="L7" s="659" t="s">
        <v>921</v>
      </c>
      <c r="M7" s="657"/>
      <c r="N7" s="657"/>
      <c r="O7" s="657"/>
      <c r="P7" s="495" t="s">
        <v>320</v>
      </c>
      <c r="Q7" s="565"/>
      <c r="R7" s="566"/>
    </row>
    <row r="8" spans="1:41" s="494" customFormat="1" ht="40.5" customHeight="1">
      <c r="A8" s="489"/>
      <c r="B8" s="496" t="s">
        <v>922</v>
      </c>
      <c r="C8" s="497" t="s">
        <v>923</v>
      </c>
      <c r="D8" s="498" t="s">
        <v>924</v>
      </c>
      <c r="E8" s="499" t="s">
        <v>10</v>
      </c>
      <c r="F8" s="496" t="s">
        <v>925</v>
      </c>
      <c r="G8" s="500" t="s">
        <v>926</v>
      </c>
      <c r="H8" s="501" t="s">
        <v>927</v>
      </c>
      <c r="I8" s="489"/>
      <c r="J8" s="496" t="s">
        <v>922</v>
      </c>
      <c r="K8" s="497" t="s">
        <v>923</v>
      </c>
      <c r="L8" s="498" t="s">
        <v>924</v>
      </c>
      <c r="M8" s="499" t="s">
        <v>10</v>
      </c>
      <c r="N8" s="496" t="s">
        <v>925</v>
      </c>
      <c r="O8" s="500" t="s">
        <v>926</v>
      </c>
      <c r="P8" s="501" t="s">
        <v>927</v>
      </c>
      <c r="Q8" s="533" t="s">
        <v>928</v>
      </c>
      <c r="R8" s="533" t="s">
        <v>928</v>
      </c>
      <c r="T8" s="533"/>
    </row>
    <row r="9" spans="1:41" ht="15.75" customHeight="1">
      <c r="A9" s="504" t="s">
        <v>894</v>
      </c>
      <c r="B9" s="567">
        <f>('Pivot Table for Data Exchange'!$J$7)*100</f>
        <v>86.121116928097294</v>
      </c>
      <c r="C9" s="505">
        <f>('Pivot Table for Data Exchange'!$J$10)*100</f>
        <v>0.22980281956874138</v>
      </c>
      <c r="D9" s="506">
        <f>SUM(E9:G9)</f>
        <v>13.649080252333965</v>
      </c>
      <c r="E9" s="505">
        <f>('Pivot Table for Data Exchange'!$J$13)*100</f>
        <v>13.56034026150834</v>
      </c>
      <c r="F9" s="505">
        <f>('Pivot Table for Data Exchange'!$J$16)*100</f>
        <v>7.7668947482775155E-2</v>
      </c>
      <c r="G9" s="547">
        <f>('Pivot Table for Data Exchange'!$J$19)*100</f>
        <v>1.1071043342848613E-2</v>
      </c>
      <c r="H9" s="505">
        <f>('Pivot Table for Data Exchange'!$J$22)*100</f>
        <v>0</v>
      </c>
      <c r="I9" s="534" t="s">
        <v>894</v>
      </c>
      <c r="J9" s="505">
        <f>('Pivot Table for Data Exchange'!$J$25)*100</f>
        <v>66.041946855996457</v>
      </c>
      <c r="K9" s="505">
        <f>('Pivot Table for Data Exchange'!$J$28)*100</f>
        <v>1.2253861586098738</v>
      </c>
      <c r="L9" s="506">
        <f>SUM(M9:O9)</f>
        <v>32.732666985393664</v>
      </c>
      <c r="M9" s="505">
        <f>('Pivot Table for Data Exchange'!$J$31)*100</f>
        <v>32.54634573538808</v>
      </c>
      <c r="N9" s="505">
        <f>('Pivot Table for Data Exchange'!$J$34)*100</f>
        <v>7.5734896585004055E-2</v>
      </c>
      <c r="O9" s="547">
        <f>('Pivot Table for Data Exchange'!$J$37)*100</f>
        <v>0.11058635342058112</v>
      </c>
      <c r="P9" s="505">
        <f>('Pivot Table for Data Exchange'!$J$40)*100</f>
        <v>0</v>
      </c>
      <c r="Q9" s="510">
        <f>SUM(B9,C9,D9,H9)</f>
        <v>100</v>
      </c>
      <c r="R9" s="510">
        <f>SUM(J9,K9,L9,P9)</f>
        <v>100</v>
      </c>
      <c r="S9" s="568"/>
      <c r="T9" s="569"/>
      <c r="U9" s="569"/>
      <c r="V9" s="569"/>
      <c r="W9" s="569"/>
      <c r="X9" s="569"/>
      <c r="Y9" s="569"/>
      <c r="Z9" s="569"/>
      <c r="AA9" s="569"/>
      <c r="AB9" s="569"/>
      <c r="AC9" s="569"/>
      <c r="AD9" s="569"/>
      <c r="AE9" s="569"/>
      <c r="AF9" s="568"/>
      <c r="AG9" s="568"/>
      <c r="AH9" s="568"/>
      <c r="AI9" s="568"/>
      <c r="AJ9" s="568"/>
      <c r="AK9" s="568"/>
      <c r="AL9" s="568"/>
      <c r="AM9" s="568"/>
      <c r="AN9" s="568"/>
      <c r="AO9" s="568"/>
    </row>
    <row r="10" spans="1:41" ht="15.75" customHeight="1">
      <c r="A10" s="512" t="s">
        <v>895</v>
      </c>
      <c r="B10" s="505">
        <f>('Pivot Table for Data Exchange'!$J$43)*100</f>
        <v>78.073297538345216</v>
      </c>
      <c r="C10" s="505">
        <f>('Pivot Table for Data Exchange'!$J$46)*100</f>
        <v>3.448627617061311</v>
      </c>
      <c r="D10" s="506">
        <f t="shared" ref="D10:D15" si="0">SUM(E10:G10)</f>
        <v>18.319356657123269</v>
      </c>
      <c r="E10" s="505">
        <f>('Pivot Table for Data Exchange'!$J$49)*100</f>
        <v>18.107603485901976</v>
      </c>
      <c r="F10" s="505">
        <f>('Pivot Table for Data Exchange'!$J$52)*100</f>
        <v>0.16026524260241748</v>
      </c>
      <c r="G10" s="515">
        <f>('Pivot Table for Data Exchange'!$J$55)*100</f>
        <v>5.1487928618876203E-2</v>
      </c>
      <c r="H10" s="505">
        <f>('Pivot Table for Data Exchange'!$J$58)*100</f>
        <v>0.15871818747020711</v>
      </c>
      <c r="I10" s="512" t="s">
        <v>895</v>
      </c>
      <c r="J10" s="505">
        <f>('Pivot Table for Data Exchange'!$J$61)*100</f>
        <v>53.240329874402946</v>
      </c>
      <c r="K10" s="505">
        <f>('Pivot Table for Data Exchange'!$J$64)*100</f>
        <v>3.0584644892271582</v>
      </c>
      <c r="L10" s="506">
        <f t="shared" ref="L10:L15" si="1">SUM(M10:O10)</f>
        <v>43.701205636369899</v>
      </c>
      <c r="M10" s="505">
        <f>('Pivot Table for Data Exchange'!$J$67)*100</f>
        <v>41.757246136850725</v>
      </c>
      <c r="N10" s="505">
        <f>('Pivot Table for Data Exchange'!$J$70)*100</f>
        <v>1.8504438681032223</v>
      </c>
      <c r="O10" s="515">
        <f>('Pivot Table for Data Exchange'!$J$73)*100</f>
        <v>9.3515631415953815E-2</v>
      </c>
      <c r="P10" s="516">
        <f>('Pivot Table for Data Exchange'!$J$76)*100</f>
        <v>0</v>
      </c>
      <c r="Q10" s="510">
        <f>SUM(B10,C10,D10,H10)</f>
        <v>100</v>
      </c>
      <c r="R10" s="510">
        <f t="shared" ref="R10:R23" si="2">SUM(J10,K10,L10,P10)</f>
        <v>100</v>
      </c>
      <c r="S10" s="568"/>
      <c r="T10" s="569"/>
      <c r="U10" s="569"/>
      <c r="V10" s="569"/>
      <c r="W10" s="569"/>
      <c r="X10" s="569"/>
      <c r="Y10" s="569"/>
      <c r="Z10" s="569"/>
      <c r="AA10" s="569"/>
      <c r="AB10" s="569"/>
      <c r="AC10" s="569"/>
      <c r="AD10" s="569"/>
      <c r="AE10" s="569"/>
      <c r="AF10" s="568"/>
      <c r="AG10" s="568"/>
      <c r="AH10" s="568"/>
      <c r="AI10" s="568"/>
      <c r="AJ10" s="568"/>
      <c r="AK10" s="568"/>
      <c r="AL10" s="568"/>
      <c r="AM10" s="568"/>
      <c r="AN10" s="568"/>
      <c r="AO10" s="568"/>
    </row>
    <row r="11" spans="1:41" ht="15.75" customHeight="1">
      <c r="A11" s="512" t="s">
        <v>896</v>
      </c>
      <c r="B11" s="505">
        <f>('Pivot Table for Data Exchange'!$J$79)*100</f>
        <v>96.477650690085696</v>
      </c>
      <c r="C11" s="505">
        <f>('Pivot Table for Data Exchange'!$J$82)*100</f>
        <v>0</v>
      </c>
      <c r="D11" s="506">
        <f t="shared" si="0"/>
        <v>3.5223493099143042</v>
      </c>
      <c r="E11" s="505">
        <f>('Pivot Table for Data Exchange'!$J$85)*100</f>
        <v>3.5223493099143042</v>
      </c>
      <c r="F11" s="505">
        <f>('Pivot Table for Data Exchange'!$J$88)*100</f>
        <v>0</v>
      </c>
      <c r="G11" s="515">
        <f>('Pivot Table for Data Exchange'!$J$91)*100</f>
        <v>0</v>
      </c>
      <c r="H11" s="505">
        <f>('Pivot Table for Data Exchange'!$J$94)*100</f>
        <v>0</v>
      </c>
      <c r="I11" s="512" t="s">
        <v>896</v>
      </c>
      <c r="J11" s="505">
        <f>('Pivot Table for Data Exchange'!$J$97)*100</f>
        <v>90.661150573725706</v>
      </c>
      <c r="K11" s="505">
        <f>('Pivot Table for Data Exchange'!$J$100)*100</f>
        <v>0</v>
      </c>
      <c r="L11" s="506">
        <f t="shared" si="1"/>
        <v>9.3388494262742956</v>
      </c>
      <c r="M11" s="505">
        <f>('Pivot Table for Data Exchange'!$J$103)*100</f>
        <v>9.3388494262742956</v>
      </c>
      <c r="N11" s="505">
        <f>('Pivot Table for Data Exchange'!$J$106)*100</f>
        <v>0</v>
      </c>
      <c r="O11" s="515">
        <f>('Pivot Table for Data Exchange'!$J$109)*100</f>
        <v>0</v>
      </c>
      <c r="P11" s="505">
        <f>('Pivot Table for Data Exchange'!$J$112)*100</f>
        <v>0</v>
      </c>
      <c r="Q11" s="510">
        <f t="shared" ref="Q11:Q23" si="3">SUM(B11,C11,D11,H11)</f>
        <v>100</v>
      </c>
      <c r="R11" s="510">
        <f t="shared" si="2"/>
        <v>100</v>
      </c>
      <c r="S11" s="568"/>
      <c r="T11" s="569"/>
      <c r="U11" s="569"/>
      <c r="V11" s="569"/>
      <c r="W11" s="569"/>
      <c r="X11" s="569"/>
      <c r="Y11" s="569"/>
      <c r="Z11" s="569"/>
      <c r="AA11" s="569"/>
      <c r="AB11" s="569"/>
      <c r="AC11" s="569"/>
      <c r="AD11" s="569"/>
      <c r="AE11" s="569"/>
      <c r="AF11" s="568"/>
      <c r="AG11" s="568"/>
      <c r="AH11" s="568"/>
      <c r="AI11" s="568"/>
      <c r="AJ11" s="568"/>
      <c r="AK11" s="568"/>
      <c r="AL11" s="568"/>
      <c r="AM11" s="568"/>
      <c r="AN11" s="568"/>
      <c r="AO11" s="568"/>
    </row>
    <row r="12" spans="1:41" ht="15.75" customHeight="1">
      <c r="A12" s="512" t="s">
        <v>929</v>
      </c>
      <c r="B12" s="505">
        <f>('Pivot Table for Data Exchange'!$J$115)*100</f>
        <v>71.927496912216867</v>
      </c>
      <c r="C12" s="505">
        <f>('Pivot Table for Data Exchange'!$J$118)*100</f>
        <v>4.9762643744415618</v>
      </c>
      <c r="D12" s="506">
        <f t="shared" si="0"/>
        <v>23.01646958891325</v>
      </c>
      <c r="E12" s="505">
        <f>('Pivot Table for Data Exchange'!$J$121)*100</f>
        <v>22.886707254374535</v>
      </c>
      <c r="F12" s="505">
        <f>('Pivot Table for Data Exchange'!$J$124)*100</f>
        <v>1.8314491482609371E-2</v>
      </c>
      <c r="G12" s="515">
        <f>('Pivot Table for Data Exchange'!$J$127)*100</f>
        <v>0.11144784305610589</v>
      </c>
      <c r="H12" s="505">
        <f>('Pivot Table for Data Exchange'!$J$130)*100</f>
        <v>7.9769124428313229E-2</v>
      </c>
      <c r="I12" s="512" t="s">
        <v>929</v>
      </c>
      <c r="J12" s="505">
        <f>('Pivot Table for Data Exchange'!$J$133)*100</f>
        <v>68.06171582487211</v>
      </c>
      <c r="K12" s="505">
        <f>('Pivot Table for Data Exchange'!$J$136)*100</f>
        <v>6.9990304928260532</v>
      </c>
      <c r="L12" s="506">
        <f t="shared" si="1"/>
        <v>24.895767837512221</v>
      </c>
      <c r="M12" s="505">
        <f>('Pivot Table for Data Exchange'!$J$139)*100</f>
        <v>24.760929266541456</v>
      </c>
      <c r="N12" s="505">
        <f>('Pivot Table for Data Exchange'!$J$142)*100</f>
        <v>0.11609746995136239</v>
      </c>
      <c r="O12" s="513">
        <f>('Pivot Table for Data Exchange'!$J$145)*100</f>
        <v>1.8741101019402313E-2</v>
      </c>
      <c r="P12" s="519">
        <f>('Pivot Table for Data Exchange'!$J$148)*100</f>
        <v>4.3485844789608832E-2</v>
      </c>
      <c r="Q12" s="510">
        <f t="shared" si="3"/>
        <v>99.999999999999986</v>
      </c>
      <c r="R12" s="510">
        <f t="shared" si="2"/>
        <v>100</v>
      </c>
      <c r="S12" s="568"/>
      <c r="T12" s="569"/>
      <c r="U12" s="569"/>
      <c r="V12" s="569"/>
      <c r="W12" s="569"/>
      <c r="X12" s="569"/>
      <c r="Y12" s="569"/>
      <c r="Z12" s="569"/>
      <c r="AA12" s="569"/>
      <c r="AB12" s="569"/>
      <c r="AC12" s="569"/>
      <c r="AD12" s="569"/>
      <c r="AE12" s="569"/>
      <c r="AF12" s="568"/>
      <c r="AG12" s="568"/>
      <c r="AH12" s="568"/>
      <c r="AI12" s="568"/>
      <c r="AJ12" s="568"/>
      <c r="AK12" s="568"/>
      <c r="AL12" s="568"/>
      <c r="AM12" s="568"/>
      <c r="AN12" s="568"/>
      <c r="AO12" s="568"/>
    </row>
    <row r="13" spans="1:41" ht="9.75" customHeight="1">
      <c r="A13" s="512"/>
      <c r="B13" s="505"/>
      <c r="C13" s="505"/>
      <c r="D13" s="506"/>
      <c r="E13" s="505"/>
      <c r="F13" s="505"/>
      <c r="G13" s="515"/>
      <c r="H13" s="505"/>
      <c r="I13" s="512"/>
      <c r="J13" s="505"/>
      <c r="K13" s="505"/>
      <c r="L13" s="506"/>
      <c r="M13" s="505"/>
      <c r="N13" s="505"/>
      <c r="O13" s="515"/>
      <c r="P13" s="505"/>
      <c r="Q13" s="510">
        <f t="shared" si="3"/>
        <v>0</v>
      </c>
      <c r="R13" s="510">
        <f t="shared" si="2"/>
        <v>0</v>
      </c>
      <c r="S13" s="568"/>
      <c r="T13" s="569"/>
      <c r="U13" s="569"/>
      <c r="V13" s="569"/>
      <c r="W13" s="569"/>
      <c r="X13" s="569"/>
      <c r="Y13" s="569"/>
      <c r="Z13" s="569"/>
      <c r="AA13" s="569"/>
      <c r="AB13" s="569"/>
      <c r="AC13" s="569"/>
      <c r="AD13" s="569"/>
      <c r="AE13" s="569"/>
      <c r="AF13" s="568"/>
      <c r="AG13" s="568"/>
      <c r="AH13" s="568"/>
      <c r="AI13" s="568"/>
      <c r="AJ13" s="568"/>
      <c r="AK13" s="568"/>
      <c r="AL13" s="568"/>
      <c r="AM13" s="568"/>
      <c r="AN13" s="568"/>
      <c r="AO13" s="568"/>
    </row>
    <row r="14" spans="1:41" ht="15.75" customHeight="1">
      <c r="A14" s="512" t="s">
        <v>898</v>
      </c>
      <c r="B14" s="505">
        <f>('Pivot Table for Data Exchange'!$J$151)*100</f>
        <v>84.232534049468555</v>
      </c>
      <c r="C14" s="505">
        <f>('Pivot Table for Data Exchange'!$J$154)*100</f>
        <v>1.7177861999375401</v>
      </c>
      <c r="D14" s="506">
        <f t="shared" si="0"/>
        <v>14.049679750593905</v>
      </c>
      <c r="E14" s="505">
        <f>('Pivot Table for Data Exchange'!$J$157)*100</f>
        <v>13.992697326422018</v>
      </c>
      <c r="F14" s="519">
        <f>('Pivot Table for Data Exchange'!$J$160)*100</f>
        <v>3.418019157858436E-2</v>
      </c>
      <c r="G14" s="515">
        <f>('Pivot Table for Data Exchange'!$J$163)*100</f>
        <v>2.280223259330131E-2</v>
      </c>
      <c r="H14" s="519">
        <f>('Pivot Table for Data Exchange'!$J$166)*100</f>
        <v>0</v>
      </c>
      <c r="I14" s="512" t="s">
        <v>898</v>
      </c>
      <c r="J14" s="505">
        <f>('Pivot Table for Data Exchange'!$J$169)*100</f>
        <v>70.98071856078171</v>
      </c>
      <c r="K14" s="505">
        <f>('Pivot Table for Data Exchange'!$J$172)*100</f>
        <v>11.107358008102356</v>
      </c>
      <c r="L14" s="506">
        <f t="shared" si="1"/>
        <v>17.911923431115937</v>
      </c>
      <c r="M14" s="505">
        <f>('Pivot Table for Data Exchange'!$J$175)*100</f>
        <v>17.908058495478791</v>
      </c>
      <c r="N14" s="516">
        <f>('Pivot Table for Data Exchange'!$J$178)*100</f>
        <v>1.449350863929868E-3</v>
      </c>
      <c r="O14" s="515">
        <f>('Pivot Table for Data Exchange'!$J$181)*100</f>
        <v>2.4155847732164472E-3</v>
      </c>
      <c r="P14" s="516">
        <f>('Pivot Table for Data Exchange'!$J$184)*100</f>
        <v>0</v>
      </c>
      <c r="Q14" s="510">
        <f t="shared" si="3"/>
        <v>100</v>
      </c>
      <c r="R14" s="510">
        <f t="shared" si="2"/>
        <v>100</v>
      </c>
      <c r="S14" s="568"/>
      <c r="T14" s="569"/>
      <c r="U14" s="569"/>
      <c r="V14" s="569"/>
      <c r="W14" s="569"/>
      <c r="X14" s="569"/>
      <c r="Y14" s="569"/>
      <c r="Z14" s="569"/>
      <c r="AA14" s="569"/>
      <c r="AB14" s="569"/>
      <c r="AC14" s="569"/>
      <c r="AD14" s="569"/>
      <c r="AE14" s="569"/>
      <c r="AF14" s="568"/>
      <c r="AG14" s="568"/>
      <c r="AH14" s="568"/>
      <c r="AI14" s="568"/>
      <c r="AJ14" s="568"/>
      <c r="AK14" s="568"/>
      <c r="AL14" s="568"/>
      <c r="AM14" s="568"/>
      <c r="AN14" s="568"/>
      <c r="AO14" s="568"/>
    </row>
    <row r="15" spans="1:41" ht="15.75" customHeight="1">
      <c r="A15" s="512" t="s">
        <v>899</v>
      </c>
      <c r="B15" s="505">
        <f>('Pivot Table for Data Exchange'!$J$187)*100</f>
        <v>81.209130273449063</v>
      </c>
      <c r="C15" s="505">
        <f>('Pivot Table for Data Exchange'!$J$190)*100</f>
        <v>3.9822580808175605</v>
      </c>
      <c r="D15" s="506">
        <f t="shared" si="0"/>
        <v>14.808611645733377</v>
      </c>
      <c r="E15" s="505">
        <f>('Pivot Table for Data Exchange'!$J$193)*100</f>
        <v>13.733635866167482</v>
      </c>
      <c r="F15" s="505">
        <f>('Pivot Table for Data Exchange'!$J$196)*100</f>
        <v>0.97221039074671134</v>
      </c>
      <c r="G15" s="513">
        <f>('Pivot Table for Data Exchange'!$J$199)*100</f>
        <v>0.10276538881918344</v>
      </c>
      <c r="H15" s="505">
        <f>('Pivot Table for Data Exchange'!$J$202)*100</f>
        <v>0</v>
      </c>
      <c r="I15" s="512" t="s">
        <v>899</v>
      </c>
      <c r="J15" s="505">
        <f>('Pivot Table for Data Exchange'!$J$205)*100</f>
        <v>60.476175865983492</v>
      </c>
      <c r="K15" s="505">
        <f>('Pivot Table for Data Exchange'!$J$208)*100</f>
        <v>5.2143098211272356</v>
      </c>
      <c r="L15" s="506">
        <f t="shared" si="1"/>
        <v>34.30951431288927</v>
      </c>
      <c r="M15" s="505">
        <f>('Pivot Table for Data Exchange'!$J$211)*100</f>
        <v>33.698646948731323</v>
      </c>
      <c r="N15" s="505">
        <f>('Pivot Table for Data Exchange'!$J$214)*100</f>
        <v>0.4151198110023625</v>
      </c>
      <c r="O15" s="513">
        <f>('Pivot Table for Data Exchange'!$J$217)*100</f>
        <v>0.19574755315558556</v>
      </c>
      <c r="P15" s="505">
        <f>('Pivot Table for Data Exchange'!$J$220)*100</f>
        <v>0</v>
      </c>
      <c r="Q15" s="510">
        <f t="shared" si="3"/>
        <v>100</v>
      </c>
      <c r="R15" s="510">
        <f t="shared" si="2"/>
        <v>100</v>
      </c>
      <c r="S15" s="568"/>
      <c r="T15" s="569"/>
      <c r="U15" s="569"/>
      <c r="V15" s="569"/>
      <c r="W15" s="569"/>
      <c r="X15" s="569"/>
      <c r="Y15" s="569"/>
      <c r="Z15" s="569"/>
      <c r="AA15" s="569"/>
      <c r="AB15" s="569"/>
      <c r="AC15" s="569"/>
      <c r="AD15" s="569"/>
      <c r="AE15" s="569"/>
      <c r="AF15" s="568"/>
      <c r="AG15" s="568"/>
      <c r="AH15" s="568"/>
      <c r="AI15" s="568"/>
      <c r="AJ15" s="568"/>
      <c r="AK15" s="568"/>
      <c r="AL15" s="568"/>
      <c r="AM15" s="568"/>
      <c r="AN15" s="568"/>
      <c r="AO15" s="568"/>
    </row>
    <row r="16" spans="1:41" ht="15.75" customHeight="1">
      <c r="A16" s="512" t="s">
        <v>900</v>
      </c>
      <c r="B16" s="505">
        <f>('Pivot Table for Data Exchange'!$J$223)*100</f>
        <v>87.983309624839151</v>
      </c>
      <c r="C16" s="505">
        <f>('Pivot Table for Data Exchange'!$J$226)*100</f>
        <v>0</v>
      </c>
      <c r="D16" s="506">
        <f>SUM(E16:G16)</f>
        <v>12.016690375160842</v>
      </c>
      <c r="E16" s="505">
        <f>('Pivot Table for Data Exchange'!$J$229)*100</f>
        <v>12.016690375160842</v>
      </c>
      <c r="F16" s="505">
        <f>('Pivot Table for Data Exchange'!$J$232)*100</f>
        <v>0</v>
      </c>
      <c r="G16" s="515">
        <f>('Pivot Table for Data Exchange'!$J$235)*100</f>
        <v>0</v>
      </c>
      <c r="H16" s="505">
        <f>('Pivot Table for Data Exchange'!$J$238)*100</f>
        <v>0</v>
      </c>
      <c r="I16" s="512" t="s">
        <v>900</v>
      </c>
      <c r="J16" s="505">
        <f>('Pivot Table for Data Exchange'!$J$241)*100</f>
        <v>77.097492773615812</v>
      </c>
      <c r="K16" s="505">
        <f>('Pivot Table for Data Exchange'!$J$244)*100</f>
        <v>0</v>
      </c>
      <c r="L16" s="506">
        <f>SUM(M16:O16)</f>
        <v>22.902507226384198</v>
      </c>
      <c r="M16" s="505">
        <f>('Pivot Table for Data Exchange'!$J$247)*100</f>
        <v>22.902507226384198</v>
      </c>
      <c r="N16" s="505">
        <f>('Pivot Table for Data Exchange'!$J$250)*100</f>
        <v>0</v>
      </c>
      <c r="O16" s="515">
        <f>('Pivot Table for Data Exchange'!$J$253)*100</f>
        <v>0</v>
      </c>
      <c r="P16" s="505">
        <f>('Pivot Table for Data Exchange'!$J$256)*100</f>
        <v>0</v>
      </c>
      <c r="Q16" s="510">
        <f>SUM(B16,C16,D16,H16)</f>
        <v>100</v>
      </c>
      <c r="R16" s="510">
        <f>SUM(J16,K16,L16,P16)</f>
        <v>100.00000000000001</v>
      </c>
      <c r="S16" s="568"/>
      <c r="T16" s="569"/>
      <c r="U16" s="569"/>
      <c r="V16" s="569"/>
      <c r="W16" s="569"/>
      <c r="X16" s="569"/>
      <c r="Y16" s="569"/>
      <c r="Z16" s="569"/>
      <c r="AA16" s="569"/>
      <c r="AB16" s="569"/>
      <c r="AC16" s="569"/>
      <c r="AD16" s="569"/>
      <c r="AE16" s="569"/>
      <c r="AF16" s="568"/>
      <c r="AG16" s="568"/>
      <c r="AH16" s="568"/>
      <c r="AI16" s="568"/>
      <c r="AJ16" s="568"/>
      <c r="AK16" s="568"/>
      <c r="AL16" s="568"/>
      <c r="AM16" s="568"/>
      <c r="AN16" s="568"/>
      <c r="AO16" s="568"/>
    </row>
    <row r="17" spans="1:41" ht="15.75" customHeight="1">
      <c r="A17" s="512" t="s">
        <v>901</v>
      </c>
      <c r="B17" s="505">
        <f>('Pivot Table for Data Exchange'!$J$259)*100</f>
        <v>68.064087310607107</v>
      </c>
      <c r="C17" s="505">
        <f>('Pivot Table for Data Exchange'!$J$262)*100</f>
        <v>3.2117201726545712</v>
      </c>
      <c r="D17" s="506">
        <f>SUM(E17:G17)</f>
        <v>28.724192516738327</v>
      </c>
      <c r="E17" s="505">
        <f>('Pivot Table for Data Exchange'!$J$265)*100</f>
        <v>28.484616491598192</v>
      </c>
      <c r="F17" s="505">
        <f>('Pivot Table for Data Exchange'!$J$268)*100</f>
        <v>0.23957602514013634</v>
      </c>
      <c r="G17" s="515">
        <f>('Pivot Table for Data Exchange'!$J$271)*100</f>
        <v>0</v>
      </c>
      <c r="H17" s="570">
        <f>('Pivot Table for Data Exchange'!$J$274)*100</f>
        <v>0</v>
      </c>
      <c r="I17" s="512" t="s">
        <v>901</v>
      </c>
      <c r="J17" s="505">
        <f>('Pivot Table for Data Exchange'!$J$277)*100</f>
        <v>48.391558309296506</v>
      </c>
      <c r="K17" s="505">
        <f>('Pivot Table for Data Exchange'!$J$280)*100</f>
        <v>7.4810935826593168</v>
      </c>
      <c r="L17" s="506">
        <f>SUM(M17:O17)</f>
        <v>44.127348108044181</v>
      </c>
      <c r="M17" s="505">
        <f>('Pivot Table for Data Exchange'!$J$283)*100</f>
        <v>43.452729028824486</v>
      </c>
      <c r="N17" s="505">
        <f>('Pivot Table for Data Exchange'!$J$286)*100</f>
        <v>0.67461907921969555</v>
      </c>
      <c r="O17" s="515">
        <f>('Pivot Table for Data Exchange'!$J$289)*100</f>
        <v>0</v>
      </c>
      <c r="P17" s="505">
        <f>('Pivot Table for Data Exchange'!$J$292)*100</f>
        <v>0</v>
      </c>
      <c r="Q17" s="510">
        <f>SUM(B17,C17,D17,H17)</f>
        <v>100</v>
      </c>
      <c r="R17" s="510">
        <f>SUM(J17,K17,L17,P17)</f>
        <v>100</v>
      </c>
      <c r="S17" s="568"/>
      <c r="T17" s="569"/>
      <c r="U17" s="569"/>
      <c r="V17" s="569"/>
      <c r="W17" s="569"/>
      <c r="X17" s="569"/>
      <c r="Y17" s="569"/>
      <c r="Z17" s="569"/>
      <c r="AA17" s="569"/>
      <c r="AB17" s="569"/>
      <c r="AC17" s="569"/>
      <c r="AD17" s="569"/>
      <c r="AE17" s="569"/>
      <c r="AF17" s="568"/>
      <c r="AG17" s="568"/>
      <c r="AH17" s="568"/>
      <c r="AI17" s="568"/>
      <c r="AJ17" s="568"/>
      <c r="AK17" s="568"/>
      <c r="AL17" s="568"/>
      <c r="AM17" s="568"/>
      <c r="AN17" s="568"/>
      <c r="AO17" s="568"/>
    </row>
    <row r="18" spans="1:41" ht="11.25" customHeight="1">
      <c r="A18" s="512"/>
      <c r="B18" s="505"/>
      <c r="C18" s="505"/>
      <c r="D18" s="506"/>
      <c r="E18" s="505"/>
      <c r="F18" s="505"/>
      <c r="G18" s="515"/>
      <c r="H18" s="505"/>
      <c r="I18" s="512"/>
      <c r="J18" s="505"/>
      <c r="K18" s="505"/>
      <c r="L18" s="506"/>
      <c r="M18" s="505"/>
      <c r="N18" s="505"/>
      <c r="O18" s="515"/>
      <c r="P18" s="505"/>
      <c r="Q18" s="510">
        <f t="shared" si="3"/>
        <v>0</v>
      </c>
      <c r="R18" s="510">
        <f t="shared" si="2"/>
        <v>0</v>
      </c>
      <c r="S18" s="568"/>
      <c r="T18" s="569"/>
      <c r="U18" s="569"/>
      <c r="V18" s="569"/>
      <c r="W18" s="569"/>
      <c r="X18" s="569"/>
      <c r="Y18" s="569"/>
      <c r="Z18" s="569"/>
      <c r="AA18" s="569"/>
      <c r="AB18" s="569"/>
      <c r="AC18" s="569"/>
      <c r="AD18" s="569"/>
      <c r="AE18" s="569"/>
      <c r="AF18" s="568"/>
      <c r="AG18" s="568"/>
      <c r="AH18" s="568"/>
      <c r="AI18" s="568"/>
      <c r="AJ18" s="568"/>
      <c r="AK18" s="568"/>
      <c r="AL18" s="568"/>
      <c r="AM18" s="568"/>
      <c r="AN18" s="568"/>
      <c r="AO18" s="568"/>
    </row>
    <row r="19" spans="1:41" ht="15.75" customHeight="1">
      <c r="A19" s="512" t="s">
        <v>902</v>
      </c>
      <c r="B19" s="505">
        <f>('Pivot Table for Data Exchange'!$J$295)*100</f>
        <v>80.11473687262162</v>
      </c>
      <c r="C19" s="505">
        <f>('Pivot Table for Data Exchange'!$J$298)*100</f>
        <v>5.259484417041401</v>
      </c>
      <c r="D19" s="506">
        <f>SUM(E19:G19)</f>
        <v>14.513700214912838</v>
      </c>
      <c r="E19" s="505">
        <f>('Pivot Table for Data Exchange'!$J$301)*100</f>
        <v>13.547440272664169</v>
      </c>
      <c r="F19" s="505">
        <f>('Pivot Table for Data Exchange'!$J$304)*100</f>
        <v>0.96051653472327447</v>
      </c>
      <c r="G19" s="518">
        <f>('Pivot Table for Data Exchange'!$J$307)*100</f>
        <v>5.7434075253954336E-3</v>
      </c>
      <c r="H19" s="505">
        <f>('Pivot Table for Data Exchange'!$J$310)*100</f>
        <v>0.11207849542414518</v>
      </c>
      <c r="I19" s="512" t="s">
        <v>902</v>
      </c>
      <c r="J19" s="505">
        <f>('Pivot Table for Data Exchange'!$J$313)*100</f>
        <v>60.607076643919378</v>
      </c>
      <c r="K19" s="505">
        <f>('Pivot Table for Data Exchange'!$J$316)*100</f>
        <v>6.4529998816614729</v>
      </c>
      <c r="L19" s="506">
        <f>SUM(M19:O19)</f>
        <v>32.829474182478009</v>
      </c>
      <c r="M19" s="505">
        <f>('Pivot Table for Data Exchange'!$J$319)*100</f>
        <v>32.040156206855748</v>
      </c>
      <c r="N19" s="505">
        <f>('Pivot Table for Data Exchange'!$J$322)*100</f>
        <v>0.76801704074789945</v>
      </c>
      <c r="O19" s="513">
        <f>('Pivot Table for Data Exchange'!$J$325)*100</f>
        <v>2.1300934874363929E-2</v>
      </c>
      <c r="P19" s="519">
        <f>('Pivot Table for Data Exchange'!$J$328)*100</f>
        <v>0.1104492919411463</v>
      </c>
      <c r="Q19" s="510">
        <f>SUM(B19,C19,D19,H19)</f>
        <v>100.00000000000001</v>
      </c>
      <c r="R19" s="510">
        <f>SUM(J19,K19,L19,P19)</f>
        <v>100.00000000000001</v>
      </c>
      <c r="S19" s="568"/>
      <c r="T19" s="569"/>
      <c r="U19" s="569"/>
      <c r="V19" s="569"/>
      <c r="W19" s="569"/>
      <c r="X19" s="569"/>
      <c r="Y19" s="569"/>
      <c r="Z19" s="569"/>
      <c r="AA19" s="569"/>
      <c r="AB19" s="569"/>
      <c r="AC19" s="569"/>
      <c r="AD19" s="569"/>
      <c r="AE19" s="569"/>
      <c r="AF19" s="568"/>
      <c r="AG19" s="568"/>
      <c r="AH19" s="568"/>
      <c r="AI19" s="568"/>
      <c r="AJ19" s="568"/>
      <c r="AK19" s="568"/>
      <c r="AL19" s="568"/>
      <c r="AM19" s="568"/>
      <c r="AN19" s="568"/>
      <c r="AO19" s="568"/>
    </row>
    <row r="20" spans="1:41" ht="15.75" customHeight="1">
      <c r="A20" s="512" t="s">
        <v>903</v>
      </c>
      <c r="B20" s="505">
        <f>('Pivot Table for Data Exchange'!$J$331)*100</f>
        <v>84.317568122924555</v>
      </c>
      <c r="C20" s="505">
        <f>('Pivot Table for Data Exchange'!$J$334)*100</f>
        <v>0.47783126494381895</v>
      </c>
      <c r="D20" s="506">
        <f>SUM(E20:G20)</f>
        <v>15.204600612131625</v>
      </c>
      <c r="E20" s="505">
        <f>('Pivot Table for Data Exchange'!$J$337)*100</f>
        <v>14.808630286673379</v>
      </c>
      <c r="F20" s="505">
        <f>('Pivot Table for Data Exchange'!$J$340)*100</f>
        <v>6.5578558486058744E-2</v>
      </c>
      <c r="G20" s="513">
        <f>('Pivot Table for Data Exchange'!$J$343)*100</f>
        <v>0.33039176697218581</v>
      </c>
      <c r="H20" s="505">
        <f>('Pivot Table for Data Exchange'!$J$346)*100</f>
        <v>0</v>
      </c>
      <c r="I20" s="512" t="s">
        <v>903</v>
      </c>
      <c r="J20" s="505">
        <f>('Pivot Table for Data Exchange'!$J$349)*100</f>
        <v>70.791581026612931</v>
      </c>
      <c r="K20" s="505">
        <f>('Pivot Table for Data Exchange'!$J$352)*100</f>
        <v>3.0692950377706003</v>
      </c>
      <c r="L20" s="506">
        <f>SUM(M20:O20)</f>
        <v>26.139123935616475</v>
      </c>
      <c r="M20" s="505">
        <f>('Pivot Table for Data Exchange'!$J$355)*100</f>
        <v>25.671462509676214</v>
      </c>
      <c r="N20" s="505">
        <f>('Pivot Table for Data Exchange'!$J$358)*100</f>
        <v>5.7523423110802656E-2</v>
      </c>
      <c r="O20" s="515">
        <f>('Pivot Table for Data Exchange'!$J$361)*100</f>
        <v>0.41013800282945834</v>
      </c>
      <c r="P20" s="505">
        <f>('Pivot Table for Data Exchange'!$J$364)*100</f>
        <v>0</v>
      </c>
      <c r="Q20" s="510">
        <f>SUM(B20,C20,D20,H20)</f>
        <v>100</v>
      </c>
      <c r="R20" s="510">
        <f>SUM(J20,K20,L20,P20)</f>
        <v>100</v>
      </c>
      <c r="S20" s="568"/>
      <c r="T20" s="569"/>
      <c r="U20" s="569"/>
      <c r="V20" s="569"/>
      <c r="W20" s="569"/>
      <c r="X20" s="569"/>
      <c r="Y20" s="569"/>
      <c r="Z20" s="569"/>
      <c r="AA20" s="569"/>
      <c r="AB20" s="569"/>
      <c r="AC20" s="569"/>
      <c r="AD20" s="569"/>
      <c r="AE20" s="569"/>
      <c r="AF20" s="568"/>
      <c r="AG20" s="568"/>
      <c r="AH20" s="568"/>
      <c r="AI20" s="568"/>
      <c r="AJ20" s="568"/>
      <c r="AK20" s="568"/>
      <c r="AL20" s="568"/>
      <c r="AM20" s="568"/>
      <c r="AN20" s="568"/>
      <c r="AO20" s="568"/>
    </row>
    <row r="21" spans="1:41" ht="15.75" customHeight="1">
      <c r="A21" s="512" t="s">
        <v>904</v>
      </c>
      <c r="B21" s="505">
        <f>('Pivot Table for Data Exchange'!$J$367)*100</f>
        <v>81.430963568845016</v>
      </c>
      <c r="C21" s="505">
        <f>('Pivot Table for Data Exchange'!$J$370)*100</f>
        <v>1.0004127987589406</v>
      </c>
      <c r="D21" s="506">
        <f>SUM(E21:G21)</f>
        <v>17.532670192101229</v>
      </c>
      <c r="E21" s="505">
        <f>('Pivot Table for Data Exchange'!$J$373)*100</f>
        <v>15.998739965078556</v>
      </c>
      <c r="F21" s="505">
        <f>('Pivot Table for Data Exchange'!$J$376)*100</f>
        <v>1.0326627018011676</v>
      </c>
      <c r="G21" s="515">
        <f>('Pivot Table for Data Exchange'!$J$379)*100</f>
        <v>0.50126752522150475</v>
      </c>
      <c r="H21" s="505">
        <f>('Pivot Table for Data Exchange'!$J$382)*100</f>
        <v>3.5953440294818208E-2</v>
      </c>
      <c r="I21" s="512" t="s">
        <v>904</v>
      </c>
      <c r="J21" s="505">
        <f>('Pivot Table for Data Exchange'!$J$385)*100</f>
        <v>71.567949031515283</v>
      </c>
      <c r="K21" s="505">
        <f>('Pivot Table for Data Exchange'!$J$388)*100</f>
        <v>5.7667643005852067</v>
      </c>
      <c r="L21" s="506">
        <f>SUM(M21:O21)</f>
        <v>22.426073625121543</v>
      </c>
      <c r="M21" s="505">
        <f>('Pivot Table for Data Exchange'!$J$391)*100</f>
        <v>19.189240781946275</v>
      </c>
      <c r="N21" s="505">
        <f>('Pivot Table for Data Exchange'!$J$394)*100</f>
        <v>1.3106011346214648</v>
      </c>
      <c r="O21" s="515">
        <f>('Pivot Table for Data Exchange'!$J$397)*100</f>
        <v>1.926231708553805</v>
      </c>
      <c r="P21" s="505">
        <f>('Pivot Table for Data Exchange'!$J$400)*100</f>
        <v>0.23921304277797331</v>
      </c>
      <c r="Q21" s="510">
        <f>SUM(B21,C21,D21,H21)</f>
        <v>100.00000000000001</v>
      </c>
      <c r="R21" s="510">
        <f>SUM(J21,K21,L21,P21)</f>
        <v>100.00000000000001</v>
      </c>
      <c r="S21" s="568"/>
      <c r="T21" s="569"/>
      <c r="U21" s="569"/>
      <c r="V21" s="569"/>
      <c r="W21" s="569"/>
      <c r="X21" s="569"/>
      <c r="Y21" s="569"/>
      <c r="Z21" s="569"/>
      <c r="AA21" s="569"/>
      <c r="AB21" s="569"/>
      <c r="AC21" s="569"/>
      <c r="AD21" s="569"/>
      <c r="AE21" s="569"/>
      <c r="AF21" s="568"/>
      <c r="AG21" s="568"/>
      <c r="AH21" s="568"/>
      <c r="AI21" s="568"/>
      <c r="AJ21" s="568"/>
      <c r="AK21" s="568"/>
      <c r="AL21" s="568"/>
      <c r="AM21" s="568"/>
      <c r="AN21" s="568"/>
      <c r="AO21" s="568"/>
    </row>
    <row r="22" spans="1:41" ht="15.75" customHeight="1">
      <c r="A22" s="512" t="s">
        <v>905</v>
      </c>
      <c r="B22" s="505">
        <f>('Pivot Table for Data Exchange'!$J$403)*100</f>
        <v>90.781610041229683</v>
      </c>
      <c r="C22" s="505">
        <f>('Pivot Table for Data Exchange'!$J$406)*100</f>
        <v>1.4760481045346929</v>
      </c>
      <c r="D22" s="506">
        <f>SUM(E22:G22)</f>
        <v>7.7423418542356268</v>
      </c>
      <c r="E22" s="505">
        <f>('Pivot Table for Data Exchange'!$J$409)*100</f>
        <v>7.7423418542356268</v>
      </c>
      <c r="F22" s="505">
        <f>('Pivot Table for Data Exchange'!$J$412)*100</f>
        <v>0</v>
      </c>
      <c r="G22" s="515">
        <f>('Pivot Table for Data Exchange'!$J$415)*100</f>
        <v>0</v>
      </c>
      <c r="H22" s="505">
        <f>('Pivot Table for Data Exchange'!$J$418)*100</f>
        <v>0</v>
      </c>
      <c r="I22" s="512" t="s">
        <v>905</v>
      </c>
      <c r="J22" s="505">
        <f>('Pivot Table for Data Exchange'!$J$421)*100</f>
        <v>69.408296680196983</v>
      </c>
      <c r="K22" s="505">
        <f>('Pivot Table for Data Exchange'!$J$424)*100</f>
        <v>10.375152738474853</v>
      </c>
      <c r="L22" s="506">
        <f>SUM(M22:O22)</f>
        <v>20.216550581328164</v>
      </c>
      <c r="M22" s="505">
        <f>('Pivot Table for Data Exchange'!$J$427)*100</f>
        <v>18.155288008831171</v>
      </c>
      <c r="N22" s="505">
        <f>('Pivot Table for Data Exchange'!$J$430)*100</f>
        <v>2.0155332263037167</v>
      </c>
      <c r="O22" s="515">
        <f>('Pivot Table for Data Exchange'!$J$433)*100</f>
        <v>4.5729346193277787E-2</v>
      </c>
      <c r="P22" s="505">
        <f>('Pivot Table for Data Exchange'!$J$436)*100</f>
        <v>0</v>
      </c>
      <c r="Q22" s="510">
        <f>SUM(B22,C22,D22,H22)</f>
        <v>100.00000000000001</v>
      </c>
      <c r="R22" s="510">
        <f>SUM(J22,K22,L22,P22)</f>
        <v>100</v>
      </c>
      <c r="S22" s="568"/>
      <c r="T22" s="569"/>
      <c r="U22" s="569"/>
      <c r="V22" s="569"/>
      <c r="W22" s="569"/>
      <c r="X22" s="569"/>
      <c r="Y22" s="569"/>
      <c r="Z22" s="569"/>
      <c r="AA22" s="569"/>
      <c r="AB22" s="569"/>
      <c r="AC22" s="569"/>
      <c r="AD22" s="569"/>
      <c r="AE22" s="569"/>
      <c r="AF22" s="568"/>
      <c r="AG22" s="568"/>
      <c r="AH22" s="568"/>
      <c r="AI22" s="568"/>
      <c r="AJ22" s="568"/>
      <c r="AK22" s="568"/>
      <c r="AL22" s="568"/>
      <c r="AM22" s="568"/>
      <c r="AN22" s="568"/>
      <c r="AO22" s="568"/>
    </row>
    <row r="23" spans="1:41" ht="9.75" customHeight="1">
      <c r="A23" s="512"/>
      <c r="B23" s="505"/>
      <c r="C23" s="505"/>
      <c r="D23" s="506"/>
      <c r="E23" s="505"/>
      <c r="F23" s="505"/>
      <c r="G23" s="515"/>
      <c r="H23" s="505"/>
      <c r="I23" s="512"/>
      <c r="J23" s="505"/>
      <c r="K23" s="505"/>
      <c r="L23" s="506"/>
      <c r="M23" s="505"/>
      <c r="N23" s="505"/>
      <c r="O23" s="515"/>
      <c r="P23" s="505"/>
      <c r="Q23" s="510">
        <f t="shared" si="3"/>
        <v>0</v>
      </c>
      <c r="R23" s="510">
        <f t="shared" si="2"/>
        <v>0</v>
      </c>
      <c r="S23" s="568"/>
      <c r="T23" s="569"/>
      <c r="U23" s="569"/>
      <c r="V23" s="569"/>
      <c r="W23" s="569"/>
      <c r="X23" s="569"/>
      <c r="Y23" s="569"/>
      <c r="Z23" s="569"/>
      <c r="AA23" s="569"/>
      <c r="AB23" s="569"/>
      <c r="AC23" s="569"/>
      <c r="AD23" s="569"/>
      <c r="AE23" s="569"/>
      <c r="AF23" s="568"/>
      <c r="AG23" s="568"/>
      <c r="AH23" s="568"/>
      <c r="AI23" s="568"/>
      <c r="AJ23" s="568"/>
      <c r="AK23" s="568"/>
      <c r="AL23" s="568"/>
      <c r="AM23" s="568"/>
      <c r="AN23" s="568"/>
      <c r="AO23" s="568"/>
    </row>
    <row r="24" spans="1:41" ht="15.75" customHeight="1">
      <c r="A24" s="512" t="s">
        <v>906</v>
      </c>
      <c r="B24" s="505">
        <f>('Pivot Table for Data Exchange'!$J$439)*100</f>
        <v>78.333566120729614</v>
      </c>
      <c r="C24" s="505">
        <f>('Pivot Table for Data Exchange'!$J$442)*100</f>
        <v>2.1972768597857413</v>
      </c>
      <c r="D24" s="506">
        <f>SUM(E24:G24)</f>
        <v>18.824504618299517</v>
      </c>
      <c r="E24" s="505">
        <f>('Pivot Table for Data Exchange'!$J$445)*100</f>
        <v>13.34708465836594</v>
      </c>
      <c r="F24" s="505">
        <f>('Pivot Table for Data Exchange'!$J$448)*100</f>
        <v>0.38612344209565336</v>
      </c>
      <c r="G24" s="515">
        <f>('Pivot Table for Data Exchange'!$J$451)*100</f>
        <v>5.0912965178379244</v>
      </c>
      <c r="H24" s="505">
        <f>('Pivot Table for Data Exchange'!$J$454)*100</f>
        <v>0.64465240118512401</v>
      </c>
      <c r="I24" s="512" t="s">
        <v>906</v>
      </c>
      <c r="J24" s="505">
        <f>('Pivot Table for Data Exchange'!$J$457)*100</f>
        <v>57.944969741613065</v>
      </c>
      <c r="K24" s="505">
        <f>('Pivot Table for Data Exchange'!$J$460)*100</f>
        <v>3.1703042349041448</v>
      </c>
      <c r="L24" s="506">
        <f>SUM(M24:O24)</f>
        <v>34.771109431853546</v>
      </c>
      <c r="M24" s="505">
        <f>('Pivot Table for Data Exchange'!$J$463)*100</f>
        <v>31.621760638061431</v>
      </c>
      <c r="N24" s="505">
        <f>('Pivot Table for Data Exchange'!$J$466)*100</f>
        <v>0.15684830165674987</v>
      </c>
      <c r="O24" s="515">
        <f>('Pivot Table for Data Exchange'!$J$469)*100</f>
        <v>2.9925004921353597</v>
      </c>
      <c r="P24" s="505">
        <f>('Pivot Table for Data Exchange'!$J$472)*100</f>
        <v>4.1136165916292535</v>
      </c>
      <c r="Q24" s="510">
        <f>SUM(B24,C24,D24,H24)</f>
        <v>100</v>
      </c>
      <c r="R24" s="510">
        <f>SUM(J24,K24,L24,P24)</f>
        <v>100.00000000000001</v>
      </c>
      <c r="S24" s="568"/>
      <c r="T24" s="569"/>
      <c r="U24" s="569"/>
      <c r="V24" s="569"/>
      <c r="W24" s="569"/>
      <c r="X24" s="569"/>
      <c r="Y24" s="569"/>
      <c r="Z24" s="569"/>
      <c r="AA24" s="569"/>
      <c r="AB24" s="569"/>
      <c r="AC24" s="569"/>
      <c r="AD24" s="569"/>
      <c r="AE24" s="569"/>
      <c r="AF24" s="568"/>
      <c r="AG24" s="568"/>
      <c r="AH24" s="568"/>
      <c r="AI24" s="568"/>
      <c r="AJ24" s="568"/>
      <c r="AK24" s="568"/>
      <c r="AL24" s="568"/>
      <c r="AM24" s="568"/>
      <c r="AN24" s="568"/>
      <c r="AO24" s="568"/>
    </row>
    <row r="25" spans="1:41" ht="15.75" customHeight="1">
      <c r="A25" s="512" t="s">
        <v>907</v>
      </c>
      <c r="B25" s="505">
        <f>('Pivot Table for Data Exchange'!$J$475)*100</f>
        <v>81.470051720203344</v>
      </c>
      <c r="C25" s="505">
        <f>('Pivot Table for Data Exchange'!$J$478)*100</f>
        <v>1.5507772633815105</v>
      </c>
      <c r="D25" s="506">
        <f>SUM(E25:G25)</f>
        <v>16.979171016415151</v>
      </c>
      <c r="E25" s="505">
        <f>('Pivot Table for Data Exchange'!$J$481)*100</f>
        <v>16.307126488462554</v>
      </c>
      <c r="F25" s="505">
        <f>('Pivot Table for Data Exchange'!$J$484)*100</f>
        <v>0.42271464247494761</v>
      </c>
      <c r="G25" s="515">
        <f>('Pivot Table for Data Exchange'!$J$487)*100</f>
        <v>0.24932988547765114</v>
      </c>
      <c r="H25" s="505">
        <f>('Pivot Table for Data Exchange'!$J$490)*100</f>
        <v>0</v>
      </c>
      <c r="I25" s="512" t="s">
        <v>907</v>
      </c>
      <c r="J25" s="505">
        <f>('Pivot Table for Data Exchange'!$J$493)*100</f>
        <v>65.587724883470656</v>
      </c>
      <c r="K25" s="505">
        <f>('Pivot Table for Data Exchange'!$J$496)*100</f>
        <v>2.4709065931213949</v>
      </c>
      <c r="L25" s="506">
        <f>SUM(M25:O25)</f>
        <v>31.941368523407949</v>
      </c>
      <c r="M25" s="505">
        <f>('Pivot Table for Data Exchange'!$J$499)*100</f>
        <v>31.009566306668557</v>
      </c>
      <c r="N25" s="505">
        <f>('Pivot Table for Data Exchange'!$J$502)*100</f>
        <v>0.37342161995688328</v>
      </c>
      <c r="O25" s="515">
        <f>('Pivot Table for Data Exchange'!$J$505)*100</f>
        <v>0.55838059678250973</v>
      </c>
      <c r="P25" s="505">
        <f>('Pivot Table for Data Exchange'!$J$508)*100</f>
        <v>0</v>
      </c>
      <c r="Q25" s="510">
        <f>SUM(B25,C25,D25,H25)</f>
        <v>100</v>
      </c>
      <c r="R25" s="510">
        <f>SUM(J25,K25,L25,P25)</f>
        <v>100</v>
      </c>
      <c r="S25" s="568"/>
      <c r="T25" s="569"/>
      <c r="U25" s="569"/>
      <c r="V25" s="569"/>
      <c r="W25" s="569"/>
      <c r="X25" s="569"/>
      <c r="Y25" s="569"/>
      <c r="Z25" s="569"/>
      <c r="AA25" s="569"/>
      <c r="AB25" s="569"/>
      <c r="AC25" s="569"/>
      <c r="AD25" s="569"/>
      <c r="AE25" s="569"/>
      <c r="AF25" s="568"/>
      <c r="AG25" s="568"/>
      <c r="AH25" s="568"/>
      <c r="AI25" s="568"/>
      <c r="AJ25" s="568"/>
      <c r="AK25" s="568"/>
      <c r="AL25" s="568"/>
      <c r="AM25" s="568"/>
      <c r="AN25" s="568"/>
      <c r="AO25" s="568"/>
    </row>
    <row r="26" spans="1:41" ht="15.75" customHeight="1">
      <c r="A26" s="512" t="s">
        <v>908</v>
      </c>
      <c r="B26" s="505">
        <f>('Pivot Table for Data Exchange'!$J$511)*100</f>
        <v>90.717560690877036</v>
      </c>
      <c r="C26" s="505">
        <f>('Pivot Table for Data Exchange'!$J$514)*100</f>
        <v>1.5781268562112847</v>
      </c>
      <c r="D26" s="506">
        <f>SUM(E26:G26)</f>
        <v>7.7043124529116964</v>
      </c>
      <c r="E26" s="505">
        <f>('Pivot Table for Data Exchange'!$J$517)*100</f>
        <v>7.0580127900189513</v>
      </c>
      <c r="F26" s="505">
        <f>('Pivot Table for Data Exchange'!$J$520)*100</f>
        <v>0.6406837800240166</v>
      </c>
      <c r="G26" s="515">
        <f>('Pivot Table for Data Exchange'!$J$523)*100</f>
        <v>5.6158828687287374E-3</v>
      </c>
      <c r="H26" s="505">
        <f>('Pivot Table for Data Exchange'!$J$526)*100</f>
        <v>0</v>
      </c>
      <c r="I26" s="512" t="s">
        <v>908</v>
      </c>
      <c r="J26" s="505">
        <f>('Pivot Table for Data Exchange'!$J$529)*100</f>
        <v>79.859763368501362</v>
      </c>
      <c r="K26" s="505">
        <f>('Pivot Table for Data Exchange'!$J$532)*100</f>
        <v>7.5523407831866169</v>
      </c>
      <c r="L26" s="506">
        <f>SUM(M26:O26)</f>
        <v>12.587895848312007</v>
      </c>
      <c r="M26" s="505">
        <f>('Pivot Table for Data Exchange'!$J$535)*100</f>
        <v>9.3223911447950574</v>
      </c>
      <c r="N26" s="505">
        <f>('Pivot Table for Data Exchange'!$J$538)*100</f>
        <v>2.9816200737553649</v>
      </c>
      <c r="O26" s="515">
        <f>('Pivot Table for Data Exchange'!$J$541)*100</f>
        <v>0.28388462976158557</v>
      </c>
      <c r="P26" s="505">
        <f>('Pivot Table for Data Exchange'!$J$544)*100</f>
        <v>0</v>
      </c>
      <c r="Q26" s="510">
        <f>SUM(B26,C26,D26,H26)</f>
        <v>100.00000000000001</v>
      </c>
      <c r="R26" s="510">
        <f>SUM(J26,K26,L26,P26)</f>
        <v>99.999999999999986</v>
      </c>
      <c r="S26" s="568"/>
      <c r="T26" s="569"/>
      <c r="U26" s="569"/>
      <c r="V26" s="569"/>
      <c r="W26" s="569"/>
      <c r="X26" s="569"/>
      <c r="Y26" s="569"/>
      <c r="Z26" s="569"/>
      <c r="AA26" s="569"/>
      <c r="AB26" s="569"/>
      <c r="AC26" s="569"/>
      <c r="AD26" s="569"/>
      <c r="AE26" s="569"/>
      <c r="AF26" s="568"/>
      <c r="AG26" s="568"/>
      <c r="AH26" s="568"/>
      <c r="AI26" s="568"/>
      <c r="AJ26" s="568"/>
      <c r="AK26" s="568"/>
      <c r="AL26" s="568"/>
      <c r="AM26" s="568"/>
      <c r="AN26" s="568"/>
      <c r="AO26" s="568"/>
    </row>
    <row r="27" spans="1:41" ht="15.75" customHeight="1">
      <c r="A27" s="484" t="s">
        <v>909</v>
      </c>
      <c r="B27" s="520">
        <f>('Pivot Table for Data Exchange'!$J$547)*100</f>
        <v>81.525283333253526</v>
      </c>
      <c r="C27" s="520">
        <f>('Pivot Table for Data Exchange'!$J$550)*100</f>
        <v>4.0540475837072005</v>
      </c>
      <c r="D27" s="521">
        <f>SUM(E27:G27)</f>
        <v>14.420669083039268</v>
      </c>
      <c r="E27" s="520">
        <f>('Pivot Table for Data Exchange'!$J$553)*100</f>
        <v>13.689259226072201</v>
      </c>
      <c r="F27" s="520">
        <f>('Pivot Table for Data Exchange'!$J$556)*100</f>
        <v>0.45500218540586645</v>
      </c>
      <c r="G27" s="522">
        <f>('Pivot Table for Data Exchange'!$J$559)*100</f>
        <v>0.27640767156120061</v>
      </c>
      <c r="H27" s="520">
        <f>('Pivot Table for Data Exchange'!$J$562)*100</f>
        <v>0</v>
      </c>
      <c r="I27" s="484" t="s">
        <v>909</v>
      </c>
      <c r="J27" s="520">
        <f>('Pivot Table for Data Exchange'!$J$565)*100</f>
        <v>58.261802575107289</v>
      </c>
      <c r="K27" s="520">
        <f>('Pivot Table for Data Exchange'!$J$568)*100</f>
        <v>11.835300429184549</v>
      </c>
      <c r="L27" s="521">
        <f>SUM(M27:O27)</f>
        <v>29.902896995708151</v>
      </c>
      <c r="M27" s="520">
        <f>('Pivot Table for Data Exchange'!$J$571)*100</f>
        <v>29.119635193133046</v>
      </c>
      <c r="N27" s="520">
        <f>('Pivot Table for Data Exchange'!$J$574)*100</f>
        <v>0.45493562231759654</v>
      </c>
      <c r="O27" s="522">
        <f>('Pivot Table for Data Exchange'!$J$577)*100</f>
        <v>0.32832618025751076</v>
      </c>
      <c r="P27" s="520">
        <f>('Pivot Table for Data Exchange'!$J$580)*100</f>
        <v>0</v>
      </c>
      <c r="Q27" s="510">
        <f t="shared" ref="Q27:Q90" si="4">SUM(B27,C27,D27,H27)</f>
        <v>100</v>
      </c>
      <c r="R27" s="510">
        <f t="shared" ref="R27:R90" si="5">SUM(J27,K27,L27,P27)</f>
        <v>99.999999999999986</v>
      </c>
      <c r="S27" s="568"/>
      <c r="T27" s="569"/>
      <c r="U27" s="569"/>
      <c r="V27" s="569"/>
      <c r="W27" s="569"/>
      <c r="X27" s="569"/>
      <c r="Y27" s="569"/>
      <c r="Z27" s="569"/>
      <c r="AA27" s="569"/>
      <c r="AB27" s="569"/>
      <c r="AC27" s="569"/>
      <c r="AD27" s="569"/>
      <c r="AE27" s="569"/>
      <c r="AF27" s="568"/>
      <c r="AG27" s="568"/>
      <c r="AH27" s="568"/>
      <c r="AI27" s="568"/>
      <c r="AJ27" s="568"/>
      <c r="AK27" s="568"/>
      <c r="AL27" s="568"/>
      <c r="AM27" s="568"/>
      <c r="AN27" s="568"/>
      <c r="AO27" s="568"/>
    </row>
    <row r="28" spans="1:41" s="571" customFormat="1" ht="33" customHeight="1">
      <c r="A28" s="669" t="s">
        <v>962</v>
      </c>
      <c r="B28" s="670"/>
      <c r="C28" s="670"/>
      <c r="D28" s="670"/>
      <c r="E28" s="670"/>
      <c r="F28" s="670"/>
      <c r="G28" s="670"/>
      <c r="H28" s="670"/>
      <c r="I28" s="669" t="s">
        <v>962</v>
      </c>
      <c r="J28" s="670"/>
      <c r="K28" s="670"/>
      <c r="L28" s="670"/>
      <c r="M28" s="670"/>
      <c r="N28" s="670"/>
      <c r="O28" s="670"/>
      <c r="P28" s="670"/>
      <c r="Q28" s="510">
        <f>SUM(B28,C28,D28,H28)</f>
        <v>0</v>
      </c>
      <c r="R28" s="510">
        <f>SUM(J28,K28,L28,P28)</f>
        <v>0</v>
      </c>
    </row>
    <row r="29" spans="1:41" s="571" customFormat="1" ht="10.5" customHeight="1">
      <c r="A29" s="525" t="s">
        <v>931</v>
      </c>
      <c r="B29" s="526"/>
      <c r="C29" s="526"/>
      <c r="D29" s="527"/>
      <c r="E29" s="526"/>
      <c r="F29" s="527"/>
      <c r="G29" s="527"/>
      <c r="H29" s="526"/>
      <c r="I29" s="525" t="s">
        <v>931</v>
      </c>
      <c r="J29" s="526"/>
      <c r="K29" s="526"/>
      <c r="L29" s="527"/>
      <c r="M29" s="526"/>
      <c r="N29" s="527"/>
      <c r="O29" s="527"/>
      <c r="P29" s="526"/>
      <c r="Q29" s="510">
        <f t="shared" si="4"/>
        <v>0</v>
      </c>
      <c r="R29" s="510">
        <f t="shared" si="5"/>
        <v>0</v>
      </c>
      <c r="S29" s="572"/>
      <c r="T29" s="568"/>
      <c r="U29" s="572"/>
      <c r="V29" s="572"/>
      <c r="W29" s="572"/>
      <c r="X29" s="572"/>
      <c r="Y29" s="572"/>
      <c r="Z29" s="572"/>
      <c r="AA29" s="572"/>
      <c r="AB29" s="572"/>
      <c r="AC29" s="572"/>
      <c r="AD29" s="572"/>
      <c r="AE29" s="572"/>
      <c r="AF29" s="572"/>
      <c r="AG29" s="572"/>
      <c r="AH29" s="572"/>
      <c r="AI29" s="572"/>
      <c r="AJ29" s="572"/>
      <c r="AK29" s="572"/>
      <c r="AL29" s="572"/>
      <c r="AM29" s="572"/>
      <c r="AN29" s="572"/>
      <c r="AO29" s="572"/>
    </row>
    <row r="30" spans="1:41" s="571" customFormat="1" ht="21.75" customHeight="1">
      <c r="A30" s="655" t="s">
        <v>932</v>
      </c>
      <c r="B30" s="668"/>
      <c r="C30" s="668"/>
      <c r="D30" s="668"/>
      <c r="E30" s="668"/>
      <c r="F30" s="668"/>
      <c r="G30" s="668"/>
      <c r="H30" s="668"/>
      <c r="I30" s="655" t="s">
        <v>932</v>
      </c>
      <c r="J30" s="668"/>
      <c r="K30" s="668"/>
      <c r="L30" s="668"/>
      <c r="M30" s="668"/>
      <c r="N30" s="668"/>
      <c r="O30" s="668"/>
      <c r="P30" s="668"/>
      <c r="Q30" s="510">
        <f t="shared" si="4"/>
        <v>0</v>
      </c>
      <c r="R30" s="510">
        <f t="shared" si="5"/>
        <v>0</v>
      </c>
      <c r="S30" s="572"/>
      <c r="T30" s="572"/>
      <c r="U30" s="572"/>
      <c r="V30" s="572"/>
      <c r="W30" s="572"/>
      <c r="X30" s="572"/>
      <c r="Y30" s="572"/>
      <c r="Z30" s="572"/>
      <c r="AA30" s="572"/>
      <c r="AB30" s="572"/>
      <c r="AC30" s="572"/>
      <c r="AD30" s="572"/>
      <c r="AE30" s="572"/>
      <c r="AF30" s="572"/>
      <c r="AG30" s="572"/>
      <c r="AH30" s="572"/>
      <c r="AI30" s="572"/>
      <c r="AJ30" s="572"/>
      <c r="AK30" s="572"/>
      <c r="AL30" s="572"/>
      <c r="AM30" s="572"/>
      <c r="AN30" s="572"/>
      <c r="AO30" s="572"/>
    </row>
    <row r="31" spans="1:41" s="571" customFormat="1" ht="13.5" customHeight="1">
      <c r="A31" s="529"/>
      <c r="B31" s="530"/>
      <c r="C31" s="530"/>
      <c r="D31" s="530"/>
      <c r="E31" s="530"/>
      <c r="F31" s="530"/>
      <c r="G31" s="530"/>
      <c r="I31" s="529"/>
      <c r="J31" s="530"/>
      <c r="K31" s="530"/>
      <c r="L31" s="530"/>
      <c r="M31" s="530"/>
      <c r="N31" s="530"/>
      <c r="O31" s="530"/>
      <c r="P31" s="530"/>
      <c r="Q31" s="510">
        <f t="shared" si="4"/>
        <v>0</v>
      </c>
      <c r="R31" s="510">
        <f t="shared" si="5"/>
        <v>0</v>
      </c>
    </row>
    <row r="32" spans="1:41">
      <c r="H32" s="532" t="s">
        <v>1015</v>
      </c>
      <c r="I32" s="478"/>
      <c r="P32" s="532" t="s">
        <v>1015</v>
      </c>
      <c r="Q32" s="510">
        <f>SUM(B32,C32,D32,H32)</f>
        <v>0</v>
      </c>
      <c r="R32" s="510">
        <f t="shared" si="5"/>
        <v>0</v>
      </c>
    </row>
    <row r="33" spans="1:41" ht="18">
      <c r="A33" s="472" t="s">
        <v>933</v>
      </c>
      <c r="B33" s="473"/>
      <c r="C33" s="473"/>
      <c r="D33" s="473"/>
      <c r="E33" s="473"/>
      <c r="F33" s="473"/>
      <c r="G33" s="473"/>
      <c r="H33" s="474"/>
      <c r="I33" s="472" t="s">
        <v>934</v>
      </c>
      <c r="J33" s="475"/>
      <c r="K33" s="475"/>
      <c r="L33" s="473"/>
      <c r="M33" s="475"/>
      <c r="N33" s="475"/>
      <c r="O33" s="475"/>
      <c r="P33" s="475"/>
      <c r="Q33" s="510">
        <f t="shared" si="4"/>
        <v>0</v>
      </c>
      <c r="R33" s="510">
        <f t="shared" si="5"/>
        <v>0</v>
      </c>
    </row>
    <row r="34" spans="1:41">
      <c r="A34" s="479"/>
      <c r="B34" s="475"/>
      <c r="C34" s="475"/>
      <c r="D34" s="475"/>
      <c r="E34" s="475"/>
      <c r="F34" s="475"/>
      <c r="G34" s="475"/>
      <c r="H34" s="480"/>
      <c r="I34" s="479"/>
      <c r="J34" s="475"/>
      <c r="K34" s="475"/>
      <c r="L34" s="475"/>
      <c r="M34" s="475"/>
      <c r="N34" s="475"/>
      <c r="O34" s="475"/>
      <c r="P34" s="475"/>
      <c r="Q34" s="510">
        <f t="shared" si="4"/>
        <v>0</v>
      </c>
      <c r="R34" s="510">
        <f t="shared" si="5"/>
        <v>0</v>
      </c>
    </row>
    <row r="35" spans="1:41" ht="15.75">
      <c r="A35" s="481" t="s">
        <v>917</v>
      </c>
      <c r="B35" s="475"/>
      <c r="C35" s="475"/>
      <c r="D35" s="475"/>
      <c r="E35" s="475"/>
      <c r="F35" s="475"/>
      <c r="G35" s="475"/>
      <c r="H35" s="480"/>
      <c r="I35" s="481" t="s">
        <v>918</v>
      </c>
      <c r="J35" s="475"/>
      <c r="K35" s="475"/>
      <c r="L35" s="475"/>
      <c r="M35" s="475"/>
      <c r="N35" s="475"/>
      <c r="O35" s="475"/>
      <c r="P35" s="475"/>
      <c r="Q35" s="510">
        <f t="shared" si="4"/>
        <v>0</v>
      </c>
      <c r="R35" s="510">
        <f t="shared" si="5"/>
        <v>0</v>
      </c>
    </row>
    <row r="36" spans="1:41" ht="15.75">
      <c r="A36" s="481" t="s">
        <v>1001</v>
      </c>
      <c r="B36" s="475"/>
      <c r="C36" s="475"/>
      <c r="D36" s="475"/>
      <c r="E36" s="475"/>
      <c r="F36" s="475"/>
      <c r="G36" s="475"/>
      <c r="H36" s="480"/>
      <c r="I36" s="481" t="s">
        <v>1001</v>
      </c>
      <c r="J36" s="475"/>
      <c r="K36" s="475"/>
      <c r="L36" s="475"/>
      <c r="M36" s="475"/>
      <c r="N36" s="475"/>
      <c r="O36" s="475"/>
      <c r="P36" s="475"/>
      <c r="Q36" s="510">
        <f t="shared" si="4"/>
        <v>0</v>
      </c>
      <c r="R36" s="510">
        <f t="shared" si="5"/>
        <v>0</v>
      </c>
    </row>
    <row r="37" spans="1:41">
      <c r="A37" s="484"/>
      <c r="B37" s="485"/>
      <c r="C37" s="485"/>
      <c r="D37" s="485"/>
      <c r="E37" s="485"/>
      <c r="F37" s="485"/>
      <c r="G37" s="485"/>
      <c r="H37" s="485"/>
      <c r="I37" s="486"/>
      <c r="L37" s="487"/>
      <c r="P37" s="484"/>
      <c r="Q37" s="510">
        <f t="shared" si="4"/>
        <v>0</v>
      </c>
      <c r="R37" s="510">
        <f t="shared" si="5"/>
        <v>0</v>
      </c>
    </row>
    <row r="38" spans="1:41" s="503" customFormat="1">
      <c r="A38" s="489"/>
      <c r="B38" s="490" t="s">
        <v>919</v>
      </c>
      <c r="C38" s="490"/>
      <c r="D38" s="490"/>
      <c r="E38" s="490"/>
      <c r="F38" s="490"/>
      <c r="G38" s="490"/>
      <c r="H38" s="491"/>
      <c r="I38" s="489"/>
      <c r="J38" s="490" t="s">
        <v>919</v>
      </c>
      <c r="K38" s="490"/>
      <c r="L38" s="490"/>
      <c r="M38" s="490"/>
      <c r="N38" s="490"/>
      <c r="O38" s="490"/>
      <c r="P38" s="491"/>
      <c r="Q38" s="510">
        <f t="shared" si="4"/>
        <v>0</v>
      </c>
      <c r="R38" s="510">
        <f t="shared" si="5"/>
        <v>0</v>
      </c>
    </row>
    <row r="39" spans="1:41" s="503" customFormat="1">
      <c r="A39" s="489"/>
      <c r="B39" s="490" t="s">
        <v>920</v>
      </c>
      <c r="C39" s="490"/>
      <c r="D39" s="659" t="s">
        <v>921</v>
      </c>
      <c r="E39" s="657"/>
      <c r="F39" s="657"/>
      <c r="G39" s="657"/>
      <c r="H39" s="495" t="s">
        <v>320</v>
      </c>
      <c r="I39" s="489"/>
      <c r="J39" s="490" t="s">
        <v>920</v>
      </c>
      <c r="K39" s="490"/>
      <c r="L39" s="659" t="s">
        <v>921</v>
      </c>
      <c r="M39" s="657"/>
      <c r="N39" s="657"/>
      <c r="O39" s="657"/>
      <c r="P39" s="495" t="s">
        <v>320</v>
      </c>
      <c r="Q39" s="510">
        <f t="shared" si="4"/>
        <v>0</v>
      </c>
      <c r="R39" s="510">
        <f t="shared" si="5"/>
        <v>0</v>
      </c>
    </row>
    <row r="40" spans="1:41" s="503" customFormat="1" ht="40.5" customHeight="1">
      <c r="A40" s="489"/>
      <c r="B40" s="496" t="s">
        <v>922</v>
      </c>
      <c r="C40" s="497" t="s">
        <v>923</v>
      </c>
      <c r="D40" s="498" t="s">
        <v>924</v>
      </c>
      <c r="E40" s="499" t="s">
        <v>10</v>
      </c>
      <c r="F40" s="496" t="s">
        <v>925</v>
      </c>
      <c r="G40" s="500" t="s">
        <v>935</v>
      </c>
      <c r="H40" s="501" t="s">
        <v>927</v>
      </c>
      <c r="I40" s="489"/>
      <c r="J40" s="496" t="s">
        <v>922</v>
      </c>
      <c r="K40" s="497" t="s">
        <v>923</v>
      </c>
      <c r="L40" s="498" t="s">
        <v>924</v>
      </c>
      <c r="M40" s="499" t="s">
        <v>10</v>
      </c>
      <c r="N40" s="496" t="s">
        <v>925</v>
      </c>
      <c r="O40" s="500" t="s">
        <v>935</v>
      </c>
      <c r="P40" s="501" t="s">
        <v>927</v>
      </c>
      <c r="Q40" s="510">
        <f t="shared" si="4"/>
        <v>0</v>
      </c>
      <c r="R40" s="510">
        <f t="shared" si="5"/>
        <v>0</v>
      </c>
      <c r="T40" s="502"/>
    </row>
    <row r="41" spans="1:41" ht="15.75" customHeight="1">
      <c r="A41" s="504" t="s">
        <v>894</v>
      </c>
      <c r="B41" s="567">
        <f>('Pivot Table for Data Exchange'!$C$7)*100</f>
        <v>92.332096709016724</v>
      </c>
      <c r="C41" s="519">
        <f>('Pivot Table for Data Exchange'!$C$10)*100</f>
        <v>3.0547374366718345E-2</v>
      </c>
      <c r="D41" s="506">
        <f>SUM(E41:G41)</f>
        <v>7.6373559166165546</v>
      </c>
      <c r="E41" s="505">
        <f>('Pivot Table for Data Exchange'!$C$13)*100</f>
        <v>7.5462901590704883</v>
      </c>
      <c r="F41" s="519">
        <f>('Pivot Table for Data Exchange'!$C$16)*100</f>
        <v>9.1065757546066023E-2</v>
      </c>
      <c r="G41" s="509">
        <f>('Pivot Table for Data Exchange'!$C$19)*100</f>
        <v>0</v>
      </c>
      <c r="H41" s="505">
        <f>('Pivot Table for Data Exchange'!$C$22)*100</f>
        <v>0</v>
      </c>
      <c r="I41" s="508" t="s">
        <v>894</v>
      </c>
      <c r="J41" s="505">
        <f>('Pivot Table for Data Exchange'!$C$25)*100</f>
        <v>77.945815364957667</v>
      </c>
      <c r="K41" s="505">
        <f>('Pivot Table for Data Exchange'!$C$28)*100</f>
        <v>2.6333652771122824</v>
      </c>
      <c r="L41" s="506">
        <f>SUM(M41:O41)</f>
        <v>19.420819357930039</v>
      </c>
      <c r="M41" s="505">
        <f>('Pivot Table for Data Exchange'!$C$31)*100</f>
        <v>19.318998562529945</v>
      </c>
      <c r="N41" s="505">
        <f>('Pivot Table for Data Exchange'!$C$34)*100</f>
        <v>0.10182079540009582</v>
      </c>
      <c r="O41" s="509">
        <f>('Pivot Table for Data Exchange'!$C$37)*100</f>
        <v>0</v>
      </c>
      <c r="P41" s="505">
        <f>('Pivot Table for Data Exchange'!$C$40)*100</f>
        <v>0</v>
      </c>
      <c r="Q41" s="510">
        <f t="shared" si="4"/>
        <v>100</v>
      </c>
      <c r="R41" s="510">
        <f t="shared" si="5"/>
        <v>99.999999999999986</v>
      </c>
      <c r="S41" s="568"/>
      <c r="T41" s="568"/>
      <c r="U41" s="568"/>
      <c r="V41" s="568"/>
      <c r="W41" s="568"/>
      <c r="X41" s="568"/>
      <c r="Y41" s="568"/>
      <c r="Z41" s="568"/>
      <c r="AA41" s="568"/>
      <c r="AB41" s="568"/>
      <c r="AC41" s="568"/>
      <c r="AD41" s="568"/>
      <c r="AE41" s="568"/>
      <c r="AF41" s="568"/>
      <c r="AG41" s="568"/>
      <c r="AH41" s="568"/>
      <c r="AI41" s="568"/>
      <c r="AJ41" s="568"/>
      <c r="AK41" s="568"/>
      <c r="AL41" s="568"/>
      <c r="AM41" s="568"/>
      <c r="AN41" s="568"/>
      <c r="AO41" s="568"/>
    </row>
    <row r="42" spans="1:41" ht="15.75" customHeight="1">
      <c r="A42" s="512" t="s">
        <v>895</v>
      </c>
      <c r="B42" s="505">
        <f>('Pivot Table for Data Exchange'!$C$43)*100</f>
        <v>89.781629854148534</v>
      </c>
      <c r="C42" s="505">
        <f>('Pivot Table for Data Exchange'!$C$46)*100</f>
        <v>1.4344044137447318</v>
      </c>
      <c r="D42" s="506">
        <f t="shared" ref="D42:D44" si="6">SUM(E42:G42)</f>
        <v>8.2701352053756505</v>
      </c>
      <c r="E42" s="505">
        <f>('Pivot Table for Data Exchange'!$C$49)*100</f>
        <v>8.1985872008917671</v>
      </c>
      <c r="F42" s="505">
        <f>('Pivot Table for Data Exchange'!$C$52)*100</f>
        <v>7.1548004483883695E-2</v>
      </c>
      <c r="G42" s="518">
        <f>('Pivot Table for Data Exchange'!$C$55)*100</f>
        <v>0</v>
      </c>
      <c r="H42" s="505">
        <f>('Pivot Table for Data Exchange'!$C$58)*100</f>
        <v>0.51383052673108598</v>
      </c>
      <c r="I42" s="514" t="s">
        <v>895</v>
      </c>
      <c r="J42" s="505">
        <f>('Pivot Table for Data Exchange'!$C$61)*100</f>
        <v>69.27482326280267</v>
      </c>
      <c r="K42" s="505">
        <f>('Pivot Table for Data Exchange'!$C$64)*100</f>
        <v>1.5740079316205631</v>
      </c>
      <c r="L42" s="506">
        <f t="shared" ref="L42:L44" si="7">SUM(M42:O42)</f>
        <v>29.151168805576766</v>
      </c>
      <c r="M42" s="505">
        <f>('Pivot Table for Data Exchange'!$C$67)*100</f>
        <v>29.127768061679433</v>
      </c>
      <c r="N42" s="516">
        <f>('Pivot Table for Data Exchange'!$C$70)*100</f>
        <v>0</v>
      </c>
      <c r="O42" s="513">
        <f>('Pivot Table for Data Exchange'!$C$73)*100</f>
        <v>2.3400743897332314E-2</v>
      </c>
      <c r="P42" s="519">
        <f>('Pivot Table for Data Exchange'!$C$76)*100</f>
        <v>0</v>
      </c>
      <c r="Q42" s="510">
        <f t="shared" si="4"/>
        <v>100</v>
      </c>
      <c r="R42" s="510">
        <f t="shared" si="5"/>
        <v>100</v>
      </c>
      <c r="S42" s="568"/>
      <c r="T42" s="568"/>
      <c r="U42" s="568"/>
      <c r="V42" s="568"/>
      <c r="W42" s="568"/>
      <c r="X42" s="568"/>
      <c r="Y42" s="568"/>
      <c r="Z42" s="568"/>
      <c r="AA42" s="568"/>
      <c r="AB42" s="568"/>
      <c r="AC42" s="568"/>
      <c r="AD42" s="568"/>
      <c r="AE42" s="568"/>
      <c r="AF42" s="568"/>
      <c r="AG42" s="568"/>
      <c r="AH42" s="568"/>
      <c r="AI42" s="568"/>
      <c r="AJ42" s="568"/>
      <c r="AK42" s="568"/>
      <c r="AL42" s="568"/>
      <c r="AM42" s="568"/>
      <c r="AN42" s="568"/>
      <c r="AO42" s="568"/>
    </row>
    <row r="43" spans="1:41" ht="15.75" customHeight="1">
      <c r="A43" s="512" t="s">
        <v>896</v>
      </c>
      <c r="B43" s="505">
        <f>('Pivot Table for Data Exchange'!$C$79)*100</f>
        <v>96.59201035566447</v>
      </c>
      <c r="C43" s="505">
        <f>('Pivot Table for Data Exchange'!$C$82)*100</f>
        <v>0</v>
      </c>
      <c r="D43" s="506">
        <f t="shared" si="6"/>
        <v>3.4079896443355344</v>
      </c>
      <c r="E43" s="505">
        <f>('Pivot Table for Data Exchange'!$C$85)*100</f>
        <v>3.4079896443355344</v>
      </c>
      <c r="F43" s="505">
        <f>('Pivot Table for Data Exchange'!$C$88)*100</f>
        <v>0</v>
      </c>
      <c r="G43" s="515">
        <f>('Pivot Table for Data Exchange'!$C$91)*100</f>
        <v>0</v>
      </c>
      <c r="H43" s="505">
        <f>('Pivot Table for Data Exchange'!$C$94)*100</f>
        <v>0</v>
      </c>
      <c r="I43" s="514" t="s">
        <v>896</v>
      </c>
      <c r="J43" s="505">
        <f>('Pivot Table for Data Exchange'!$C$97)*100</f>
        <v>90.239859089260733</v>
      </c>
      <c r="K43" s="505">
        <f>('Pivot Table for Data Exchange'!$C$100)*100</f>
        <v>0</v>
      </c>
      <c r="L43" s="506">
        <f t="shared" si="7"/>
        <v>9.7601409107392634</v>
      </c>
      <c r="M43" s="505">
        <f>('Pivot Table for Data Exchange'!$C$103)*100</f>
        <v>9.7601409107392634</v>
      </c>
      <c r="N43" s="505">
        <f>('Pivot Table for Data Exchange'!$C$106)*100</f>
        <v>0</v>
      </c>
      <c r="O43" s="515">
        <f>('Pivot Table for Data Exchange'!$C$109)*100</f>
        <v>0</v>
      </c>
      <c r="P43" s="505">
        <f>('Pivot Table for Data Exchange'!$C$112)*100</f>
        <v>0</v>
      </c>
      <c r="Q43" s="510">
        <f t="shared" si="4"/>
        <v>100</v>
      </c>
      <c r="R43" s="510">
        <f t="shared" si="5"/>
        <v>100</v>
      </c>
      <c r="S43" s="568"/>
      <c r="T43" s="573"/>
      <c r="U43" s="568"/>
      <c r="V43" s="568"/>
      <c r="W43" s="568"/>
      <c r="X43" s="568"/>
      <c r="Y43" s="568"/>
      <c r="Z43" s="568"/>
      <c r="AA43" s="568"/>
      <c r="AB43" s="568"/>
      <c r="AC43" s="568"/>
      <c r="AD43" s="568"/>
      <c r="AE43" s="568"/>
      <c r="AF43" s="568"/>
      <c r="AG43" s="568"/>
      <c r="AH43" s="568"/>
      <c r="AI43" s="568"/>
      <c r="AJ43" s="568"/>
      <c r="AK43" s="568"/>
      <c r="AL43" s="568"/>
      <c r="AM43" s="568"/>
      <c r="AN43" s="568"/>
      <c r="AO43" s="568"/>
    </row>
    <row r="44" spans="1:41" ht="15.75" customHeight="1">
      <c r="A44" s="512" t="s">
        <v>936</v>
      </c>
      <c r="B44" s="505">
        <f>('Pivot Table for Data Exchange'!$C$115)*100</f>
        <v>69.507467662426919</v>
      </c>
      <c r="C44" s="505">
        <f>('Pivot Table for Data Exchange'!$C$118)*100</f>
        <v>5.7496451291435022</v>
      </c>
      <c r="D44" s="506">
        <f t="shared" si="6"/>
        <v>24.646396860521278</v>
      </c>
      <c r="E44" s="505">
        <f>('Pivot Table for Data Exchange'!$C$121)*100</f>
        <v>24.489433713504585</v>
      </c>
      <c r="F44" s="505">
        <f>('Pivot Table for Data Exchange'!$C$124)*100</f>
        <v>2.2153579691209308E-2</v>
      </c>
      <c r="G44" s="515">
        <f>('Pivot Table for Data Exchange'!$C$127)*100</f>
        <v>0.13480956732548391</v>
      </c>
      <c r="H44" s="505">
        <f>('Pivot Table for Data Exchange'!$C$130)*100</f>
        <v>9.6490347908302881E-2</v>
      </c>
      <c r="I44" s="514" t="s">
        <v>936</v>
      </c>
      <c r="J44" s="505">
        <f>('Pivot Table for Data Exchange'!$C$133)*100</f>
        <v>69.770963976721305</v>
      </c>
      <c r="K44" s="505">
        <f>('Pivot Table for Data Exchange'!$C$136)*100</f>
        <v>6.3140892271076776</v>
      </c>
      <c r="L44" s="506">
        <f t="shared" si="7"/>
        <v>23.86608869477314</v>
      </c>
      <c r="M44" s="505">
        <f>('Pivot Table for Data Exchange'!$C$139)*100</f>
        <v>23.714592119170014</v>
      </c>
      <c r="N44" s="505">
        <f>('Pivot Table for Data Exchange'!$C$142)*100</f>
        <v>0.13044019235142831</v>
      </c>
      <c r="O44" s="513">
        <f>('Pivot Table for Data Exchange'!$C$145)*100</f>
        <v>2.105638325169807E-2</v>
      </c>
      <c r="P44" s="505">
        <f>('Pivot Table for Data Exchange'!$C$148)*100</f>
        <v>4.8858101397879501E-2</v>
      </c>
      <c r="Q44" s="510">
        <f t="shared" si="4"/>
        <v>100</v>
      </c>
      <c r="R44" s="510">
        <f t="shared" si="5"/>
        <v>100</v>
      </c>
      <c r="S44" s="568"/>
      <c r="U44" s="568"/>
      <c r="V44" s="568"/>
      <c r="W44" s="568"/>
      <c r="X44" s="568"/>
      <c r="Y44" s="568"/>
      <c r="Z44" s="568"/>
      <c r="AA44" s="568"/>
      <c r="AB44" s="568"/>
      <c r="AC44" s="568"/>
      <c r="AD44" s="568"/>
      <c r="AE44" s="568"/>
      <c r="AF44" s="568"/>
      <c r="AG44" s="568"/>
      <c r="AH44" s="568"/>
      <c r="AI44" s="568"/>
      <c r="AJ44" s="568"/>
      <c r="AK44" s="568"/>
      <c r="AL44" s="568"/>
      <c r="AM44" s="568"/>
      <c r="AN44" s="568"/>
      <c r="AO44" s="568"/>
    </row>
    <row r="45" spans="1:41" ht="10.5" customHeight="1">
      <c r="A45" s="512"/>
      <c r="B45" s="505"/>
      <c r="C45" s="505"/>
      <c r="D45" s="506"/>
      <c r="E45" s="505"/>
      <c r="F45" s="505"/>
      <c r="G45" s="515"/>
      <c r="H45" s="505"/>
      <c r="I45" s="514"/>
      <c r="J45" s="505"/>
      <c r="K45" s="505"/>
      <c r="L45" s="506"/>
      <c r="M45" s="505"/>
      <c r="N45" s="505"/>
      <c r="O45" s="515"/>
      <c r="P45" s="505"/>
      <c r="Q45" s="510">
        <f t="shared" si="4"/>
        <v>0</v>
      </c>
      <c r="R45" s="510">
        <f t="shared" si="5"/>
        <v>0</v>
      </c>
      <c r="S45" s="568"/>
      <c r="U45" s="568"/>
      <c r="V45" s="568"/>
      <c r="W45" s="568"/>
      <c r="X45" s="568"/>
      <c r="Y45" s="568"/>
      <c r="Z45" s="568"/>
      <c r="AA45" s="568"/>
      <c r="AB45" s="568"/>
      <c r="AC45" s="568"/>
      <c r="AD45" s="568"/>
      <c r="AE45" s="568"/>
      <c r="AF45" s="568"/>
      <c r="AG45" s="568"/>
      <c r="AH45" s="568"/>
      <c r="AI45" s="568"/>
      <c r="AJ45" s="568"/>
      <c r="AK45" s="568"/>
      <c r="AL45" s="568"/>
      <c r="AM45" s="568"/>
      <c r="AN45" s="568"/>
      <c r="AO45" s="568"/>
    </row>
    <row r="46" spans="1:41" ht="15.75" customHeight="1">
      <c r="A46" s="512" t="s">
        <v>898</v>
      </c>
      <c r="B46" s="505">
        <f>('Pivot Table for Data Exchange'!$C$151)*100</f>
        <v>87.082602922010921</v>
      </c>
      <c r="C46" s="505">
        <f>('Pivot Table for Data Exchange'!$C$154)*100</f>
        <v>1.6707722282660258</v>
      </c>
      <c r="D46" s="506">
        <f t="shared" ref="D46:D47" si="8">SUM(E46:G46)</f>
        <v>11.246624849723052</v>
      </c>
      <c r="E46" s="505">
        <f>('Pivot Table for Data Exchange'!$C$157)*100</f>
        <v>11.246624849723052</v>
      </c>
      <c r="F46" s="505">
        <f>('Pivot Table for Data Exchange'!$C$160)*100</f>
        <v>0</v>
      </c>
      <c r="G46" s="515">
        <f>('Pivot Table for Data Exchange'!$C$163)*100</f>
        <v>0</v>
      </c>
      <c r="H46" s="505">
        <f>('Pivot Table for Data Exchange'!$C$166)*100</f>
        <v>0</v>
      </c>
      <c r="I46" s="514" t="s">
        <v>898</v>
      </c>
      <c r="J46" s="505">
        <f>('Pivot Table for Data Exchange'!$C$169)*100</f>
        <v>73.384552731496171</v>
      </c>
      <c r="K46" s="505">
        <f>('Pivot Table for Data Exchange'!$C$172)*100</f>
        <v>22.189371923616701</v>
      </c>
      <c r="L46" s="506">
        <f t="shared" ref="L46:L47" si="9">SUM(M46:O46)</f>
        <v>4.4260753448871242</v>
      </c>
      <c r="M46" s="505">
        <f>('Pivot Table for Data Exchange'!$C$175)*100</f>
        <v>4.4260753448871242</v>
      </c>
      <c r="N46" s="505">
        <f>('Pivot Table for Data Exchange'!$C$178)*100</f>
        <v>0</v>
      </c>
      <c r="O46" s="515">
        <f>('Pivot Table for Data Exchange'!$C$181)*100</f>
        <v>0</v>
      </c>
      <c r="P46" s="505">
        <f>('Pivot Table for Data Exchange'!$C$184)*100</f>
        <v>0</v>
      </c>
      <c r="Q46" s="510">
        <f t="shared" si="4"/>
        <v>100</v>
      </c>
      <c r="R46" s="510">
        <f t="shared" si="5"/>
        <v>100</v>
      </c>
      <c r="S46" s="568"/>
      <c r="T46" s="568"/>
      <c r="U46" s="568"/>
      <c r="V46" s="568"/>
      <c r="W46" s="568"/>
      <c r="X46" s="568"/>
      <c r="Y46" s="568"/>
      <c r="Z46" s="568"/>
      <c r="AA46" s="568"/>
      <c r="AB46" s="568"/>
      <c r="AC46" s="568"/>
      <c r="AD46" s="568"/>
      <c r="AE46" s="568"/>
      <c r="AF46" s="568"/>
      <c r="AG46" s="568"/>
      <c r="AH46" s="568"/>
      <c r="AI46" s="568"/>
      <c r="AJ46" s="568"/>
      <c r="AK46" s="568"/>
      <c r="AL46" s="568"/>
      <c r="AM46" s="568"/>
      <c r="AN46" s="568"/>
      <c r="AO46" s="568"/>
    </row>
    <row r="47" spans="1:41" ht="15.75" customHeight="1">
      <c r="A47" s="512" t="s">
        <v>899</v>
      </c>
      <c r="B47" s="505">
        <f>('Pivot Table for Data Exchange'!$C$187)*100</f>
        <v>89.75069226820527</v>
      </c>
      <c r="C47" s="505">
        <f>('Pivot Table for Data Exchange'!$C$190)*100</f>
        <v>2.069647150645038</v>
      </c>
      <c r="D47" s="506">
        <f t="shared" si="8"/>
        <v>8.1796605811496992</v>
      </c>
      <c r="E47" s="505">
        <f>('Pivot Table for Data Exchange'!$C$193)*100</f>
        <v>8.0417995964466158</v>
      </c>
      <c r="F47" s="505">
        <f>('Pivot Table for Data Exchange'!$C$196)*100</f>
        <v>8.6254293339363242E-2</v>
      </c>
      <c r="G47" s="515">
        <f>('Pivot Table for Data Exchange'!$C$199)*100</f>
        <v>5.1606691363720501E-2</v>
      </c>
      <c r="H47" s="505">
        <f>('Pivot Table for Data Exchange'!$C$202)*100</f>
        <v>0</v>
      </c>
      <c r="I47" s="514" t="s">
        <v>899</v>
      </c>
      <c r="J47" s="505">
        <f>('Pivot Table for Data Exchange'!$C$205)*100</f>
        <v>74.291933499479484</v>
      </c>
      <c r="K47" s="505">
        <f>('Pivot Table for Data Exchange'!$C$208)*100</f>
        <v>7.687939682639831</v>
      </c>
      <c r="L47" s="506">
        <f t="shared" si="9"/>
        <v>18.020126817880694</v>
      </c>
      <c r="M47" s="505">
        <f>('Pivot Table for Data Exchange'!$C$211)*100</f>
        <v>17.645351588378183</v>
      </c>
      <c r="N47" s="505">
        <f>('Pivot Table for Data Exchange'!$C$214)*100</f>
        <v>0.28770623678980412</v>
      </c>
      <c r="O47" s="515">
        <f>('Pivot Table for Data Exchange'!$C$217)*100</f>
        <v>8.7068992712703866E-2</v>
      </c>
      <c r="P47" s="505">
        <f>('Pivot Table for Data Exchange'!$C$220)*100</f>
        <v>0</v>
      </c>
      <c r="Q47" s="510">
        <f t="shared" si="4"/>
        <v>100.00000000000001</v>
      </c>
      <c r="R47" s="510">
        <f t="shared" si="5"/>
        <v>100.00000000000001</v>
      </c>
      <c r="S47" s="568"/>
      <c r="T47" s="568"/>
      <c r="U47" s="568"/>
      <c r="V47" s="568"/>
      <c r="W47" s="568"/>
      <c r="X47" s="568"/>
      <c r="Y47" s="568"/>
      <c r="Z47" s="568"/>
      <c r="AA47" s="568"/>
      <c r="AB47" s="568"/>
      <c r="AC47" s="568"/>
      <c r="AD47" s="568"/>
      <c r="AE47" s="568"/>
      <c r="AF47" s="568"/>
      <c r="AG47" s="568"/>
      <c r="AH47" s="568"/>
      <c r="AI47" s="568"/>
      <c r="AJ47" s="568"/>
      <c r="AK47" s="568"/>
      <c r="AL47" s="568"/>
      <c r="AM47" s="568"/>
      <c r="AN47" s="568"/>
      <c r="AO47" s="568"/>
    </row>
    <row r="48" spans="1:41" ht="15.75" customHeight="1">
      <c r="A48" s="512" t="s">
        <v>900</v>
      </c>
      <c r="B48" s="505">
        <f>('Pivot Table for Data Exchange'!$C$223)*100</f>
        <v>97.687609075043625</v>
      </c>
      <c r="C48" s="505">
        <f>('Pivot Table for Data Exchange'!$C$226)*100</f>
        <v>0</v>
      </c>
      <c r="D48" s="506">
        <f>SUM(E48:G48)</f>
        <v>2.3123909249563783</v>
      </c>
      <c r="E48" s="505">
        <f>('Pivot Table for Data Exchange'!$C$229)*100</f>
        <v>2.3123909249563783</v>
      </c>
      <c r="F48" s="505">
        <f>('Pivot Table for Data Exchange'!$C$232)*100</f>
        <v>0</v>
      </c>
      <c r="G48" s="515">
        <f>('Pivot Table for Data Exchange'!$C$235)*100</f>
        <v>0</v>
      </c>
      <c r="H48" s="505">
        <f>('Pivot Table for Data Exchange'!$C$238)*100</f>
        <v>0</v>
      </c>
      <c r="I48" s="514" t="s">
        <v>900</v>
      </c>
      <c r="J48" s="505">
        <f>('Pivot Table for Data Exchange'!$C$241)*100</f>
        <v>95.69128787878789</v>
      </c>
      <c r="K48" s="505">
        <f>('Pivot Table for Data Exchange'!$C$244)*100</f>
        <v>0</v>
      </c>
      <c r="L48" s="506">
        <f>SUM(M48:O48)</f>
        <v>4.3087121212121087</v>
      </c>
      <c r="M48" s="505">
        <f>('Pivot Table for Data Exchange'!$C$247)*100</f>
        <v>4.3087121212121087</v>
      </c>
      <c r="N48" s="505">
        <f>('Pivot Table for Data Exchange'!$C$250)*100</f>
        <v>0</v>
      </c>
      <c r="O48" s="515">
        <f>('Pivot Table for Data Exchange'!$C$253)*100</f>
        <v>0</v>
      </c>
      <c r="P48" s="505">
        <f>('Pivot Table for Data Exchange'!$C$256)*100</f>
        <v>0</v>
      </c>
      <c r="Q48" s="510">
        <f t="shared" si="4"/>
        <v>100</v>
      </c>
      <c r="R48" s="510">
        <f t="shared" si="5"/>
        <v>100</v>
      </c>
      <c r="S48" s="568"/>
      <c r="T48" s="573"/>
      <c r="U48" s="568"/>
      <c r="V48" s="568"/>
      <c r="W48" s="568"/>
      <c r="X48" s="568"/>
      <c r="Y48" s="568"/>
      <c r="Z48" s="568"/>
      <c r="AA48" s="568"/>
      <c r="AB48" s="568"/>
      <c r="AC48" s="568"/>
      <c r="AD48" s="568"/>
      <c r="AE48" s="568"/>
      <c r="AF48" s="568"/>
      <c r="AG48" s="568"/>
      <c r="AH48" s="568"/>
      <c r="AI48" s="568"/>
      <c r="AJ48" s="568"/>
      <c r="AK48" s="568"/>
      <c r="AL48" s="568"/>
      <c r="AM48" s="568"/>
      <c r="AN48" s="568"/>
      <c r="AO48" s="568"/>
    </row>
    <row r="49" spans="1:41" ht="15.75" customHeight="1">
      <c r="A49" s="512" t="s">
        <v>901</v>
      </c>
      <c r="B49" s="505">
        <f>('Pivot Table for Data Exchange'!$C$259)*100</f>
        <v>93.66837814367976</v>
      </c>
      <c r="C49" s="505">
        <f>('Pivot Table for Data Exchange'!$C$262)*100</f>
        <v>2.4069075742192063</v>
      </c>
      <c r="D49" s="506">
        <f>SUM(E49:G49)</f>
        <v>3.9247142821010339</v>
      </c>
      <c r="E49" s="505">
        <f>('Pivot Table for Data Exchange'!$C$265)*100</f>
        <v>3.8414890452222572</v>
      </c>
      <c r="F49" s="505">
        <f>('Pivot Table for Data Exchange'!$C$268)*100</f>
        <v>8.3225236878776601E-2</v>
      </c>
      <c r="G49" s="515">
        <f>('Pivot Table for Data Exchange'!$C$271)*100</f>
        <v>0</v>
      </c>
      <c r="H49" s="505">
        <f>('Pivot Table for Data Exchange'!$C$274)*100</f>
        <v>0</v>
      </c>
      <c r="I49" s="514" t="s">
        <v>901</v>
      </c>
      <c r="J49" s="505">
        <f>('Pivot Table for Data Exchange'!$C$277)*100</f>
        <v>76.779832060778006</v>
      </c>
      <c r="K49" s="505">
        <f>('Pivot Table for Data Exchange'!$C$280)*100</f>
        <v>15.676866150028243</v>
      </c>
      <c r="L49" s="506">
        <f>SUM(M49:O49)</f>
        <v>7.5433017891937526</v>
      </c>
      <c r="M49" s="505">
        <f>('Pivot Table for Data Exchange'!$C$283)*100</f>
        <v>7.1681994452801217</v>
      </c>
      <c r="N49" s="505">
        <f>('Pivot Table for Data Exchange'!$C$286)*100</f>
        <v>0.37510234391363123</v>
      </c>
      <c r="O49" s="515">
        <f>('Pivot Table for Data Exchange'!$C$289)*100</f>
        <v>0</v>
      </c>
      <c r="P49" s="505">
        <f>('Pivot Table for Data Exchange'!$C$292)*100</f>
        <v>0</v>
      </c>
      <c r="Q49" s="510">
        <f t="shared" si="4"/>
        <v>100</v>
      </c>
      <c r="R49" s="510">
        <f t="shared" si="5"/>
        <v>100</v>
      </c>
      <c r="S49" s="568"/>
      <c r="U49" s="568"/>
      <c r="V49" s="568"/>
      <c r="W49" s="568"/>
      <c r="X49" s="568"/>
      <c r="Y49" s="568"/>
      <c r="Z49" s="568"/>
      <c r="AA49" s="568"/>
      <c r="AB49" s="568"/>
      <c r="AC49" s="568"/>
      <c r="AD49" s="568"/>
      <c r="AE49" s="568"/>
      <c r="AF49" s="568"/>
      <c r="AG49" s="568"/>
      <c r="AH49" s="568"/>
      <c r="AI49" s="568"/>
      <c r="AJ49" s="568"/>
      <c r="AK49" s="568"/>
      <c r="AL49" s="568"/>
      <c r="AM49" s="568"/>
      <c r="AN49" s="568"/>
      <c r="AO49" s="568"/>
    </row>
    <row r="50" spans="1:41" ht="12" customHeight="1">
      <c r="A50" s="512"/>
      <c r="B50" s="505"/>
      <c r="C50" s="505"/>
      <c r="D50" s="506"/>
      <c r="E50" s="505"/>
      <c r="F50" s="505"/>
      <c r="G50" s="515"/>
      <c r="H50" s="505"/>
      <c r="I50" s="514"/>
      <c r="J50" s="505"/>
      <c r="K50" s="505"/>
      <c r="L50" s="506"/>
      <c r="M50" s="505"/>
      <c r="N50" s="505"/>
      <c r="O50" s="515"/>
      <c r="P50" s="505"/>
      <c r="Q50" s="510">
        <f t="shared" si="4"/>
        <v>0</v>
      </c>
      <c r="R50" s="510">
        <f t="shared" si="5"/>
        <v>0</v>
      </c>
      <c r="S50" s="568"/>
      <c r="U50" s="568"/>
      <c r="V50" s="568"/>
      <c r="W50" s="568"/>
      <c r="X50" s="568"/>
      <c r="Y50" s="568"/>
      <c r="Z50" s="568"/>
      <c r="AA50" s="568"/>
      <c r="AB50" s="568"/>
      <c r="AC50" s="568"/>
      <c r="AD50" s="568"/>
      <c r="AE50" s="568"/>
      <c r="AF50" s="568"/>
      <c r="AG50" s="568"/>
      <c r="AH50" s="568"/>
      <c r="AI50" s="568"/>
      <c r="AJ50" s="568"/>
      <c r="AK50" s="568"/>
      <c r="AL50" s="568"/>
      <c r="AM50" s="568"/>
      <c r="AN50" s="568"/>
      <c r="AO50" s="568"/>
    </row>
    <row r="51" spans="1:41" ht="15.75" customHeight="1">
      <c r="A51" s="512" t="s">
        <v>902</v>
      </c>
      <c r="B51" s="505">
        <f>('Pivot Table for Data Exchange'!$C$295)*100</f>
        <v>82.109486469677194</v>
      </c>
      <c r="C51" s="505">
        <f>('Pivot Table for Data Exchange'!$C$298)*100</f>
        <v>5.3455445665296768</v>
      </c>
      <c r="D51" s="506">
        <f>SUM(E51:G51)</f>
        <v>12.544968963793124</v>
      </c>
      <c r="E51" s="505">
        <f>('Pivot Table for Data Exchange'!$C$301)*100</f>
        <v>11.834733722759479</v>
      </c>
      <c r="F51" s="505">
        <f>('Pivot Table for Data Exchange'!$C$304)*100</f>
        <v>0.71023524103364599</v>
      </c>
      <c r="G51" s="518">
        <f>('Pivot Table for Data Exchange'!$C$307)*100</f>
        <v>0</v>
      </c>
      <c r="H51" s="505">
        <f>('Pivot Table for Data Exchange'!$C$310)*100</f>
        <v>0</v>
      </c>
      <c r="I51" s="514" t="s">
        <v>902</v>
      </c>
      <c r="J51" s="505">
        <f>('Pivot Table for Data Exchange'!$C$313)*100</f>
        <v>66.180728352465607</v>
      </c>
      <c r="K51" s="505">
        <f>('Pivot Table for Data Exchange'!$C$316)*100</f>
        <v>5.6656830732515004</v>
      </c>
      <c r="L51" s="506">
        <f>SUM(M51:O51)</f>
        <v>28.011137114155421</v>
      </c>
      <c r="M51" s="505">
        <f>('Pivot Table for Data Exchange'!$C$319)*100</f>
        <v>26.923325964091134</v>
      </c>
      <c r="N51" s="505">
        <f>('Pivot Table for Data Exchange'!$C$322)*100</f>
        <v>1.0878111500642882</v>
      </c>
      <c r="O51" s="515">
        <f>('Pivot Table for Data Exchange'!$C$325)*100</f>
        <v>0</v>
      </c>
      <c r="P51" s="519">
        <f>('Pivot Table for Data Exchange'!$C$328)*100</f>
        <v>0.14245146012746632</v>
      </c>
      <c r="Q51" s="510">
        <f t="shared" si="4"/>
        <v>100</v>
      </c>
      <c r="R51" s="510">
        <f t="shared" si="5"/>
        <v>99.999999999999986</v>
      </c>
      <c r="S51" s="568"/>
      <c r="T51" s="568"/>
      <c r="U51" s="568"/>
      <c r="V51" s="568"/>
      <c r="W51" s="568"/>
      <c r="X51" s="568"/>
      <c r="Y51" s="568"/>
      <c r="Z51" s="568"/>
      <c r="AA51" s="568"/>
      <c r="AB51" s="568"/>
      <c r="AC51" s="568"/>
      <c r="AD51" s="568"/>
      <c r="AE51" s="568"/>
      <c r="AF51" s="568"/>
      <c r="AG51" s="568"/>
      <c r="AH51" s="568"/>
      <c r="AI51" s="568"/>
      <c r="AJ51" s="568"/>
      <c r="AK51" s="568"/>
      <c r="AL51" s="568"/>
      <c r="AM51" s="568"/>
      <c r="AN51" s="568"/>
      <c r="AO51" s="568"/>
    </row>
    <row r="52" spans="1:41" ht="15.75" customHeight="1">
      <c r="A52" s="512" t="s">
        <v>903</v>
      </c>
      <c r="B52" s="505">
        <f>('Pivot Table for Data Exchange'!$C$331)*100</f>
        <v>86.722587734107577</v>
      </c>
      <c r="C52" s="505">
        <f>('Pivot Table for Data Exchange'!$C$334)*100</f>
        <v>0.1596334008493159</v>
      </c>
      <c r="D52" s="506">
        <f>SUM(E52:G52)</f>
        <v>13.117778865043116</v>
      </c>
      <c r="E52" s="505">
        <f>('Pivot Table for Data Exchange'!$C$337)*100</f>
        <v>12.990647242860174</v>
      </c>
      <c r="F52" s="519">
        <f>('Pivot Table for Data Exchange'!$C$340)*100</f>
        <v>7.4501396138736409E-3</v>
      </c>
      <c r="G52" s="513">
        <f>('Pivot Table for Data Exchange'!$C$343)*100</f>
        <v>0.11968148256906955</v>
      </c>
      <c r="H52" s="505">
        <f>('Pivot Table for Data Exchange'!$C$346)*100</f>
        <v>0</v>
      </c>
      <c r="I52" s="514" t="s">
        <v>903</v>
      </c>
      <c r="J52" s="505">
        <f>('Pivot Table for Data Exchange'!$C$349)*100</f>
        <v>79.337477178948703</v>
      </c>
      <c r="K52" s="505">
        <f>('Pivot Table for Data Exchange'!$C$352)*100</f>
        <v>1.4510495045325511</v>
      </c>
      <c r="L52" s="506">
        <f>SUM(M52:O52)</f>
        <v>19.211473316518745</v>
      </c>
      <c r="M52" s="505">
        <f>('Pivot Table for Data Exchange'!$C$355)*100</f>
        <v>18.873141337498286</v>
      </c>
      <c r="N52" s="519">
        <f>('Pivot Table for Data Exchange'!$C$358)*100</f>
        <v>2.2372545088065514E-2</v>
      </c>
      <c r="O52" s="515">
        <f>('Pivot Table for Data Exchange'!$C$361)*100</f>
        <v>0.31595943393239689</v>
      </c>
      <c r="P52" s="505">
        <f>('Pivot Table for Data Exchange'!$C$364)*100</f>
        <v>0</v>
      </c>
      <c r="Q52" s="510">
        <f t="shared" si="4"/>
        <v>100.00000000000001</v>
      </c>
      <c r="R52" s="510">
        <f t="shared" si="5"/>
        <v>100</v>
      </c>
      <c r="S52" s="568"/>
      <c r="T52" s="568"/>
      <c r="U52" s="568"/>
      <c r="V52" s="568"/>
      <c r="W52" s="568"/>
      <c r="X52" s="568"/>
      <c r="Y52" s="568"/>
      <c r="Z52" s="568"/>
      <c r="AA52" s="568"/>
      <c r="AB52" s="568"/>
      <c r="AC52" s="568"/>
      <c r="AD52" s="568"/>
      <c r="AE52" s="568"/>
      <c r="AF52" s="568"/>
      <c r="AG52" s="568"/>
      <c r="AH52" s="568"/>
      <c r="AI52" s="568"/>
      <c r="AJ52" s="568"/>
      <c r="AK52" s="568"/>
      <c r="AL52" s="568"/>
      <c r="AM52" s="568"/>
      <c r="AN52" s="568"/>
      <c r="AO52" s="568"/>
    </row>
    <row r="53" spans="1:41" ht="15.75" customHeight="1">
      <c r="A53" s="512" t="s">
        <v>904</v>
      </c>
      <c r="B53" s="505">
        <f>('Pivot Table for Data Exchange'!$C$367)*100</f>
        <v>86.299528541815022</v>
      </c>
      <c r="C53" s="505">
        <f>('Pivot Table for Data Exchange'!$C$370)*100</f>
        <v>0.90564332278792392</v>
      </c>
      <c r="D53" s="506">
        <f>SUM(E53:G53)</f>
        <v>12.72278358785182</v>
      </c>
      <c r="E53" s="505">
        <f>('Pivot Table for Data Exchange'!$C$373)*100</f>
        <v>12.476131074380991</v>
      </c>
      <c r="F53" s="505">
        <f>('Pivot Table for Data Exchange'!$C$376)*100</f>
        <v>1.3758507343707526E-2</v>
      </c>
      <c r="G53" s="515">
        <f>('Pivot Table for Data Exchange'!$C$379)*100</f>
        <v>0.23289400612712194</v>
      </c>
      <c r="H53" s="505">
        <f>('Pivot Table for Data Exchange'!$C$382)*100</f>
        <v>7.2044547545232138E-2</v>
      </c>
      <c r="I53" s="514" t="s">
        <v>904</v>
      </c>
      <c r="J53" s="505">
        <f>('Pivot Table for Data Exchange'!$C$385)*100</f>
        <v>76.145971274320061</v>
      </c>
      <c r="K53" s="505">
        <f>('Pivot Table for Data Exchange'!$C$388)*100</f>
        <v>7.5226647652032188</v>
      </c>
      <c r="L53" s="506">
        <f>SUM(M53:O53)</f>
        <v>15.990968048623138</v>
      </c>
      <c r="M53" s="505">
        <f>('Pivot Table for Data Exchange'!$C$391)*100</f>
        <v>14.082289226172287</v>
      </c>
      <c r="N53" s="505">
        <f>('Pivot Table for Data Exchange'!$C$394)*100</f>
        <v>0.29922583273912601</v>
      </c>
      <c r="O53" s="515">
        <f>('Pivot Table for Data Exchange'!$C$397)*100</f>
        <v>1.6094529897117245</v>
      </c>
      <c r="P53" s="505">
        <f>('Pivot Table for Data Exchange'!$C$400)*100</f>
        <v>0.34039591185358731</v>
      </c>
      <c r="Q53" s="510">
        <f t="shared" si="4"/>
        <v>100</v>
      </c>
      <c r="R53" s="510">
        <f t="shared" si="5"/>
        <v>100</v>
      </c>
      <c r="S53" s="568"/>
      <c r="T53" s="573"/>
      <c r="U53" s="568"/>
      <c r="V53" s="568"/>
      <c r="W53" s="568"/>
      <c r="X53" s="568"/>
      <c r="Y53" s="568"/>
      <c r="Z53" s="568"/>
      <c r="AA53" s="568"/>
      <c r="AB53" s="568"/>
      <c r="AC53" s="568"/>
      <c r="AD53" s="568"/>
      <c r="AE53" s="568"/>
      <c r="AF53" s="568"/>
      <c r="AG53" s="568"/>
      <c r="AH53" s="568"/>
      <c r="AI53" s="568"/>
      <c r="AJ53" s="568"/>
      <c r="AK53" s="568"/>
      <c r="AL53" s="568"/>
      <c r="AM53" s="568"/>
      <c r="AN53" s="568"/>
      <c r="AO53" s="568"/>
    </row>
    <row r="54" spans="1:41" ht="15.75" customHeight="1">
      <c r="A54" s="512" t="s">
        <v>905</v>
      </c>
      <c r="B54" s="505">
        <f>('Pivot Table for Data Exchange'!$C$403)*100</f>
        <v>90.943088029613861</v>
      </c>
      <c r="C54" s="505">
        <f>('Pivot Table for Data Exchange'!$C$406)*100</f>
        <v>2.3650927054038817</v>
      </c>
      <c r="D54" s="506">
        <f>SUM(E54:G54)</f>
        <v>6.6918192649822545</v>
      </c>
      <c r="E54" s="505">
        <f>('Pivot Table for Data Exchange'!$C$409)*100</f>
        <v>6.6918192649822545</v>
      </c>
      <c r="F54" s="505">
        <f>('Pivot Table for Data Exchange'!$C$412)*100</f>
        <v>0</v>
      </c>
      <c r="G54" s="515">
        <f>('Pivot Table for Data Exchange'!$C$415)*100</f>
        <v>0</v>
      </c>
      <c r="H54" s="505">
        <f>('Pivot Table for Data Exchange'!$C$418)*100</f>
        <v>0</v>
      </c>
      <c r="I54" s="514" t="s">
        <v>905</v>
      </c>
      <c r="J54" s="505">
        <f>('Pivot Table for Data Exchange'!$C$421)*100</f>
        <v>70.072044371166157</v>
      </c>
      <c r="K54" s="505">
        <f>('Pivot Table for Data Exchange'!$C$424)*100</f>
        <v>10.502268980088036</v>
      </c>
      <c r="L54" s="506">
        <f>SUM(M54:O54)</f>
        <v>19.425686648745796</v>
      </c>
      <c r="M54" s="505">
        <f>('Pivot Table for Data Exchange'!$C$427)*100</f>
        <v>16.832213021192612</v>
      </c>
      <c r="N54" s="505">
        <f>('Pivot Table for Data Exchange'!$C$430)*100</f>
        <v>2.5359371181632859</v>
      </c>
      <c r="O54" s="515">
        <f>('Pivot Table for Data Exchange'!$C$433)*100</f>
        <v>5.7536509389896469E-2</v>
      </c>
      <c r="P54" s="505">
        <f>('Pivot Table for Data Exchange'!$C$436)*100</f>
        <v>0</v>
      </c>
      <c r="Q54" s="510">
        <f t="shared" si="4"/>
        <v>100</v>
      </c>
      <c r="R54" s="510">
        <f t="shared" si="5"/>
        <v>99.999999999999986</v>
      </c>
      <c r="S54" s="568"/>
      <c r="T54" s="568"/>
      <c r="U54" s="568"/>
      <c r="V54" s="568"/>
      <c r="W54" s="568"/>
      <c r="X54" s="568"/>
      <c r="Y54" s="568"/>
      <c r="Z54" s="568"/>
      <c r="AA54" s="568"/>
      <c r="AB54" s="568"/>
      <c r="AC54" s="568"/>
      <c r="AD54" s="568"/>
      <c r="AE54" s="568"/>
      <c r="AF54" s="568"/>
      <c r="AG54" s="568"/>
      <c r="AH54" s="568"/>
      <c r="AI54" s="568"/>
      <c r="AJ54" s="568"/>
      <c r="AK54" s="568"/>
      <c r="AL54" s="568"/>
      <c r="AM54" s="568"/>
      <c r="AN54" s="568"/>
      <c r="AO54" s="568"/>
    </row>
    <row r="55" spans="1:41" ht="14.25" customHeight="1">
      <c r="A55" s="512"/>
      <c r="B55" s="505"/>
      <c r="C55" s="505"/>
      <c r="D55" s="506"/>
      <c r="E55" s="505"/>
      <c r="F55" s="505"/>
      <c r="G55" s="515"/>
      <c r="H55" s="505"/>
      <c r="I55" s="514"/>
      <c r="J55" s="505"/>
      <c r="K55" s="505"/>
      <c r="L55" s="506"/>
      <c r="M55" s="505"/>
      <c r="N55" s="505"/>
      <c r="O55" s="515"/>
      <c r="P55" s="505"/>
      <c r="Q55" s="510">
        <f t="shared" si="4"/>
        <v>0</v>
      </c>
      <c r="R55" s="510">
        <f t="shared" si="5"/>
        <v>0</v>
      </c>
      <c r="S55" s="568"/>
      <c r="T55" s="568"/>
      <c r="U55" s="568"/>
      <c r="V55" s="568"/>
      <c r="W55" s="568"/>
      <c r="X55" s="568"/>
      <c r="Y55" s="568"/>
      <c r="Z55" s="568"/>
      <c r="AA55" s="568"/>
      <c r="AB55" s="568"/>
      <c r="AC55" s="568"/>
      <c r="AD55" s="568"/>
      <c r="AE55" s="568"/>
      <c r="AF55" s="568"/>
      <c r="AG55" s="568"/>
      <c r="AH55" s="568"/>
      <c r="AI55" s="568"/>
      <c r="AJ55" s="568"/>
      <c r="AK55" s="568"/>
      <c r="AL55" s="568"/>
      <c r="AM55" s="568"/>
      <c r="AN55" s="568"/>
      <c r="AO55" s="568"/>
    </row>
    <row r="56" spans="1:41" ht="15.75" customHeight="1">
      <c r="A56" s="512" t="s">
        <v>906</v>
      </c>
      <c r="B56" s="505">
        <f>('Pivot Table for Data Exchange'!$C$439)*100</f>
        <v>85.279746768538686</v>
      </c>
      <c r="C56" s="505">
        <f>('Pivot Table for Data Exchange'!$C$442)*100</f>
        <v>1.518194649173807</v>
      </c>
      <c r="D56" s="506">
        <f>SUM(E56:G56)</f>
        <v>12.637690691942833</v>
      </c>
      <c r="E56" s="505">
        <f>('Pivot Table for Data Exchange'!$C$445)*100</f>
        <v>9.4662289536584083</v>
      </c>
      <c r="F56" s="536">
        <f>('Pivot Table for Data Exchange'!$C$448)*100</f>
        <v>3.1614781231586592E-2</v>
      </c>
      <c r="G56" s="515">
        <f>('Pivot Table for Data Exchange'!$C$451)*100</f>
        <v>3.1398469570528365</v>
      </c>
      <c r="H56" s="505">
        <f>('Pivot Table for Data Exchange'!$C$454)*100</f>
        <v>0.56436789034466961</v>
      </c>
      <c r="I56" s="514" t="s">
        <v>906</v>
      </c>
      <c r="J56" s="505">
        <f>('Pivot Table for Data Exchange'!$C$457)*100</f>
        <v>69.795687475043252</v>
      </c>
      <c r="K56" s="505">
        <f>('Pivot Table for Data Exchange'!$C$460)*100</f>
        <v>2.0071875415945692</v>
      </c>
      <c r="L56" s="506">
        <f>SUM(M56:O56)</f>
        <v>24.291228537202183</v>
      </c>
      <c r="M56" s="505">
        <f>('Pivot Table for Data Exchange'!$C$463)*100</f>
        <v>21.402236124051644</v>
      </c>
      <c r="N56" s="505">
        <f>('Pivot Table for Data Exchange'!$C$466)*100</f>
        <v>0.15173698921868761</v>
      </c>
      <c r="O56" s="515">
        <f>('Pivot Table for Data Exchange'!$C$469)*100</f>
        <v>2.7372554239318512</v>
      </c>
      <c r="P56" s="505">
        <f>('Pivot Table for Data Exchange'!$C$472)*100</f>
        <v>3.9058964461599892</v>
      </c>
      <c r="Q56" s="510">
        <f t="shared" si="4"/>
        <v>100</v>
      </c>
      <c r="R56" s="510">
        <f t="shared" si="5"/>
        <v>100</v>
      </c>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row>
    <row r="57" spans="1:41" ht="15.75" customHeight="1">
      <c r="A57" s="512" t="s">
        <v>907</v>
      </c>
      <c r="B57" s="505">
        <f>('Pivot Table for Data Exchange'!$C$475)*100</f>
        <v>84.618767545872785</v>
      </c>
      <c r="C57" s="505">
        <f>('Pivot Table for Data Exchange'!$C$478)*100</f>
        <v>0.83142085543801958</v>
      </c>
      <c r="D57" s="506">
        <f>SUM(E57:G57)</f>
        <v>14.549811598689196</v>
      </c>
      <c r="E57" s="505">
        <f>('Pivot Table for Data Exchange'!$C$481)*100</f>
        <v>13.942489947101242</v>
      </c>
      <c r="F57" s="505">
        <f>('Pivot Table for Data Exchange'!$C$484)*100</f>
        <v>0.44938782916857917</v>
      </c>
      <c r="G57" s="515">
        <f>('Pivot Table for Data Exchange'!$C$487)*100</f>
        <v>0.15793382241937476</v>
      </c>
      <c r="H57" s="505">
        <f>('Pivot Table for Data Exchange'!$C$490)*100</f>
        <v>0</v>
      </c>
      <c r="I57" s="514" t="s">
        <v>907</v>
      </c>
      <c r="J57" s="505">
        <f>('Pivot Table for Data Exchange'!$C$493)*100</f>
        <v>80.965693656333599</v>
      </c>
      <c r="K57" s="505">
        <f>('Pivot Table for Data Exchange'!$C$496)*100</f>
        <v>1.7107026009324531</v>
      </c>
      <c r="L57" s="506">
        <f>SUM(M57:O57)</f>
        <v>17.323603742733955</v>
      </c>
      <c r="M57" s="505">
        <f>('Pivot Table for Data Exchange'!$C$499)*100</f>
        <v>16.764777815548989</v>
      </c>
      <c r="N57" s="505">
        <f>('Pivot Table for Data Exchange'!$C$502)*100</f>
        <v>0.18773659348451729</v>
      </c>
      <c r="O57" s="515">
        <f>('Pivot Table for Data Exchange'!$C$505)*100</f>
        <v>0.371089333700449</v>
      </c>
      <c r="P57" s="505">
        <f>('Pivot Table for Data Exchange'!$C$508)*100</f>
        <v>0</v>
      </c>
      <c r="Q57" s="510">
        <f t="shared" si="4"/>
        <v>100</v>
      </c>
      <c r="R57" s="510">
        <f t="shared" si="5"/>
        <v>100</v>
      </c>
      <c r="S57" s="568"/>
      <c r="T57" s="568"/>
      <c r="U57" s="568"/>
      <c r="V57" s="568"/>
      <c r="W57" s="568"/>
      <c r="X57" s="568"/>
      <c r="Y57" s="568"/>
      <c r="Z57" s="568"/>
      <c r="AA57" s="568"/>
      <c r="AB57" s="568"/>
      <c r="AC57" s="568"/>
      <c r="AD57" s="568"/>
      <c r="AE57" s="568"/>
      <c r="AF57" s="568"/>
      <c r="AG57" s="568"/>
      <c r="AH57" s="568"/>
      <c r="AI57" s="568"/>
      <c r="AJ57" s="568"/>
      <c r="AK57" s="568"/>
      <c r="AL57" s="568"/>
      <c r="AM57" s="568"/>
      <c r="AN57" s="568"/>
      <c r="AO57" s="568"/>
    </row>
    <row r="58" spans="1:41" ht="15.75" customHeight="1">
      <c r="A58" s="512" t="s">
        <v>908</v>
      </c>
      <c r="B58" s="505">
        <f>('Pivot Table for Data Exchange'!$C$511)*100</f>
        <v>89.930440115402149</v>
      </c>
      <c r="C58" s="505">
        <f>('Pivot Table for Data Exchange'!$C$514)*100</f>
        <v>1.5294946635355708</v>
      </c>
      <c r="D58" s="506">
        <f>SUM(E58:G58)</f>
        <v>8.5400652210622798</v>
      </c>
      <c r="E58" s="505">
        <f>('Pivot Table for Data Exchange'!$C$517)*100</f>
        <v>7.6056158807594043</v>
      </c>
      <c r="F58" s="505">
        <f>('Pivot Table for Data Exchange'!$C$520)*100</f>
        <v>0.92574299342383792</v>
      </c>
      <c r="G58" s="515">
        <f>('Pivot Table for Data Exchange'!$C$523)*100</f>
        <v>8.7063468790377473E-3</v>
      </c>
      <c r="H58" s="505">
        <f>('Pivot Table for Data Exchange'!$C$526)*100</f>
        <v>0</v>
      </c>
      <c r="I58" s="514" t="s">
        <v>908</v>
      </c>
      <c r="J58" s="505">
        <f>('Pivot Table for Data Exchange'!$C$529)*100</f>
        <v>80.301005932756524</v>
      </c>
      <c r="K58" s="505">
        <f>('Pivot Table for Data Exchange'!$C$532)*100</f>
        <v>7.2042776605567447</v>
      </c>
      <c r="L58" s="506">
        <f>SUM(M58:O58)</f>
        <v>12.494716406686734</v>
      </c>
      <c r="M58" s="505">
        <f>('Pivot Table for Data Exchange'!$C$535)*100</f>
        <v>8.7991914607044048</v>
      </c>
      <c r="N58" s="505">
        <f>('Pivot Table for Data Exchange'!$C$538)*100</f>
        <v>3.3510915871359472</v>
      </c>
      <c r="O58" s="515">
        <f>('Pivot Table for Data Exchange'!$C$541)*100</f>
        <v>0.34443335884638171</v>
      </c>
      <c r="P58" s="505">
        <f>('Pivot Table for Data Exchange'!$C$544)*100</f>
        <v>0</v>
      </c>
      <c r="Q58" s="510">
        <f t="shared" si="4"/>
        <v>100</v>
      </c>
      <c r="R58" s="510">
        <f t="shared" si="5"/>
        <v>100</v>
      </c>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row>
    <row r="59" spans="1:41" ht="15.75" customHeight="1">
      <c r="A59" s="484" t="s">
        <v>909</v>
      </c>
      <c r="B59" s="520">
        <f>('Pivot Table for Data Exchange'!$C$547)*100</f>
        <v>89.263676360718335</v>
      </c>
      <c r="C59" s="520">
        <f>('Pivot Table for Data Exchange'!$C$550)*100</f>
        <v>0.1680240798644739</v>
      </c>
      <c r="D59" s="521">
        <f>SUM(E59:G59)</f>
        <v>10.56829955941719</v>
      </c>
      <c r="E59" s="520">
        <f>('Pivot Table for Data Exchange'!$C$553)*100</f>
        <v>9.9853651487620336</v>
      </c>
      <c r="F59" s="537">
        <f>('Pivot Table for Data Exchange'!$C$556)*100</f>
        <v>0</v>
      </c>
      <c r="G59" s="522">
        <f>('Pivot Table for Data Exchange'!$C$559)*100</f>
        <v>0.58293441065515561</v>
      </c>
      <c r="H59" s="520">
        <f>('Pivot Table for Data Exchange'!$C$562)*100</f>
        <v>0</v>
      </c>
      <c r="I59" s="523" t="s">
        <v>909</v>
      </c>
      <c r="J59" s="520">
        <f>('Pivot Table for Data Exchange'!$C$565)*100</f>
        <v>66.435738426388994</v>
      </c>
      <c r="K59" s="520">
        <f>('Pivot Table for Data Exchange'!$C$568)*100</f>
        <v>3.0101390833763251</v>
      </c>
      <c r="L59" s="521">
        <f>SUM(M59:O59)</f>
        <v>30.554122490234683</v>
      </c>
      <c r="M59" s="520">
        <f>('Pivot Table for Data Exchange'!$C$571)*100</f>
        <v>29.9066109350488</v>
      </c>
      <c r="N59" s="520">
        <f>('Pivot Table for Data Exchange'!$C$574)*100</f>
        <v>3.1585929521262598E-3</v>
      </c>
      <c r="O59" s="522">
        <f>('Pivot Table for Data Exchange'!$C$577)*100</f>
        <v>0.64435296223375693</v>
      </c>
      <c r="P59" s="520">
        <f>('Pivot Table for Data Exchange'!$C$580)*100</f>
        <v>0</v>
      </c>
      <c r="Q59" s="510">
        <f t="shared" si="4"/>
        <v>100</v>
      </c>
      <c r="R59" s="510">
        <f t="shared" si="5"/>
        <v>100</v>
      </c>
      <c r="S59" s="568"/>
      <c r="T59" s="568"/>
      <c r="U59" s="568"/>
      <c r="V59" s="568"/>
      <c r="W59" s="568"/>
      <c r="X59" s="568"/>
      <c r="Y59" s="568"/>
      <c r="Z59" s="568"/>
      <c r="AA59" s="568"/>
      <c r="AB59" s="568"/>
      <c r="AC59" s="568"/>
      <c r="AD59" s="568"/>
      <c r="AE59" s="568"/>
      <c r="AF59" s="568"/>
      <c r="AG59" s="568"/>
      <c r="AH59" s="568"/>
      <c r="AI59" s="568"/>
      <c r="AJ59" s="568"/>
      <c r="AK59" s="568"/>
      <c r="AL59" s="568"/>
      <c r="AM59" s="568"/>
      <c r="AN59" s="568"/>
      <c r="AO59" s="568"/>
    </row>
    <row r="60" spans="1:41" s="571" customFormat="1" ht="12" customHeight="1">
      <c r="A60" s="525" t="s">
        <v>937</v>
      </c>
      <c r="B60" s="526"/>
      <c r="C60" s="526"/>
      <c r="D60" s="527"/>
      <c r="E60" s="526"/>
      <c r="F60" s="527"/>
      <c r="G60" s="527"/>
      <c r="H60" s="526"/>
      <c r="I60" s="525" t="s">
        <v>937</v>
      </c>
      <c r="J60" s="526"/>
      <c r="K60" s="526"/>
      <c r="L60" s="527"/>
      <c r="M60" s="526"/>
      <c r="N60" s="527"/>
      <c r="O60" s="527"/>
      <c r="P60" s="526"/>
      <c r="Q60" s="510">
        <f t="shared" si="4"/>
        <v>0</v>
      </c>
      <c r="R60" s="510">
        <f t="shared" si="5"/>
        <v>0</v>
      </c>
      <c r="S60" s="572"/>
      <c r="T60" s="572"/>
      <c r="U60" s="572"/>
      <c r="V60" s="572"/>
      <c r="W60" s="572"/>
      <c r="X60" s="572"/>
      <c r="Y60" s="572"/>
      <c r="Z60" s="572"/>
      <c r="AA60" s="572"/>
      <c r="AB60" s="572"/>
      <c r="AC60" s="572"/>
      <c r="AD60" s="572"/>
      <c r="AE60" s="572"/>
      <c r="AF60" s="572"/>
      <c r="AG60" s="572"/>
      <c r="AH60" s="572"/>
      <c r="AI60" s="572"/>
      <c r="AJ60" s="572"/>
      <c r="AK60" s="572"/>
      <c r="AL60" s="572"/>
      <c r="AM60" s="572"/>
      <c r="AN60" s="572"/>
      <c r="AO60" s="572"/>
    </row>
    <row r="61" spans="1:41" s="571" customFormat="1" ht="24" customHeight="1">
      <c r="A61" s="655" t="s">
        <v>938</v>
      </c>
      <c r="B61" s="668"/>
      <c r="C61" s="668"/>
      <c r="D61" s="668"/>
      <c r="E61" s="668"/>
      <c r="F61" s="668"/>
      <c r="G61" s="668"/>
      <c r="H61" s="668"/>
      <c r="I61" s="655" t="s">
        <v>938</v>
      </c>
      <c r="J61" s="668"/>
      <c r="K61" s="668"/>
      <c r="L61" s="668"/>
      <c r="M61" s="668"/>
      <c r="N61" s="668"/>
      <c r="O61" s="668"/>
      <c r="P61" s="668"/>
      <c r="Q61" s="510">
        <f t="shared" si="4"/>
        <v>0</v>
      </c>
      <c r="R61" s="510">
        <f t="shared" si="5"/>
        <v>0</v>
      </c>
    </row>
    <row r="62" spans="1:41" s="571" customFormat="1" ht="13.5" customHeight="1">
      <c r="A62" s="669"/>
      <c r="B62" s="670"/>
      <c r="C62" s="670"/>
      <c r="D62" s="670"/>
      <c r="E62" s="670"/>
      <c r="F62" s="670"/>
      <c r="G62" s="670"/>
      <c r="H62" s="670"/>
      <c r="I62" s="669"/>
      <c r="J62" s="670"/>
      <c r="K62" s="670"/>
      <c r="L62" s="670"/>
      <c r="M62" s="670"/>
      <c r="N62" s="670"/>
      <c r="O62" s="670"/>
      <c r="P62" s="670"/>
      <c r="Q62" s="510">
        <f t="shared" si="4"/>
        <v>0</v>
      </c>
      <c r="R62" s="510">
        <f t="shared" si="5"/>
        <v>0</v>
      </c>
    </row>
    <row r="63" spans="1:41" s="571" customFormat="1" ht="13.5" customHeight="1">
      <c r="A63" s="524"/>
      <c r="B63" s="524"/>
      <c r="C63" s="524"/>
      <c r="D63" s="524"/>
      <c r="E63" s="524"/>
      <c r="F63" s="524"/>
      <c r="G63" s="524"/>
      <c r="H63" s="532" t="s">
        <v>1015</v>
      </c>
      <c r="I63" s="524"/>
      <c r="J63" s="524"/>
      <c r="K63" s="524"/>
      <c r="L63" s="524"/>
      <c r="M63" s="524"/>
      <c r="N63" s="524"/>
      <c r="O63" s="524"/>
      <c r="P63" s="532" t="s">
        <v>1015</v>
      </c>
      <c r="Q63" s="510">
        <f t="shared" si="4"/>
        <v>0</v>
      </c>
      <c r="R63" s="510">
        <f t="shared" si="5"/>
        <v>0</v>
      </c>
    </row>
    <row r="64" spans="1:41" ht="18">
      <c r="A64" s="472" t="s">
        <v>939</v>
      </c>
      <c r="B64" s="473"/>
      <c r="C64" s="473"/>
      <c r="D64" s="473"/>
      <c r="E64" s="473"/>
      <c r="F64" s="473"/>
      <c r="G64" s="473"/>
      <c r="H64" s="474"/>
      <c r="I64" s="472" t="s">
        <v>940</v>
      </c>
      <c r="J64" s="475"/>
      <c r="K64" s="475"/>
      <c r="L64" s="473"/>
      <c r="M64" s="475"/>
      <c r="N64" s="475"/>
      <c r="O64" s="475"/>
      <c r="P64" s="475"/>
      <c r="Q64" s="510">
        <f t="shared" si="4"/>
        <v>0</v>
      </c>
      <c r="R64" s="510">
        <f t="shared" si="5"/>
        <v>0</v>
      </c>
    </row>
    <row r="65" spans="1:41">
      <c r="A65" s="479"/>
      <c r="B65" s="475"/>
      <c r="C65" s="475"/>
      <c r="D65" s="475"/>
      <c r="E65" s="475"/>
      <c r="F65" s="475"/>
      <c r="G65" s="475"/>
      <c r="H65" s="480"/>
      <c r="I65" s="479"/>
      <c r="J65" s="475"/>
      <c r="K65" s="475"/>
      <c r="L65" s="475"/>
      <c r="M65" s="475"/>
      <c r="N65" s="475"/>
      <c r="O65" s="475"/>
      <c r="P65" s="475"/>
      <c r="Q65" s="510">
        <f t="shared" si="4"/>
        <v>0</v>
      </c>
      <c r="R65" s="510">
        <f t="shared" si="5"/>
        <v>0</v>
      </c>
    </row>
    <row r="66" spans="1:41" ht="15.75">
      <c r="A66" s="481" t="s">
        <v>917</v>
      </c>
      <c r="B66" s="475"/>
      <c r="C66" s="475"/>
      <c r="D66" s="475"/>
      <c r="E66" s="475"/>
      <c r="F66" s="475"/>
      <c r="G66" s="475"/>
      <c r="H66" s="480"/>
      <c r="I66" s="481" t="s">
        <v>918</v>
      </c>
      <c r="J66" s="475"/>
      <c r="K66" s="475"/>
      <c r="L66" s="475"/>
      <c r="M66" s="475"/>
      <c r="N66" s="475"/>
      <c r="O66" s="475"/>
      <c r="P66" s="475"/>
      <c r="Q66" s="510">
        <f t="shared" si="4"/>
        <v>0</v>
      </c>
      <c r="R66" s="510">
        <f t="shared" si="5"/>
        <v>0</v>
      </c>
    </row>
    <row r="67" spans="1:41" ht="15.75">
      <c r="A67" s="481" t="s">
        <v>1002</v>
      </c>
      <c r="B67" s="475"/>
      <c r="C67" s="475"/>
      <c r="D67" s="475"/>
      <c r="E67" s="475"/>
      <c r="F67" s="475"/>
      <c r="G67" s="475"/>
      <c r="H67" s="480"/>
      <c r="I67" s="481" t="s">
        <v>1002</v>
      </c>
      <c r="J67" s="475"/>
      <c r="K67" s="475"/>
      <c r="L67" s="475"/>
      <c r="M67" s="475"/>
      <c r="N67" s="475"/>
      <c r="O67" s="475"/>
      <c r="P67" s="475"/>
      <c r="Q67" s="510">
        <f t="shared" si="4"/>
        <v>0</v>
      </c>
      <c r="R67" s="510">
        <f t="shared" si="5"/>
        <v>0</v>
      </c>
    </row>
    <row r="68" spans="1:41">
      <c r="A68" s="484"/>
      <c r="B68" s="485"/>
      <c r="C68" s="485"/>
      <c r="D68" s="485"/>
      <c r="E68" s="485"/>
      <c r="F68" s="485"/>
      <c r="G68" s="485"/>
      <c r="H68" s="485"/>
      <c r="I68" s="486"/>
      <c r="L68" s="487"/>
      <c r="P68" s="484"/>
      <c r="Q68" s="510">
        <f t="shared" si="4"/>
        <v>0</v>
      </c>
      <c r="R68" s="510">
        <f t="shared" si="5"/>
        <v>0</v>
      </c>
    </row>
    <row r="69" spans="1:41" s="503" customFormat="1">
      <c r="A69" s="489"/>
      <c r="B69" s="490" t="s">
        <v>919</v>
      </c>
      <c r="C69" s="490"/>
      <c r="D69" s="490"/>
      <c r="E69" s="490"/>
      <c r="F69" s="490"/>
      <c r="G69" s="490"/>
      <c r="H69" s="491"/>
      <c r="I69" s="489"/>
      <c r="J69" s="490" t="s">
        <v>919</v>
      </c>
      <c r="K69" s="490"/>
      <c r="L69" s="490"/>
      <c r="M69" s="490"/>
      <c r="N69" s="490"/>
      <c r="O69" s="490"/>
      <c r="P69" s="491"/>
      <c r="Q69" s="510">
        <f t="shared" si="4"/>
        <v>0</v>
      </c>
      <c r="R69" s="510">
        <f t="shared" si="5"/>
        <v>0</v>
      </c>
    </row>
    <row r="70" spans="1:41" s="503" customFormat="1">
      <c r="A70" s="489"/>
      <c r="B70" s="490" t="s">
        <v>920</v>
      </c>
      <c r="C70" s="490"/>
      <c r="D70" s="659" t="s">
        <v>921</v>
      </c>
      <c r="E70" s="657"/>
      <c r="F70" s="657"/>
      <c r="G70" s="657"/>
      <c r="H70" s="495" t="s">
        <v>320</v>
      </c>
      <c r="I70" s="489"/>
      <c r="J70" s="490" t="s">
        <v>920</v>
      </c>
      <c r="K70" s="490"/>
      <c r="L70" s="659" t="s">
        <v>921</v>
      </c>
      <c r="M70" s="657"/>
      <c r="N70" s="657"/>
      <c r="O70" s="657"/>
      <c r="P70" s="495" t="s">
        <v>320</v>
      </c>
      <c r="Q70" s="510">
        <f t="shared" si="4"/>
        <v>0</v>
      </c>
      <c r="R70" s="510">
        <f t="shared" si="5"/>
        <v>0</v>
      </c>
    </row>
    <row r="71" spans="1:41" s="503" customFormat="1" ht="40.5" customHeight="1">
      <c r="A71" s="489"/>
      <c r="B71" s="496" t="s">
        <v>922</v>
      </c>
      <c r="C71" s="497" t="s">
        <v>923</v>
      </c>
      <c r="D71" s="498" t="s">
        <v>924</v>
      </c>
      <c r="E71" s="499" t="s">
        <v>10</v>
      </c>
      <c r="F71" s="496" t="s">
        <v>925</v>
      </c>
      <c r="G71" s="500" t="s">
        <v>935</v>
      </c>
      <c r="H71" s="501" t="s">
        <v>927</v>
      </c>
      <c r="I71" s="489"/>
      <c r="J71" s="496" t="s">
        <v>922</v>
      </c>
      <c r="K71" s="497" t="s">
        <v>923</v>
      </c>
      <c r="L71" s="498" t="s">
        <v>924</v>
      </c>
      <c r="M71" s="499" t="s">
        <v>10</v>
      </c>
      <c r="N71" s="496" t="s">
        <v>925</v>
      </c>
      <c r="O71" s="500" t="s">
        <v>935</v>
      </c>
      <c r="P71" s="501" t="s">
        <v>927</v>
      </c>
      <c r="Q71" s="510">
        <f t="shared" si="4"/>
        <v>0</v>
      </c>
      <c r="R71" s="510">
        <f t="shared" si="5"/>
        <v>0</v>
      </c>
      <c r="T71" s="502"/>
    </row>
    <row r="72" spans="1:41" ht="15.75" customHeight="1">
      <c r="A72" s="534" t="s">
        <v>894</v>
      </c>
      <c r="B72" s="567">
        <f>('Pivot Table for Data Exchange'!$D$7)*100</f>
        <v>82.140806965892367</v>
      </c>
      <c r="C72" s="519">
        <f>('Pivot Table for Data Exchange'!$D$10)*100</f>
        <v>4.22864223072245E-2</v>
      </c>
      <c r="D72" s="506">
        <f>SUM(E72:G72)</f>
        <v>17.816906611800412</v>
      </c>
      <c r="E72" s="505">
        <f>('Pivot Table for Data Exchange'!$D$13)*100</f>
        <v>17.803265830410986</v>
      </c>
      <c r="F72" s="519">
        <f>('Pivot Table for Data Exchange'!$D$16)*100</f>
        <v>1.3640781389427257E-2</v>
      </c>
      <c r="G72" s="509">
        <f>('Pivot Table for Data Exchange'!$D$19)*100</f>
        <v>0</v>
      </c>
      <c r="H72" s="505">
        <f>('Pivot Table for Data Exchange'!$D$22)*100</f>
        <v>0</v>
      </c>
      <c r="I72" s="508" t="s">
        <v>894</v>
      </c>
      <c r="J72" s="505">
        <f>('Pivot Table for Data Exchange'!$D$25)*100</f>
        <v>66.247460047229396</v>
      </c>
      <c r="K72" s="505">
        <f>('Pivot Table for Data Exchange'!$D$28)*100</f>
        <v>0.24163875006864738</v>
      </c>
      <c r="L72" s="506">
        <f>SUM(M72:O72)</f>
        <v>33.510901202701959</v>
      </c>
      <c r="M72" s="505">
        <f>('Pivot Table for Data Exchange'!$D$31)*100</f>
        <v>33.325553297819759</v>
      </c>
      <c r="N72" s="505">
        <f>('Pivot Table for Data Exchange'!$D$34)*100</f>
        <v>0.1853479048822011</v>
      </c>
      <c r="O72" s="509">
        <f>('Pivot Table for Data Exchange'!$D$37)*100</f>
        <v>0</v>
      </c>
      <c r="P72" s="505">
        <f>('Pivot Table for Data Exchange'!$D$40)*100</f>
        <v>0</v>
      </c>
      <c r="Q72" s="510">
        <f t="shared" si="4"/>
        <v>100</v>
      </c>
      <c r="R72" s="510">
        <f t="shared" si="5"/>
        <v>100</v>
      </c>
      <c r="S72" s="568"/>
      <c r="T72" s="568"/>
      <c r="U72" s="568"/>
      <c r="V72" s="568"/>
      <c r="W72" s="568"/>
      <c r="X72" s="568"/>
      <c r="Y72" s="568"/>
      <c r="Z72" s="568"/>
      <c r="AA72" s="568"/>
      <c r="AB72" s="568"/>
      <c r="AC72" s="568"/>
      <c r="AD72" s="568"/>
      <c r="AE72" s="568"/>
      <c r="AF72" s="568"/>
      <c r="AG72" s="568"/>
      <c r="AH72" s="568"/>
      <c r="AI72" s="568"/>
      <c r="AJ72" s="568"/>
      <c r="AK72" s="568"/>
      <c r="AL72" s="568"/>
      <c r="AM72" s="568"/>
      <c r="AN72" s="568"/>
      <c r="AO72" s="568"/>
    </row>
    <row r="73" spans="1:41" ht="15.75" customHeight="1">
      <c r="A73" s="512" t="s">
        <v>895</v>
      </c>
      <c r="B73" s="505">
        <f>('Pivot Table for Data Exchange'!$D$43)*100</f>
        <v>56.56814648722208</v>
      </c>
      <c r="C73" s="505">
        <f>('Pivot Table for Data Exchange'!$D$46)*100</f>
        <v>10.317256609310906</v>
      </c>
      <c r="D73" s="506">
        <f t="shared" ref="D73:D75" si="10">SUM(E73:G73)</f>
        <v>33.114596903467017</v>
      </c>
      <c r="E73" s="505">
        <f>('Pivot Table for Data Exchange'!$D$49)*100</f>
        <v>33.114596903467017</v>
      </c>
      <c r="F73" s="505">
        <f>('Pivot Table for Data Exchange'!$D$52)*100</f>
        <v>0</v>
      </c>
      <c r="G73" s="515">
        <f>('Pivot Table for Data Exchange'!$D$55)*100</f>
        <v>0</v>
      </c>
      <c r="H73" s="505">
        <f>('Pivot Table for Data Exchange'!$D$58)*100</f>
        <v>0</v>
      </c>
      <c r="I73" s="514" t="s">
        <v>895</v>
      </c>
      <c r="J73" s="505">
        <f>('Pivot Table for Data Exchange'!$D$61)*100</f>
        <v>64.323701054216869</v>
      </c>
      <c r="K73" s="505">
        <f>('Pivot Table for Data Exchange'!$D$64)*100</f>
        <v>11.775225903614457</v>
      </c>
      <c r="L73" s="506">
        <f t="shared" ref="L73:L75" si="11">SUM(M73:O73)</f>
        <v>23.901073042168676</v>
      </c>
      <c r="M73" s="505">
        <f>('Pivot Table for Data Exchange'!$D$67)*100</f>
        <v>23.901073042168676</v>
      </c>
      <c r="N73" s="505">
        <f>('Pivot Table for Data Exchange'!$D$70)*100</f>
        <v>0</v>
      </c>
      <c r="O73" s="515">
        <f>('Pivot Table for Data Exchange'!$D$73)*100</f>
        <v>0</v>
      </c>
      <c r="P73" s="505">
        <f>('Pivot Table for Data Exchange'!$D$76)*100</f>
        <v>0</v>
      </c>
      <c r="Q73" s="510">
        <f t="shared" si="4"/>
        <v>100</v>
      </c>
      <c r="R73" s="510">
        <f t="shared" si="5"/>
        <v>100</v>
      </c>
      <c r="S73" s="568"/>
      <c r="T73" s="568"/>
      <c r="U73" s="568"/>
      <c r="V73" s="568"/>
      <c r="W73" s="568"/>
      <c r="X73" s="568"/>
      <c r="Y73" s="568"/>
      <c r="Z73" s="568"/>
      <c r="AA73" s="568"/>
      <c r="AB73" s="568"/>
      <c r="AC73" s="568"/>
      <c r="AD73" s="568"/>
      <c r="AE73" s="568"/>
      <c r="AF73" s="568"/>
      <c r="AG73" s="568"/>
      <c r="AH73" s="568"/>
      <c r="AI73" s="568"/>
      <c r="AJ73" s="568"/>
      <c r="AK73" s="568"/>
      <c r="AL73" s="568"/>
      <c r="AM73" s="568"/>
      <c r="AN73" s="568"/>
      <c r="AO73" s="568"/>
    </row>
    <row r="74" spans="1:41" ht="15.75" customHeight="1">
      <c r="A74" s="512" t="s">
        <v>896</v>
      </c>
      <c r="B74" s="505">
        <f>('Pivot Table for Data Exchange'!$D$79)*100</f>
        <v>0</v>
      </c>
      <c r="C74" s="505">
        <f>('Pivot Table for Data Exchange'!$D$82)*100</f>
        <v>0</v>
      </c>
      <c r="D74" s="506">
        <f t="shared" si="10"/>
        <v>0</v>
      </c>
      <c r="E74" s="505">
        <f>('Pivot Table for Data Exchange'!$D$85)*100</f>
        <v>0</v>
      </c>
      <c r="F74" s="505">
        <f>('Pivot Table for Data Exchange'!$D$88)*100</f>
        <v>0</v>
      </c>
      <c r="G74" s="515">
        <f>('Pivot Table for Data Exchange'!$D$91)*100</f>
        <v>0</v>
      </c>
      <c r="H74" s="505">
        <f>('Pivot Table for Data Exchange'!$D$94)*100</f>
        <v>0</v>
      </c>
      <c r="I74" s="514" t="s">
        <v>896</v>
      </c>
      <c r="J74" s="505">
        <f>('Pivot Table for Data Exchange'!$D$97)*100</f>
        <v>0</v>
      </c>
      <c r="K74" s="505">
        <f>('Pivot Table for Data Exchange'!$D$100)*100</f>
        <v>0</v>
      </c>
      <c r="L74" s="506">
        <f t="shared" si="11"/>
        <v>0</v>
      </c>
      <c r="M74" s="505">
        <f>('Pivot Table for Data Exchange'!$D$103)*100</f>
        <v>0</v>
      </c>
      <c r="N74" s="505">
        <f>('Pivot Table for Data Exchange'!$D$106)*100</f>
        <v>0</v>
      </c>
      <c r="O74" s="515">
        <f>('Pivot Table for Data Exchange'!$D$109)*100</f>
        <v>0</v>
      </c>
      <c r="P74" s="505">
        <f>('Pivot Table for Data Exchange'!$D$112)*100</f>
        <v>0</v>
      </c>
      <c r="Q74" s="510">
        <f t="shared" si="4"/>
        <v>0</v>
      </c>
      <c r="R74" s="510">
        <f t="shared" si="5"/>
        <v>0</v>
      </c>
      <c r="S74" s="568"/>
      <c r="T74" s="573"/>
      <c r="U74" s="568"/>
      <c r="V74" s="568"/>
      <c r="W74" s="568"/>
      <c r="X74" s="568"/>
      <c r="Y74" s="568"/>
      <c r="Z74" s="568"/>
      <c r="AA74" s="568"/>
      <c r="AB74" s="568"/>
      <c r="AC74" s="568"/>
      <c r="AD74" s="568"/>
      <c r="AE74" s="568"/>
      <c r="AF74" s="568"/>
      <c r="AG74" s="568"/>
      <c r="AH74" s="568"/>
      <c r="AI74" s="568"/>
      <c r="AJ74" s="568"/>
      <c r="AK74" s="568"/>
      <c r="AL74" s="568"/>
      <c r="AM74" s="568"/>
      <c r="AN74" s="568"/>
      <c r="AO74" s="568"/>
    </row>
    <row r="75" spans="1:41" ht="15.75" customHeight="1">
      <c r="A75" s="512" t="s">
        <v>897</v>
      </c>
      <c r="B75" s="505">
        <f>('Pivot Table for Data Exchange'!$D$115)*100</f>
        <v>0</v>
      </c>
      <c r="C75" s="505">
        <f>('Pivot Table for Data Exchange'!$D$118)*100</f>
        <v>0</v>
      </c>
      <c r="D75" s="506">
        <f t="shared" si="10"/>
        <v>0</v>
      </c>
      <c r="E75" s="505">
        <f>('Pivot Table for Data Exchange'!$D$121)*100</f>
        <v>0</v>
      </c>
      <c r="F75" s="519">
        <f>('Pivot Table for Data Exchange'!$D$124)*100</f>
        <v>0</v>
      </c>
      <c r="G75" s="515">
        <f>('Pivot Table for Data Exchange'!$D$127)*100</f>
        <v>0</v>
      </c>
      <c r="H75" s="505">
        <f>('Pivot Table for Data Exchange'!$D$130)*100</f>
        <v>0</v>
      </c>
      <c r="I75" s="514" t="s">
        <v>897</v>
      </c>
      <c r="J75" s="505">
        <f>('Pivot Table for Data Exchange'!$D$133)*100</f>
        <v>0</v>
      </c>
      <c r="K75" s="505">
        <f>('Pivot Table for Data Exchange'!$D$136)*100</f>
        <v>0</v>
      </c>
      <c r="L75" s="506">
        <f t="shared" si="11"/>
        <v>0</v>
      </c>
      <c r="M75" s="505">
        <f>('Pivot Table for Data Exchange'!$D$139)*100</f>
        <v>0</v>
      </c>
      <c r="N75" s="505">
        <f>('Pivot Table for Data Exchange'!$D$142)*100</f>
        <v>0</v>
      </c>
      <c r="O75" s="515">
        <f>('Pivot Table for Data Exchange'!$D$145)*100</f>
        <v>0</v>
      </c>
      <c r="P75" s="505">
        <f>('Pivot Table for Data Exchange'!$D$148)*100</f>
        <v>0</v>
      </c>
      <c r="Q75" s="510">
        <f t="shared" si="4"/>
        <v>0</v>
      </c>
      <c r="R75" s="510">
        <f t="shared" si="5"/>
        <v>0</v>
      </c>
      <c r="S75" s="568"/>
      <c r="U75" s="568"/>
      <c r="V75" s="568"/>
      <c r="W75" s="568"/>
      <c r="X75" s="568"/>
      <c r="Y75" s="568"/>
      <c r="Z75" s="568"/>
      <c r="AA75" s="568"/>
      <c r="AB75" s="568"/>
      <c r="AC75" s="568"/>
      <c r="AD75" s="568"/>
      <c r="AE75" s="568"/>
      <c r="AF75" s="568"/>
      <c r="AG75" s="568"/>
      <c r="AH75" s="568"/>
      <c r="AI75" s="568"/>
      <c r="AJ75" s="568"/>
      <c r="AK75" s="568"/>
      <c r="AL75" s="568"/>
      <c r="AM75" s="568"/>
      <c r="AN75" s="568"/>
      <c r="AO75" s="568"/>
    </row>
    <row r="76" spans="1:41" ht="9" customHeight="1">
      <c r="A76" s="512"/>
      <c r="B76" s="505"/>
      <c r="C76" s="505"/>
      <c r="D76" s="506"/>
      <c r="E76" s="505"/>
      <c r="F76" s="505"/>
      <c r="G76" s="515"/>
      <c r="H76" s="505"/>
      <c r="I76" s="514"/>
      <c r="J76" s="505"/>
      <c r="K76" s="505"/>
      <c r="L76" s="506"/>
      <c r="M76" s="505"/>
      <c r="N76" s="505"/>
      <c r="O76" s="515"/>
      <c r="P76" s="505"/>
      <c r="Q76" s="510">
        <f t="shared" si="4"/>
        <v>0</v>
      </c>
      <c r="R76" s="510">
        <f t="shared" si="5"/>
        <v>0</v>
      </c>
      <c r="S76" s="568"/>
      <c r="U76" s="568"/>
      <c r="V76" s="568"/>
      <c r="W76" s="568"/>
      <c r="X76" s="568"/>
      <c r="Y76" s="568"/>
      <c r="Z76" s="568"/>
      <c r="AA76" s="568"/>
      <c r="AB76" s="568"/>
      <c r="AC76" s="568"/>
      <c r="AD76" s="568"/>
      <c r="AE76" s="568"/>
      <c r="AF76" s="568"/>
      <c r="AG76" s="568"/>
      <c r="AH76" s="568"/>
      <c r="AI76" s="568"/>
      <c r="AJ76" s="568"/>
      <c r="AK76" s="568"/>
      <c r="AL76" s="568"/>
      <c r="AM76" s="568"/>
      <c r="AN76" s="568"/>
      <c r="AO76" s="568"/>
    </row>
    <row r="77" spans="1:41" ht="15.75" customHeight="1">
      <c r="A77" s="512" t="s">
        <v>898</v>
      </c>
      <c r="B77" s="505">
        <f>('Pivot Table for Data Exchange'!$D$151)*100</f>
        <v>95.47212923716711</v>
      </c>
      <c r="C77" s="505">
        <f>('Pivot Table for Data Exchange'!$D$154)*100</f>
        <v>3.2544642347107815</v>
      </c>
      <c r="D77" s="506">
        <f t="shared" ref="D77:D78" si="12">SUM(E77:G77)</f>
        <v>1.2734065281221081</v>
      </c>
      <c r="E77" s="505">
        <f>('Pivot Table for Data Exchange'!$D$157)*100</f>
        <v>1.2734065281221081</v>
      </c>
      <c r="F77" s="505">
        <f>('Pivot Table for Data Exchange'!$D$160)*100</f>
        <v>0</v>
      </c>
      <c r="G77" s="515">
        <f>('Pivot Table for Data Exchange'!$D$163)*100</f>
        <v>0</v>
      </c>
      <c r="H77" s="505">
        <f>('Pivot Table for Data Exchange'!$D$166)*100</f>
        <v>0</v>
      </c>
      <c r="I77" s="514" t="s">
        <v>898</v>
      </c>
      <c r="J77" s="505">
        <f>('Pivot Table for Data Exchange'!$D$169)*100</f>
        <v>87.96563353081909</v>
      </c>
      <c r="K77" s="505">
        <f>('Pivot Table for Data Exchange'!$D$172)*100</f>
        <v>0.96415642594463813</v>
      </c>
      <c r="L77" s="506">
        <f t="shared" ref="L77:L78" si="13">SUM(M77:O77)</f>
        <v>11.070210043236278</v>
      </c>
      <c r="M77" s="505">
        <f>('Pivot Table for Data Exchange'!$D$175)*100</f>
        <v>11.070210043236278</v>
      </c>
      <c r="N77" s="505">
        <f>('Pivot Table for Data Exchange'!$D$178)*100</f>
        <v>0</v>
      </c>
      <c r="O77" s="515">
        <f>('Pivot Table for Data Exchange'!$D$181)*100</f>
        <v>0</v>
      </c>
      <c r="P77" s="505">
        <f>('Pivot Table for Data Exchange'!$D$184)*100</f>
        <v>0</v>
      </c>
      <c r="Q77" s="510">
        <f t="shared" si="4"/>
        <v>100</v>
      </c>
      <c r="R77" s="510">
        <f t="shared" si="5"/>
        <v>100</v>
      </c>
      <c r="S77" s="568"/>
      <c r="T77" s="568"/>
      <c r="U77" s="568"/>
      <c r="V77" s="568"/>
      <c r="W77" s="568"/>
      <c r="X77" s="568"/>
      <c r="Y77" s="568"/>
      <c r="Z77" s="568"/>
      <c r="AA77" s="568"/>
      <c r="AB77" s="568"/>
      <c r="AC77" s="568"/>
      <c r="AD77" s="568"/>
      <c r="AE77" s="568"/>
      <c r="AF77" s="568"/>
      <c r="AG77" s="568"/>
      <c r="AH77" s="568"/>
      <c r="AI77" s="568"/>
      <c r="AJ77" s="568"/>
      <c r="AK77" s="568"/>
      <c r="AL77" s="568"/>
      <c r="AM77" s="568"/>
      <c r="AN77" s="568"/>
      <c r="AO77" s="568"/>
    </row>
    <row r="78" spans="1:41" ht="15.75" customHeight="1">
      <c r="A78" s="512" t="s">
        <v>899</v>
      </c>
      <c r="B78" s="505">
        <f>('Pivot Table for Data Exchange'!$D$187)*100</f>
        <v>0</v>
      </c>
      <c r="C78" s="505">
        <f>('Pivot Table for Data Exchange'!$D$190)*100</f>
        <v>0</v>
      </c>
      <c r="D78" s="506">
        <f t="shared" si="12"/>
        <v>0</v>
      </c>
      <c r="E78" s="505">
        <f>('Pivot Table for Data Exchange'!$D$193)*100</f>
        <v>0</v>
      </c>
      <c r="F78" s="505">
        <f>('Pivot Table for Data Exchange'!$D$196)*100</f>
        <v>0</v>
      </c>
      <c r="G78" s="515">
        <f>('Pivot Table for Data Exchange'!$D$199)*100</f>
        <v>0</v>
      </c>
      <c r="H78" s="505">
        <f>('Pivot Table for Data Exchange'!$D$202)*100</f>
        <v>0</v>
      </c>
      <c r="I78" s="514" t="s">
        <v>899</v>
      </c>
      <c r="J78" s="505">
        <f>('Pivot Table for Data Exchange'!$D$205)*100</f>
        <v>0</v>
      </c>
      <c r="K78" s="505">
        <f>('Pivot Table for Data Exchange'!$D$208)*100</f>
        <v>0</v>
      </c>
      <c r="L78" s="506">
        <f t="shared" si="13"/>
        <v>0</v>
      </c>
      <c r="M78" s="505">
        <f>('Pivot Table for Data Exchange'!$D$211)*100</f>
        <v>0</v>
      </c>
      <c r="N78" s="505">
        <f>('Pivot Table for Data Exchange'!$D$214)*100</f>
        <v>0</v>
      </c>
      <c r="O78" s="515">
        <f>('Pivot Table for Data Exchange'!$D$217)*100</f>
        <v>0</v>
      </c>
      <c r="P78" s="505">
        <f>('Pivot Table for Data Exchange'!$D$220)*100</f>
        <v>0</v>
      </c>
      <c r="Q78" s="510">
        <f t="shared" si="4"/>
        <v>0</v>
      </c>
      <c r="R78" s="510">
        <f t="shared" si="5"/>
        <v>0</v>
      </c>
      <c r="S78" s="568"/>
      <c r="T78" s="568"/>
      <c r="U78" s="568"/>
      <c r="V78" s="568"/>
      <c r="W78" s="568"/>
      <c r="X78" s="568"/>
      <c r="Y78" s="568"/>
      <c r="Z78" s="568"/>
      <c r="AA78" s="568"/>
      <c r="AB78" s="568"/>
      <c r="AC78" s="568"/>
      <c r="AD78" s="568"/>
      <c r="AE78" s="568"/>
      <c r="AF78" s="568"/>
      <c r="AG78" s="568"/>
      <c r="AH78" s="568"/>
      <c r="AI78" s="568"/>
      <c r="AJ78" s="568"/>
      <c r="AK78" s="568"/>
      <c r="AL78" s="568"/>
      <c r="AM78" s="568"/>
      <c r="AN78" s="568"/>
      <c r="AO78" s="568"/>
    </row>
    <row r="79" spans="1:41" ht="15.75" customHeight="1">
      <c r="A79" s="512" t="s">
        <v>900</v>
      </c>
      <c r="B79" s="505">
        <f>('Pivot Table for Data Exchange'!$D$223)*100</f>
        <v>89.944207906532498</v>
      </c>
      <c r="C79" s="505">
        <f>('Pivot Table for Data Exchange'!$D$226)*100</f>
        <v>0</v>
      </c>
      <c r="D79" s="506">
        <f>SUM(E79:G79)</f>
        <v>10.055792093467476</v>
      </c>
      <c r="E79" s="505">
        <f>('Pivot Table for Data Exchange'!$D$229)*100</f>
        <v>10.055792093467476</v>
      </c>
      <c r="F79" s="505">
        <f>('Pivot Table for Data Exchange'!$D$232)*100</f>
        <v>0</v>
      </c>
      <c r="G79" s="515">
        <f>('Pivot Table for Data Exchange'!$D$235)*100</f>
        <v>0</v>
      </c>
      <c r="H79" s="505">
        <f>('Pivot Table for Data Exchange'!$D$238)*100</f>
        <v>0</v>
      </c>
      <c r="I79" s="514" t="s">
        <v>900</v>
      </c>
      <c r="J79" s="505">
        <f>('Pivot Table for Data Exchange'!$D$241)*100</f>
        <v>85.071515494325141</v>
      </c>
      <c r="K79" s="505">
        <f>('Pivot Table for Data Exchange'!$D$244)*100</f>
        <v>0</v>
      </c>
      <c r="L79" s="506">
        <f>SUM(M79:O79)</f>
        <v>14.928484505674867</v>
      </c>
      <c r="M79" s="505">
        <f>('Pivot Table for Data Exchange'!$D$247)*100</f>
        <v>14.928484505674867</v>
      </c>
      <c r="N79" s="505">
        <f>('Pivot Table for Data Exchange'!$D$250)*100</f>
        <v>0</v>
      </c>
      <c r="O79" s="515">
        <f>('Pivot Table for Data Exchange'!$D$253)*100</f>
        <v>0</v>
      </c>
      <c r="P79" s="505">
        <f>('Pivot Table for Data Exchange'!$D$256)*100</f>
        <v>0</v>
      </c>
      <c r="Q79" s="510">
        <f t="shared" si="4"/>
        <v>99.999999999999972</v>
      </c>
      <c r="R79" s="510">
        <f t="shared" si="5"/>
        <v>100</v>
      </c>
      <c r="S79" s="568"/>
      <c r="T79" s="573"/>
      <c r="U79" s="568"/>
      <c r="V79" s="568"/>
      <c r="W79" s="568"/>
      <c r="X79" s="568"/>
      <c r="Y79" s="568"/>
      <c r="Z79" s="568"/>
      <c r="AA79" s="568"/>
      <c r="AB79" s="568"/>
      <c r="AC79" s="568"/>
      <c r="AD79" s="568"/>
      <c r="AE79" s="568"/>
      <c r="AF79" s="568"/>
      <c r="AG79" s="568"/>
      <c r="AH79" s="568"/>
      <c r="AI79" s="568"/>
      <c r="AJ79" s="568"/>
      <c r="AK79" s="568"/>
      <c r="AL79" s="568"/>
      <c r="AM79" s="568"/>
      <c r="AN79" s="568"/>
      <c r="AO79" s="568"/>
    </row>
    <row r="80" spans="1:41" ht="15.75" customHeight="1">
      <c r="A80" s="512" t="s">
        <v>901</v>
      </c>
      <c r="B80" s="505">
        <f>('Pivot Table for Data Exchange'!$D$259)*100</f>
        <v>87.667822990803828</v>
      </c>
      <c r="C80" s="505">
        <f>('Pivot Table for Data Exchange'!$D$262)*100</f>
        <v>1.4668456247535675</v>
      </c>
      <c r="D80" s="506">
        <f>SUM(E80:G80)</f>
        <v>10.865331384442594</v>
      </c>
      <c r="E80" s="505">
        <f>('Pivot Table for Data Exchange'!$D$265)*100</f>
        <v>10.865331384442594</v>
      </c>
      <c r="F80" s="505">
        <f>('Pivot Table for Data Exchange'!$D$268)*100</f>
        <v>0</v>
      </c>
      <c r="G80" s="515">
        <f>('Pivot Table for Data Exchange'!$D$271)*100</f>
        <v>0</v>
      </c>
      <c r="H80" s="505">
        <f>('Pivot Table for Data Exchange'!$D$274)*100</f>
        <v>0</v>
      </c>
      <c r="I80" s="514" t="s">
        <v>901</v>
      </c>
      <c r="J80" s="505">
        <f>('Pivot Table for Data Exchange'!$D$277)*100</f>
        <v>73.138311434447829</v>
      </c>
      <c r="K80" s="505">
        <f>('Pivot Table for Data Exchange'!$D$280)*100</f>
        <v>5.8625554554571568</v>
      </c>
      <c r="L80" s="506">
        <f>SUM(M80:O80)</f>
        <v>20.999133110095016</v>
      </c>
      <c r="M80" s="505">
        <f>('Pivot Table for Data Exchange'!$D$283)*100</f>
        <v>20.999133110095016</v>
      </c>
      <c r="N80" s="505">
        <f>('Pivot Table for Data Exchange'!$D$286)*100</f>
        <v>0</v>
      </c>
      <c r="O80" s="515">
        <f>('Pivot Table for Data Exchange'!$D$289)*100</f>
        <v>0</v>
      </c>
      <c r="P80" s="505">
        <f>('Pivot Table for Data Exchange'!$D$292)*100</f>
        <v>0</v>
      </c>
      <c r="Q80" s="510">
        <f t="shared" si="4"/>
        <v>100</v>
      </c>
      <c r="R80" s="510">
        <f t="shared" si="5"/>
        <v>100</v>
      </c>
      <c r="S80" s="568"/>
      <c r="U80" s="568"/>
      <c r="V80" s="568"/>
      <c r="W80" s="568"/>
      <c r="X80" s="568"/>
      <c r="Y80" s="568"/>
      <c r="Z80" s="568"/>
      <c r="AA80" s="568"/>
      <c r="AB80" s="568"/>
      <c r="AC80" s="568"/>
      <c r="AD80" s="568"/>
      <c r="AE80" s="568"/>
      <c r="AF80" s="568"/>
      <c r="AG80" s="568"/>
      <c r="AH80" s="568"/>
      <c r="AI80" s="568"/>
      <c r="AJ80" s="568"/>
      <c r="AK80" s="568"/>
      <c r="AL80" s="568"/>
      <c r="AM80" s="568"/>
      <c r="AN80" s="568"/>
      <c r="AO80" s="568"/>
    </row>
    <row r="81" spans="1:41" ht="8.25" customHeight="1">
      <c r="A81" s="512"/>
      <c r="B81" s="505"/>
      <c r="C81" s="505"/>
      <c r="D81" s="506"/>
      <c r="E81" s="505"/>
      <c r="F81" s="505"/>
      <c r="G81" s="515"/>
      <c r="H81" s="505"/>
      <c r="I81" s="514"/>
      <c r="J81" s="505"/>
      <c r="K81" s="505"/>
      <c r="L81" s="506"/>
      <c r="M81" s="505"/>
      <c r="N81" s="505"/>
      <c r="O81" s="515"/>
      <c r="P81" s="505"/>
      <c r="Q81" s="510">
        <f t="shared" si="4"/>
        <v>0</v>
      </c>
      <c r="R81" s="510">
        <f t="shared" si="5"/>
        <v>0</v>
      </c>
      <c r="S81" s="568"/>
      <c r="U81" s="568"/>
      <c r="V81" s="568"/>
      <c r="W81" s="568"/>
      <c r="X81" s="568"/>
      <c r="Y81" s="568"/>
      <c r="Z81" s="568"/>
      <c r="AA81" s="568"/>
      <c r="AB81" s="568"/>
      <c r="AC81" s="568"/>
      <c r="AD81" s="568"/>
      <c r="AE81" s="568"/>
      <c r="AF81" s="568"/>
      <c r="AG81" s="568"/>
      <c r="AH81" s="568"/>
      <c r="AI81" s="568"/>
      <c r="AJ81" s="568"/>
      <c r="AK81" s="568"/>
      <c r="AL81" s="568"/>
      <c r="AM81" s="568"/>
      <c r="AN81" s="568"/>
      <c r="AO81" s="568"/>
    </row>
    <row r="82" spans="1:41" ht="15.75" customHeight="1">
      <c r="A82" s="512" t="s">
        <v>902</v>
      </c>
      <c r="B82" s="505">
        <f>('Pivot Table for Data Exchange'!$D$295)*100</f>
        <v>81.548423199465645</v>
      </c>
      <c r="C82" s="505">
        <f>('Pivot Table for Data Exchange'!$D$298)*100</f>
        <v>6.2783996225498999</v>
      </c>
      <c r="D82" s="506">
        <f>SUM(E82:G82)</f>
        <v>12.010237236714154</v>
      </c>
      <c r="E82" s="505">
        <f>('Pivot Table for Data Exchange'!$D$301)*100</f>
        <v>10.400588119922698</v>
      </c>
      <c r="F82" s="505">
        <f>('Pivot Table for Data Exchange'!$D$304)*100</f>
        <v>1.6096491167914548</v>
      </c>
      <c r="G82" s="515">
        <f>('Pivot Table for Data Exchange'!$D$307)*100</f>
        <v>0</v>
      </c>
      <c r="H82" s="505">
        <f>('Pivot Table for Data Exchange'!$D$310)*100</f>
        <v>0.16293994127030062</v>
      </c>
      <c r="I82" s="514" t="s">
        <v>902</v>
      </c>
      <c r="J82" s="505">
        <f>('Pivot Table for Data Exchange'!$D$313)*100</f>
        <v>70.260163416712615</v>
      </c>
      <c r="K82" s="505">
        <f>('Pivot Table for Data Exchange'!$D$316)*100</f>
        <v>9.2355506541681294</v>
      </c>
      <c r="L82" s="506">
        <f>SUM(M82:O82)</f>
        <v>20.483232242217653</v>
      </c>
      <c r="M82" s="505">
        <f>('Pivot Table for Data Exchange'!$D$319)*100</f>
        <v>19.710261165973229</v>
      </c>
      <c r="N82" s="505">
        <f>('Pivot Table for Data Exchange'!$D$322)*100</f>
        <v>0.77297107624442329</v>
      </c>
      <c r="O82" s="515">
        <f>('Pivot Table for Data Exchange'!$D$325)*100</f>
        <v>0</v>
      </c>
      <c r="P82" s="519">
        <f>('Pivot Table for Data Exchange'!$D$328)*100</f>
        <v>2.1053686901599079E-2</v>
      </c>
      <c r="Q82" s="510">
        <f t="shared" si="4"/>
        <v>99.999999999999986</v>
      </c>
      <c r="R82" s="510">
        <f t="shared" si="5"/>
        <v>100</v>
      </c>
      <c r="S82" s="568"/>
      <c r="T82" s="568"/>
      <c r="U82" s="568"/>
      <c r="V82" s="568"/>
      <c r="W82" s="568"/>
      <c r="X82" s="568"/>
      <c r="Y82" s="568"/>
      <c r="Z82" s="568"/>
      <c r="AA82" s="568"/>
      <c r="AB82" s="568"/>
      <c r="AC82" s="568"/>
      <c r="AD82" s="568"/>
      <c r="AE82" s="568"/>
      <c r="AF82" s="568"/>
      <c r="AG82" s="568"/>
      <c r="AH82" s="568"/>
      <c r="AI82" s="568"/>
      <c r="AJ82" s="568"/>
      <c r="AK82" s="568"/>
      <c r="AL82" s="568"/>
      <c r="AM82" s="568"/>
      <c r="AN82" s="568"/>
      <c r="AO82" s="568"/>
    </row>
    <row r="83" spans="1:41" ht="15.75" customHeight="1">
      <c r="A83" s="512" t="s">
        <v>903</v>
      </c>
      <c r="B83" s="505">
        <f>('Pivot Table for Data Exchange'!$D$331)*100</f>
        <v>78.964059861446984</v>
      </c>
      <c r="C83" s="505">
        <f>('Pivot Table for Data Exchange'!$D$334)*100</f>
        <v>0.44213697441203015</v>
      </c>
      <c r="D83" s="506">
        <f>SUM(E83:G83)</f>
        <v>20.593803164140994</v>
      </c>
      <c r="E83" s="505">
        <f>('Pivot Table for Data Exchange'!$D$337)*100</f>
        <v>20.591444680991568</v>
      </c>
      <c r="F83" s="519">
        <f>('Pivot Table for Data Exchange'!$D$340)*100</f>
        <v>2.3584831494240584E-3</v>
      </c>
      <c r="G83" s="515">
        <f>('Pivot Table for Data Exchange'!$D$343)*100</f>
        <v>0</v>
      </c>
      <c r="H83" s="505">
        <f>('Pivot Table for Data Exchange'!$D$346)*100</f>
        <v>0</v>
      </c>
      <c r="I83" s="514" t="s">
        <v>903</v>
      </c>
      <c r="J83" s="505">
        <f>('Pivot Table for Data Exchange'!$D$349)*100</f>
        <v>42.564528320590824</v>
      </c>
      <c r="K83" s="505">
        <f>('Pivot Table for Data Exchange'!$D$352)*100</f>
        <v>5.3506152340119701</v>
      </c>
      <c r="L83" s="506">
        <f>SUM(M83:O83)</f>
        <v>52.084856445397214</v>
      </c>
      <c r="M83" s="505">
        <f>('Pivot Table for Data Exchange'!$D$355)*100</f>
        <v>52.082378161361078</v>
      </c>
      <c r="N83" s="519">
        <f>('Pivot Table for Data Exchange'!$D$358)*100</f>
        <v>2.4782840361333813E-3</v>
      </c>
      <c r="O83" s="515">
        <f>('Pivot Table for Data Exchange'!$D$361)*100</f>
        <v>0</v>
      </c>
      <c r="P83" s="505">
        <f>('Pivot Table for Data Exchange'!$D$364)*100</f>
        <v>0</v>
      </c>
      <c r="Q83" s="510">
        <f t="shared" si="4"/>
        <v>100.00000000000001</v>
      </c>
      <c r="R83" s="510">
        <f t="shared" si="5"/>
        <v>100</v>
      </c>
      <c r="S83" s="568"/>
      <c r="T83" s="568"/>
      <c r="U83" s="568"/>
      <c r="V83" s="568"/>
      <c r="W83" s="568"/>
      <c r="X83" s="568"/>
      <c r="Y83" s="568"/>
      <c r="Z83" s="568"/>
      <c r="AA83" s="568"/>
      <c r="AB83" s="568"/>
      <c r="AC83" s="568"/>
      <c r="AD83" s="568"/>
      <c r="AE83" s="568"/>
      <c r="AF83" s="568"/>
      <c r="AG83" s="568"/>
      <c r="AH83" s="568"/>
      <c r="AI83" s="568"/>
      <c r="AJ83" s="568"/>
      <c r="AK83" s="568"/>
      <c r="AL83" s="568"/>
      <c r="AM83" s="568"/>
      <c r="AN83" s="568"/>
      <c r="AO83" s="568"/>
    </row>
    <row r="84" spans="1:41" ht="15.75" customHeight="1">
      <c r="A84" s="512" t="s">
        <v>904</v>
      </c>
      <c r="B84" s="505">
        <f>('Pivot Table for Data Exchange'!$D$367)*100</f>
        <v>0</v>
      </c>
      <c r="C84" s="505">
        <f>('Pivot Table for Data Exchange'!$D$370)*100</f>
        <v>0</v>
      </c>
      <c r="D84" s="506">
        <f>SUM(E84:G84)</f>
        <v>0</v>
      </c>
      <c r="E84" s="505">
        <f>('Pivot Table for Data Exchange'!$D$373)*100</f>
        <v>0</v>
      </c>
      <c r="F84" s="505">
        <f>('Pivot Table for Data Exchange'!$D$376)*100</f>
        <v>0</v>
      </c>
      <c r="G84" s="515">
        <f>('Pivot Table for Data Exchange'!$D$379)*100</f>
        <v>0</v>
      </c>
      <c r="H84" s="505">
        <f>('Pivot Table for Data Exchange'!$D$382)*100</f>
        <v>0</v>
      </c>
      <c r="I84" s="514" t="s">
        <v>904</v>
      </c>
      <c r="J84" s="505">
        <f>('Pivot Table for Data Exchange'!$D$385)*100</f>
        <v>0</v>
      </c>
      <c r="K84" s="505">
        <f>('Pivot Table for Data Exchange'!$D$388)*100</f>
        <v>0</v>
      </c>
      <c r="L84" s="506">
        <f>SUM(M84:O84)</f>
        <v>0</v>
      </c>
      <c r="M84" s="505">
        <f>('Pivot Table for Data Exchange'!$D$391)*100</f>
        <v>0</v>
      </c>
      <c r="N84" s="505">
        <f>('Pivot Table for Data Exchange'!$D$394)*100</f>
        <v>0</v>
      </c>
      <c r="O84" s="515">
        <f>('Pivot Table for Data Exchange'!$D$397)*100</f>
        <v>0</v>
      </c>
      <c r="P84" s="505">
        <f>('Pivot Table for Data Exchange'!$D$400)*100</f>
        <v>0</v>
      </c>
      <c r="Q84" s="510">
        <f t="shared" si="4"/>
        <v>0</v>
      </c>
      <c r="R84" s="510">
        <f t="shared" si="5"/>
        <v>0</v>
      </c>
      <c r="S84" s="568"/>
      <c r="T84" s="573"/>
      <c r="U84" s="568"/>
      <c r="V84" s="568"/>
      <c r="W84" s="568"/>
      <c r="X84" s="568"/>
      <c r="Y84" s="568"/>
      <c r="Z84" s="568"/>
      <c r="AA84" s="568"/>
      <c r="AB84" s="568"/>
      <c r="AC84" s="568"/>
      <c r="AD84" s="568"/>
      <c r="AE84" s="568"/>
      <c r="AF84" s="568"/>
      <c r="AG84" s="568"/>
      <c r="AH84" s="568"/>
      <c r="AI84" s="568"/>
      <c r="AJ84" s="568"/>
      <c r="AK84" s="568"/>
      <c r="AL84" s="568"/>
      <c r="AM84" s="568"/>
      <c r="AN84" s="568"/>
      <c r="AO84" s="568"/>
    </row>
    <row r="85" spans="1:41" ht="15.75" customHeight="1">
      <c r="A85" s="512" t="s">
        <v>905</v>
      </c>
      <c r="B85" s="505">
        <f>('Pivot Table for Data Exchange'!$D$403)*100</f>
        <v>0</v>
      </c>
      <c r="C85" s="505">
        <f>('Pivot Table for Data Exchange'!$D$406)*100</f>
        <v>0</v>
      </c>
      <c r="D85" s="506">
        <f>SUM(E85:G85)</f>
        <v>0</v>
      </c>
      <c r="E85" s="505">
        <f>('Pivot Table for Data Exchange'!$D$409)*100</f>
        <v>0</v>
      </c>
      <c r="F85" s="505">
        <f>('Pivot Table for Data Exchange'!$D$412)*100</f>
        <v>0</v>
      </c>
      <c r="G85" s="515">
        <f>('Pivot Table for Data Exchange'!$D$415)*100</f>
        <v>0</v>
      </c>
      <c r="H85" s="505">
        <f>('Pivot Table for Data Exchange'!$D$418)*100</f>
        <v>0</v>
      </c>
      <c r="I85" s="514" t="s">
        <v>905</v>
      </c>
      <c r="J85" s="505">
        <f>('Pivot Table for Data Exchange'!$D$421)*100</f>
        <v>0</v>
      </c>
      <c r="K85" s="505">
        <f>('Pivot Table for Data Exchange'!$D$424)*100</f>
        <v>0</v>
      </c>
      <c r="L85" s="506">
        <f>SUM(M85:O85)</f>
        <v>0</v>
      </c>
      <c r="M85" s="505">
        <f>('Pivot Table for Data Exchange'!$D$427)*100</f>
        <v>0</v>
      </c>
      <c r="N85" s="505">
        <f>('Pivot Table for Data Exchange'!$D$430)*100</f>
        <v>0</v>
      </c>
      <c r="O85" s="515">
        <f>('Pivot Table for Data Exchange'!$D$433)*100</f>
        <v>0</v>
      </c>
      <c r="P85" s="505">
        <f>('Pivot Table for Data Exchange'!$D$436)*100</f>
        <v>0</v>
      </c>
      <c r="Q85" s="510">
        <f t="shared" si="4"/>
        <v>0</v>
      </c>
      <c r="R85" s="510">
        <f t="shared" si="5"/>
        <v>0</v>
      </c>
      <c r="S85" s="568"/>
      <c r="T85" s="568"/>
      <c r="U85" s="568"/>
      <c r="V85" s="568"/>
      <c r="W85" s="568"/>
      <c r="X85" s="568"/>
      <c r="Y85" s="568"/>
      <c r="Z85" s="568"/>
      <c r="AA85" s="568"/>
      <c r="AB85" s="568"/>
      <c r="AC85" s="568"/>
      <c r="AD85" s="568"/>
      <c r="AE85" s="568"/>
      <c r="AF85" s="568"/>
      <c r="AG85" s="568"/>
      <c r="AH85" s="568"/>
      <c r="AI85" s="568"/>
      <c r="AJ85" s="568"/>
      <c r="AK85" s="568"/>
      <c r="AL85" s="568"/>
      <c r="AM85" s="568"/>
      <c r="AN85" s="568"/>
      <c r="AO85" s="568"/>
    </row>
    <row r="86" spans="1:41" ht="8.25" customHeight="1">
      <c r="A86" s="512"/>
      <c r="B86" s="505"/>
      <c r="C86" s="505"/>
      <c r="D86" s="506"/>
      <c r="E86" s="505"/>
      <c r="F86" s="505"/>
      <c r="G86" s="515"/>
      <c r="H86" s="505"/>
      <c r="I86" s="514"/>
      <c r="J86" s="505"/>
      <c r="K86" s="505"/>
      <c r="L86" s="506"/>
      <c r="M86" s="505"/>
      <c r="N86" s="505"/>
      <c r="O86" s="515"/>
      <c r="P86" s="505"/>
      <c r="Q86" s="510">
        <f t="shared" si="4"/>
        <v>0</v>
      </c>
      <c r="R86" s="510">
        <f t="shared" si="5"/>
        <v>0</v>
      </c>
      <c r="S86" s="568"/>
      <c r="T86" s="568"/>
      <c r="U86" s="568"/>
      <c r="V86" s="568"/>
      <c r="W86" s="568"/>
      <c r="X86" s="568"/>
      <c r="Y86" s="568"/>
      <c r="Z86" s="568"/>
      <c r="AA86" s="568"/>
      <c r="AB86" s="568"/>
      <c r="AC86" s="568"/>
      <c r="AD86" s="568"/>
      <c r="AE86" s="568"/>
      <c r="AF86" s="568"/>
      <c r="AG86" s="568"/>
      <c r="AH86" s="568"/>
      <c r="AI86" s="568"/>
      <c r="AJ86" s="568"/>
      <c r="AK86" s="568"/>
      <c r="AL86" s="568"/>
      <c r="AM86" s="568"/>
      <c r="AN86" s="568"/>
      <c r="AO86" s="568"/>
    </row>
    <row r="87" spans="1:41" ht="15.75" customHeight="1">
      <c r="A87" s="512" t="s">
        <v>906</v>
      </c>
      <c r="B87" s="505">
        <f>('Pivot Table for Data Exchange'!$D$439)*100</f>
        <v>72.221789468505548</v>
      </c>
      <c r="C87" s="505">
        <f>('Pivot Table for Data Exchange'!$D$442)*100</f>
        <v>5.7948228078518831</v>
      </c>
      <c r="D87" s="506">
        <f>SUM(E87:G87)</f>
        <v>21.525443185358895</v>
      </c>
      <c r="E87" s="505">
        <f>('Pivot Table for Data Exchange'!$D$445)*100</f>
        <v>16.512241919349286</v>
      </c>
      <c r="F87" s="505">
        <f>('Pivot Table for Data Exchange'!$D$448)*100</f>
        <v>1.3279161678610669</v>
      </c>
      <c r="G87" s="515">
        <f>('Pivot Table for Data Exchange'!$D$451)*100</f>
        <v>3.6852850981485425</v>
      </c>
      <c r="H87" s="505">
        <f>('Pivot Table for Data Exchange'!$D$454)*100</f>
        <v>0.45794453828367143</v>
      </c>
      <c r="I87" s="514" t="s">
        <v>906</v>
      </c>
      <c r="J87" s="505">
        <f>('Pivot Table for Data Exchange'!$D$457)*100</f>
        <v>45.519697437935044</v>
      </c>
      <c r="K87" s="505">
        <f>('Pivot Table for Data Exchange'!$D$460)*100</f>
        <v>9.0680323164540191</v>
      </c>
      <c r="L87" s="506">
        <f>SUM(M87:O87)</f>
        <v>40.608950303886516</v>
      </c>
      <c r="M87" s="505">
        <f>('Pivot Table for Data Exchange'!$D$463)*100</f>
        <v>37.786411195973692</v>
      </c>
      <c r="N87" s="505">
        <f>('Pivot Table for Data Exchange'!$D$466)*100</f>
        <v>0.37967418657012936</v>
      </c>
      <c r="O87" s="515">
        <f>('Pivot Table for Data Exchange'!$D$469)*100</f>
        <v>2.442864921342693</v>
      </c>
      <c r="P87" s="505">
        <f>('Pivot Table for Data Exchange'!$D$472)*100</f>
        <v>4.8033199417244274</v>
      </c>
      <c r="Q87" s="510">
        <f t="shared" si="4"/>
        <v>100</v>
      </c>
      <c r="R87" s="510">
        <f t="shared" si="5"/>
        <v>100</v>
      </c>
      <c r="S87" s="568"/>
      <c r="T87" s="568"/>
      <c r="U87" s="568"/>
      <c r="V87" s="568"/>
      <c r="W87" s="568"/>
      <c r="X87" s="568"/>
      <c r="Y87" s="568"/>
      <c r="Z87" s="568"/>
      <c r="AA87" s="568"/>
      <c r="AB87" s="568"/>
      <c r="AC87" s="568"/>
      <c r="AD87" s="568"/>
      <c r="AE87" s="568"/>
      <c r="AF87" s="568"/>
      <c r="AG87" s="568"/>
      <c r="AH87" s="568"/>
      <c r="AI87" s="568"/>
      <c r="AJ87" s="568"/>
      <c r="AK87" s="568"/>
      <c r="AL87" s="568"/>
      <c r="AM87" s="568"/>
      <c r="AN87" s="568"/>
      <c r="AO87" s="568"/>
    </row>
    <row r="88" spans="1:41" ht="15.75" customHeight="1">
      <c r="A88" s="512" t="s">
        <v>907</v>
      </c>
      <c r="B88" s="505">
        <f>('Pivot Table for Data Exchange'!$D$475)*100</f>
        <v>84.479127733243317</v>
      </c>
      <c r="C88" s="505">
        <f>('Pivot Table for Data Exchange'!$D$478)*100</f>
        <v>2.0159999600656171</v>
      </c>
      <c r="D88" s="506">
        <f>SUM(E88:G88)</f>
        <v>13.504872306691068</v>
      </c>
      <c r="E88" s="505">
        <f>('Pivot Table for Data Exchange'!$D$481)*100</f>
        <v>13.417453446805219</v>
      </c>
      <c r="F88" s="505">
        <f>('Pivot Table for Data Exchange'!$D$484)*100</f>
        <v>3.2945865824217581E-2</v>
      </c>
      <c r="G88" s="513">
        <f>('Pivot Table for Data Exchange'!$D$487)*100</f>
        <v>5.4472994061632481E-2</v>
      </c>
      <c r="H88" s="505">
        <f>('Pivot Table for Data Exchange'!$D$490)*100</f>
        <v>0</v>
      </c>
      <c r="I88" s="514" t="s">
        <v>907</v>
      </c>
      <c r="J88" s="505">
        <f>('Pivot Table for Data Exchange'!$D$493)*100</f>
        <v>61.022301340943045</v>
      </c>
      <c r="K88" s="505">
        <f>('Pivot Table for Data Exchange'!$D$496)*100</f>
        <v>4.197268018642597</v>
      </c>
      <c r="L88" s="506">
        <f>SUM(M88:O88)</f>
        <v>34.780430640414359</v>
      </c>
      <c r="M88" s="505">
        <f>('Pivot Table for Data Exchange'!$D$499)*100</f>
        <v>33.619293835598057</v>
      </c>
      <c r="N88" s="505">
        <f>('Pivot Table for Data Exchange'!$D$502)*100</f>
        <v>0.99922173419091675</v>
      </c>
      <c r="O88" s="513">
        <f>('Pivot Table for Data Exchange'!$D$505)*100</f>
        <v>0.16191507062538579</v>
      </c>
      <c r="P88" s="505">
        <f>('Pivot Table for Data Exchange'!$D$508)*100</f>
        <v>0</v>
      </c>
      <c r="Q88" s="510">
        <f t="shared" si="4"/>
        <v>100</v>
      </c>
      <c r="R88" s="510">
        <f t="shared" si="5"/>
        <v>100</v>
      </c>
      <c r="S88" s="568"/>
      <c r="T88" s="568"/>
      <c r="U88" s="568"/>
      <c r="V88" s="568"/>
      <c r="W88" s="568"/>
      <c r="X88" s="568"/>
      <c r="Y88" s="568"/>
      <c r="Z88" s="568"/>
      <c r="AA88" s="568"/>
      <c r="AB88" s="568"/>
      <c r="AC88" s="568"/>
      <c r="AD88" s="568"/>
      <c r="AE88" s="568"/>
      <c r="AF88" s="568"/>
      <c r="AG88" s="568"/>
      <c r="AH88" s="568"/>
      <c r="AI88" s="568"/>
      <c r="AJ88" s="568"/>
      <c r="AK88" s="568"/>
      <c r="AL88" s="568"/>
      <c r="AM88" s="568"/>
      <c r="AN88" s="568"/>
      <c r="AO88" s="568"/>
    </row>
    <row r="89" spans="1:41" ht="15.75" customHeight="1">
      <c r="A89" s="512" t="s">
        <v>908</v>
      </c>
      <c r="B89" s="505">
        <f>('Pivot Table for Data Exchange'!$D$511)*100</f>
        <v>97.344116554949565</v>
      </c>
      <c r="C89" s="505">
        <f>('Pivot Table for Data Exchange'!$D$514)*100</f>
        <v>2.4138833978309071</v>
      </c>
      <c r="D89" s="506">
        <f>SUM(E89:G89)</f>
        <v>0.2420000472195214</v>
      </c>
      <c r="E89" s="505">
        <f>('Pivot Table for Data Exchange'!$D$517)*100</f>
        <v>0.21248784633909196</v>
      </c>
      <c r="F89" s="505">
        <f>('Pivot Table for Data Exchange'!$D$520)*100</f>
        <v>2.951220088042944E-2</v>
      </c>
      <c r="G89" s="515">
        <f>('Pivot Table for Data Exchange'!$D$523)*100</f>
        <v>0</v>
      </c>
      <c r="H89" s="505">
        <f>('Pivot Table for Data Exchange'!$D$526)*100</f>
        <v>0</v>
      </c>
      <c r="I89" s="514" t="s">
        <v>908</v>
      </c>
      <c r="J89" s="505">
        <f>('Pivot Table for Data Exchange'!$D$529)*100</f>
        <v>86.807558772217703</v>
      </c>
      <c r="K89" s="505">
        <f>('Pivot Table for Data Exchange'!$D$532)*100</f>
        <v>9.0330437185842847</v>
      </c>
      <c r="L89" s="506">
        <f>SUM(M89:O89)</f>
        <v>4.1593975091980031</v>
      </c>
      <c r="M89" s="505">
        <f>('Pivot Table for Data Exchange'!$D$535)*100</f>
        <v>4.1593975091980031</v>
      </c>
      <c r="N89" s="505">
        <f>('Pivot Table for Data Exchange'!$D$538)*100</f>
        <v>0</v>
      </c>
      <c r="O89" s="515">
        <f>('Pivot Table for Data Exchange'!$D$541)*100</f>
        <v>0</v>
      </c>
      <c r="P89" s="505">
        <f>('Pivot Table for Data Exchange'!$D$544)*100</f>
        <v>0</v>
      </c>
      <c r="Q89" s="510">
        <f t="shared" si="4"/>
        <v>99.999999999999986</v>
      </c>
      <c r="R89" s="510">
        <f t="shared" si="5"/>
        <v>99.999999999999986</v>
      </c>
      <c r="S89" s="568"/>
      <c r="T89" s="568"/>
      <c r="U89" s="568"/>
      <c r="V89" s="568"/>
      <c r="W89" s="568"/>
      <c r="X89" s="568"/>
      <c r="Y89" s="568"/>
      <c r="Z89" s="568"/>
      <c r="AA89" s="568"/>
      <c r="AB89" s="568"/>
      <c r="AC89" s="568"/>
      <c r="AD89" s="568"/>
      <c r="AE89" s="568"/>
      <c r="AF89" s="568"/>
      <c r="AG89" s="568"/>
      <c r="AH89" s="568"/>
      <c r="AI89" s="568"/>
      <c r="AJ89" s="568"/>
      <c r="AK89" s="568"/>
      <c r="AL89" s="568"/>
      <c r="AM89" s="568"/>
      <c r="AN89" s="568"/>
      <c r="AO89" s="568"/>
    </row>
    <row r="90" spans="1:41" ht="15.75" customHeight="1">
      <c r="A90" s="484" t="s">
        <v>909</v>
      </c>
      <c r="B90" s="520">
        <f>('Pivot Table for Data Exchange'!$D$547)*100</f>
        <v>0</v>
      </c>
      <c r="C90" s="520">
        <f>('Pivot Table for Data Exchange'!$D$550)*100</f>
        <v>0</v>
      </c>
      <c r="D90" s="521">
        <f>SUM(E90:G90)</f>
        <v>0</v>
      </c>
      <c r="E90" s="520">
        <f>('Pivot Table for Data Exchange'!$D$553)*100</f>
        <v>0</v>
      </c>
      <c r="F90" s="520">
        <f>('Pivot Table for Data Exchange'!$D$556)*100</f>
        <v>0</v>
      </c>
      <c r="G90" s="522">
        <f>('Pivot Table for Data Exchange'!$D$559)*100</f>
        <v>0</v>
      </c>
      <c r="H90" s="520">
        <f>('Pivot Table for Data Exchange'!$D$562)*100</f>
        <v>0</v>
      </c>
      <c r="I90" s="523" t="s">
        <v>909</v>
      </c>
      <c r="J90" s="520">
        <f>('Pivot Table for Data Exchange'!$D$565)*100</f>
        <v>0</v>
      </c>
      <c r="K90" s="520">
        <f>('Pivot Table for Data Exchange'!$D$568)*100</f>
        <v>0</v>
      </c>
      <c r="L90" s="521">
        <f>SUM(M90:O90)</f>
        <v>0</v>
      </c>
      <c r="M90" s="520">
        <f>('Pivot Table for Data Exchange'!$D$571)*100</f>
        <v>0</v>
      </c>
      <c r="N90" s="520">
        <f>('Pivot Table for Data Exchange'!$D$574)*100</f>
        <v>0</v>
      </c>
      <c r="O90" s="522">
        <f>('Pivot Table for Data Exchange'!$D$577)*100</f>
        <v>0</v>
      </c>
      <c r="P90" s="520">
        <f>('Pivot Table for Data Exchange'!$D$580)*100</f>
        <v>0</v>
      </c>
      <c r="Q90" s="510">
        <f t="shared" si="4"/>
        <v>0</v>
      </c>
      <c r="R90" s="510">
        <f t="shared" si="5"/>
        <v>0</v>
      </c>
      <c r="S90" s="568"/>
      <c r="T90" s="568"/>
      <c r="U90" s="568"/>
      <c r="V90" s="568"/>
      <c r="W90" s="568"/>
      <c r="X90" s="568"/>
      <c r="Y90" s="568"/>
      <c r="Z90" s="568"/>
      <c r="AA90" s="568"/>
      <c r="AB90" s="568"/>
      <c r="AC90" s="568"/>
      <c r="AD90" s="568"/>
      <c r="AE90" s="568"/>
      <c r="AF90" s="568"/>
      <c r="AG90" s="568"/>
      <c r="AH90" s="568"/>
      <c r="AI90" s="568"/>
      <c r="AJ90" s="568"/>
      <c r="AK90" s="568"/>
      <c r="AL90" s="568"/>
      <c r="AM90" s="568"/>
      <c r="AN90" s="568"/>
      <c r="AO90" s="568"/>
    </row>
    <row r="91" spans="1:41" s="571" customFormat="1" ht="18" customHeight="1">
      <c r="A91" s="525" t="s">
        <v>937</v>
      </c>
      <c r="B91" s="526"/>
      <c r="C91" s="526"/>
      <c r="D91" s="527"/>
      <c r="E91" s="526"/>
      <c r="F91" s="527"/>
      <c r="G91" s="527"/>
      <c r="H91" s="526"/>
      <c r="I91" s="525" t="s">
        <v>937</v>
      </c>
      <c r="J91" s="526"/>
      <c r="K91" s="526"/>
      <c r="L91" s="527"/>
      <c r="M91" s="526"/>
      <c r="N91" s="527"/>
      <c r="O91" s="527"/>
      <c r="P91" s="526"/>
      <c r="Q91" s="510">
        <f t="shared" ref="Q91:Q153" si="14">SUM(B91,C91,D91,H91)</f>
        <v>0</v>
      </c>
      <c r="R91" s="510">
        <f t="shared" ref="R91:R153" si="15">SUM(J91,K91,L91,P91)</f>
        <v>0</v>
      </c>
      <c r="S91" s="572"/>
      <c r="T91" s="572"/>
      <c r="U91" s="572"/>
      <c r="V91" s="572"/>
      <c r="W91" s="572"/>
      <c r="X91" s="572"/>
      <c r="Y91" s="572"/>
      <c r="Z91" s="572"/>
      <c r="AA91" s="572"/>
      <c r="AB91" s="572"/>
      <c r="AC91" s="572"/>
      <c r="AD91" s="572"/>
      <c r="AE91" s="572"/>
      <c r="AF91" s="572"/>
      <c r="AG91" s="572"/>
      <c r="AH91" s="572"/>
      <c r="AI91" s="572"/>
      <c r="AJ91" s="572"/>
      <c r="AK91" s="572"/>
      <c r="AL91" s="572"/>
      <c r="AM91" s="572"/>
      <c r="AN91" s="572"/>
      <c r="AO91" s="572"/>
    </row>
    <row r="92" spans="1:41" s="571" customFormat="1" ht="9.75" customHeight="1">
      <c r="A92" s="542"/>
      <c r="B92" s="543"/>
      <c r="C92" s="543"/>
      <c r="D92" s="543"/>
      <c r="E92" s="543"/>
      <c r="F92" s="543"/>
      <c r="G92" s="545"/>
      <c r="H92" s="545"/>
      <c r="I92" s="542"/>
      <c r="J92" s="543"/>
      <c r="K92" s="543"/>
      <c r="L92" s="543"/>
      <c r="M92" s="543"/>
      <c r="N92" s="543"/>
      <c r="O92" s="543"/>
      <c r="P92" s="545"/>
      <c r="Q92" s="510">
        <f t="shared" si="14"/>
        <v>0</v>
      </c>
      <c r="R92" s="510">
        <f t="shared" si="15"/>
        <v>0</v>
      </c>
      <c r="S92" s="572"/>
      <c r="T92" s="572"/>
      <c r="U92" s="572"/>
      <c r="V92" s="572"/>
      <c r="W92" s="572"/>
      <c r="X92" s="572"/>
      <c r="Y92" s="572"/>
      <c r="Z92" s="572"/>
      <c r="AA92" s="572"/>
      <c r="AB92" s="572"/>
      <c r="AC92" s="572"/>
      <c r="AD92" s="572"/>
      <c r="AE92" s="572"/>
      <c r="AF92" s="572"/>
      <c r="AG92" s="572"/>
      <c r="AH92" s="572"/>
      <c r="AI92" s="572"/>
      <c r="AJ92" s="572"/>
      <c r="AK92" s="572"/>
      <c r="AL92" s="572"/>
      <c r="AM92" s="572"/>
      <c r="AN92" s="572"/>
      <c r="AO92" s="572"/>
    </row>
    <row r="93" spans="1:41" s="571" customFormat="1" ht="13.5" customHeight="1">
      <c r="A93" s="546"/>
      <c r="B93" s="539"/>
      <c r="C93" s="524"/>
      <c r="D93" s="524"/>
      <c r="E93" s="524"/>
      <c r="F93" s="524"/>
      <c r="G93" s="524"/>
      <c r="H93" s="532" t="s">
        <v>1015</v>
      </c>
      <c r="I93" s="546"/>
      <c r="J93" s="524"/>
      <c r="K93" s="524"/>
      <c r="L93" s="524"/>
      <c r="M93" s="524"/>
      <c r="N93" s="524"/>
      <c r="O93" s="524"/>
      <c r="P93" s="532" t="s">
        <v>1015</v>
      </c>
      <c r="Q93" s="510">
        <f t="shared" si="14"/>
        <v>0</v>
      </c>
      <c r="R93" s="510">
        <f t="shared" si="15"/>
        <v>0</v>
      </c>
    </row>
    <row r="94" spans="1:41" ht="18">
      <c r="A94" s="472" t="s">
        <v>941</v>
      </c>
      <c r="B94" s="473"/>
      <c r="C94" s="473"/>
      <c r="D94" s="473"/>
      <c r="E94" s="473"/>
      <c r="F94" s="473"/>
      <c r="G94" s="473"/>
      <c r="H94" s="474"/>
      <c r="I94" s="472" t="s">
        <v>942</v>
      </c>
      <c r="J94" s="475"/>
      <c r="K94" s="475"/>
      <c r="L94" s="473"/>
      <c r="M94" s="475"/>
      <c r="N94" s="475"/>
      <c r="O94" s="475"/>
      <c r="P94" s="475"/>
      <c r="Q94" s="510">
        <f t="shared" si="14"/>
        <v>0</v>
      </c>
      <c r="R94" s="510">
        <f t="shared" si="15"/>
        <v>0</v>
      </c>
    </row>
    <row r="95" spans="1:41">
      <c r="A95" s="479"/>
      <c r="B95" s="475"/>
      <c r="C95" s="475"/>
      <c r="D95" s="475"/>
      <c r="E95" s="475"/>
      <c r="F95" s="475"/>
      <c r="G95" s="475"/>
      <c r="H95" s="480"/>
      <c r="I95" s="479"/>
      <c r="J95" s="475"/>
      <c r="K95" s="475"/>
      <c r="L95" s="475"/>
      <c r="M95" s="475"/>
      <c r="N95" s="475"/>
      <c r="O95" s="475"/>
      <c r="P95" s="475"/>
      <c r="Q95" s="510">
        <f t="shared" si="14"/>
        <v>0</v>
      </c>
      <c r="R95" s="510">
        <f t="shared" si="15"/>
        <v>0</v>
      </c>
    </row>
    <row r="96" spans="1:41" ht="15.75">
      <c r="A96" s="481" t="s">
        <v>917</v>
      </c>
      <c r="B96" s="475"/>
      <c r="C96" s="475"/>
      <c r="D96" s="475"/>
      <c r="E96" s="475"/>
      <c r="F96" s="475"/>
      <c r="G96" s="475"/>
      <c r="H96" s="480"/>
      <c r="I96" s="481" t="s">
        <v>918</v>
      </c>
      <c r="J96" s="475"/>
      <c r="K96" s="475"/>
      <c r="L96" s="475"/>
      <c r="M96" s="475"/>
      <c r="N96" s="475"/>
      <c r="O96" s="475"/>
      <c r="P96" s="475"/>
      <c r="Q96" s="510">
        <f t="shared" si="14"/>
        <v>0</v>
      </c>
      <c r="R96" s="510">
        <f t="shared" si="15"/>
        <v>0</v>
      </c>
    </row>
    <row r="97" spans="1:41" ht="15.75">
      <c r="A97" s="481" t="s">
        <v>1003</v>
      </c>
      <c r="B97" s="475"/>
      <c r="C97" s="475"/>
      <c r="D97" s="475"/>
      <c r="E97" s="475"/>
      <c r="F97" s="475"/>
      <c r="G97" s="475"/>
      <c r="H97" s="480"/>
      <c r="I97" s="481" t="s">
        <v>1003</v>
      </c>
      <c r="J97" s="475"/>
      <c r="K97" s="475"/>
      <c r="L97" s="475"/>
      <c r="M97" s="475"/>
      <c r="N97" s="475"/>
      <c r="O97" s="475"/>
      <c r="P97" s="475"/>
      <c r="Q97" s="510">
        <f t="shared" si="14"/>
        <v>0</v>
      </c>
      <c r="R97" s="510">
        <f t="shared" si="15"/>
        <v>0</v>
      </c>
    </row>
    <row r="98" spans="1:41">
      <c r="A98" s="484"/>
      <c r="B98" s="485"/>
      <c r="C98" s="485"/>
      <c r="D98" s="485"/>
      <c r="E98" s="485"/>
      <c r="F98" s="485"/>
      <c r="G98" s="485"/>
      <c r="H98" s="485"/>
      <c r="I98" s="486"/>
      <c r="L98" s="487"/>
      <c r="P98" s="484"/>
      <c r="Q98" s="510">
        <f t="shared" si="14"/>
        <v>0</v>
      </c>
      <c r="R98" s="510">
        <f t="shared" si="15"/>
        <v>0</v>
      </c>
    </row>
    <row r="99" spans="1:41" s="503" customFormat="1">
      <c r="A99" s="489"/>
      <c r="B99" s="490" t="s">
        <v>919</v>
      </c>
      <c r="C99" s="490"/>
      <c r="D99" s="490"/>
      <c r="E99" s="490"/>
      <c r="F99" s="490"/>
      <c r="G99" s="490"/>
      <c r="H99" s="491"/>
      <c r="I99" s="489"/>
      <c r="J99" s="490" t="s">
        <v>919</v>
      </c>
      <c r="K99" s="490"/>
      <c r="L99" s="490"/>
      <c r="M99" s="490"/>
      <c r="N99" s="490"/>
      <c r="O99" s="490"/>
      <c r="P99" s="491"/>
      <c r="Q99" s="510">
        <f t="shared" si="14"/>
        <v>0</v>
      </c>
      <c r="R99" s="510">
        <f t="shared" si="15"/>
        <v>0</v>
      </c>
    </row>
    <row r="100" spans="1:41" s="503" customFormat="1">
      <c r="A100" s="489"/>
      <c r="B100" s="490" t="s">
        <v>920</v>
      </c>
      <c r="C100" s="490"/>
      <c r="D100" s="659" t="s">
        <v>921</v>
      </c>
      <c r="E100" s="657"/>
      <c r="F100" s="657"/>
      <c r="G100" s="657"/>
      <c r="H100" s="495" t="s">
        <v>320</v>
      </c>
      <c r="I100" s="489"/>
      <c r="J100" s="490" t="s">
        <v>920</v>
      </c>
      <c r="K100" s="490"/>
      <c r="L100" s="659" t="s">
        <v>921</v>
      </c>
      <c r="M100" s="657"/>
      <c r="N100" s="657"/>
      <c r="O100" s="657"/>
      <c r="P100" s="495" t="s">
        <v>320</v>
      </c>
      <c r="Q100" s="510">
        <f t="shared" si="14"/>
        <v>0</v>
      </c>
      <c r="R100" s="510">
        <f t="shared" si="15"/>
        <v>0</v>
      </c>
    </row>
    <row r="101" spans="1:41" s="503" customFormat="1" ht="40.5" customHeight="1">
      <c r="A101" s="489"/>
      <c r="B101" s="496" t="s">
        <v>922</v>
      </c>
      <c r="C101" s="497" t="s">
        <v>923</v>
      </c>
      <c r="D101" s="498" t="s">
        <v>924</v>
      </c>
      <c r="E101" s="499" t="s">
        <v>10</v>
      </c>
      <c r="F101" s="496" t="s">
        <v>925</v>
      </c>
      <c r="G101" s="500" t="s">
        <v>935</v>
      </c>
      <c r="H101" s="501" t="s">
        <v>927</v>
      </c>
      <c r="I101" s="489"/>
      <c r="J101" s="496" t="s">
        <v>922</v>
      </c>
      <c r="K101" s="497" t="s">
        <v>923</v>
      </c>
      <c r="L101" s="498" t="s">
        <v>924</v>
      </c>
      <c r="M101" s="499" t="s">
        <v>10</v>
      </c>
      <c r="N101" s="496" t="s">
        <v>925</v>
      </c>
      <c r="O101" s="500" t="s">
        <v>935</v>
      </c>
      <c r="P101" s="501" t="s">
        <v>927</v>
      </c>
      <c r="Q101" s="510">
        <f t="shared" si="14"/>
        <v>0</v>
      </c>
      <c r="R101" s="510">
        <f t="shared" si="15"/>
        <v>0</v>
      </c>
      <c r="T101" s="502"/>
    </row>
    <row r="102" spans="1:41" ht="15.75" customHeight="1">
      <c r="A102" s="534" t="s">
        <v>894</v>
      </c>
      <c r="B102" s="567">
        <f>('Pivot Table for Data Exchange'!$E$7)*100</f>
        <v>82.067571023892597</v>
      </c>
      <c r="C102" s="505">
        <f>('Pivot Table for Data Exchange'!$E$10)*100</f>
        <v>0.37834368470072721</v>
      </c>
      <c r="D102" s="506">
        <f>SUM(E102:G102)</f>
        <v>17.554085291406675</v>
      </c>
      <c r="E102" s="505">
        <f>('Pivot Table for Data Exchange'!$E$13)*100</f>
        <v>17.397728972729336</v>
      </c>
      <c r="F102" s="505">
        <f>('Pivot Table for Data Exchange'!$E$16)*100</f>
        <v>0.11900453143775427</v>
      </c>
      <c r="G102" s="509">
        <f>('Pivot Table for Data Exchange'!$E$19)*100</f>
        <v>3.7351787239587105E-2</v>
      </c>
      <c r="H102" s="505">
        <f>('Pivot Table for Data Exchange'!$E$22)*100</f>
        <v>0</v>
      </c>
      <c r="I102" s="508" t="s">
        <v>894</v>
      </c>
      <c r="J102" s="505">
        <f>('Pivot Table for Data Exchange'!$E$25)*100</f>
        <v>62.063162249320712</v>
      </c>
      <c r="K102" s="505">
        <f>('Pivot Table for Data Exchange'!$E$28)*100</f>
        <v>1.9744079126747586E-2</v>
      </c>
      <c r="L102" s="506">
        <f>SUM(M102:O102)</f>
        <v>37.917093671552543</v>
      </c>
      <c r="M102" s="505">
        <f>('Pivot Table for Data Exchange'!$E$31)*100</f>
        <v>37.451697520707775</v>
      </c>
      <c r="N102" s="505">
        <f>('Pivot Table for Data Exchange'!$E$34)*100</f>
        <v>0</v>
      </c>
      <c r="O102" s="509">
        <f>('Pivot Table for Data Exchange'!$E$37)*100</f>
        <v>0.46539615084476449</v>
      </c>
      <c r="P102" s="505">
        <f>('Pivot Table for Data Exchange'!$E$40)*100</f>
        <v>0</v>
      </c>
      <c r="Q102" s="510">
        <f t="shared" si="14"/>
        <v>100</v>
      </c>
      <c r="R102" s="510">
        <f t="shared" si="15"/>
        <v>100</v>
      </c>
      <c r="S102" s="568"/>
      <c r="T102" s="568"/>
      <c r="U102" s="568"/>
      <c r="V102" s="568"/>
      <c r="W102" s="568"/>
      <c r="X102" s="568"/>
      <c r="Y102" s="568"/>
      <c r="Z102" s="568"/>
      <c r="AA102" s="568"/>
      <c r="AB102" s="568"/>
      <c r="AC102" s="568"/>
      <c r="AD102" s="568"/>
      <c r="AE102" s="568"/>
      <c r="AF102" s="568"/>
      <c r="AG102" s="568"/>
      <c r="AH102" s="568"/>
      <c r="AI102" s="568"/>
      <c r="AJ102" s="568"/>
      <c r="AK102" s="568"/>
      <c r="AL102" s="568"/>
      <c r="AM102" s="568"/>
      <c r="AN102" s="568"/>
      <c r="AO102" s="568"/>
    </row>
    <row r="103" spans="1:41" ht="15.75" customHeight="1">
      <c r="A103" s="512" t="s">
        <v>895</v>
      </c>
      <c r="B103" s="505">
        <f>('Pivot Table for Data Exchange'!$E$43)*100</f>
        <v>74.938177393511708</v>
      </c>
      <c r="C103" s="505">
        <f>('Pivot Table for Data Exchange'!$E$46)*100</f>
        <v>3.8823023446698817</v>
      </c>
      <c r="D103" s="506">
        <f t="shared" ref="D103:D105" si="16">SUM(E103:G103)</f>
        <v>21.179389142822679</v>
      </c>
      <c r="E103" s="505">
        <f>('Pivot Table for Data Exchange'!$E$49)*100</f>
        <v>20.710245376088615</v>
      </c>
      <c r="F103" s="505">
        <f>('Pivot Table for Data Exchange'!$E$52)*100</f>
        <v>0.32950203627800373</v>
      </c>
      <c r="G103" s="515">
        <f>('Pivot Table for Data Exchange'!$E$55)*100</f>
        <v>0.13964173045605807</v>
      </c>
      <c r="H103" s="519">
        <f>('Pivot Table for Data Exchange'!$E$58)*100</f>
        <v>1.3111899573338786E-4</v>
      </c>
      <c r="I103" s="514" t="s">
        <v>895</v>
      </c>
      <c r="J103" s="505">
        <f>('Pivot Table for Data Exchange'!$E$61)*100</f>
        <v>32.964903813004206</v>
      </c>
      <c r="K103" s="505">
        <f>('Pivot Table for Data Exchange'!$E$64)*100</f>
        <v>1.1376956491760326</v>
      </c>
      <c r="L103" s="506">
        <f t="shared" ref="L103:L105" si="17">SUM(M103:O103)</f>
        <v>65.897400537819763</v>
      </c>
      <c r="M103" s="505">
        <f>('Pivot Table for Data Exchange'!$E$67)*100</f>
        <v>62.236778597531547</v>
      </c>
      <c r="N103" s="505">
        <f>('Pivot Table for Data Exchange'!$E$70)*100</f>
        <v>3.4303247603944014</v>
      </c>
      <c r="O103" s="515">
        <f>('Pivot Table for Data Exchange'!$E$73)*100</f>
        <v>0.2302971798938151</v>
      </c>
      <c r="P103" s="505">
        <f>('Pivot Table for Data Exchange'!$E$76)*100</f>
        <v>0</v>
      </c>
      <c r="Q103" s="510">
        <f t="shared" si="14"/>
        <v>100</v>
      </c>
      <c r="R103" s="510">
        <f t="shared" si="15"/>
        <v>100</v>
      </c>
      <c r="S103" s="568"/>
      <c r="T103" s="568"/>
      <c r="U103" s="568"/>
      <c r="V103" s="568"/>
      <c r="W103" s="568"/>
      <c r="X103" s="568"/>
      <c r="Y103" s="568"/>
      <c r="Z103" s="568"/>
      <c r="AA103" s="568"/>
      <c r="AB103" s="568"/>
      <c r="AC103" s="568"/>
      <c r="AD103" s="568"/>
      <c r="AE103" s="568"/>
      <c r="AF103" s="568"/>
      <c r="AG103" s="568"/>
      <c r="AH103" s="568"/>
      <c r="AI103" s="568"/>
      <c r="AJ103" s="568"/>
      <c r="AK103" s="568"/>
      <c r="AL103" s="568"/>
      <c r="AM103" s="568"/>
      <c r="AN103" s="568"/>
      <c r="AO103" s="568"/>
    </row>
    <row r="104" spans="1:41" ht="15.75" customHeight="1">
      <c r="A104" s="512" t="s">
        <v>896</v>
      </c>
      <c r="B104" s="505">
        <f>('Pivot Table for Data Exchange'!$E$79)*100</f>
        <v>95.960528684002526</v>
      </c>
      <c r="C104" s="505">
        <f>('Pivot Table for Data Exchange'!$E$82)*100</f>
        <v>0</v>
      </c>
      <c r="D104" s="506">
        <f t="shared" si="16"/>
        <v>4.0394713159974645</v>
      </c>
      <c r="E104" s="505">
        <f>('Pivot Table for Data Exchange'!$E$85)*100</f>
        <v>4.0394713159974645</v>
      </c>
      <c r="F104" s="505">
        <f>('Pivot Table for Data Exchange'!$E$88)*100</f>
        <v>0</v>
      </c>
      <c r="G104" s="515">
        <f>('Pivot Table for Data Exchange'!$E$91)*100</f>
        <v>0</v>
      </c>
      <c r="H104" s="505">
        <f>('Pivot Table for Data Exchange'!$E$94)*100</f>
        <v>0</v>
      </c>
      <c r="I104" s="514" t="s">
        <v>896</v>
      </c>
      <c r="J104" s="505">
        <f>('Pivot Table for Data Exchange'!$E$97)*100</f>
        <v>94.63065408395704</v>
      </c>
      <c r="K104" s="505">
        <f>('Pivot Table for Data Exchange'!$E$100)*100</f>
        <v>0</v>
      </c>
      <c r="L104" s="506">
        <f t="shared" si="17"/>
        <v>5.3693459160429553</v>
      </c>
      <c r="M104" s="505">
        <f>('Pivot Table for Data Exchange'!$E$103)*100</f>
        <v>5.3693459160429553</v>
      </c>
      <c r="N104" s="505">
        <f>('Pivot Table for Data Exchange'!$E$106)*100</f>
        <v>0</v>
      </c>
      <c r="O104" s="515">
        <f>('Pivot Table for Data Exchange'!$E$109)*100</f>
        <v>0</v>
      </c>
      <c r="P104" s="505">
        <f>('Pivot Table for Data Exchange'!$E$112)*100</f>
        <v>0</v>
      </c>
      <c r="Q104" s="510">
        <f t="shared" si="14"/>
        <v>99.999999999999986</v>
      </c>
      <c r="R104" s="510">
        <f t="shared" si="15"/>
        <v>100</v>
      </c>
      <c r="S104" s="568"/>
      <c r="T104" s="573"/>
      <c r="U104" s="568"/>
      <c r="V104" s="568"/>
      <c r="W104" s="568"/>
      <c r="X104" s="568"/>
      <c r="Y104" s="568"/>
      <c r="Z104" s="568"/>
      <c r="AA104" s="568"/>
      <c r="AB104" s="568"/>
      <c r="AC104" s="568"/>
      <c r="AD104" s="568"/>
      <c r="AE104" s="568"/>
      <c r="AF104" s="568"/>
      <c r="AG104" s="568"/>
      <c r="AH104" s="568"/>
      <c r="AI104" s="568"/>
      <c r="AJ104" s="568"/>
      <c r="AK104" s="568"/>
      <c r="AL104" s="568"/>
      <c r="AM104" s="568"/>
      <c r="AN104" s="568"/>
      <c r="AO104" s="568"/>
    </row>
    <row r="105" spans="1:41" ht="15.75" customHeight="1">
      <c r="A105" s="512" t="s">
        <v>936</v>
      </c>
      <c r="B105" s="505">
        <f>('Pivot Table for Data Exchange'!$E$115)*100</f>
        <v>85.561348924179313</v>
      </c>
      <c r="C105" s="505">
        <f>('Pivot Table for Data Exchange'!$E$118)*100</f>
        <v>0.85856404557317667</v>
      </c>
      <c r="D105" s="506">
        <f t="shared" si="16"/>
        <v>13.580087030247508</v>
      </c>
      <c r="E105" s="505">
        <f>('Pivot Table for Data Exchange'!$E$121)*100</f>
        <v>13.580087030247508</v>
      </c>
      <c r="F105" s="505">
        <f>('Pivot Table for Data Exchange'!$E$124)*100</f>
        <v>0</v>
      </c>
      <c r="G105" s="515">
        <f>('Pivot Table for Data Exchange'!$E$127)*100</f>
        <v>0</v>
      </c>
      <c r="H105" s="505">
        <f>('Pivot Table for Data Exchange'!$E$130)*100</f>
        <v>0</v>
      </c>
      <c r="I105" s="514" t="s">
        <v>936</v>
      </c>
      <c r="J105" s="505">
        <f>('Pivot Table for Data Exchange'!$E$133)*100</f>
        <v>53.735469083756136</v>
      </c>
      <c r="K105" s="505">
        <f>('Pivot Table for Data Exchange'!$E$136)*100</f>
        <v>12.627328304470083</v>
      </c>
      <c r="L105" s="506">
        <f t="shared" si="17"/>
        <v>33.63720261177378</v>
      </c>
      <c r="M105" s="505">
        <f>('Pivot Table for Data Exchange'!$E$139)*100</f>
        <v>33.63720261177378</v>
      </c>
      <c r="N105" s="505">
        <f>('Pivot Table for Data Exchange'!$E$142)*100</f>
        <v>0</v>
      </c>
      <c r="O105" s="515">
        <f>('Pivot Table for Data Exchange'!$E$145)*100</f>
        <v>0</v>
      </c>
      <c r="P105" s="505">
        <f>('Pivot Table for Data Exchange'!$E$148)*100</f>
        <v>0</v>
      </c>
      <c r="Q105" s="510">
        <f t="shared" si="14"/>
        <v>100</v>
      </c>
      <c r="R105" s="510">
        <f t="shared" si="15"/>
        <v>100</v>
      </c>
      <c r="S105" s="568"/>
      <c r="U105" s="568"/>
      <c r="V105" s="568"/>
      <c r="W105" s="568"/>
      <c r="X105" s="568"/>
      <c r="Y105" s="568"/>
      <c r="Z105" s="568"/>
      <c r="AA105" s="568"/>
      <c r="AB105" s="568"/>
      <c r="AC105" s="568"/>
      <c r="AD105" s="568"/>
      <c r="AE105" s="568"/>
      <c r="AF105" s="568"/>
      <c r="AG105" s="568"/>
      <c r="AH105" s="568"/>
      <c r="AI105" s="568"/>
      <c r="AJ105" s="568"/>
      <c r="AK105" s="568"/>
      <c r="AL105" s="568"/>
      <c r="AM105" s="568"/>
      <c r="AN105" s="568"/>
      <c r="AO105" s="568"/>
    </row>
    <row r="106" spans="1:41" ht="11.25" customHeight="1">
      <c r="A106" s="512"/>
      <c r="B106" s="505"/>
      <c r="C106" s="505"/>
      <c r="D106" s="506"/>
      <c r="E106" s="505"/>
      <c r="F106" s="505"/>
      <c r="G106" s="515"/>
      <c r="H106" s="505"/>
      <c r="I106" s="514"/>
      <c r="J106" s="505"/>
      <c r="K106" s="505"/>
      <c r="L106" s="506"/>
      <c r="M106" s="505"/>
      <c r="N106" s="505"/>
      <c r="O106" s="515"/>
      <c r="P106" s="505"/>
      <c r="Q106" s="510">
        <f t="shared" si="14"/>
        <v>0</v>
      </c>
      <c r="R106" s="510">
        <f t="shared" si="15"/>
        <v>0</v>
      </c>
      <c r="S106" s="568"/>
      <c r="U106" s="568"/>
      <c r="V106" s="568"/>
      <c r="W106" s="568"/>
      <c r="X106" s="568"/>
      <c r="Y106" s="568"/>
      <c r="Z106" s="568"/>
      <c r="AA106" s="568"/>
      <c r="AB106" s="568"/>
      <c r="AC106" s="568"/>
      <c r="AD106" s="568"/>
      <c r="AE106" s="568"/>
      <c r="AF106" s="568"/>
      <c r="AG106" s="568"/>
      <c r="AH106" s="568"/>
      <c r="AI106" s="568"/>
      <c r="AJ106" s="568"/>
      <c r="AK106" s="568"/>
      <c r="AL106" s="568"/>
      <c r="AM106" s="568"/>
      <c r="AN106" s="568"/>
      <c r="AO106" s="568"/>
    </row>
    <row r="107" spans="1:41" ht="15.75" customHeight="1">
      <c r="A107" s="512" t="s">
        <v>898</v>
      </c>
      <c r="B107" s="505">
        <f>('Pivot Table for Data Exchange'!$E$151)*100</f>
        <v>78.578235020398907</v>
      </c>
      <c r="C107" s="505">
        <f>('Pivot Table for Data Exchange'!$E$154)*100</f>
        <v>1.0022969304656504</v>
      </c>
      <c r="D107" s="506">
        <f t="shared" ref="D107:D108" si="18">SUM(E107:G107)</f>
        <v>20.419468049135443</v>
      </c>
      <c r="E107" s="505">
        <f>('Pivot Table for Data Exchange'!$E$157)*100</f>
        <v>20.40605957179789</v>
      </c>
      <c r="F107" s="519">
        <f>('Pivot Table for Data Exchange'!$E$160)*100</f>
        <v>1.2083528984040203E-2</v>
      </c>
      <c r="G107" s="513">
        <f>('Pivot Table for Data Exchange'!$E$163)*100</f>
        <v>1.3249483535131799E-3</v>
      </c>
      <c r="H107" s="505">
        <f>('Pivot Table for Data Exchange'!$E$166)*100</f>
        <v>0</v>
      </c>
      <c r="I107" s="514" t="s">
        <v>898</v>
      </c>
      <c r="J107" s="505">
        <f>('Pivot Table for Data Exchange'!$E$169)*100</f>
        <v>34.858976147300879</v>
      </c>
      <c r="K107" s="505">
        <f>('Pivot Table for Data Exchange'!$E$172)*100</f>
        <v>1.5533547217185104</v>
      </c>
      <c r="L107" s="506">
        <f t="shared" ref="L107:L108" si="19">SUM(M107:O107)</f>
        <v>63.587669130980608</v>
      </c>
      <c r="M107" s="505">
        <f>('Pivot Table for Data Exchange'!$E$175)*100</f>
        <v>63.575952015622818</v>
      </c>
      <c r="N107" s="516">
        <f>('Pivot Table for Data Exchange'!$E$178)*100</f>
        <v>1.004324173524899E-2</v>
      </c>
      <c r="O107" s="515">
        <f>('Pivot Table for Data Exchange'!$E$181)*100</f>
        <v>1.6738736225414982E-3</v>
      </c>
      <c r="P107" s="505">
        <f>('Pivot Table for Data Exchange'!$E$184)*100</f>
        <v>0</v>
      </c>
      <c r="Q107" s="510">
        <f t="shared" si="14"/>
        <v>100</v>
      </c>
      <c r="R107" s="510">
        <f t="shared" si="15"/>
        <v>100</v>
      </c>
      <c r="S107" s="568"/>
      <c r="T107" s="568"/>
      <c r="U107" s="568"/>
      <c r="V107" s="568"/>
      <c r="W107" s="568"/>
      <c r="X107" s="568"/>
      <c r="Y107" s="568"/>
      <c r="Z107" s="568"/>
      <c r="AA107" s="568"/>
      <c r="AB107" s="568"/>
      <c r="AC107" s="568"/>
      <c r="AD107" s="568"/>
      <c r="AE107" s="568"/>
      <c r="AF107" s="568"/>
      <c r="AG107" s="568"/>
      <c r="AH107" s="568"/>
      <c r="AI107" s="568"/>
      <c r="AJ107" s="568"/>
      <c r="AK107" s="568"/>
      <c r="AL107" s="568"/>
      <c r="AM107" s="568"/>
      <c r="AN107" s="568"/>
      <c r="AO107" s="568"/>
    </row>
    <row r="108" spans="1:41" ht="15.75" customHeight="1">
      <c r="A108" s="512" t="s">
        <v>899</v>
      </c>
      <c r="B108" s="505">
        <f>('Pivot Table for Data Exchange'!$E$187)*100</f>
        <v>75.609733692207342</v>
      </c>
      <c r="C108" s="505">
        <f>('Pivot Table for Data Exchange'!$E$190)*100</f>
        <v>5.3662689044237659</v>
      </c>
      <c r="D108" s="506">
        <f t="shared" si="18"/>
        <v>19.023997403368881</v>
      </c>
      <c r="E108" s="505">
        <f>('Pivot Table for Data Exchange'!$E$193)*100</f>
        <v>17.292828337574292</v>
      </c>
      <c r="F108" s="505">
        <f>('Pivot Table for Data Exchange'!$E$196)*100</f>
        <v>1.591477660704826</v>
      </c>
      <c r="G108" s="513">
        <f>('Pivot Table for Data Exchange'!$E$199)*100</f>
        <v>0.13969140508976444</v>
      </c>
      <c r="H108" s="505">
        <f>('Pivot Table for Data Exchange'!$E$202)*100</f>
        <v>0</v>
      </c>
      <c r="I108" s="514" t="s">
        <v>899</v>
      </c>
      <c r="J108" s="505">
        <f>('Pivot Table for Data Exchange'!$E$205)*100</f>
        <v>46.9251685025828</v>
      </c>
      <c r="K108" s="505">
        <f>('Pivot Table for Data Exchange'!$E$208)*100</f>
        <v>2.9128388976025095</v>
      </c>
      <c r="L108" s="506">
        <f t="shared" si="19"/>
        <v>50.161992599814695</v>
      </c>
      <c r="M108" s="505">
        <f>('Pivot Table for Data Exchange'!$E$211)*100</f>
        <v>49.315997601903945</v>
      </c>
      <c r="N108" s="505">
        <f>('Pivot Table for Data Exchange'!$E$214)*100</f>
        <v>0.54320509171506259</v>
      </c>
      <c r="O108" s="513">
        <f>('Pivot Table for Data Exchange'!$E$217)*100</f>
        <v>0.30278990619568708</v>
      </c>
      <c r="P108" s="505">
        <f>('Pivot Table for Data Exchange'!$E$220)*100</f>
        <v>0</v>
      </c>
      <c r="Q108" s="510">
        <f t="shared" si="14"/>
        <v>99.999999999999986</v>
      </c>
      <c r="R108" s="510">
        <f t="shared" si="15"/>
        <v>100</v>
      </c>
      <c r="S108" s="568"/>
      <c r="T108" s="568"/>
      <c r="U108" s="568"/>
      <c r="V108" s="568"/>
      <c r="W108" s="568"/>
      <c r="X108" s="568"/>
      <c r="Y108" s="568"/>
      <c r="Z108" s="568"/>
      <c r="AA108" s="568"/>
      <c r="AB108" s="568"/>
      <c r="AC108" s="568"/>
      <c r="AD108" s="568"/>
      <c r="AE108" s="568"/>
      <c r="AF108" s="568"/>
      <c r="AG108" s="568"/>
      <c r="AH108" s="568"/>
      <c r="AI108" s="568"/>
      <c r="AJ108" s="568"/>
      <c r="AK108" s="568"/>
      <c r="AL108" s="568"/>
      <c r="AM108" s="568"/>
      <c r="AN108" s="568"/>
      <c r="AO108" s="568"/>
    </row>
    <row r="109" spans="1:41" ht="15.75" customHeight="1">
      <c r="A109" s="512" t="s">
        <v>900</v>
      </c>
      <c r="B109" s="505">
        <f>('Pivot Table for Data Exchange'!$E$223)*100</f>
        <v>87.595253345264368</v>
      </c>
      <c r="C109" s="505">
        <f>('Pivot Table for Data Exchange'!$E$226)*100</f>
        <v>0</v>
      </c>
      <c r="D109" s="506">
        <f>SUM(E109:G109)</f>
        <v>12.404746654735648</v>
      </c>
      <c r="E109" s="505">
        <f>('Pivot Table for Data Exchange'!$E$229)*100</f>
        <v>12.404746654735648</v>
      </c>
      <c r="F109" s="505">
        <f>('Pivot Table for Data Exchange'!$E$232)*100</f>
        <v>0</v>
      </c>
      <c r="G109" s="515">
        <f>('Pivot Table for Data Exchange'!$E$235)*100</f>
        <v>0</v>
      </c>
      <c r="H109" s="505">
        <f>('Pivot Table for Data Exchange'!$E$238)*100</f>
        <v>0</v>
      </c>
      <c r="I109" s="514" t="s">
        <v>900</v>
      </c>
      <c r="J109" s="505">
        <f>('Pivot Table for Data Exchange'!$E$241)*100</f>
        <v>73.154368069289916</v>
      </c>
      <c r="K109" s="505">
        <f>('Pivot Table for Data Exchange'!$E$244)*100</f>
        <v>0</v>
      </c>
      <c r="L109" s="506">
        <f>SUM(M109:O109)</f>
        <v>26.845631930710073</v>
      </c>
      <c r="M109" s="505">
        <f>('Pivot Table for Data Exchange'!$E$247)*100</f>
        <v>26.845631930710073</v>
      </c>
      <c r="N109" s="505">
        <f>('Pivot Table for Data Exchange'!$E$250)*100</f>
        <v>0</v>
      </c>
      <c r="O109" s="515">
        <f>('Pivot Table for Data Exchange'!$E$253)*100</f>
        <v>0</v>
      </c>
      <c r="P109" s="505">
        <f>('Pivot Table for Data Exchange'!$E$256)*100</f>
        <v>0</v>
      </c>
      <c r="Q109" s="510">
        <f t="shared" si="14"/>
        <v>100.00000000000001</v>
      </c>
      <c r="R109" s="510">
        <f t="shared" si="15"/>
        <v>99.999999999999986</v>
      </c>
      <c r="S109" s="568"/>
      <c r="T109" s="573"/>
      <c r="U109" s="568"/>
      <c r="V109" s="568"/>
      <c r="W109" s="568"/>
      <c r="X109" s="568"/>
      <c r="Y109" s="568"/>
      <c r="Z109" s="568"/>
      <c r="AA109" s="568"/>
      <c r="AB109" s="568"/>
      <c r="AC109" s="568"/>
      <c r="AD109" s="568"/>
      <c r="AE109" s="568"/>
      <c r="AF109" s="568"/>
      <c r="AG109" s="568"/>
      <c r="AH109" s="568"/>
      <c r="AI109" s="568"/>
      <c r="AJ109" s="568"/>
      <c r="AK109" s="568"/>
      <c r="AL109" s="568"/>
      <c r="AM109" s="568"/>
      <c r="AN109" s="568"/>
      <c r="AO109" s="568"/>
    </row>
    <row r="110" spans="1:41" ht="15.75" customHeight="1">
      <c r="A110" s="512" t="s">
        <v>901</v>
      </c>
      <c r="B110" s="505">
        <f>('Pivot Table for Data Exchange'!$E$259)*100</f>
        <v>85.314703493095038</v>
      </c>
      <c r="C110" s="505">
        <f>('Pivot Table for Data Exchange'!$E$262)*100</f>
        <v>2.298294069861901</v>
      </c>
      <c r="D110" s="506">
        <f>SUM(E110:G110)</f>
        <v>12.387002437043055</v>
      </c>
      <c r="E110" s="505">
        <f>('Pivot Table for Data Exchange'!$E$265)*100</f>
        <v>12.387002437043055</v>
      </c>
      <c r="F110" s="519">
        <f>('Pivot Table for Data Exchange'!$E$268)*100</f>
        <v>0</v>
      </c>
      <c r="G110" s="515">
        <f>('Pivot Table for Data Exchange'!$E$271)*100</f>
        <v>0</v>
      </c>
      <c r="H110" s="505">
        <f>('Pivot Table for Data Exchange'!$E$274)*100</f>
        <v>0</v>
      </c>
      <c r="I110" s="514" t="s">
        <v>901</v>
      </c>
      <c r="J110" s="505">
        <f>('Pivot Table for Data Exchange'!$E$277)*100</f>
        <v>69.614485475561722</v>
      </c>
      <c r="K110" s="505">
        <f>('Pivot Table for Data Exchange'!$E$280)*100</f>
        <v>8.9138057924585485</v>
      </c>
      <c r="L110" s="506">
        <f>SUM(M110:O110)</f>
        <v>21.471708731979739</v>
      </c>
      <c r="M110" s="505">
        <f>('Pivot Table for Data Exchange'!$E$283)*100</f>
        <v>21.448980475345252</v>
      </c>
      <c r="N110" s="505">
        <f>('Pivot Table for Data Exchange'!$E$286)*100</f>
        <v>2.2728256634486341E-2</v>
      </c>
      <c r="O110" s="515">
        <f>('Pivot Table for Data Exchange'!$E$289)*100</f>
        <v>0</v>
      </c>
      <c r="P110" s="505">
        <f>('Pivot Table for Data Exchange'!$E$292)*100</f>
        <v>0</v>
      </c>
      <c r="Q110" s="510">
        <f t="shared" si="14"/>
        <v>99.999999999999986</v>
      </c>
      <c r="R110" s="510">
        <f t="shared" si="15"/>
        <v>100</v>
      </c>
      <c r="S110" s="568"/>
      <c r="U110" s="568"/>
      <c r="V110" s="568"/>
      <c r="W110" s="568"/>
      <c r="X110" s="568"/>
      <c r="Y110" s="568"/>
      <c r="Z110" s="568"/>
      <c r="AA110" s="568"/>
      <c r="AB110" s="568"/>
      <c r="AC110" s="568"/>
      <c r="AD110" s="568"/>
      <c r="AE110" s="568"/>
      <c r="AF110" s="568"/>
      <c r="AG110" s="568"/>
      <c r="AH110" s="568"/>
      <c r="AI110" s="568"/>
      <c r="AJ110" s="568"/>
      <c r="AK110" s="568"/>
      <c r="AL110" s="568"/>
      <c r="AM110" s="568"/>
      <c r="AN110" s="568"/>
      <c r="AO110" s="568"/>
    </row>
    <row r="111" spans="1:41" ht="11.25" customHeight="1">
      <c r="A111" s="512"/>
      <c r="B111" s="505"/>
      <c r="C111" s="505"/>
      <c r="D111" s="506"/>
      <c r="E111" s="505"/>
      <c r="F111" s="505"/>
      <c r="G111" s="515"/>
      <c r="H111" s="505"/>
      <c r="I111" s="514"/>
      <c r="J111" s="505"/>
      <c r="K111" s="505"/>
      <c r="L111" s="506"/>
      <c r="M111" s="505"/>
      <c r="N111" s="505"/>
      <c r="O111" s="515"/>
      <c r="P111" s="505"/>
      <c r="Q111" s="510">
        <f t="shared" si="14"/>
        <v>0</v>
      </c>
      <c r="R111" s="510">
        <f t="shared" si="15"/>
        <v>0</v>
      </c>
      <c r="S111" s="568"/>
      <c r="U111" s="568"/>
      <c r="V111" s="568"/>
      <c r="W111" s="568"/>
      <c r="X111" s="568"/>
      <c r="Y111" s="568"/>
      <c r="Z111" s="568"/>
      <c r="AA111" s="568"/>
      <c r="AB111" s="568"/>
      <c r="AC111" s="568"/>
      <c r="AD111" s="568"/>
      <c r="AE111" s="568"/>
      <c r="AF111" s="568"/>
      <c r="AG111" s="568"/>
      <c r="AH111" s="568"/>
      <c r="AI111" s="568"/>
      <c r="AJ111" s="568"/>
      <c r="AK111" s="568"/>
      <c r="AL111" s="568"/>
      <c r="AM111" s="568"/>
      <c r="AN111" s="568"/>
      <c r="AO111" s="568"/>
    </row>
    <row r="112" spans="1:41" ht="15.75" customHeight="1">
      <c r="A112" s="512" t="s">
        <v>902</v>
      </c>
      <c r="B112" s="505">
        <f>('Pivot Table for Data Exchange'!$E$295)*100</f>
        <v>0</v>
      </c>
      <c r="C112" s="505">
        <f>('Pivot Table for Data Exchange'!$E$298)*100</f>
        <v>0</v>
      </c>
      <c r="D112" s="506">
        <f>SUM(E112:G112)</f>
        <v>0</v>
      </c>
      <c r="E112" s="505">
        <f>('Pivot Table for Data Exchange'!$E$301)*100</f>
        <v>0</v>
      </c>
      <c r="F112" s="505">
        <f>('Pivot Table for Data Exchange'!$E$304)*100</f>
        <v>0</v>
      </c>
      <c r="G112" s="515">
        <f>('Pivot Table for Data Exchange'!$E$307)*100</f>
        <v>0</v>
      </c>
      <c r="H112" s="505">
        <f>('Pivot Table for Data Exchange'!$E$310)*100</f>
        <v>0</v>
      </c>
      <c r="I112" s="514" t="s">
        <v>902</v>
      </c>
      <c r="J112" s="505">
        <f>('Pivot Table for Data Exchange'!$E$313)*100</f>
        <v>0</v>
      </c>
      <c r="K112" s="505">
        <f>('Pivot Table for Data Exchange'!$E$316)*100</f>
        <v>0</v>
      </c>
      <c r="L112" s="506">
        <f>SUM(M112:O112)</f>
        <v>0</v>
      </c>
      <c r="M112" s="505">
        <f>('Pivot Table for Data Exchange'!$E$319)*100</f>
        <v>0</v>
      </c>
      <c r="N112" s="505">
        <f>('Pivot Table for Data Exchange'!$E$322)*100</f>
        <v>0</v>
      </c>
      <c r="O112" s="515">
        <f>('Pivot Table for Data Exchange'!$E$325)*100</f>
        <v>0</v>
      </c>
      <c r="P112" s="505">
        <f>('Pivot Table for Data Exchange'!$E$328)*100</f>
        <v>0</v>
      </c>
      <c r="Q112" s="510">
        <f t="shared" si="14"/>
        <v>0</v>
      </c>
      <c r="R112" s="510">
        <f t="shared" si="15"/>
        <v>0</v>
      </c>
      <c r="S112" s="568"/>
      <c r="T112" s="568"/>
      <c r="U112" s="568"/>
      <c r="V112" s="568"/>
      <c r="W112" s="568"/>
      <c r="X112" s="568"/>
      <c r="Y112" s="568"/>
      <c r="Z112" s="568"/>
      <c r="AA112" s="568"/>
      <c r="AB112" s="568"/>
      <c r="AC112" s="568"/>
      <c r="AD112" s="568"/>
      <c r="AE112" s="568"/>
      <c r="AF112" s="568"/>
      <c r="AG112" s="568"/>
      <c r="AH112" s="568"/>
      <c r="AI112" s="568"/>
      <c r="AJ112" s="568"/>
      <c r="AK112" s="568"/>
      <c r="AL112" s="568"/>
      <c r="AM112" s="568"/>
      <c r="AN112" s="568"/>
      <c r="AO112" s="568"/>
    </row>
    <row r="113" spans="1:41" ht="15.75" customHeight="1">
      <c r="A113" s="512" t="s">
        <v>903</v>
      </c>
      <c r="B113" s="505">
        <f>('Pivot Table for Data Exchange'!$E$331)*100</f>
        <v>85.639009645112267</v>
      </c>
      <c r="C113" s="505">
        <f>('Pivot Table for Data Exchange'!$E$334)*100</f>
        <v>0.87993875015290723</v>
      </c>
      <c r="D113" s="506">
        <f>SUM(E113:G113)</f>
        <v>13.481051604734816</v>
      </c>
      <c r="E113" s="505">
        <f>('Pivot Table for Data Exchange'!$E$337)*100</f>
        <v>13.470185096988239</v>
      </c>
      <c r="F113" s="519">
        <f>('Pivot Table for Data Exchange'!$E$340)*100</f>
        <v>1.0866507746578137E-2</v>
      </c>
      <c r="G113" s="513">
        <f>('Pivot Table for Data Exchange'!$E$343)*100</f>
        <v>0</v>
      </c>
      <c r="H113" s="505">
        <f>('Pivot Table for Data Exchange'!$E$346)*100</f>
        <v>0</v>
      </c>
      <c r="I113" s="514" t="s">
        <v>903</v>
      </c>
      <c r="J113" s="505">
        <f>('Pivot Table for Data Exchange'!$E$349)*100</f>
        <v>63.654139701522659</v>
      </c>
      <c r="K113" s="505">
        <f>('Pivot Table for Data Exchange'!$E$352)*100</f>
        <v>6.1209299978554039</v>
      </c>
      <c r="L113" s="506">
        <f>SUM(M113:O113)</f>
        <v>30.224930300621935</v>
      </c>
      <c r="M113" s="505">
        <f>('Pivot Table for Data Exchange'!$E$355)*100</f>
        <v>30.032547401884724</v>
      </c>
      <c r="N113" s="519">
        <f>('Pivot Table for Data Exchange'!$E$358)*100</f>
        <v>0.19238289873721126</v>
      </c>
      <c r="O113" s="515">
        <f>('Pivot Table for Data Exchange'!$E$361)*100</f>
        <v>0</v>
      </c>
      <c r="P113" s="505">
        <f>('Pivot Table for Data Exchange'!$E$364)*100</f>
        <v>0</v>
      </c>
      <c r="Q113" s="510">
        <f t="shared" si="14"/>
        <v>99.999999999999986</v>
      </c>
      <c r="R113" s="510">
        <f t="shared" si="15"/>
        <v>100</v>
      </c>
      <c r="S113" s="568"/>
      <c r="T113" s="568"/>
      <c r="U113" s="568"/>
      <c r="V113" s="568"/>
      <c r="W113" s="568"/>
      <c r="X113" s="568"/>
      <c r="Y113" s="568"/>
      <c r="Z113" s="568"/>
      <c r="AA113" s="568"/>
      <c r="AB113" s="568"/>
      <c r="AC113" s="568"/>
      <c r="AD113" s="568"/>
      <c r="AE113" s="568"/>
      <c r="AF113" s="568"/>
      <c r="AG113" s="568"/>
      <c r="AH113" s="568"/>
      <c r="AI113" s="568"/>
      <c r="AJ113" s="568"/>
      <c r="AK113" s="568"/>
      <c r="AL113" s="568"/>
      <c r="AM113" s="568"/>
      <c r="AN113" s="568"/>
      <c r="AO113" s="568"/>
    </row>
    <row r="114" spans="1:41" ht="15.75" customHeight="1">
      <c r="A114" s="512" t="s">
        <v>904</v>
      </c>
      <c r="B114" s="505">
        <f>('Pivot Table for Data Exchange'!$E$367)*100</f>
        <v>76.682230726966864</v>
      </c>
      <c r="C114" s="505">
        <f>('Pivot Table for Data Exchange'!$E$370)*100</f>
        <v>1.6390409316534471</v>
      </c>
      <c r="D114" s="506">
        <f>SUM(E114:G114)</f>
        <v>21.678728341379696</v>
      </c>
      <c r="E114" s="505">
        <f>('Pivot Table for Data Exchange'!$E$373)*100</f>
        <v>20.724682283593165</v>
      </c>
      <c r="F114" s="505">
        <f>('Pivot Table for Data Exchange'!$E$376)*100</f>
        <v>0.17766818531112702</v>
      </c>
      <c r="G114" s="515">
        <f>('Pivot Table for Data Exchange'!$E$379)*100</f>
        <v>0.77637787247540313</v>
      </c>
      <c r="H114" s="505">
        <f>('Pivot Table for Data Exchange'!$E$382)*100</f>
        <v>0</v>
      </c>
      <c r="I114" s="514" t="s">
        <v>904</v>
      </c>
      <c r="J114" s="505">
        <f>('Pivot Table for Data Exchange'!$E$385)*100</f>
        <v>80.801625259237312</v>
      </c>
      <c r="K114" s="505">
        <f>('Pivot Table for Data Exchange'!$E$388)*100</f>
        <v>0.48461505904262075</v>
      </c>
      <c r="L114" s="506">
        <f>SUM(M114:O114)</f>
        <v>18.713759681720067</v>
      </c>
      <c r="M114" s="505">
        <f>('Pivot Table for Data Exchange'!$E$391)*100</f>
        <v>14.182926313116351</v>
      </c>
      <c r="N114" s="505">
        <f>('Pivot Table for Data Exchange'!$E$394)*100</f>
        <v>1.115249502687603</v>
      </c>
      <c r="O114" s="515">
        <f>('Pivot Table for Data Exchange'!$E$397)*100</f>
        <v>3.4155838659161128</v>
      </c>
      <c r="P114" s="505">
        <f>('Pivot Table for Data Exchange'!$E$400)*100</f>
        <v>0</v>
      </c>
      <c r="Q114" s="510">
        <f t="shared" si="14"/>
        <v>100</v>
      </c>
      <c r="R114" s="510">
        <f t="shared" si="15"/>
        <v>100</v>
      </c>
      <c r="S114" s="568"/>
      <c r="T114" s="573"/>
      <c r="U114" s="568"/>
      <c r="V114" s="568"/>
      <c r="W114" s="568"/>
      <c r="X114" s="568"/>
      <c r="Y114" s="568"/>
      <c r="Z114" s="568"/>
      <c r="AA114" s="568"/>
      <c r="AB114" s="568"/>
      <c r="AC114" s="568"/>
      <c r="AD114" s="568"/>
      <c r="AE114" s="568"/>
      <c r="AF114" s="568"/>
      <c r="AG114" s="568"/>
      <c r="AH114" s="568"/>
      <c r="AI114" s="568"/>
      <c r="AJ114" s="568"/>
      <c r="AK114" s="568"/>
      <c r="AL114" s="568"/>
      <c r="AM114" s="568"/>
      <c r="AN114" s="568"/>
      <c r="AO114" s="568"/>
    </row>
    <row r="115" spans="1:41" ht="15.75" customHeight="1">
      <c r="A115" s="512" t="s">
        <v>905</v>
      </c>
      <c r="B115" s="505">
        <f>('Pivot Table for Data Exchange'!$E$403)*100</f>
        <v>93.873011429904366</v>
      </c>
      <c r="C115" s="505">
        <f>('Pivot Table for Data Exchange'!$E$406)*100</f>
        <v>1.1730347562397947</v>
      </c>
      <c r="D115" s="506">
        <f>SUM(E115:G115)</f>
        <v>4.9539538138558425</v>
      </c>
      <c r="E115" s="505">
        <f>('Pivot Table for Data Exchange'!$E$409)*100</f>
        <v>4.9539538138558425</v>
      </c>
      <c r="F115" s="519">
        <f>('Pivot Table for Data Exchange'!$E$412)*100</f>
        <v>0</v>
      </c>
      <c r="G115" s="515">
        <f>('Pivot Table for Data Exchange'!$E$415)*100</f>
        <v>0</v>
      </c>
      <c r="H115" s="505">
        <f>('Pivot Table for Data Exchange'!$E$418)*100</f>
        <v>0</v>
      </c>
      <c r="I115" s="514" t="s">
        <v>905</v>
      </c>
      <c r="J115" s="505">
        <f>('Pivot Table for Data Exchange'!$E$421)*100</f>
        <v>72.797285967751364</v>
      </c>
      <c r="K115" s="505">
        <f>('Pivot Table for Data Exchange'!$E$424)*100</f>
        <v>13.548714149232779</v>
      </c>
      <c r="L115" s="506">
        <f>SUM(M115:O115)</f>
        <v>13.653999883015851</v>
      </c>
      <c r="M115" s="505">
        <f>('Pivot Table for Data Exchange'!$E$427)*100</f>
        <v>13.653999883015851</v>
      </c>
      <c r="N115" s="505">
        <f>('Pivot Table for Data Exchange'!$E$430)*100</f>
        <v>0</v>
      </c>
      <c r="O115" s="513">
        <f>('Pivot Table for Data Exchange'!$E$433)*100</f>
        <v>0</v>
      </c>
      <c r="P115" s="505">
        <f>('Pivot Table for Data Exchange'!$E$436)*100</f>
        <v>0</v>
      </c>
      <c r="Q115" s="510">
        <f t="shared" si="14"/>
        <v>100.00000000000001</v>
      </c>
      <c r="R115" s="510">
        <f t="shared" si="15"/>
        <v>100</v>
      </c>
      <c r="S115" s="568"/>
      <c r="T115" s="568"/>
      <c r="U115" s="568"/>
      <c r="V115" s="568"/>
      <c r="W115" s="568"/>
      <c r="X115" s="568"/>
      <c r="Y115" s="568"/>
      <c r="Z115" s="568"/>
      <c r="AA115" s="568"/>
      <c r="AB115" s="568"/>
      <c r="AC115" s="568"/>
      <c r="AD115" s="568"/>
      <c r="AE115" s="568"/>
      <c r="AF115" s="568"/>
      <c r="AG115" s="568"/>
      <c r="AH115" s="568"/>
      <c r="AI115" s="568"/>
      <c r="AJ115" s="568"/>
      <c r="AK115" s="568"/>
      <c r="AL115" s="568"/>
      <c r="AM115" s="568"/>
      <c r="AN115" s="568"/>
      <c r="AO115" s="568"/>
    </row>
    <row r="116" spans="1:41" ht="11.25" customHeight="1">
      <c r="A116" s="512"/>
      <c r="B116" s="505"/>
      <c r="C116" s="505"/>
      <c r="D116" s="506"/>
      <c r="E116" s="505"/>
      <c r="F116" s="505"/>
      <c r="G116" s="515"/>
      <c r="H116" s="505"/>
      <c r="I116" s="514"/>
      <c r="J116" s="505"/>
      <c r="K116" s="505"/>
      <c r="L116" s="506"/>
      <c r="M116" s="505"/>
      <c r="N116" s="505"/>
      <c r="O116" s="515"/>
      <c r="P116" s="505"/>
      <c r="Q116" s="510">
        <f t="shared" si="14"/>
        <v>0</v>
      </c>
      <c r="R116" s="510">
        <f t="shared" si="15"/>
        <v>0</v>
      </c>
      <c r="S116" s="568"/>
      <c r="T116" s="568"/>
      <c r="U116" s="568"/>
      <c r="V116" s="568"/>
      <c r="W116" s="568"/>
      <c r="X116" s="568"/>
      <c r="Y116" s="568"/>
      <c r="Z116" s="568"/>
      <c r="AA116" s="568"/>
      <c r="AB116" s="568"/>
      <c r="AC116" s="568"/>
      <c r="AD116" s="568"/>
      <c r="AE116" s="568"/>
      <c r="AF116" s="568"/>
      <c r="AG116" s="568"/>
      <c r="AH116" s="568"/>
      <c r="AI116" s="568"/>
      <c r="AJ116" s="568"/>
      <c r="AK116" s="568"/>
      <c r="AL116" s="568"/>
      <c r="AM116" s="568"/>
      <c r="AN116" s="568"/>
      <c r="AO116" s="568"/>
    </row>
    <row r="117" spans="1:41" ht="15.75" customHeight="1">
      <c r="A117" s="512" t="s">
        <v>906</v>
      </c>
      <c r="B117" s="505">
        <f>('Pivot Table for Data Exchange'!$E$439)*100</f>
        <v>74.579674167227623</v>
      </c>
      <c r="C117" s="505">
        <f>('Pivot Table for Data Exchange'!$E$442)*100</f>
        <v>1.1115823550697852</v>
      </c>
      <c r="D117" s="506">
        <f>SUM(E117:G117)</f>
        <v>23.46665214024739</v>
      </c>
      <c r="E117" s="505">
        <f>('Pivot Table for Data Exchange'!$E$445)*100</f>
        <v>15.580207234935001</v>
      </c>
      <c r="F117" s="505">
        <f>('Pivot Table for Data Exchange'!$E$448)*100</f>
        <v>4.1322474834924107E-2</v>
      </c>
      <c r="G117" s="515">
        <f>('Pivot Table for Data Exchange'!$E$451)*100</f>
        <v>7.8451224304774652</v>
      </c>
      <c r="H117" s="505">
        <f>('Pivot Table for Data Exchange'!$E$454)*100</f>
        <v>0.84209133745520481</v>
      </c>
      <c r="I117" s="514" t="s">
        <v>906</v>
      </c>
      <c r="J117" s="505">
        <f>('Pivot Table for Data Exchange'!$E$457)*100</f>
        <v>50.768449410413815</v>
      </c>
      <c r="K117" s="505">
        <f>('Pivot Table for Data Exchange'!$E$460)*100</f>
        <v>0.88437927836417429</v>
      </c>
      <c r="L117" s="506">
        <f>SUM(M117:O117)</f>
        <v>44.129532305789873</v>
      </c>
      <c r="M117" s="505">
        <f>('Pivot Table for Data Exchange'!$E$463)*100</f>
        <v>40.088548337234464</v>
      </c>
      <c r="N117" s="505">
        <f>('Pivot Table for Data Exchange'!$E$466)*100</f>
        <v>8.832751843836948E-3</v>
      </c>
      <c r="O117" s="515">
        <f>('Pivot Table for Data Exchange'!$E$469)*100</f>
        <v>4.0321512167115667</v>
      </c>
      <c r="P117" s="505">
        <f>('Pivot Table for Data Exchange'!$E$472)*100</f>
        <v>4.217639005432142</v>
      </c>
      <c r="Q117" s="510">
        <f t="shared" si="14"/>
        <v>100</v>
      </c>
      <c r="R117" s="510">
        <f t="shared" si="15"/>
        <v>100</v>
      </c>
      <c r="S117" s="568"/>
      <c r="T117" s="568"/>
      <c r="U117" s="568"/>
      <c r="V117" s="568"/>
      <c r="W117" s="568"/>
      <c r="X117" s="568"/>
      <c r="Y117" s="568"/>
      <c r="Z117" s="568"/>
      <c r="AA117" s="568"/>
      <c r="AB117" s="568"/>
      <c r="AC117" s="568"/>
      <c r="AD117" s="568"/>
      <c r="AE117" s="568"/>
      <c r="AF117" s="568"/>
      <c r="AG117" s="568"/>
      <c r="AH117" s="568"/>
      <c r="AI117" s="568"/>
      <c r="AJ117" s="568"/>
      <c r="AK117" s="568"/>
      <c r="AL117" s="568"/>
      <c r="AM117" s="568"/>
      <c r="AN117" s="568"/>
      <c r="AO117" s="568"/>
    </row>
    <row r="118" spans="1:41" ht="15.75" customHeight="1">
      <c r="A118" s="512" t="s">
        <v>907</v>
      </c>
      <c r="B118" s="505">
        <f>('Pivot Table for Data Exchange'!$E$475)*100</f>
        <v>78.333005697810336</v>
      </c>
      <c r="C118" s="505">
        <f>('Pivot Table for Data Exchange'!$E$478)*100</f>
        <v>2.1617594992713283</v>
      </c>
      <c r="D118" s="506">
        <f>SUM(E118:G118)</f>
        <v>19.505234802918345</v>
      </c>
      <c r="E118" s="505">
        <f>('Pivot Table for Data Exchange'!$E$481)*100</f>
        <v>18.644137533773129</v>
      </c>
      <c r="F118" s="505">
        <f>('Pivot Table for Data Exchange'!$E$484)*100</f>
        <v>0.40736016693664845</v>
      </c>
      <c r="G118" s="515">
        <f>('Pivot Table for Data Exchange'!$E$487)*100</f>
        <v>0.45373710220856822</v>
      </c>
      <c r="H118" s="505">
        <f>('Pivot Table for Data Exchange'!$E$490)*100</f>
        <v>0</v>
      </c>
      <c r="I118" s="514" t="s">
        <v>907</v>
      </c>
      <c r="J118" s="505">
        <f>('Pivot Table for Data Exchange'!$E$493)*100</f>
        <v>42.780409014814381</v>
      </c>
      <c r="K118" s="505">
        <f>('Pivot Table for Data Exchange'!$E$496)*100</f>
        <v>3.1658969246774511</v>
      </c>
      <c r="L118" s="506">
        <f>SUM(M118:O118)</f>
        <v>54.053694060508164</v>
      </c>
      <c r="M118" s="505">
        <f>('Pivot Table for Data Exchange'!$E$499)*100</f>
        <v>52.671383264210782</v>
      </c>
      <c r="N118" s="505">
        <f>('Pivot Table for Data Exchange'!$E$502)*100</f>
        <v>0.43843045542366654</v>
      </c>
      <c r="O118" s="515">
        <f>('Pivot Table for Data Exchange'!$E$505)*100</f>
        <v>0.9438803408737203</v>
      </c>
      <c r="P118" s="505">
        <f>('Pivot Table for Data Exchange'!$E$508)*100</f>
        <v>0</v>
      </c>
      <c r="Q118" s="510">
        <f t="shared" si="14"/>
        <v>100</v>
      </c>
      <c r="R118" s="510">
        <f t="shared" si="15"/>
        <v>100</v>
      </c>
      <c r="S118" s="568"/>
      <c r="T118" s="568"/>
      <c r="U118" s="568"/>
      <c r="V118" s="568"/>
      <c r="W118" s="568"/>
      <c r="X118" s="568"/>
      <c r="Y118" s="568"/>
      <c r="Z118" s="568"/>
      <c r="AA118" s="568"/>
      <c r="AB118" s="568"/>
      <c r="AC118" s="568"/>
      <c r="AD118" s="568"/>
      <c r="AE118" s="568"/>
      <c r="AF118" s="568"/>
      <c r="AG118" s="568"/>
      <c r="AH118" s="568"/>
      <c r="AI118" s="568"/>
      <c r="AJ118" s="568"/>
      <c r="AK118" s="568"/>
      <c r="AL118" s="568"/>
      <c r="AM118" s="568"/>
      <c r="AN118" s="568"/>
      <c r="AO118" s="568"/>
    </row>
    <row r="119" spans="1:41" ht="15.75" customHeight="1">
      <c r="A119" s="512" t="s">
        <v>908</v>
      </c>
      <c r="B119" s="505">
        <f>('Pivot Table for Data Exchange'!$E$511)*100</f>
        <v>91.063317394485153</v>
      </c>
      <c r="C119" s="505">
        <f>('Pivot Table for Data Exchange'!$E$514)*100</f>
        <v>1.755119383550978</v>
      </c>
      <c r="D119" s="506">
        <f>SUM(E119:G119)</f>
        <v>7.1815632219638701</v>
      </c>
      <c r="E119" s="505">
        <f>('Pivot Table for Data Exchange'!$E$517)*100</f>
        <v>7.0280702976750362</v>
      </c>
      <c r="F119" s="505">
        <f>('Pivot Table for Data Exchange'!$E$520)*100</f>
        <v>0.15349292428883352</v>
      </c>
      <c r="G119" s="515">
        <f>('Pivot Table for Data Exchange'!$E$523)*100</f>
        <v>0</v>
      </c>
      <c r="H119" s="505">
        <f>('Pivot Table for Data Exchange'!$E$526)*100</f>
        <v>0</v>
      </c>
      <c r="I119" s="514" t="s">
        <v>908</v>
      </c>
      <c r="J119" s="505">
        <f>('Pivot Table for Data Exchange'!$E$529)*100</f>
        <v>70.99176504463</v>
      </c>
      <c r="K119" s="505">
        <f>('Pivot Table for Data Exchange'!$E$532)*100</f>
        <v>9.5801900374316151</v>
      </c>
      <c r="L119" s="506">
        <f>SUM(M119:O119)</f>
        <v>19.428044917938379</v>
      </c>
      <c r="M119" s="505">
        <f>('Pivot Table for Data Exchange'!$E$535)*100</f>
        <v>17.298473941837027</v>
      </c>
      <c r="N119" s="505">
        <f>('Pivot Table for Data Exchange'!$E$538)*100</f>
        <v>2.1295709761013533</v>
      </c>
      <c r="O119" s="515">
        <f>('Pivot Table for Data Exchange'!$E$541)*100</f>
        <v>0</v>
      </c>
      <c r="P119" s="505">
        <f>('Pivot Table for Data Exchange'!$E$544)*100</f>
        <v>0</v>
      </c>
      <c r="Q119" s="510">
        <f t="shared" si="14"/>
        <v>100</v>
      </c>
      <c r="R119" s="510">
        <f t="shared" si="15"/>
        <v>100</v>
      </c>
      <c r="S119" s="568"/>
      <c r="T119" s="568"/>
      <c r="U119" s="568"/>
      <c r="V119" s="568"/>
      <c r="W119" s="568"/>
      <c r="X119" s="568"/>
      <c r="Y119" s="568"/>
      <c r="Z119" s="568"/>
      <c r="AA119" s="568"/>
      <c r="AB119" s="568"/>
      <c r="AC119" s="568"/>
      <c r="AD119" s="568"/>
      <c r="AE119" s="568"/>
      <c r="AF119" s="568"/>
      <c r="AG119" s="568"/>
      <c r="AH119" s="568"/>
      <c r="AI119" s="568"/>
      <c r="AJ119" s="568"/>
      <c r="AK119" s="568"/>
      <c r="AL119" s="568"/>
      <c r="AM119" s="568"/>
      <c r="AN119" s="568"/>
      <c r="AO119" s="568"/>
    </row>
    <row r="120" spans="1:41" ht="15.75" customHeight="1">
      <c r="A120" s="484" t="s">
        <v>909</v>
      </c>
      <c r="B120" s="520">
        <f>('Pivot Table for Data Exchange'!$E$547)*100</f>
        <v>77.082781732493132</v>
      </c>
      <c r="C120" s="520">
        <f>('Pivot Table for Data Exchange'!$E$550)*100</f>
        <v>8.3443653501373021</v>
      </c>
      <c r="D120" s="521">
        <f>SUM(E120:G120)</f>
        <v>14.572852917369563</v>
      </c>
      <c r="E120" s="520">
        <f>('Pivot Table for Data Exchange'!$E$553)*100</f>
        <v>13.199839625995718</v>
      </c>
      <c r="F120" s="520">
        <f>('Pivot Table for Data Exchange'!$E$556)*100</f>
        <v>1.3730132913738453</v>
      </c>
      <c r="G120" s="522">
        <f>('Pivot Table for Data Exchange'!$E$559)*100</f>
        <v>0</v>
      </c>
      <c r="H120" s="520">
        <f>('Pivot Table for Data Exchange'!$E$562)*100</f>
        <v>0</v>
      </c>
      <c r="I120" s="523" t="s">
        <v>909</v>
      </c>
      <c r="J120" s="520">
        <f>('Pivot Table for Data Exchange'!$E$565)*100</f>
        <v>52.219120328167733</v>
      </c>
      <c r="K120" s="520">
        <f>('Pivot Table for Data Exchange'!$E$568)*100</f>
        <v>25.15525296262534</v>
      </c>
      <c r="L120" s="521">
        <f>SUM(M120:O120)</f>
        <v>22.625626709206927</v>
      </c>
      <c r="M120" s="520">
        <f>('Pivot Table for Data Exchange'!$E$571)*100</f>
        <v>21.422060164083863</v>
      </c>
      <c r="N120" s="520">
        <f>('Pivot Table for Data Exchange'!$E$574)*100</f>
        <v>1.2035665451230628</v>
      </c>
      <c r="O120" s="522">
        <f>('Pivot Table for Data Exchange'!$E$577)*100</f>
        <v>0</v>
      </c>
      <c r="P120" s="520">
        <f>('Pivot Table for Data Exchange'!$E$580)*100</f>
        <v>0</v>
      </c>
      <c r="Q120" s="510">
        <f t="shared" si="14"/>
        <v>99.999999999999986</v>
      </c>
      <c r="R120" s="510">
        <f t="shared" si="15"/>
        <v>100</v>
      </c>
      <c r="S120" s="568"/>
      <c r="T120" s="568"/>
      <c r="U120" s="568"/>
      <c r="V120" s="568"/>
      <c r="W120" s="568"/>
      <c r="X120" s="568"/>
      <c r="Y120" s="568"/>
      <c r="Z120" s="568"/>
      <c r="AA120" s="568"/>
      <c r="AB120" s="568"/>
      <c r="AC120" s="568"/>
      <c r="AD120" s="568"/>
      <c r="AE120" s="568"/>
      <c r="AF120" s="568"/>
      <c r="AG120" s="568"/>
      <c r="AH120" s="568"/>
      <c r="AI120" s="568"/>
      <c r="AJ120" s="568"/>
      <c r="AK120" s="568"/>
      <c r="AL120" s="568"/>
      <c r="AM120" s="568"/>
      <c r="AN120" s="568"/>
      <c r="AO120" s="568"/>
    </row>
    <row r="121" spans="1:41" s="571" customFormat="1" ht="13.5" customHeight="1">
      <c r="A121" s="525" t="s">
        <v>937</v>
      </c>
      <c r="B121" s="526"/>
      <c r="C121" s="526"/>
      <c r="D121" s="527"/>
      <c r="E121" s="526"/>
      <c r="F121" s="527"/>
      <c r="G121" s="527"/>
      <c r="H121" s="526"/>
      <c r="I121" s="525" t="s">
        <v>937</v>
      </c>
      <c r="J121" s="526"/>
      <c r="K121" s="526"/>
      <c r="L121" s="527"/>
      <c r="M121" s="526"/>
      <c r="N121" s="527"/>
      <c r="O121" s="527"/>
      <c r="P121" s="526"/>
      <c r="Q121" s="510">
        <f t="shared" si="14"/>
        <v>0</v>
      </c>
      <c r="R121" s="510">
        <f t="shared" si="15"/>
        <v>0</v>
      </c>
      <c r="S121" s="572"/>
      <c r="T121" s="572"/>
      <c r="U121" s="572"/>
      <c r="V121" s="572"/>
      <c r="W121" s="572"/>
      <c r="X121" s="572"/>
      <c r="Y121" s="572"/>
      <c r="Z121" s="572"/>
      <c r="AA121" s="572"/>
      <c r="AB121" s="572"/>
      <c r="AC121" s="572"/>
      <c r="AD121" s="572"/>
      <c r="AE121" s="572"/>
      <c r="AF121" s="572"/>
      <c r="AG121" s="572"/>
      <c r="AH121" s="572"/>
      <c r="AI121" s="572"/>
      <c r="AJ121" s="572"/>
      <c r="AK121" s="572"/>
      <c r="AL121" s="572"/>
      <c r="AM121" s="572"/>
      <c r="AN121" s="572"/>
      <c r="AO121" s="572"/>
    </row>
    <row r="122" spans="1:41" s="571" customFormat="1" ht="26.25" customHeight="1">
      <c r="A122" s="655" t="s">
        <v>943</v>
      </c>
      <c r="B122" s="668"/>
      <c r="C122" s="668"/>
      <c r="D122" s="668"/>
      <c r="E122" s="668"/>
      <c r="F122" s="668"/>
      <c r="G122" s="668"/>
      <c r="H122" s="668"/>
      <c r="I122" s="655" t="s">
        <v>943</v>
      </c>
      <c r="J122" s="668"/>
      <c r="K122" s="668"/>
      <c r="L122" s="668"/>
      <c r="M122" s="668"/>
      <c r="N122" s="668"/>
      <c r="O122" s="668"/>
      <c r="P122" s="668"/>
      <c r="Q122" s="510">
        <f t="shared" si="14"/>
        <v>0</v>
      </c>
      <c r="R122" s="510">
        <f t="shared" si="15"/>
        <v>0</v>
      </c>
      <c r="S122" s="572"/>
      <c r="T122" s="572"/>
      <c r="U122" s="572"/>
      <c r="V122" s="572"/>
      <c r="W122" s="572"/>
      <c r="X122" s="572"/>
      <c r="Y122" s="572"/>
      <c r="Z122" s="572"/>
      <c r="AA122" s="572"/>
      <c r="AB122" s="572"/>
      <c r="AC122" s="572"/>
      <c r="AD122" s="572"/>
      <c r="AE122" s="572"/>
      <c r="AF122" s="572"/>
      <c r="AG122" s="572"/>
      <c r="AH122" s="572"/>
      <c r="AI122" s="572"/>
      <c r="AJ122" s="572"/>
      <c r="AK122" s="572"/>
      <c r="AL122" s="572"/>
      <c r="AM122" s="572"/>
      <c r="AN122" s="572"/>
      <c r="AO122" s="572"/>
    </row>
    <row r="123" spans="1:41" s="571" customFormat="1" ht="13.5" customHeight="1">
      <c r="A123" s="538"/>
      <c r="B123" s="539"/>
      <c r="C123" s="524"/>
      <c r="D123" s="524"/>
      <c r="E123" s="524"/>
      <c r="F123" s="524"/>
      <c r="G123" s="524"/>
      <c r="H123" s="540"/>
      <c r="I123" s="538"/>
      <c r="J123" s="524"/>
      <c r="K123" s="524"/>
      <c r="L123" s="524"/>
      <c r="M123" s="524"/>
      <c r="N123" s="524"/>
      <c r="O123" s="524"/>
      <c r="P123" s="541"/>
      <c r="Q123" s="510">
        <f t="shared" si="14"/>
        <v>0</v>
      </c>
      <c r="R123" s="510">
        <f t="shared" si="15"/>
        <v>0</v>
      </c>
    </row>
    <row r="124" spans="1:41" s="571" customFormat="1" ht="13.5" customHeight="1">
      <c r="A124" s="524"/>
      <c r="B124" s="524"/>
      <c r="C124" s="524"/>
      <c r="D124" s="524"/>
      <c r="E124" s="524"/>
      <c r="F124" s="524"/>
      <c r="G124" s="524"/>
      <c r="H124" s="532" t="s">
        <v>1015</v>
      </c>
      <c r="I124" s="538"/>
      <c r="J124" s="524"/>
      <c r="K124" s="524"/>
      <c r="L124" s="524"/>
      <c r="M124" s="524"/>
      <c r="N124" s="524"/>
      <c r="O124" s="524"/>
      <c r="P124" s="532" t="s">
        <v>1015</v>
      </c>
      <c r="Q124" s="510">
        <f t="shared" si="14"/>
        <v>0</v>
      </c>
      <c r="R124" s="510">
        <f t="shared" si="15"/>
        <v>0</v>
      </c>
    </row>
    <row r="125" spans="1:41" ht="18">
      <c r="A125" s="472" t="s">
        <v>944</v>
      </c>
      <c r="B125" s="473"/>
      <c r="C125" s="473"/>
      <c r="D125" s="473"/>
      <c r="E125" s="473"/>
      <c r="F125" s="473"/>
      <c r="G125" s="473"/>
      <c r="H125" s="474"/>
      <c r="I125" s="472" t="s">
        <v>945</v>
      </c>
      <c r="J125" s="475"/>
      <c r="K125" s="475"/>
      <c r="L125" s="473"/>
      <c r="M125" s="475"/>
      <c r="N125" s="475"/>
      <c r="O125" s="475"/>
      <c r="P125" s="475"/>
      <c r="Q125" s="510">
        <f t="shared" si="14"/>
        <v>0</v>
      </c>
      <c r="R125" s="510">
        <f t="shared" si="15"/>
        <v>0</v>
      </c>
    </row>
    <row r="126" spans="1:41">
      <c r="A126" s="479"/>
      <c r="B126" s="475"/>
      <c r="C126" s="475"/>
      <c r="D126" s="475"/>
      <c r="E126" s="475"/>
      <c r="F126" s="475"/>
      <c r="G126" s="475"/>
      <c r="H126" s="480"/>
      <c r="I126" s="479"/>
      <c r="J126" s="475"/>
      <c r="K126" s="475"/>
      <c r="L126" s="475"/>
      <c r="M126" s="475"/>
      <c r="N126" s="475"/>
      <c r="O126" s="475"/>
      <c r="P126" s="475"/>
      <c r="Q126" s="510">
        <f t="shared" si="14"/>
        <v>0</v>
      </c>
      <c r="R126" s="510">
        <f t="shared" si="15"/>
        <v>0</v>
      </c>
    </row>
    <row r="127" spans="1:41" ht="15.75">
      <c r="A127" s="481" t="s">
        <v>917</v>
      </c>
      <c r="B127" s="475"/>
      <c r="C127" s="475"/>
      <c r="D127" s="475"/>
      <c r="E127" s="475"/>
      <c r="F127" s="475"/>
      <c r="G127" s="475"/>
      <c r="H127" s="480"/>
      <c r="I127" s="481" t="s">
        <v>918</v>
      </c>
      <c r="J127" s="475"/>
      <c r="K127" s="475"/>
      <c r="L127" s="475"/>
      <c r="M127" s="475"/>
      <c r="N127" s="475"/>
      <c r="O127" s="475"/>
      <c r="P127" s="475"/>
      <c r="Q127" s="510">
        <f t="shared" si="14"/>
        <v>0</v>
      </c>
      <c r="R127" s="510">
        <f t="shared" si="15"/>
        <v>0</v>
      </c>
    </row>
    <row r="128" spans="1:41" ht="15.75">
      <c r="A128" s="481" t="s">
        <v>1004</v>
      </c>
      <c r="B128" s="475"/>
      <c r="C128" s="475"/>
      <c r="D128" s="475"/>
      <c r="E128" s="475"/>
      <c r="F128" s="475"/>
      <c r="G128" s="475"/>
      <c r="H128" s="480"/>
      <c r="I128" s="481" t="s">
        <v>1004</v>
      </c>
      <c r="J128" s="475"/>
      <c r="K128" s="475"/>
      <c r="L128" s="475"/>
      <c r="M128" s="475"/>
      <c r="N128" s="475"/>
      <c r="O128" s="475"/>
      <c r="P128" s="475"/>
      <c r="Q128" s="510">
        <f t="shared" si="14"/>
        <v>0</v>
      </c>
      <c r="R128" s="510">
        <f t="shared" si="15"/>
        <v>0</v>
      </c>
    </row>
    <row r="129" spans="1:41">
      <c r="A129" s="484"/>
      <c r="B129" s="485"/>
      <c r="C129" s="485"/>
      <c r="D129" s="485"/>
      <c r="E129" s="485"/>
      <c r="F129" s="485"/>
      <c r="G129" s="485"/>
      <c r="H129" s="485"/>
      <c r="I129" s="486"/>
      <c r="L129" s="487"/>
      <c r="P129" s="484"/>
      <c r="Q129" s="510">
        <f t="shared" si="14"/>
        <v>0</v>
      </c>
      <c r="R129" s="510">
        <f t="shared" si="15"/>
        <v>0</v>
      </c>
    </row>
    <row r="130" spans="1:41" s="503" customFormat="1">
      <c r="A130" s="489"/>
      <c r="B130" s="490" t="s">
        <v>919</v>
      </c>
      <c r="C130" s="490"/>
      <c r="D130" s="490"/>
      <c r="E130" s="490"/>
      <c r="F130" s="490"/>
      <c r="G130" s="490"/>
      <c r="H130" s="491"/>
      <c r="I130" s="489"/>
      <c r="J130" s="490" t="s">
        <v>919</v>
      </c>
      <c r="K130" s="490"/>
      <c r="L130" s="490"/>
      <c r="M130" s="490"/>
      <c r="N130" s="490"/>
      <c r="O130" s="490"/>
      <c r="P130" s="491"/>
      <c r="Q130" s="510">
        <f t="shared" si="14"/>
        <v>0</v>
      </c>
      <c r="R130" s="510">
        <f t="shared" si="15"/>
        <v>0</v>
      </c>
    </row>
    <row r="131" spans="1:41" s="503" customFormat="1">
      <c r="A131" s="489"/>
      <c r="B131" s="490" t="s">
        <v>920</v>
      </c>
      <c r="C131" s="490"/>
      <c r="D131" s="659" t="s">
        <v>921</v>
      </c>
      <c r="E131" s="657"/>
      <c r="F131" s="657"/>
      <c r="G131" s="657"/>
      <c r="H131" s="495" t="s">
        <v>320</v>
      </c>
      <c r="I131" s="489"/>
      <c r="J131" s="490" t="s">
        <v>920</v>
      </c>
      <c r="K131" s="490"/>
      <c r="L131" s="659" t="s">
        <v>921</v>
      </c>
      <c r="M131" s="657"/>
      <c r="N131" s="657"/>
      <c r="O131" s="657"/>
      <c r="P131" s="495" t="s">
        <v>320</v>
      </c>
      <c r="Q131" s="510">
        <f t="shared" si="14"/>
        <v>0</v>
      </c>
      <c r="R131" s="510">
        <f t="shared" si="15"/>
        <v>0</v>
      </c>
    </row>
    <row r="132" spans="1:41" s="503" customFormat="1" ht="40.5" customHeight="1">
      <c r="A132" s="489"/>
      <c r="B132" s="496" t="s">
        <v>922</v>
      </c>
      <c r="C132" s="497" t="s">
        <v>923</v>
      </c>
      <c r="D132" s="498" t="s">
        <v>924</v>
      </c>
      <c r="E132" s="499" t="s">
        <v>10</v>
      </c>
      <c r="F132" s="496" t="s">
        <v>925</v>
      </c>
      <c r="G132" s="500" t="s">
        <v>935</v>
      </c>
      <c r="H132" s="501" t="s">
        <v>927</v>
      </c>
      <c r="I132" s="489"/>
      <c r="J132" s="496" t="s">
        <v>922</v>
      </c>
      <c r="K132" s="497" t="s">
        <v>923</v>
      </c>
      <c r="L132" s="498" t="s">
        <v>924</v>
      </c>
      <c r="M132" s="499" t="s">
        <v>10</v>
      </c>
      <c r="N132" s="496" t="s">
        <v>925</v>
      </c>
      <c r="O132" s="500" t="s">
        <v>935</v>
      </c>
      <c r="P132" s="501" t="s">
        <v>927</v>
      </c>
      <c r="Q132" s="510">
        <f t="shared" si="14"/>
        <v>0</v>
      </c>
      <c r="R132" s="510">
        <f t="shared" si="15"/>
        <v>0</v>
      </c>
      <c r="T132" s="502"/>
    </row>
    <row r="133" spans="1:41" ht="15.75" customHeight="1">
      <c r="A133" s="534" t="s">
        <v>894</v>
      </c>
      <c r="B133" s="567">
        <f>('Pivot Table for Data Exchange'!$F$7)*100</f>
        <v>85.787921955787652</v>
      </c>
      <c r="C133" s="505">
        <f>('Pivot Table for Data Exchange'!$F$10)*100</f>
        <v>7.4996726333374342E-2</v>
      </c>
      <c r="D133" s="506">
        <f>SUM(E133:G133)</f>
        <v>14.137081317878982</v>
      </c>
      <c r="E133" s="505">
        <f>('Pivot Table for Data Exchange'!$F$13)*100</f>
        <v>14.137081317878982</v>
      </c>
      <c r="F133" s="505">
        <f>('Pivot Table for Data Exchange'!$F$16)*100</f>
        <v>0</v>
      </c>
      <c r="G133" s="509">
        <f>('Pivot Table for Data Exchange'!$F$19)*100</f>
        <v>0</v>
      </c>
      <c r="H133" s="505">
        <f>('Pivot Table for Data Exchange'!$F$22)*100</f>
        <v>0</v>
      </c>
      <c r="I133" s="508" t="s">
        <v>894</v>
      </c>
      <c r="J133" s="505">
        <f>('Pivot Table for Data Exchange'!$F$25)*100</f>
        <v>68.261662109536829</v>
      </c>
      <c r="K133" s="505">
        <f>('Pivot Table for Data Exchange'!$F$28)*100</f>
        <v>0</v>
      </c>
      <c r="L133" s="506">
        <f>SUM(M133:O133)</f>
        <v>31.738337890463171</v>
      </c>
      <c r="M133" s="505">
        <f>('Pivot Table for Data Exchange'!$F$31)*100</f>
        <v>31.738337890463171</v>
      </c>
      <c r="N133" s="505">
        <f>('Pivot Table for Data Exchange'!$F$34)*100</f>
        <v>0</v>
      </c>
      <c r="O133" s="509">
        <f>('Pivot Table for Data Exchange'!$F$37)*100</f>
        <v>0</v>
      </c>
      <c r="P133" s="505">
        <f>('Pivot Table for Data Exchange'!$F$40)*100</f>
        <v>0</v>
      </c>
      <c r="Q133" s="510">
        <f t="shared" si="14"/>
        <v>100</v>
      </c>
      <c r="R133" s="510">
        <f t="shared" si="15"/>
        <v>100</v>
      </c>
      <c r="S133" s="568"/>
      <c r="T133" s="568"/>
      <c r="U133" s="568"/>
      <c r="V133" s="568"/>
      <c r="W133" s="568"/>
      <c r="X133" s="568"/>
      <c r="Y133" s="568"/>
      <c r="Z133" s="568"/>
      <c r="AA133" s="568"/>
      <c r="AB133" s="568"/>
      <c r="AC133" s="568"/>
      <c r="AD133" s="568"/>
      <c r="AE133" s="568"/>
      <c r="AF133" s="568"/>
      <c r="AG133" s="568"/>
      <c r="AH133" s="568"/>
      <c r="AI133" s="568"/>
      <c r="AJ133" s="568"/>
      <c r="AK133" s="568"/>
      <c r="AL133" s="568"/>
      <c r="AM133" s="568"/>
      <c r="AN133" s="568"/>
      <c r="AO133" s="568"/>
    </row>
    <row r="134" spans="1:41" ht="15.75" customHeight="1">
      <c r="A134" s="512" t="s">
        <v>895</v>
      </c>
      <c r="B134" s="505">
        <f>('Pivot Table for Data Exchange'!$F$43)*100</f>
        <v>75.436145491817669</v>
      </c>
      <c r="C134" s="505">
        <f>('Pivot Table for Data Exchange'!$F$46)*100</f>
        <v>2.7042775605338352</v>
      </c>
      <c r="D134" s="506">
        <f t="shared" ref="D134:D136" si="20">SUM(E134:G134)</f>
        <v>21.859576947648502</v>
      </c>
      <c r="E134" s="505">
        <f>('Pivot Table for Data Exchange'!$F$49)*100</f>
        <v>21.859576947648502</v>
      </c>
      <c r="F134" s="519">
        <f>('Pivot Table for Data Exchange'!$F$52)*100</f>
        <v>0</v>
      </c>
      <c r="G134" s="515">
        <f>('Pivot Table for Data Exchange'!$F$55)*100</f>
        <v>0</v>
      </c>
      <c r="H134" s="505">
        <f>('Pivot Table for Data Exchange'!$F$58)*100</f>
        <v>0</v>
      </c>
      <c r="I134" s="514" t="s">
        <v>895</v>
      </c>
      <c r="J134" s="505">
        <f>('Pivot Table for Data Exchange'!$F$61)*100</f>
        <v>19.168274743406887</v>
      </c>
      <c r="K134" s="505">
        <f>('Pivot Table for Data Exchange'!$F$64)*100</f>
        <v>7.7187683530497528</v>
      </c>
      <c r="L134" s="506">
        <f t="shared" ref="L134:L136" si="21">SUM(M134:O134)</f>
        <v>73.112956903543363</v>
      </c>
      <c r="M134" s="505">
        <f>('Pivot Table for Data Exchange'!$F$67)*100</f>
        <v>73.112956903543363</v>
      </c>
      <c r="N134" s="505">
        <f>('Pivot Table for Data Exchange'!$F$70)*100</f>
        <v>0</v>
      </c>
      <c r="O134" s="515">
        <f>('Pivot Table for Data Exchange'!$F$73)*100</f>
        <v>0</v>
      </c>
      <c r="P134" s="505">
        <f>('Pivot Table for Data Exchange'!$F$76)*100</f>
        <v>0</v>
      </c>
      <c r="Q134" s="510">
        <f t="shared" si="14"/>
        <v>100.00000000000001</v>
      </c>
      <c r="R134" s="510">
        <f t="shared" si="15"/>
        <v>100</v>
      </c>
      <c r="S134" s="568"/>
      <c r="T134" s="568"/>
      <c r="U134" s="568"/>
      <c r="V134" s="568"/>
      <c r="W134" s="568"/>
      <c r="X134" s="568"/>
      <c r="Y134" s="568"/>
      <c r="Z134" s="568"/>
      <c r="AA134" s="568"/>
      <c r="AB134" s="568"/>
      <c r="AC134" s="568"/>
      <c r="AD134" s="568"/>
      <c r="AE134" s="568"/>
      <c r="AF134" s="568"/>
      <c r="AG134" s="568"/>
      <c r="AH134" s="568"/>
      <c r="AI134" s="568"/>
      <c r="AJ134" s="568"/>
      <c r="AK134" s="568"/>
      <c r="AL134" s="568"/>
      <c r="AM134" s="568"/>
      <c r="AN134" s="568"/>
      <c r="AO134" s="568"/>
    </row>
    <row r="135" spans="1:41" ht="15.75" customHeight="1">
      <c r="A135" s="512" t="s">
        <v>896</v>
      </c>
      <c r="B135" s="505">
        <f>('Pivot Table for Data Exchange'!$F$79)*100</f>
        <v>0</v>
      </c>
      <c r="C135" s="505">
        <f>('Pivot Table for Data Exchange'!$F$82)*100</f>
        <v>0</v>
      </c>
      <c r="D135" s="506">
        <f t="shared" si="20"/>
        <v>0</v>
      </c>
      <c r="E135" s="505">
        <f>('Pivot Table for Data Exchange'!$F$85)*100</f>
        <v>0</v>
      </c>
      <c r="F135" s="505">
        <f>('Pivot Table for Data Exchange'!$F$88)*100</f>
        <v>0</v>
      </c>
      <c r="G135" s="515">
        <f>('Pivot Table for Data Exchange'!$F$91)*100</f>
        <v>0</v>
      </c>
      <c r="H135" s="505">
        <f>('Pivot Table for Data Exchange'!$F$94)*100</f>
        <v>0</v>
      </c>
      <c r="I135" s="514" t="s">
        <v>896</v>
      </c>
      <c r="J135" s="505">
        <f>('Pivot Table for Data Exchange'!$F$97)*100</f>
        <v>0</v>
      </c>
      <c r="K135" s="505">
        <f>('Pivot Table for Data Exchange'!$F$100)*100</f>
        <v>0</v>
      </c>
      <c r="L135" s="506">
        <f t="shared" si="21"/>
        <v>0</v>
      </c>
      <c r="M135" s="505">
        <f>('Pivot Table for Data Exchange'!$F$103)*100</f>
        <v>0</v>
      </c>
      <c r="N135" s="505">
        <f>('Pivot Table for Data Exchange'!$F$106)*100</f>
        <v>0</v>
      </c>
      <c r="O135" s="515">
        <f>('Pivot Table for Data Exchange'!$F$109)*100</f>
        <v>0</v>
      </c>
      <c r="P135" s="505">
        <f>('Pivot Table for Data Exchange'!$F$112)*100</f>
        <v>0</v>
      </c>
      <c r="Q135" s="510">
        <f t="shared" si="14"/>
        <v>0</v>
      </c>
      <c r="R135" s="510">
        <f t="shared" si="15"/>
        <v>0</v>
      </c>
      <c r="S135" s="568"/>
      <c r="T135" s="573"/>
      <c r="U135" s="568"/>
      <c r="V135" s="568"/>
      <c r="W135" s="568"/>
      <c r="X135" s="568"/>
      <c r="Y135" s="568"/>
      <c r="Z135" s="568"/>
      <c r="AA135" s="568"/>
      <c r="AB135" s="568"/>
      <c r="AC135" s="568"/>
      <c r="AD135" s="568"/>
      <c r="AE135" s="568"/>
      <c r="AF135" s="568"/>
      <c r="AG135" s="568"/>
      <c r="AH135" s="568"/>
      <c r="AI135" s="568"/>
      <c r="AJ135" s="568"/>
      <c r="AK135" s="568"/>
      <c r="AL135" s="568"/>
      <c r="AM135" s="568"/>
      <c r="AN135" s="568"/>
      <c r="AO135" s="568"/>
    </row>
    <row r="136" spans="1:41" ht="15.75" customHeight="1">
      <c r="A136" s="512" t="s">
        <v>936</v>
      </c>
      <c r="B136" s="505">
        <f>('Pivot Table for Data Exchange'!$F$115)*100</f>
        <v>77.501082413399857</v>
      </c>
      <c r="C136" s="505">
        <f>('Pivot Table for Data Exchange'!$F$118)*100</f>
        <v>2.3408427826372402</v>
      </c>
      <c r="D136" s="506">
        <f t="shared" si="20"/>
        <v>20.158074803962904</v>
      </c>
      <c r="E136" s="505">
        <f>('Pivot Table for Data Exchange'!$F$121)*100</f>
        <v>20.158074803962904</v>
      </c>
      <c r="F136" s="516">
        <f>('Pivot Table for Data Exchange'!$F$124)*100</f>
        <v>0</v>
      </c>
      <c r="G136" s="518">
        <f>('Pivot Table for Data Exchange'!$F$127)*100</f>
        <v>0</v>
      </c>
      <c r="H136" s="505">
        <f>('Pivot Table for Data Exchange'!$F$130)*100</f>
        <v>0</v>
      </c>
      <c r="I136" s="514" t="s">
        <v>936</v>
      </c>
      <c r="J136" s="505">
        <f>('Pivot Table for Data Exchange'!$F$133)*100</f>
        <v>56.540529674858028</v>
      </c>
      <c r="K136" s="505">
        <f>('Pivot Table for Data Exchange'!$F$136)*100</f>
        <v>12.201618171767425</v>
      </c>
      <c r="L136" s="506">
        <f t="shared" si="21"/>
        <v>31.257852153374543</v>
      </c>
      <c r="M136" s="505">
        <f>('Pivot Table for Data Exchange'!$F$139)*100</f>
        <v>31.257852153374543</v>
      </c>
      <c r="N136" s="505">
        <f>('Pivot Table for Data Exchange'!$F$142)*100</f>
        <v>0</v>
      </c>
      <c r="O136" s="515">
        <f>('Pivot Table for Data Exchange'!$F$145)*100</f>
        <v>0</v>
      </c>
      <c r="P136" s="505">
        <f>('Pivot Table for Data Exchange'!$F$148)*100</f>
        <v>0</v>
      </c>
      <c r="Q136" s="510">
        <f t="shared" si="14"/>
        <v>100</v>
      </c>
      <c r="R136" s="510">
        <f t="shared" si="15"/>
        <v>100</v>
      </c>
      <c r="S136" s="568"/>
      <c r="U136" s="568"/>
      <c r="V136" s="568"/>
      <c r="W136" s="568"/>
      <c r="X136" s="568"/>
      <c r="Y136" s="568"/>
      <c r="Z136" s="568"/>
      <c r="AA136" s="568"/>
      <c r="AB136" s="568"/>
      <c r="AC136" s="568"/>
      <c r="AD136" s="568"/>
      <c r="AE136" s="568"/>
      <c r="AF136" s="568"/>
      <c r="AG136" s="568"/>
      <c r="AH136" s="568"/>
      <c r="AI136" s="568"/>
      <c r="AJ136" s="568"/>
      <c r="AK136" s="568"/>
      <c r="AL136" s="568"/>
      <c r="AM136" s="568"/>
      <c r="AN136" s="568"/>
      <c r="AO136" s="568"/>
    </row>
    <row r="137" spans="1:41" ht="15.75" customHeight="1">
      <c r="A137" s="512"/>
      <c r="B137" s="505"/>
      <c r="C137" s="505"/>
      <c r="D137" s="506"/>
      <c r="E137" s="505"/>
      <c r="F137" s="505"/>
      <c r="G137" s="515"/>
      <c r="H137" s="505"/>
      <c r="I137" s="514"/>
      <c r="J137" s="505"/>
      <c r="K137" s="505"/>
      <c r="L137" s="506"/>
      <c r="M137" s="505"/>
      <c r="N137" s="505"/>
      <c r="O137" s="515"/>
      <c r="P137" s="505"/>
      <c r="Q137" s="510">
        <f t="shared" si="14"/>
        <v>0</v>
      </c>
      <c r="R137" s="510">
        <f t="shared" si="15"/>
        <v>0</v>
      </c>
      <c r="S137" s="568"/>
      <c r="U137" s="568"/>
      <c r="V137" s="568"/>
      <c r="W137" s="568"/>
      <c r="X137" s="568"/>
      <c r="Y137" s="568"/>
      <c r="Z137" s="568"/>
      <c r="AA137" s="568"/>
      <c r="AB137" s="568"/>
      <c r="AC137" s="568"/>
      <c r="AD137" s="568"/>
      <c r="AE137" s="568"/>
      <c r="AF137" s="568"/>
      <c r="AG137" s="568"/>
      <c r="AH137" s="568"/>
      <c r="AI137" s="568"/>
      <c r="AJ137" s="568"/>
      <c r="AK137" s="568"/>
      <c r="AL137" s="568"/>
      <c r="AM137" s="568"/>
      <c r="AN137" s="568"/>
      <c r="AO137" s="568"/>
    </row>
    <row r="138" spans="1:41" ht="15.75" customHeight="1">
      <c r="A138" s="512" t="s">
        <v>898</v>
      </c>
      <c r="B138" s="505">
        <f>('Pivot Table for Data Exchange'!$F$151)*100</f>
        <v>83.885205970080335</v>
      </c>
      <c r="C138" s="505">
        <f>('Pivot Table for Data Exchange'!$F$154)*100</f>
        <v>2.0088702706680768</v>
      </c>
      <c r="D138" s="506">
        <f t="shared" ref="D138:D139" si="22">SUM(E138:G138)</f>
        <v>14.10592375925159</v>
      </c>
      <c r="E138" s="505">
        <f>('Pivot Table for Data Exchange'!$F$157)*100</f>
        <v>13.972876914352176</v>
      </c>
      <c r="F138" s="519">
        <f>('Pivot Table for Data Exchange'!$F$160)*100</f>
        <v>2.8283277223736598E-2</v>
      </c>
      <c r="G138" s="515">
        <f>('Pivot Table for Data Exchange'!$F$163)*100</f>
        <v>0.1047635676756774</v>
      </c>
      <c r="H138" s="516">
        <f>('Pivot Table for Data Exchange'!$F$166)*100</f>
        <v>0</v>
      </c>
      <c r="I138" s="514" t="s">
        <v>898</v>
      </c>
      <c r="J138" s="505">
        <f>('Pivot Table for Data Exchange'!$F$169)*100</f>
        <v>74.240044709494398</v>
      </c>
      <c r="K138" s="505">
        <f>('Pivot Table for Data Exchange'!$F$172)*100</f>
        <v>8.1545307271659695</v>
      </c>
      <c r="L138" s="506">
        <f t="shared" ref="L138:L139" si="23">SUM(M138:O138)</f>
        <v>17.605424563339628</v>
      </c>
      <c r="M138" s="505">
        <f>('Pivot Table for Data Exchange'!$F$175)*100</f>
        <v>17.595874275769859</v>
      </c>
      <c r="N138" s="516">
        <f>('Pivot Table for Data Exchange'!$F$178)*100</f>
        <v>0</v>
      </c>
      <c r="O138" s="515">
        <f>('Pivot Table for Data Exchange'!$F$181)*100</f>
        <v>9.5502875697701557E-3</v>
      </c>
      <c r="P138" s="505">
        <f>('Pivot Table for Data Exchange'!$F$184)*100</f>
        <v>0</v>
      </c>
      <c r="Q138" s="510">
        <f t="shared" si="14"/>
        <v>100.00000000000001</v>
      </c>
      <c r="R138" s="510">
        <f t="shared" si="15"/>
        <v>100</v>
      </c>
      <c r="S138" s="568"/>
      <c r="T138" s="568"/>
      <c r="U138" s="568"/>
      <c r="V138" s="568"/>
      <c r="W138" s="568"/>
      <c r="X138" s="568"/>
      <c r="Y138" s="568"/>
      <c r="Z138" s="568"/>
      <c r="AA138" s="568"/>
      <c r="AB138" s="568"/>
      <c r="AC138" s="568"/>
      <c r="AD138" s="568"/>
      <c r="AE138" s="568"/>
      <c r="AF138" s="568"/>
      <c r="AG138" s="568"/>
      <c r="AH138" s="568"/>
      <c r="AI138" s="568"/>
      <c r="AJ138" s="568"/>
      <c r="AK138" s="568"/>
      <c r="AL138" s="568"/>
      <c r="AM138" s="568"/>
      <c r="AN138" s="568"/>
      <c r="AO138" s="568"/>
    </row>
    <row r="139" spans="1:41" ht="15.75" customHeight="1">
      <c r="A139" s="512" t="s">
        <v>899</v>
      </c>
      <c r="B139" s="505">
        <f>('Pivot Table for Data Exchange'!$F$187)*100</f>
        <v>75.690865361017032</v>
      </c>
      <c r="C139" s="505">
        <f>('Pivot Table for Data Exchange'!$F$190)*100</f>
        <v>0</v>
      </c>
      <c r="D139" s="506">
        <f t="shared" si="22"/>
        <v>24.309134638982968</v>
      </c>
      <c r="E139" s="505">
        <f>('Pivot Table for Data Exchange'!$F$193)*100</f>
        <v>24.306680410347028</v>
      </c>
      <c r="F139" s="505">
        <f>('Pivot Table for Data Exchange'!$F$196)*100</f>
        <v>2.4542286359397242E-3</v>
      </c>
      <c r="G139" s="518">
        <f>('Pivot Table for Data Exchange'!$F$199)*100</f>
        <v>0</v>
      </c>
      <c r="H139" s="505">
        <f>('Pivot Table for Data Exchange'!$F$202)*100</f>
        <v>0</v>
      </c>
      <c r="I139" s="514" t="s">
        <v>899</v>
      </c>
      <c r="J139" s="505">
        <f>('Pivot Table for Data Exchange'!$F$205)*100</f>
        <v>81.293402777777786</v>
      </c>
      <c r="K139" s="505">
        <f>('Pivot Table for Data Exchange'!$F$208)*100</f>
        <v>0</v>
      </c>
      <c r="L139" s="506">
        <f t="shared" si="23"/>
        <v>18.706597222222221</v>
      </c>
      <c r="M139" s="505">
        <f>('Pivot Table for Data Exchange'!$F$211)*100</f>
        <v>18.706597222222221</v>
      </c>
      <c r="N139" s="505">
        <f>('Pivot Table for Data Exchange'!$F$214)*100</f>
        <v>0</v>
      </c>
      <c r="O139" s="515">
        <f>('Pivot Table for Data Exchange'!$F$217)*100</f>
        <v>0</v>
      </c>
      <c r="P139" s="505">
        <f>('Pivot Table for Data Exchange'!$F$220)*100</f>
        <v>0</v>
      </c>
      <c r="Q139" s="510">
        <f t="shared" si="14"/>
        <v>100</v>
      </c>
      <c r="R139" s="510">
        <f t="shared" si="15"/>
        <v>100</v>
      </c>
      <c r="S139" s="568"/>
      <c r="T139" s="568"/>
      <c r="U139" s="568"/>
      <c r="V139" s="568"/>
      <c r="W139" s="568"/>
      <c r="X139" s="568"/>
      <c r="Y139" s="568"/>
      <c r="Z139" s="568"/>
      <c r="AA139" s="568"/>
      <c r="AB139" s="568"/>
      <c r="AC139" s="568"/>
      <c r="AD139" s="568"/>
      <c r="AE139" s="568"/>
      <c r="AF139" s="568"/>
      <c r="AG139" s="568"/>
      <c r="AH139" s="568"/>
      <c r="AI139" s="568"/>
      <c r="AJ139" s="568"/>
      <c r="AK139" s="568"/>
      <c r="AL139" s="568"/>
      <c r="AM139" s="568"/>
      <c r="AN139" s="568"/>
      <c r="AO139" s="568"/>
    </row>
    <row r="140" spans="1:41" ht="15.75" customHeight="1">
      <c r="A140" s="512" t="s">
        <v>900</v>
      </c>
      <c r="B140" s="505">
        <f>('Pivot Table for Data Exchange'!$F$223)*100</f>
        <v>77.496965312882708</v>
      </c>
      <c r="C140" s="505">
        <f>('Pivot Table for Data Exchange'!$F$226)*100</f>
        <v>0</v>
      </c>
      <c r="D140" s="506">
        <f>SUM(E140:G140)</f>
        <v>22.50303468711731</v>
      </c>
      <c r="E140" s="505">
        <f>('Pivot Table for Data Exchange'!$F$229)*100</f>
        <v>22.50303468711731</v>
      </c>
      <c r="F140" s="505">
        <f>('Pivot Table for Data Exchange'!$F$232)*100</f>
        <v>0</v>
      </c>
      <c r="G140" s="515">
        <f>('Pivot Table for Data Exchange'!$F$235)*100</f>
        <v>0</v>
      </c>
      <c r="H140" s="505">
        <f>('Pivot Table for Data Exchange'!$F$238)*100</f>
        <v>0</v>
      </c>
      <c r="I140" s="514" t="s">
        <v>900</v>
      </c>
      <c r="J140" s="505">
        <f>('Pivot Table for Data Exchange'!$F$241)*100</f>
        <v>47.359967438561767</v>
      </c>
      <c r="K140" s="505">
        <f>('Pivot Table for Data Exchange'!$F$244)*100</f>
        <v>0</v>
      </c>
      <c r="L140" s="506">
        <f>SUM(M140:O140)</f>
        <v>52.640032561438247</v>
      </c>
      <c r="M140" s="505">
        <f>('Pivot Table for Data Exchange'!$F$247)*100</f>
        <v>52.640032561438247</v>
      </c>
      <c r="N140" s="505">
        <f>('Pivot Table for Data Exchange'!$F$250)*100</f>
        <v>0</v>
      </c>
      <c r="O140" s="515">
        <f>('Pivot Table for Data Exchange'!$F$253)*100</f>
        <v>0</v>
      </c>
      <c r="P140" s="505">
        <f>('Pivot Table for Data Exchange'!$F$256)*100</f>
        <v>0</v>
      </c>
      <c r="Q140" s="510">
        <f t="shared" si="14"/>
        <v>100.00000000000001</v>
      </c>
      <c r="R140" s="510">
        <f t="shared" si="15"/>
        <v>100.00000000000001</v>
      </c>
      <c r="S140" s="568"/>
      <c r="T140" s="573"/>
      <c r="U140" s="568"/>
      <c r="V140" s="568"/>
      <c r="W140" s="568"/>
      <c r="X140" s="568"/>
      <c r="Y140" s="568"/>
      <c r="Z140" s="568"/>
      <c r="AA140" s="568"/>
      <c r="AB140" s="568"/>
      <c r="AC140" s="568"/>
      <c r="AD140" s="568"/>
      <c r="AE140" s="568"/>
      <c r="AF140" s="568"/>
      <c r="AG140" s="568"/>
      <c r="AH140" s="568"/>
      <c r="AI140" s="568"/>
      <c r="AJ140" s="568"/>
      <c r="AK140" s="568"/>
      <c r="AL140" s="568"/>
      <c r="AM140" s="568"/>
      <c r="AN140" s="568"/>
      <c r="AO140" s="568"/>
    </row>
    <row r="141" spans="1:41" ht="15.75" customHeight="1">
      <c r="A141" s="512" t="s">
        <v>901</v>
      </c>
      <c r="B141" s="505">
        <f>('Pivot Table for Data Exchange'!$F$259)*100</f>
        <v>83.731853261587332</v>
      </c>
      <c r="C141" s="505">
        <f>('Pivot Table for Data Exchange'!$F$262)*100</f>
        <v>1.6821819093060977</v>
      </c>
      <c r="D141" s="506">
        <f>SUM(E141:G141)</f>
        <v>14.585964829106572</v>
      </c>
      <c r="E141" s="505">
        <f>('Pivot Table for Data Exchange'!$F$265)*100</f>
        <v>13.317259338776367</v>
      </c>
      <c r="F141" s="505">
        <f>('Pivot Table for Data Exchange'!$F$268)*100</f>
        <v>1.2687054903302055</v>
      </c>
      <c r="G141" s="515">
        <f>('Pivot Table for Data Exchange'!$F$271)*100</f>
        <v>0</v>
      </c>
      <c r="H141" s="505">
        <f>('Pivot Table for Data Exchange'!$F$274)*100</f>
        <v>0</v>
      </c>
      <c r="I141" s="514" t="s">
        <v>901</v>
      </c>
      <c r="J141" s="505">
        <f>('Pivot Table for Data Exchange'!$F$277)*100</f>
        <v>61.93291908866172</v>
      </c>
      <c r="K141" s="505">
        <f>('Pivot Table for Data Exchange'!$F$280)*100</f>
        <v>2.1998396472238926</v>
      </c>
      <c r="L141" s="506">
        <f>SUM(M141:O141)</f>
        <v>35.867241264114384</v>
      </c>
      <c r="M141" s="505">
        <f>('Pivot Table for Data Exchange'!$F$283)*100</f>
        <v>30.338411171243401</v>
      </c>
      <c r="N141" s="505">
        <f>('Pivot Table for Data Exchange'!$F$286)*100</f>
        <v>5.528830092870983</v>
      </c>
      <c r="O141" s="515">
        <f>('Pivot Table for Data Exchange'!$F$289)*100</f>
        <v>0</v>
      </c>
      <c r="P141" s="505">
        <f>('Pivot Table for Data Exchange'!$F$292)*100</f>
        <v>0</v>
      </c>
      <c r="Q141" s="510">
        <f t="shared" si="14"/>
        <v>100</v>
      </c>
      <c r="R141" s="510">
        <f t="shared" si="15"/>
        <v>100</v>
      </c>
      <c r="S141" s="568"/>
      <c r="U141" s="568"/>
      <c r="V141" s="568"/>
      <c r="W141" s="568"/>
      <c r="X141" s="568"/>
      <c r="Y141" s="568"/>
      <c r="Z141" s="568"/>
      <c r="AA141" s="568"/>
      <c r="AB141" s="568"/>
      <c r="AC141" s="568"/>
      <c r="AD141" s="568"/>
      <c r="AE141" s="568"/>
      <c r="AF141" s="568"/>
      <c r="AG141" s="568"/>
      <c r="AH141" s="568"/>
      <c r="AI141" s="568"/>
      <c r="AJ141" s="568"/>
      <c r="AK141" s="568"/>
      <c r="AL141" s="568"/>
      <c r="AM141" s="568"/>
      <c r="AN141" s="568"/>
      <c r="AO141" s="568"/>
    </row>
    <row r="142" spans="1:41" ht="15.75" customHeight="1">
      <c r="A142" s="512"/>
      <c r="B142" s="505"/>
      <c r="C142" s="505"/>
      <c r="D142" s="506"/>
      <c r="E142" s="505"/>
      <c r="F142" s="505"/>
      <c r="G142" s="515"/>
      <c r="H142" s="505"/>
      <c r="I142" s="514"/>
      <c r="J142" s="505"/>
      <c r="K142" s="505"/>
      <c r="L142" s="506"/>
      <c r="M142" s="505"/>
      <c r="N142" s="505"/>
      <c r="O142" s="515"/>
      <c r="P142" s="505"/>
      <c r="Q142" s="510">
        <f t="shared" si="14"/>
        <v>0</v>
      </c>
      <c r="R142" s="510">
        <f t="shared" si="15"/>
        <v>0</v>
      </c>
      <c r="S142" s="568"/>
      <c r="U142" s="568"/>
      <c r="V142" s="568"/>
      <c r="W142" s="568"/>
      <c r="X142" s="568"/>
      <c r="Y142" s="568"/>
      <c r="Z142" s="568"/>
      <c r="AA142" s="568"/>
      <c r="AB142" s="568"/>
      <c r="AC142" s="568"/>
      <c r="AD142" s="568"/>
      <c r="AE142" s="568"/>
      <c r="AF142" s="568"/>
      <c r="AG142" s="568"/>
      <c r="AH142" s="568"/>
      <c r="AI142" s="568"/>
      <c r="AJ142" s="568"/>
      <c r="AK142" s="568"/>
      <c r="AL142" s="568"/>
      <c r="AM142" s="568"/>
      <c r="AN142" s="568"/>
      <c r="AO142" s="568"/>
    </row>
    <row r="143" spans="1:41" ht="15.75" customHeight="1">
      <c r="A143" s="512" t="s">
        <v>902</v>
      </c>
      <c r="B143" s="505">
        <f>('Pivot Table for Data Exchange'!$F$295)*100</f>
        <v>77.560536649214669</v>
      </c>
      <c r="C143" s="505">
        <f>('Pivot Table for Data Exchange'!$F$298)*100</f>
        <v>3.0754350169387124</v>
      </c>
      <c r="D143" s="506">
        <f>SUM(E143:G143)</f>
        <v>18.949703572528488</v>
      </c>
      <c r="E143" s="505">
        <f>('Pivot Table for Data Exchange'!$F$301)*100</f>
        <v>18.899176162611642</v>
      </c>
      <c r="F143" s="505">
        <f>('Pivot Table for Data Exchange'!$F$304)*100</f>
        <v>0</v>
      </c>
      <c r="G143" s="513">
        <f>('Pivot Table for Data Exchange'!$F$307)*100</f>
        <v>5.0527409916846316E-2</v>
      </c>
      <c r="H143" s="505">
        <f>('Pivot Table for Data Exchange'!$F$310)*100</f>
        <v>0.41432476131813983</v>
      </c>
      <c r="I143" s="514" t="s">
        <v>902</v>
      </c>
      <c r="J143" s="505">
        <f>('Pivot Table for Data Exchange'!$F$313)*100</f>
        <v>23.16813248732208</v>
      </c>
      <c r="K143" s="505">
        <f>('Pivot Table for Data Exchange'!$F$316)*100</f>
        <v>1.3670104608148166</v>
      </c>
      <c r="L143" s="506">
        <f>SUM(M143:O143)</f>
        <v>75.207623900634516</v>
      </c>
      <c r="M143" s="505">
        <f>('Pivot Table for Data Exchange'!$F$319)*100</f>
        <v>75.075332565716948</v>
      </c>
      <c r="N143" s="505">
        <f>('Pivot Table for Data Exchange'!$F$322)*100</f>
        <v>0</v>
      </c>
      <c r="O143" s="515">
        <f>('Pivot Table for Data Exchange'!$F$325)*100</f>
        <v>0.1322913349175629</v>
      </c>
      <c r="P143" s="505">
        <f>('Pivot Table for Data Exchange'!$F$328)*100</f>
        <v>0.25723315122859453</v>
      </c>
      <c r="Q143" s="510">
        <f t="shared" si="14"/>
        <v>100.00000000000001</v>
      </c>
      <c r="R143" s="510">
        <f t="shared" si="15"/>
        <v>100</v>
      </c>
      <c r="S143" s="568"/>
      <c r="T143" s="568"/>
      <c r="U143" s="568"/>
      <c r="V143" s="568"/>
      <c r="W143" s="568"/>
      <c r="X143" s="568"/>
      <c r="Y143" s="568"/>
      <c r="Z143" s="568"/>
      <c r="AA143" s="568"/>
      <c r="AB143" s="568"/>
      <c r="AC143" s="568"/>
      <c r="AD143" s="568"/>
      <c r="AE143" s="568"/>
      <c r="AF143" s="568"/>
      <c r="AG143" s="568"/>
      <c r="AH143" s="568"/>
      <c r="AI143" s="568"/>
      <c r="AJ143" s="568"/>
      <c r="AK143" s="568"/>
      <c r="AL143" s="568"/>
      <c r="AM143" s="568"/>
      <c r="AN143" s="568"/>
      <c r="AO143" s="568"/>
    </row>
    <row r="144" spans="1:41" ht="15.75" customHeight="1">
      <c r="A144" s="512" t="s">
        <v>903</v>
      </c>
      <c r="B144" s="505">
        <f>('Pivot Table for Data Exchange'!$F$331)*100</f>
        <v>68.868268814878903</v>
      </c>
      <c r="C144" s="505">
        <f>('Pivot Table for Data Exchange'!$F$334)*100</f>
        <v>1.0454963235294117</v>
      </c>
      <c r="D144" s="506">
        <f>SUM(E144:G144)</f>
        <v>30.086234861591691</v>
      </c>
      <c r="E144" s="505">
        <f>('Pivot Table for Data Exchange'!$F$337)*100</f>
        <v>30.086234861591691</v>
      </c>
      <c r="F144" s="505">
        <f>('Pivot Table for Data Exchange'!$F$340)*100</f>
        <v>0</v>
      </c>
      <c r="G144" s="515">
        <f>('Pivot Table for Data Exchange'!$F$343)*100</f>
        <v>0</v>
      </c>
      <c r="H144" s="505">
        <f>('Pivot Table for Data Exchange'!$F$346)*100</f>
        <v>0</v>
      </c>
      <c r="I144" s="514" t="s">
        <v>903</v>
      </c>
      <c r="J144" s="505">
        <f>('Pivot Table for Data Exchange'!$F$349)*100</f>
        <v>45.270216332721319</v>
      </c>
      <c r="K144" s="505">
        <f>('Pivot Table for Data Exchange'!$F$352)*100</f>
        <v>12.117825496926638</v>
      </c>
      <c r="L144" s="506">
        <f>SUM(M144:O144)</f>
        <v>42.61195817035204</v>
      </c>
      <c r="M144" s="505">
        <f>('Pivot Table for Data Exchange'!$F$355)*100</f>
        <v>42.61195817035204</v>
      </c>
      <c r="N144" s="505">
        <f>('Pivot Table for Data Exchange'!$F$358)*100</f>
        <v>0</v>
      </c>
      <c r="O144" s="515">
        <f>('Pivot Table for Data Exchange'!$F$361)*100</f>
        <v>0</v>
      </c>
      <c r="P144" s="505">
        <f>('Pivot Table for Data Exchange'!$F$364)*100</f>
        <v>0</v>
      </c>
      <c r="Q144" s="510">
        <f t="shared" si="14"/>
        <v>100</v>
      </c>
      <c r="R144" s="510">
        <f t="shared" si="15"/>
        <v>100</v>
      </c>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8"/>
      <c r="AN144" s="568"/>
      <c r="AO144" s="568"/>
    </row>
    <row r="145" spans="1:41" ht="15.75" customHeight="1">
      <c r="A145" s="512" t="s">
        <v>904</v>
      </c>
      <c r="B145" s="505">
        <f>('Pivot Table for Data Exchange'!$F$367)*100</f>
        <v>61.751333768682002</v>
      </c>
      <c r="C145" s="505">
        <f>('Pivot Table for Data Exchange'!$F$370)*100</f>
        <v>0.95119577136802158</v>
      </c>
      <c r="D145" s="506">
        <f>SUM(E145:G145)</f>
        <v>37.29747045994997</v>
      </c>
      <c r="E145" s="505">
        <f>('Pivot Table for Data Exchange'!$F$373)*100</f>
        <v>34.267690146745352</v>
      </c>
      <c r="F145" s="505">
        <f>('Pivot Table for Data Exchange'!$F$376)*100</f>
        <v>3.0297803132046179</v>
      </c>
      <c r="G145" s="515">
        <f>('Pivot Table for Data Exchange'!$F$379)*100</f>
        <v>0</v>
      </c>
      <c r="H145" s="505">
        <f>('Pivot Table for Data Exchange'!$F$382)*100</f>
        <v>0</v>
      </c>
      <c r="I145" s="514" t="s">
        <v>904</v>
      </c>
      <c r="J145" s="505">
        <f>('Pivot Table for Data Exchange'!$F$385)*100</f>
        <v>19.760130414531904</v>
      </c>
      <c r="K145" s="505">
        <f>('Pivot Table for Data Exchange'!$F$388)*100</f>
        <v>14.496972519795062</v>
      </c>
      <c r="L145" s="506">
        <f>SUM(M145:O145)</f>
        <v>65.742897065673034</v>
      </c>
      <c r="M145" s="505">
        <f>('Pivot Table for Data Exchange'!$F$391)*100</f>
        <v>63.192827200745228</v>
      </c>
      <c r="N145" s="505">
        <f>('Pivot Table for Data Exchange'!$F$394)*100</f>
        <v>2.5500698649278064</v>
      </c>
      <c r="O145" s="515">
        <f>('Pivot Table for Data Exchange'!$F$397)*100</f>
        <v>0</v>
      </c>
      <c r="P145" s="505">
        <f>('Pivot Table for Data Exchange'!$F$400)*100</f>
        <v>0</v>
      </c>
      <c r="Q145" s="510">
        <f t="shared" si="14"/>
        <v>100</v>
      </c>
      <c r="R145" s="510">
        <f t="shared" si="15"/>
        <v>100</v>
      </c>
      <c r="S145" s="568"/>
      <c r="T145" s="573"/>
      <c r="U145" s="568"/>
      <c r="V145" s="568"/>
      <c r="W145" s="568"/>
      <c r="X145" s="568"/>
      <c r="Y145" s="568"/>
      <c r="Z145" s="568"/>
      <c r="AA145" s="568"/>
      <c r="AB145" s="568"/>
      <c r="AC145" s="568"/>
      <c r="AD145" s="568"/>
      <c r="AE145" s="568"/>
      <c r="AF145" s="568"/>
      <c r="AG145" s="568"/>
      <c r="AH145" s="568"/>
      <c r="AI145" s="568"/>
      <c r="AJ145" s="568"/>
      <c r="AK145" s="568"/>
      <c r="AL145" s="568"/>
      <c r="AM145" s="568"/>
      <c r="AN145" s="568"/>
      <c r="AO145" s="568"/>
    </row>
    <row r="146" spans="1:41" ht="15.75" customHeight="1">
      <c r="A146" s="512" t="s">
        <v>905</v>
      </c>
      <c r="B146" s="505">
        <f>('Pivot Table for Data Exchange'!$F$403)*100</f>
        <v>0</v>
      </c>
      <c r="C146" s="505">
        <f>('Pivot Table for Data Exchange'!$F$406)*100</f>
        <v>0</v>
      </c>
      <c r="D146" s="506">
        <f>SUM(E146:G146)</f>
        <v>0</v>
      </c>
      <c r="E146" s="505">
        <f>('Pivot Table for Data Exchange'!$F$409)*100</f>
        <v>0</v>
      </c>
      <c r="F146" s="505">
        <f>('Pivot Table for Data Exchange'!$F$412)*100</f>
        <v>0</v>
      </c>
      <c r="G146" s="515">
        <f>('Pivot Table for Data Exchange'!$F$415)*100</f>
        <v>0</v>
      </c>
      <c r="H146" s="505">
        <f>('Pivot Table for Data Exchange'!$F$418)*100</f>
        <v>0</v>
      </c>
      <c r="I146" s="514" t="s">
        <v>905</v>
      </c>
      <c r="J146" s="505">
        <f>('Pivot Table for Data Exchange'!$F$421)*100</f>
        <v>0</v>
      </c>
      <c r="K146" s="505">
        <f>('Pivot Table for Data Exchange'!$F$424)*100</f>
        <v>0</v>
      </c>
      <c r="L146" s="506">
        <f>SUM(M146:O146)</f>
        <v>0</v>
      </c>
      <c r="M146" s="505">
        <f>('Pivot Table for Data Exchange'!$F$427)*100</f>
        <v>0</v>
      </c>
      <c r="N146" s="505">
        <f>('Pivot Table for Data Exchange'!$F$430)*100</f>
        <v>0</v>
      </c>
      <c r="O146" s="515">
        <f>('Pivot Table for Data Exchange'!$F$433)*100</f>
        <v>0</v>
      </c>
      <c r="P146" s="505">
        <f>('Pivot Table for Data Exchange'!$F$436)*100</f>
        <v>0</v>
      </c>
      <c r="Q146" s="510">
        <f t="shared" si="14"/>
        <v>0</v>
      </c>
      <c r="R146" s="510">
        <f t="shared" si="15"/>
        <v>0</v>
      </c>
      <c r="S146" s="568"/>
      <c r="T146" s="568"/>
      <c r="U146" s="568"/>
      <c r="V146" s="568"/>
      <c r="W146" s="568"/>
      <c r="X146" s="568"/>
      <c r="Y146" s="568"/>
      <c r="Z146" s="568"/>
      <c r="AA146" s="568"/>
      <c r="AB146" s="568"/>
      <c r="AC146" s="568"/>
      <c r="AD146" s="568"/>
      <c r="AE146" s="568"/>
      <c r="AF146" s="568"/>
      <c r="AG146" s="568"/>
      <c r="AH146" s="568"/>
      <c r="AI146" s="568"/>
      <c r="AJ146" s="568"/>
      <c r="AK146" s="568"/>
      <c r="AL146" s="568"/>
      <c r="AM146" s="568"/>
      <c r="AN146" s="568"/>
      <c r="AO146" s="568"/>
    </row>
    <row r="147" spans="1:41" ht="15.75" customHeight="1">
      <c r="A147" s="512"/>
      <c r="B147" s="505"/>
      <c r="C147" s="505"/>
      <c r="D147" s="506"/>
      <c r="E147" s="505"/>
      <c r="F147" s="505"/>
      <c r="G147" s="515"/>
      <c r="H147" s="505"/>
      <c r="I147" s="514"/>
      <c r="J147" s="505"/>
      <c r="K147" s="505"/>
      <c r="L147" s="506"/>
      <c r="M147" s="505"/>
      <c r="N147" s="505"/>
      <c r="O147" s="515"/>
      <c r="P147" s="505"/>
      <c r="Q147" s="510">
        <f t="shared" si="14"/>
        <v>0</v>
      </c>
      <c r="R147" s="510">
        <f t="shared" si="15"/>
        <v>0</v>
      </c>
      <c r="S147" s="568"/>
      <c r="T147" s="568"/>
      <c r="U147" s="568"/>
      <c r="V147" s="568"/>
      <c r="W147" s="568"/>
      <c r="X147" s="568"/>
      <c r="Y147" s="568"/>
      <c r="Z147" s="568"/>
      <c r="AA147" s="568"/>
      <c r="AB147" s="568"/>
      <c r="AC147" s="568"/>
      <c r="AD147" s="568"/>
      <c r="AE147" s="568"/>
      <c r="AF147" s="568"/>
      <c r="AG147" s="568"/>
      <c r="AH147" s="568"/>
      <c r="AI147" s="568"/>
      <c r="AJ147" s="568"/>
      <c r="AK147" s="568"/>
      <c r="AL147" s="568"/>
      <c r="AM147" s="568"/>
      <c r="AN147" s="568"/>
      <c r="AO147" s="568"/>
    </row>
    <row r="148" spans="1:41" ht="15.75" customHeight="1">
      <c r="A148" s="512" t="s">
        <v>906</v>
      </c>
      <c r="B148" s="505">
        <f>('Pivot Table for Data Exchange'!$F$439)*100</f>
        <v>0</v>
      </c>
      <c r="C148" s="505">
        <f>('Pivot Table for Data Exchange'!$F$442)*100</f>
        <v>0</v>
      </c>
      <c r="D148" s="506">
        <f>SUM(E148:G148)</f>
        <v>0</v>
      </c>
      <c r="E148" s="505">
        <f>('Pivot Table for Data Exchange'!$F$445)*100</f>
        <v>0</v>
      </c>
      <c r="F148" s="505">
        <f>('Pivot Table for Data Exchange'!$F$448)*100</f>
        <v>0</v>
      </c>
      <c r="G148" s="515">
        <f>('Pivot Table for Data Exchange'!$F$451)*100</f>
        <v>0</v>
      </c>
      <c r="H148" s="505">
        <f>('Pivot Table for Data Exchange'!$F$454)*100</f>
        <v>0</v>
      </c>
      <c r="I148" s="514" t="s">
        <v>906</v>
      </c>
      <c r="J148" s="505">
        <f>('Pivot Table for Data Exchange'!$F$457)*100</f>
        <v>0</v>
      </c>
      <c r="K148" s="505">
        <f>('Pivot Table for Data Exchange'!$F$460)*100</f>
        <v>0</v>
      </c>
      <c r="L148" s="506">
        <f>SUM(M148:O148)</f>
        <v>0</v>
      </c>
      <c r="M148" s="505">
        <f>('Pivot Table for Data Exchange'!$F$463)*100</f>
        <v>0</v>
      </c>
      <c r="N148" s="505">
        <f>('Pivot Table for Data Exchange'!$F$466)*100</f>
        <v>0</v>
      </c>
      <c r="O148" s="515">
        <f>('Pivot Table for Data Exchange'!$F$469)*100</f>
        <v>0</v>
      </c>
      <c r="P148" s="505">
        <f>('Pivot Table for Data Exchange'!$F$472)*100</f>
        <v>0</v>
      </c>
      <c r="Q148" s="510">
        <f t="shared" si="14"/>
        <v>0</v>
      </c>
      <c r="R148" s="510">
        <f t="shared" si="15"/>
        <v>0</v>
      </c>
      <c r="S148" s="568"/>
      <c r="T148" s="568"/>
      <c r="U148" s="568"/>
      <c r="V148" s="568"/>
      <c r="W148" s="568"/>
      <c r="X148" s="568"/>
      <c r="Y148" s="568"/>
      <c r="Z148" s="568"/>
      <c r="AA148" s="568"/>
      <c r="AB148" s="568"/>
      <c r="AC148" s="568"/>
      <c r="AD148" s="568"/>
      <c r="AE148" s="568"/>
      <c r="AF148" s="568"/>
      <c r="AG148" s="568"/>
      <c r="AH148" s="568"/>
      <c r="AI148" s="568"/>
      <c r="AJ148" s="568"/>
      <c r="AK148" s="568"/>
      <c r="AL148" s="568"/>
      <c r="AM148" s="568"/>
      <c r="AN148" s="568"/>
      <c r="AO148" s="568"/>
    </row>
    <row r="149" spans="1:41" ht="15.75" customHeight="1">
      <c r="A149" s="512" t="s">
        <v>907</v>
      </c>
      <c r="B149" s="505">
        <f>('Pivot Table for Data Exchange'!$F$475)*100</f>
        <v>44.115701112351651</v>
      </c>
      <c r="C149" s="505">
        <f>('Pivot Table for Data Exchange'!$F$478)*100</f>
        <v>6.578312588733132</v>
      </c>
      <c r="D149" s="506">
        <f>SUM(E149:G149)</f>
        <v>49.305986298915215</v>
      </c>
      <c r="E149" s="505">
        <f>('Pivot Table for Data Exchange'!$F$481)*100</f>
        <v>47.757377772264263</v>
      </c>
      <c r="F149" s="505">
        <f>('Pivot Table for Data Exchange'!$F$484)*100</f>
        <v>1.5486085266509531</v>
      </c>
      <c r="G149" s="515">
        <f>('Pivot Table for Data Exchange'!$F$487)*100</f>
        <v>0</v>
      </c>
      <c r="H149" s="505">
        <f>('Pivot Table for Data Exchange'!$F$490)*100</f>
        <v>0</v>
      </c>
      <c r="I149" s="514" t="s">
        <v>907</v>
      </c>
      <c r="J149" s="505">
        <f>('Pivot Table for Data Exchange'!$F$493)*100</f>
        <v>22.552584877665609</v>
      </c>
      <c r="K149" s="505">
        <f>('Pivot Table for Data Exchange'!$F$496)*100</f>
        <v>7.5146190323800655</v>
      </c>
      <c r="L149" s="506">
        <f>SUM(M149:O149)</f>
        <v>69.932796089954323</v>
      </c>
      <c r="M149" s="505">
        <f>('Pivot Table for Data Exchange'!$F$499)*100</f>
        <v>68.431617839583396</v>
      </c>
      <c r="N149" s="505">
        <f>('Pivot Table for Data Exchange'!$F$502)*100</f>
        <v>1.5011782503709306</v>
      </c>
      <c r="O149" s="515">
        <f>('Pivot Table for Data Exchange'!$F$505)*100</f>
        <v>0</v>
      </c>
      <c r="P149" s="505">
        <f>('Pivot Table for Data Exchange'!$F$508)*100</f>
        <v>0</v>
      </c>
      <c r="Q149" s="510">
        <f t="shared" si="14"/>
        <v>100</v>
      </c>
      <c r="R149" s="510">
        <f t="shared" si="15"/>
        <v>100</v>
      </c>
      <c r="S149" s="568"/>
      <c r="T149" s="568"/>
      <c r="U149" s="568"/>
      <c r="V149" s="568"/>
      <c r="W149" s="568"/>
      <c r="X149" s="568"/>
      <c r="Y149" s="568"/>
      <c r="Z149" s="568"/>
      <c r="AA149" s="568"/>
      <c r="AB149" s="568"/>
      <c r="AC149" s="568"/>
      <c r="AD149" s="568"/>
      <c r="AE149" s="568"/>
      <c r="AF149" s="568"/>
      <c r="AG149" s="568"/>
      <c r="AH149" s="568"/>
      <c r="AI149" s="568"/>
      <c r="AJ149" s="568"/>
      <c r="AK149" s="568"/>
      <c r="AL149" s="568"/>
      <c r="AM149" s="568"/>
      <c r="AN149" s="568"/>
      <c r="AO149" s="568"/>
    </row>
    <row r="150" spans="1:41" ht="15.75" customHeight="1">
      <c r="A150" s="512" t="s">
        <v>908</v>
      </c>
      <c r="B150" s="505">
        <f>('Pivot Table for Data Exchange'!$F$511)*100</f>
        <v>0</v>
      </c>
      <c r="C150" s="505">
        <f>('Pivot Table for Data Exchange'!$F$514)*100</f>
        <v>0</v>
      </c>
      <c r="D150" s="506">
        <f>SUM(E150:G150)</f>
        <v>0</v>
      </c>
      <c r="E150" s="505">
        <f>('Pivot Table for Data Exchange'!$F$517)*100</f>
        <v>0</v>
      </c>
      <c r="F150" s="505">
        <f>('Pivot Table for Data Exchange'!$F$520)*100</f>
        <v>0</v>
      </c>
      <c r="G150" s="515">
        <f>('Pivot Table for Data Exchange'!$F$523)*100</f>
        <v>0</v>
      </c>
      <c r="H150" s="505">
        <f>('Pivot Table for Data Exchange'!$F$526)*100</f>
        <v>0</v>
      </c>
      <c r="I150" s="514" t="s">
        <v>908</v>
      </c>
      <c r="J150" s="505">
        <f>('Pivot Table for Data Exchange'!$F$529)*100</f>
        <v>0</v>
      </c>
      <c r="K150" s="505">
        <f>('Pivot Table for Data Exchange'!$F$532)*100</f>
        <v>0</v>
      </c>
      <c r="L150" s="506">
        <f>SUM(M150:O150)</f>
        <v>0</v>
      </c>
      <c r="M150" s="505">
        <f>('Pivot Table for Data Exchange'!$F$535)*100</f>
        <v>0</v>
      </c>
      <c r="N150" s="505">
        <f>('Pivot Table for Data Exchange'!$F$538)*100</f>
        <v>0</v>
      </c>
      <c r="O150" s="515">
        <f>('Pivot Table for Data Exchange'!$F$541)*100</f>
        <v>0</v>
      </c>
      <c r="P150" s="505">
        <f>('Pivot Table for Data Exchange'!$F$544)*100</f>
        <v>0</v>
      </c>
      <c r="Q150" s="510">
        <f t="shared" si="14"/>
        <v>0</v>
      </c>
      <c r="R150" s="510">
        <f t="shared" si="15"/>
        <v>0</v>
      </c>
      <c r="S150" s="568"/>
      <c r="T150" s="568"/>
      <c r="U150" s="568"/>
      <c r="V150" s="568"/>
      <c r="W150" s="568"/>
      <c r="X150" s="568"/>
      <c r="Y150" s="568"/>
      <c r="Z150" s="568"/>
      <c r="AA150" s="568"/>
      <c r="AB150" s="568"/>
      <c r="AC150" s="568"/>
      <c r="AD150" s="568"/>
      <c r="AE150" s="568"/>
      <c r="AF150" s="568"/>
      <c r="AG150" s="568"/>
      <c r="AH150" s="568"/>
      <c r="AI150" s="568"/>
      <c r="AJ150" s="568"/>
      <c r="AK150" s="568"/>
      <c r="AL150" s="568"/>
      <c r="AM150" s="568"/>
      <c r="AN150" s="568"/>
      <c r="AO150" s="568"/>
    </row>
    <row r="151" spans="1:41" ht="15.75" customHeight="1">
      <c r="A151" s="484" t="s">
        <v>909</v>
      </c>
      <c r="B151" s="520">
        <f>('Pivot Table for Data Exchange'!$F$547)*100</f>
        <v>0</v>
      </c>
      <c r="C151" s="520">
        <f>('Pivot Table for Data Exchange'!$F$550)*100</f>
        <v>0</v>
      </c>
      <c r="D151" s="521">
        <f>SUM(E151:G151)</f>
        <v>0</v>
      </c>
      <c r="E151" s="520">
        <f>('Pivot Table for Data Exchange'!$F$553)*100</f>
        <v>0</v>
      </c>
      <c r="F151" s="520">
        <f>('Pivot Table for Data Exchange'!$F$556)*100</f>
        <v>0</v>
      </c>
      <c r="G151" s="522">
        <f>('Pivot Table for Data Exchange'!$F$559)*100</f>
        <v>0</v>
      </c>
      <c r="H151" s="520">
        <f>('Pivot Table for Data Exchange'!$F$562)*100</f>
        <v>0</v>
      </c>
      <c r="I151" s="523" t="s">
        <v>909</v>
      </c>
      <c r="J151" s="520">
        <f>('Pivot Table for Data Exchange'!$F$565)*100</f>
        <v>0</v>
      </c>
      <c r="K151" s="520">
        <f>('Pivot Table for Data Exchange'!$F$568)*100</f>
        <v>0</v>
      </c>
      <c r="L151" s="521">
        <f>SUM(M151:O151)</f>
        <v>0</v>
      </c>
      <c r="M151" s="520">
        <f>('Pivot Table for Data Exchange'!$F$571)*100</f>
        <v>0</v>
      </c>
      <c r="N151" s="520">
        <f>('Pivot Table for Data Exchange'!$F$574)*100</f>
        <v>0</v>
      </c>
      <c r="O151" s="522">
        <f>('Pivot Table for Data Exchange'!$F$577)*100</f>
        <v>0</v>
      </c>
      <c r="P151" s="520">
        <f>('Pivot Table for Data Exchange'!$F$580)*100</f>
        <v>0</v>
      </c>
      <c r="Q151" s="510">
        <f t="shared" si="14"/>
        <v>0</v>
      </c>
      <c r="R151" s="510">
        <f t="shared" si="15"/>
        <v>0</v>
      </c>
      <c r="S151" s="568"/>
      <c r="T151" s="568"/>
      <c r="U151" s="568"/>
      <c r="V151" s="568"/>
      <c r="W151" s="568"/>
      <c r="X151" s="568"/>
      <c r="Y151" s="568"/>
      <c r="Z151" s="568"/>
      <c r="AA151" s="568"/>
      <c r="AB151" s="568"/>
      <c r="AC151" s="568"/>
      <c r="AD151" s="568"/>
      <c r="AE151" s="568"/>
      <c r="AF151" s="568"/>
      <c r="AG151" s="568"/>
      <c r="AH151" s="568"/>
      <c r="AI151" s="568"/>
      <c r="AJ151" s="568"/>
      <c r="AK151" s="568"/>
      <c r="AL151" s="568"/>
      <c r="AM151" s="568"/>
      <c r="AN151" s="568"/>
      <c r="AO151" s="568"/>
    </row>
    <row r="152" spans="1:41" s="571" customFormat="1" ht="12.75" customHeight="1">
      <c r="A152" s="525" t="s">
        <v>937</v>
      </c>
      <c r="B152" s="526"/>
      <c r="C152" s="526"/>
      <c r="D152" s="527"/>
      <c r="E152" s="526"/>
      <c r="F152" s="527"/>
      <c r="G152" s="527"/>
      <c r="H152" s="526"/>
      <c r="I152" s="525" t="s">
        <v>937</v>
      </c>
      <c r="J152" s="526"/>
      <c r="K152" s="526"/>
      <c r="L152" s="527"/>
      <c r="M152" s="526"/>
      <c r="N152" s="527"/>
      <c r="O152" s="527"/>
      <c r="P152" s="526"/>
      <c r="Q152" s="510">
        <f t="shared" si="14"/>
        <v>0</v>
      </c>
      <c r="R152" s="510">
        <f t="shared" si="15"/>
        <v>0</v>
      </c>
      <c r="S152" s="572"/>
      <c r="T152" s="572"/>
      <c r="U152" s="572"/>
      <c r="V152" s="572"/>
      <c r="W152" s="572"/>
      <c r="X152" s="572"/>
      <c r="Y152" s="572"/>
      <c r="Z152" s="572"/>
      <c r="AA152" s="572"/>
      <c r="AB152" s="572"/>
      <c r="AC152" s="572"/>
      <c r="AD152" s="572"/>
      <c r="AE152" s="572"/>
      <c r="AF152" s="572"/>
      <c r="AG152" s="572"/>
      <c r="AH152" s="572"/>
      <c r="AI152" s="572"/>
      <c r="AJ152" s="572"/>
      <c r="AK152" s="572"/>
      <c r="AL152" s="572"/>
      <c r="AM152" s="572"/>
      <c r="AN152" s="572"/>
      <c r="AO152" s="572"/>
    </row>
    <row r="153" spans="1:41" s="571" customFormat="1" ht="24" customHeight="1">
      <c r="A153" s="655" t="s">
        <v>943</v>
      </c>
      <c r="B153" s="668"/>
      <c r="C153" s="668"/>
      <c r="D153" s="668"/>
      <c r="E153" s="668"/>
      <c r="F153" s="668"/>
      <c r="G153" s="668"/>
      <c r="H153" s="668"/>
      <c r="I153" s="655" t="s">
        <v>943</v>
      </c>
      <c r="J153" s="668"/>
      <c r="K153" s="668"/>
      <c r="L153" s="668"/>
      <c r="M153" s="668"/>
      <c r="N153" s="668"/>
      <c r="O153" s="668"/>
      <c r="P153" s="668"/>
      <c r="Q153" s="510">
        <f t="shared" si="14"/>
        <v>0</v>
      </c>
      <c r="R153" s="510">
        <f t="shared" si="15"/>
        <v>0</v>
      </c>
      <c r="S153" s="572"/>
      <c r="T153" s="572"/>
      <c r="U153" s="572"/>
      <c r="V153" s="572"/>
      <c r="W153" s="572"/>
      <c r="X153" s="572"/>
      <c r="Y153" s="572"/>
      <c r="Z153" s="572"/>
      <c r="AA153" s="572"/>
      <c r="AB153" s="572"/>
      <c r="AC153" s="572"/>
      <c r="AD153" s="572"/>
      <c r="AE153" s="572"/>
      <c r="AF153" s="572"/>
      <c r="AG153" s="572"/>
      <c r="AH153" s="572"/>
      <c r="AI153" s="572"/>
      <c r="AJ153" s="572"/>
      <c r="AK153" s="572"/>
      <c r="AL153" s="572"/>
      <c r="AM153" s="572"/>
      <c r="AN153" s="572"/>
      <c r="AO153" s="572"/>
    </row>
    <row r="154" spans="1:41" s="571" customFormat="1" ht="9.75" customHeight="1">
      <c r="A154" s="542"/>
      <c r="B154" s="543"/>
      <c r="C154" s="543"/>
      <c r="D154" s="543"/>
      <c r="E154" s="543"/>
      <c r="F154" s="543"/>
      <c r="G154" s="543"/>
      <c r="H154" s="543"/>
      <c r="I154" s="542"/>
      <c r="J154" s="543"/>
      <c r="K154" s="543"/>
      <c r="L154" s="543"/>
      <c r="M154" s="543"/>
      <c r="N154" s="543"/>
      <c r="O154" s="543"/>
      <c r="P154" s="543"/>
      <c r="Q154" s="510"/>
      <c r="R154" s="510"/>
      <c r="S154" s="572"/>
      <c r="T154" s="572"/>
      <c r="U154" s="572"/>
      <c r="V154" s="572"/>
      <c r="W154" s="572"/>
      <c r="X154" s="572"/>
      <c r="Y154" s="572"/>
      <c r="Z154" s="572"/>
      <c r="AA154" s="572"/>
      <c r="AB154" s="572"/>
      <c r="AC154" s="572"/>
      <c r="AD154" s="572"/>
      <c r="AE154" s="572"/>
      <c r="AF154" s="572"/>
      <c r="AG154" s="572"/>
      <c r="AH154" s="572"/>
      <c r="AI154" s="572"/>
      <c r="AJ154" s="572"/>
      <c r="AK154" s="572"/>
      <c r="AL154" s="572"/>
      <c r="AM154" s="572"/>
      <c r="AN154" s="572"/>
      <c r="AO154" s="572"/>
    </row>
    <row r="155" spans="1:41" s="571" customFormat="1" ht="13.5" customHeight="1">
      <c r="A155" s="546"/>
      <c r="B155" s="539"/>
      <c r="C155" s="524"/>
      <c r="D155" s="524"/>
      <c r="E155" s="524"/>
      <c r="F155" s="524"/>
      <c r="G155" s="524"/>
      <c r="H155" s="532" t="s">
        <v>1015</v>
      </c>
      <c r="I155" s="546"/>
      <c r="J155" s="524"/>
      <c r="K155" s="524"/>
      <c r="L155" s="524"/>
      <c r="M155" s="524"/>
      <c r="N155" s="524"/>
      <c r="O155" s="524"/>
      <c r="P155" s="532" t="s">
        <v>1015</v>
      </c>
      <c r="Q155" s="510">
        <f t="shared" ref="Q155:Q216" si="24">SUM(B155,C155,D155,H155)</f>
        <v>0</v>
      </c>
      <c r="R155" s="510">
        <f t="shared" ref="R155:R216" si="25">SUM(J155,K155,L155,P155)</f>
        <v>0</v>
      </c>
    </row>
    <row r="156" spans="1:41" ht="18">
      <c r="A156" s="472" t="s">
        <v>946</v>
      </c>
      <c r="B156" s="473"/>
      <c r="C156" s="473"/>
      <c r="D156" s="473"/>
      <c r="E156" s="473"/>
      <c r="F156" s="473"/>
      <c r="G156" s="473"/>
      <c r="H156" s="474"/>
      <c r="I156" s="472" t="s">
        <v>947</v>
      </c>
      <c r="J156" s="475"/>
      <c r="K156" s="475"/>
      <c r="L156" s="473"/>
      <c r="M156" s="475"/>
      <c r="N156" s="475"/>
      <c r="O156" s="475"/>
      <c r="P156" s="475"/>
      <c r="Q156" s="510">
        <f t="shared" si="24"/>
        <v>0</v>
      </c>
      <c r="R156" s="510">
        <f t="shared" si="25"/>
        <v>0</v>
      </c>
    </row>
    <row r="157" spans="1:41">
      <c r="A157" s="479"/>
      <c r="B157" s="475"/>
      <c r="C157" s="475"/>
      <c r="D157" s="475"/>
      <c r="E157" s="475"/>
      <c r="F157" s="475"/>
      <c r="G157" s="475"/>
      <c r="H157" s="480"/>
      <c r="I157" s="479"/>
      <c r="J157" s="475"/>
      <c r="K157" s="475"/>
      <c r="L157" s="475"/>
      <c r="M157" s="475"/>
      <c r="N157" s="475"/>
      <c r="O157" s="475"/>
      <c r="P157" s="475"/>
      <c r="Q157" s="510">
        <f t="shared" si="24"/>
        <v>0</v>
      </c>
      <c r="R157" s="510">
        <f t="shared" si="25"/>
        <v>0</v>
      </c>
    </row>
    <row r="158" spans="1:41" ht="15.75">
      <c r="A158" s="481" t="s">
        <v>917</v>
      </c>
      <c r="B158" s="475"/>
      <c r="C158" s="475"/>
      <c r="D158" s="475"/>
      <c r="E158" s="475"/>
      <c r="F158" s="475"/>
      <c r="G158" s="475"/>
      <c r="H158" s="480"/>
      <c r="I158" s="481" t="s">
        <v>918</v>
      </c>
      <c r="J158" s="475"/>
      <c r="K158" s="475"/>
      <c r="L158" s="475"/>
      <c r="M158" s="475"/>
      <c r="N158" s="475"/>
      <c r="O158" s="475"/>
      <c r="P158" s="475"/>
      <c r="Q158" s="510">
        <f t="shared" si="24"/>
        <v>0</v>
      </c>
      <c r="R158" s="510">
        <f t="shared" si="25"/>
        <v>0</v>
      </c>
    </row>
    <row r="159" spans="1:41" ht="15.75">
      <c r="A159" s="481" t="s">
        <v>1005</v>
      </c>
      <c r="B159" s="475"/>
      <c r="C159" s="475"/>
      <c r="D159" s="475"/>
      <c r="E159" s="475"/>
      <c r="F159" s="475"/>
      <c r="G159" s="475"/>
      <c r="H159" s="480"/>
      <c r="I159" s="481" t="s">
        <v>1005</v>
      </c>
      <c r="J159" s="475"/>
      <c r="K159" s="475"/>
      <c r="L159" s="475"/>
      <c r="M159" s="475"/>
      <c r="N159" s="475"/>
      <c r="O159" s="475"/>
      <c r="P159" s="475"/>
      <c r="Q159" s="510">
        <f t="shared" si="24"/>
        <v>0</v>
      </c>
      <c r="R159" s="510">
        <f t="shared" si="25"/>
        <v>0</v>
      </c>
    </row>
    <row r="160" spans="1:41">
      <c r="A160" s="484"/>
      <c r="B160" s="485"/>
      <c r="C160" s="485"/>
      <c r="D160" s="485"/>
      <c r="E160" s="485"/>
      <c r="F160" s="485"/>
      <c r="G160" s="485"/>
      <c r="H160" s="485"/>
      <c r="I160" s="486"/>
      <c r="L160" s="487"/>
      <c r="P160" s="484"/>
      <c r="Q160" s="510">
        <f t="shared" si="24"/>
        <v>0</v>
      </c>
      <c r="R160" s="510">
        <f t="shared" si="25"/>
        <v>0</v>
      </c>
    </row>
    <row r="161" spans="1:41" s="503" customFormat="1">
      <c r="A161" s="489"/>
      <c r="B161" s="490" t="s">
        <v>919</v>
      </c>
      <c r="C161" s="490"/>
      <c r="D161" s="490"/>
      <c r="E161" s="490"/>
      <c r="F161" s="490"/>
      <c r="G161" s="490"/>
      <c r="H161" s="491"/>
      <c r="I161" s="489"/>
      <c r="J161" s="490" t="s">
        <v>919</v>
      </c>
      <c r="K161" s="490"/>
      <c r="L161" s="490"/>
      <c r="M161" s="490"/>
      <c r="N161" s="490"/>
      <c r="O161" s="490"/>
      <c r="P161" s="491"/>
      <c r="Q161" s="510">
        <f t="shared" si="24"/>
        <v>0</v>
      </c>
      <c r="R161" s="510">
        <f t="shared" si="25"/>
        <v>0</v>
      </c>
    </row>
    <row r="162" spans="1:41" s="503" customFormat="1">
      <c r="A162" s="489"/>
      <c r="B162" s="490" t="s">
        <v>920</v>
      </c>
      <c r="C162" s="490"/>
      <c r="D162" s="659" t="s">
        <v>921</v>
      </c>
      <c r="E162" s="657"/>
      <c r="F162" s="657"/>
      <c r="G162" s="657"/>
      <c r="H162" s="495" t="s">
        <v>320</v>
      </c>
      <c r="I162" s="489"/>
      <c r="J162" s="490" t="s">
        <v>920</v>
      </c>
      <c r="K162" s="490"/>
      <c r="L162" s="659" t="s">
        <v>921</v>
      </c>
      <c r="M162" s="657"/>
      <c r="N162" s="657"/>
      <c r="O162" s="657"/>
      <c r="P162" s="495" t="s">
        <v>320</v>
      </c>
      <c r="Q162" s="510">
        <f t="shared" si="24"/>
        <v>0</v>
      </c>
      <c r="R162" s="510">
        <f t="shared" si="25"/>
        <v>0</v>
      </c>
    </row>
    <row r="163" spans="1:41" s="503" customFormat="1" ht="40.5" customHeight="1">
      <c r="A163" s="489"/>
      <c r="B163" s="496" t="s">
        <v>922</v>
      </c>
      <c r="C163" s="497" t="s">
        <v>923</v>
      </c>
      <c r="D163" s="498" t="s">
        <v>924</v>
      </c>
      <c r="E163" s="499" t="s">
        <v>10</v>
      </c>
      <c r="F163" s="496" t="s">
        <v>925</v>
      </c>
      <c r="G163" s="500" t="s">
        <v>935</v>
      </c>
      <c r="H163" s="501" t="s">
        <v>927</v>
      </c>
      <c r="I163" s="489"/>
      <c r="J163" s="496" t="s">
        <v>922</v>
      </c>
      <c r="K163" s="497" t="s">
        <v>923</v>
      </c>
      <c r="L163" s="498" t="s">
        <v>924</v>
      </c>
      <c r="M163" s="499" t="s">
        <v>10</v>
      </c>
      <c r="N163" s="496" t="s">
        <v>925</v>
      </c>
      <c r="O163" s="500" t="s">
        <v>935</v>
      </c>
      <c r="P163" s="501" t="s">
        <v>927</v>
      </c>
      <c r="Q163" s="510">
        <f t="shared" si="24"/>
        <v>0</v>
      </c>
      <c r="R163" s="510">
        <f t="shared" si="25"/>
        <v>0</v>
      </c>
      <c r="T163" s="502"/>
    </row>
    <row r="164" spans="1:41" ht="15.75" customHeight="1">
      <c r="A164" s="534" t="s">
        <v>894</v>
      </c>
      <c r="B164" s="567">
        <f>('Pivot Table for Data Exchange'!$G$7)*100</f>
        <v>91.855855562519835</v>
      </c>
      <c r="C164" s="505">
        <f>('Pivot Table for Data Exchange'!$G$10)*100</f>
        <v>0.31257885697075272</v>
      </c>
      <c r="D164" s="506">
        <f>SUM(E164:G164)</f>
        <v>7.8315655805094062</v>
      </c>
      <c r="E164" s="505">
        <f>('Pivot Table for Data Exchange'!$G$13)*100</f>
        <v>7.8315655805094062</v>
      </c>
      <c r="F164" s="505">
        <f>('Pivot Table for Data Exchange'!$G$16)*100</f>
        <v>0</v>
      </c>
      <c r="G164" s="509">
        <f>('Pivot Table for Data Exchange'!$G$19)*100</f>
        <v>0</v>
      </c>
      <c r="H164" s="505">
        <f>('Pivot Table for Data Exchange'!$G$22)*100</f>
        <v>0</v>
      </c>
      <c r="I164" s="508" t="s">
        <v>894</v>
      </c>
      <c r="J164" s="505">
        <f>('Pivot Table for Data Exchange'!$G$25)*100</f>
        <v>19.961942317391905</v>
      </c>
      <c r="K164" s="505">
        <f>('Pivot Table for Data Exchange'!$G$28)*100</f>
        <v>2.7511577788986198E-2</v>
      </c>
      <c r="L164" s="506">
        <f>SUM(M164:O164)</f>
        <v>80.010546104819113</v>
      </c>
      <c r="M164" s="505">
        <f>('Pivot Table for Data Exchange'!$G$31)*100</f>
        <v>80.010546104819113</v>
      </c>
      <c r="N164" s="505">
        <f>('Pivot Table for Data Exchange'!$G$34)*100</f>
        <v>0</v>
      </c>
      <c r="O164" s="509">
        <f>('Pivot Table for Data Exchange'!$G$37)*100</f>
        <v>0</v>
      </c>
      <c r="P164" s="505">
        <f>('Pivot Table for Data Exchange'!$G$40)*100</f>
        <v>0</v>
      </c>
      <c r="Q164" s="510">
        <f t="shared" si="24"/>
        <v>100</v>
      </c>
      <c r="R164" s="510">
        <f t="shared" si="25"/>
        <v>100</v>
      </c>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row>
    <row r="165" spans="1:41" ht="15.75" customHeight="1">
      <c r="A165" s="512" t="s">
        <v>895</v>
      </c>
      <c r="B165" s="505">
        <f>('Pivot Table for Data Exchange'!$G$43)*100</f>
        <v>69.163863740757762</v>
      </c>
      <c r="C165" s="505">
        <f>('Pivot Table for Data Exchange'!$G$46)*100</f>
        <v>4.6066766436011788</v>
      </c>
      <c r="D165" s="506">
        <f t="shared" ref="D165:D167" si="26">SUM(E165:G165)</f>
        <v>26.229459615641066</v>
      </c>
      <c r="E165" s="505">
        <f>('Pivot Table for Data Exchange'!$G$49)*100</f>
        <v>26.229459615641066</v>
      </c>
      <c r="F165" s="505">
        <f>('Pivot Table for Data Exchange'!$G$52)*100</f>
        <v>0</v>
      </c>
      <c r="G165" s="515">
        <f>('Pivot Table for Data Exchange'!$G$55)*100</f>
        <v>0</v>
      </c>
      <c r="H165" s="505">
        <f>('Pivot Table for Data Exchange'!$G$58)*100</f>
        <v>0</v>
      </c>
      <c r="I165" s="514" t="s">
        <v>895</v>
      </c>
      <c r="J165" s="505">
        <f>('Pivot Table for Data Exchange'!$G$61)*100</f>
        <v>16.685034163544195</v>
      </c>
      <c r="K165" s="505">
        <f>('Pivot Table for Data Exchange'!$G$64)*100</f>
        <v>0.13224597751818382</v>
      </c>
      <c r="L165" s="506">
        <f t="shared" ref="L165:L167" si="27">SUM(M165:O165)</f>
        <v>83.182719858937631</v>
      </c>
      <c r="M165" s="505">
        <f>('Pivot Table for Data Exchange'!$G$67)*100</f>
        <v>83.182719858937631</v>
      </c>
      <c r="N165" s="505">
        <f>('Pivot Table for Data Exchange'!$G$70)*100</f>
        <v>0</v>
      </c>
      <c r="O165" s="515">
        <f>('Pivot Table for Data Exchange'!$G$73)*100</f>
        <v>0</v>
      </c>
      <c r="P165" s="505">
        <f>('Pivot Table for Data Exchange'!$G$76)*100</f>
        <v>0</v>
      </c>
      <c r="Q165" s="510">
        <f t="shared" si="24"/>
        <v>100</v>
      </c>
      <c r="R165" s="510">
        <f t="shared" si="25"/>
        <v>100.00000000000001</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row>
    <row r="166" spans="1:41" ht="15.75" customHeight="1">
      <c r="A166" s="512" t="s">
        <v>896</v>
      </c>
      <c r="B166" s="505">
        <f>('Pivot Table for Data Exchange'!$G$79)*100</f>
        <v>0</v>
      </c>
      <c r="C166" s="505">
        <f>('Pivot Table for Data Exchange'!$G$82)*100</f>
        <v>0</v>
      </c>
      <c r="D166" s="506">
        <f t="shared" si="26"/>
        <v>0</v>
      </c>
      <c r="E166" s="505">
        <f>('Pivot Table for Data Exchange'!$G$85)*100</f>
        <v>0</v>
      </c>
      <c r="F166" s="505">
        <f>('Pivot Table for Data Exchange'!$G$88)*100</f>
        <v>0</v>
      </c>
      <c r="G166" s="515">
        <f>('Pivot Table for Data Exchange'!$G$91)*100</f>
        <v>0</v>
      </c>
      <c r="H166" s="505">
        <f>('Pivot Table for Data Exchange'!$G$94)*100</f>
        <v>0</v>
      </c>
      <c r="I166" s="514" t="s">
        <v>896</v>
      </c>
      <c r="J166" s="505">
        <f>('Pivot Table for Data Exchange'!$G$97)*100</f>
        <v>0</v>
      </c>
      <c r="K166" s="505">
        <f>('Pivot Table for Data Exchange'!$G$100)*100</f>
        <v>0</v>
      </c>
      <c r="L166" s="506">
        <f t="shared" si="27"/>
        <v>0</v>
      </c>
      <c r="M166" s="505">
        <f>('Pivot Table for Data Exchange'!$G$103)*100</f>
        <v>0</v>
      </c>
      <c r="N166" s="505">
        <f>('Pivot Table for Data Exchange'!$G$106)*100</f>
        <v>0</v>
      </c>
      <c r="O166" s="515">
        <f>('Pivot Table for Data Exchange'!$G$109)*100</f>
        <v>0</v>
      </c>
      <c r="P166" s="505">
        <f>('Pivot Table for Data Exchange'!$G$112)*100</f>
        <v>0</v>
      </c>
      <c r="Q166" s="510">
        <f t="shared" si="24"/>
        <v>0</v>
      </c>
      <c r="R166" s="510">
        <f t="shared" si="25"/>
        <v>0</v>
      </c>
      <c r="S166" s="568"/>
      <c r="T166" s="573"/>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row>
    <row r="167" spans="1:41" ht="15.75" customHeight="1">
      <c r="A167" s="512" t="s">
        <v>897</v>
      </c>
      <c r="B167" s="505">
        <f>('Pivot Table for Data Exchange'!$G$115)*100</f>
        <v>0</v>
      </c>
      <c r="C167" s="505">
        <f>('Pivot Table for Data Exchange'!$G$118)*100</f>
        <v>0</v>
      </c>
      <c r="D167" s="506">
        <f t="shared" si="26"/>
        <v>0</v>
      </c>
      <c r="E167" s="505">
        <f>('Pivot Table for Data Exchange'!$G$121)*100</f>
        <v>0</v>
      </c>
      <c r="F167" s="505">
        <f>('Pivot Table for Data Exchange'!$G$124)*100</f>
        <v>0</v>
      </c>
      <c r="G167" s="515">
        <f>('Pivot Table for Data Exchange'!$G$127)*100</f>
        <v>0</v>
      </c>
      <c r="H167" s="505">
        <f>('Pivot Table for Data Exchange'!$G$130)*100</f>
        <v>0</v>
      </c>
      <c r="I167" s="514" t="s">
        <v>897</v>
      </c>
      <c r="J167" s="505">
        <f>('Pivot Table for Data Exchange'!$G$133)*100</f>
        <v>0</v>
      </c>
      <c r="K167" s="505">
        <f>('Pivot Table for Data Exchange'!$G$136)*100</f>
        <v>0</v>
      </c>
      <c r="L167" s="506">
        <f t="shared" si="27"/>
        <v>0</v>
      </c>
      <c r="M167" s="505">
        <f>('Pivot Table for Data Exchange'!$G$139)*100</f>
        <v>0</v>
      </c>
      <c r="N167" s="505">
        <f>('Pivot Table for Data Exchange'!$G$142)*100</f>
        <v>0</v>
      </c>
      <c r="O167" s="515">
        <f>('Pivot Table for Data Exchange'!$G$145)*100</f>
        <v>0</v>
      </c>
      <c r="P167" s="505">
        <f>('Pivot Table for Data Exchange'!$G$148)*100</f>
        <v>0</v>
      </c>
      <c r="Q167" s="510">
        <f t="shared" si="24"/>
        <v>0</v>
      </c>
      <c r="R167" s="510">
        <f t="shared" si="25"/>
        <v>0</v>
      </c>
      <c r="S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row>
    <row r="168" spans="1:41" ht="10.5" customHeight="1">
      <c r="A168" s="512"/>
      <c r="B168" s="505"/>
      <c r="C168" s="505"/>
      <c r="D168" s="506"/>
      <c r="E168" s="505"/>
      <c r="F168" s="505"/>
      <c r="G168" s="515"/>
      <c r="H168" s="505"/>
      <c r="I168" s="514"/>
      <c r="J168" s="505"/>
      <c r="K168" s="505"/>
      <c r="L168" s="506"/>
      <c r="M168" s="505"/>
      <c r="N168" s="505"/>
      <c r="O168" s="515"/>
      <c r="P168" s="505"/>
      <c r="Q168" s="510">
        <f t="shared" si="24"/>
        <v>0</v>
      </c>
      <c r="R168" s="510">
        <f t="shared" si="25"/>
        <v>0</v>
      </c>
      <c r="S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row>
    <row r="169" spans="1:41" ht="15.75" customHeight="1">
      <c r="A169" s="512" t="s">
        <v>898</v>
      </c>
      <c r="B169" s="505">
        <f>('Pivot Table for Data Exchange'!$G$151)*100</f>
        <v>83.860286923655238</v>
      </c>
      <c r="C169" s="505">
        <f>('Pivot Table for Data Exchange'!$G$154)*100</f>
        <v>0.85273792727010578</v>
      </c>
      <c r="D169" s="506">
        <f t="shared" ref="D169:D170" si="28">SUM(E169:G169)</f>
        <v>15.286975149074655</v>
      </c>
      <c r="E169" s="505">
        <f>('Pivot Table for Data Exchange'!$G$157)*100</f>
        <v>15.286975149074655</v>
      </c>
      <c r="F169" s="519">
        <f>('Pivot Table for Data Exchange'!$G$160)*100</f>
        <v>0</v>
      </c>
      <c r="G169" s="513">
        <f>('Pivot Table for Data Exchange'!$G$163)*100</f>
        <v>0</v>
      </c>
      <c r="H169" s="505">
        <f>('Pivot Table for Data Exchange'!$G$166)*100</f>
        <v>0</v>
      </c>
      <c r="I169" s="514" t="s">
        <v>898</v>
      </c>
      <c r="J169" s="505">
        <f>('Pivot Table for Data Exchange'!$G$169)*100</f>
        <v>49.756797703532413</v>
      </c>
      <c r="K169" s="505">
        <f>('Pivot Table for Data Exchange'!$G$172)*100</f>
        <v>9.6643010924168724</v>
      </c>
      <c r="L169" s="506">
        <f t="shared" ref="L169:L170" si="29">SUM(M169:O169)</f>
        <v>40.578901204050716</v>
      </c>
      <c r="M169" s="505">
        <f>('Pivot Table for Data Exchange'!$G$175)*100</f>
        <v>40.578901204050716</v>
      </c>
      <c r="N169" s="505">
        <f>('Pivot Table for Data Exchange'!$G$178)*100</f>
        <v>0</v>
      </c>
      <c r="O169" s="515">
        <f>('Pivot Table for Data Exchange'!$G$181)*100</f>
        <v>0</v>
      </c>
      <c r="P169" s="505">
        <f>('Pivot Table for Data Exchange'!$G$184)*100</f>
        <v>0</v>
      </c>
      <c r="Q169" s="510">
        <f t="shared" si="24"/>
        <v>100</v>
      </c>
      <c r="R169" s="510">
        <f t="shared" si="25"/>
        <v>100</v>
      </c>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row>
    <row r="170" spans="1:41" ht="15.75" customHeight="1">
      <c r="A170" s="512" t="s">
        <v>899</v>
      </c>
      <c r="B170" s="505">
        <f>('Pivot Table for Data Exchange'!$G$187)*100</f>
        <v>0</v>
      </c>
      <c r="C170" s="505">
        <f>('Pivot Table for Data Exchange'!$G$190)*100</f>
        <v>0</v>
      </c>
      <c r="D170" s="506">
        <f t="shared" si="28"/>
        <v>0</v>
      </c>
      <c r="E170" s="505">
        <f>('Pivot Table for Data Exchange'!$G$193)*100</f>
        <v>0</v>
      </c>
      <c r="F170" s="505">
        <f>('Pivot Table for Data Exchange'!$G$196)*100</f>
        <v>0</v>
      </c>
      <c r="G170" s="515">
        <f>('Pivot Table for Data Exchange'!$G$199)*100</f>
        <v>0</v>
      </c>
      <c r="H170" s="505">
        <f>('Pivot Table for Data Exchange'!$G$202)*100</f>
        <v>0</v>
      </c>
      <c r="I170" s="514" t="s">
        <v>899</v>
      </c>
      <c r="J170" s="505">
        <f>('Pivot Table for Data Exchange'!$G$205)*100</f>
        <v>0</v>
      </c>
      <c r="K170" s="505">
        <f>('Pivot Table for Data Exchange'!$G$208)*100</f>
        <v>0</v>
      </c>
      <c r="L170" s="506">
        <f t="shared" si="29"/>
        <v>0</v>
      </c>
      <c r="M170" s="505">
        <f>('Pivot Table for Data Exchange'!$G$211)*100</f>
        <v>0</v>
      </c>
      <c r="N170" s="505">
        <f>('Pivot Table for Data Exchange'!$G$214)*100</f>
        <v>0</v>
      </c>
      <c r="O170" s="515">
        <f>('Pivot Table for Data Exchange'!$G$217)*100</f>
        <v>0</v>
      </c>
      <c r="P170" s="505">
        <f>('Pivot Table for Data Exchange'!$G$220)*100</f>
        <v>0</v>
      </c>
      <c r="Q170" s="510">
        <f t="shared" si="24"/>
        <v>0</v>
      </c>
      <c r="R170" s="510">
        <f t="shared" si="25"/>
        <v>0</v>
      </c>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row>
    <row r="171" spans="1:41" ht="15.75" customHeight="1">
      <c r="A171" s="512" t="s">
        <v>900</v>
      </c>
      <c r="B171" s="505">
        <f>('Pivot Table for Data Exchange'!$G$223)*100</f>
        <v>87.671232876712324</v>
      </c>
      <c r="C171" s="505">
        <f>('Pivot Table for Data Exchange'!$G$226)*100</f>
        <v>0</v>
      </c>
      <c r="D171" s="506">
        <f>SUM(E171:G171)</f>
        <v>12.328767123287671</v>
      </c>
      <c r="E171" s="505">
        <f>('Pivot Table for Data Exchange'!$G$229)*100</f>
        <v>12.328767123287671</v>
      </c>
      <c r="F171" s="505">
        <f>('Pivot Table for Data Exchange'!$G$232)*100</f>
        <v>0</v>
      </c>
      <c r="G171" s="515">
        <f>('Pivot Table for Data Exchange'!$G$235)*100</f>
        <v>0</v>
      </c>
      <c r="H171" s="505">
        <f>('Pivot Table for Data Exchange'!$G$238)*100</f>
        <v>0</v>
      </c>
      <c r="I171" s="514" t="s">
        <v>900</v>
      </c>
      <c r="J171" s="505">
        <f>('Pivot Table for Data Exchange'!$G$241)*100</f>
        <v>82.383419689119222</v>
      </c>
      <c r="K171" s="505">
        <f>('Pivot Table for Data Exchange'!$G$244)*100</f>
        <v>0</v>
      </c>
      <c r="L171" s="506">
        <f>SUM(M171:O171)</f>
        <v>17.616580310880789</v>
      </c>
      <c r="M171" s="505">
        <f>('Pivot Table for Data Exchange'!$G$247)*100</f>
        <v>17.616580310880789</v>
      </c>
      <c r="N171" s="505">
        <f>('Pivot Table for Data Exchange'!$G$250)*100</f>
        <v>0</v>
      </c>
      <c r="O171" s="515">
        <f>('Pivot Table for Data Exchange'!$G$253)*100</f>
        <v>0</v>
      </c>
      <c r="P171" s="505">
        <f>('Pivot Table for Data Exchange'!$G$256)*100</f>
        <v>0</v>
      </c>
      <c r="Q171" s="510">
        <f t="shared" si="24"/>
        <v>100</v>
      </c>
      <c r="R171" s="510">
        <f t="shared" si="25"/>
        <v>100.00000000000001</v>
      </c>
      <c r="S171" s="568"/>
      <c r="T171" s="573"/>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row>
    <row r="172" spans="1:41" ht="15.75" customHeight="1">
      <c r="A172" s="512" t="s">
        <v>901</v>
      </c>
      <c r="B172" s="505">
        <f>('Pivot Table for Data Exchange'!$G$259)*100</f>
        <v>76.428464194565379</v>
      </c>
      <c r="C172" s="505">
        <f>('Pivot Table for Data Exchange'!$G$262)*100</f>
        <v>2.6797778111394686</v>
      </c>
      <c r="D172" s="506">
        <f>SUM(E172:G172)</f>
        <v>20.891757994295151</v>
      </c>
      <c r="E172" s="505">
        <f>('Pivot Table for Data Exchange'!$G$265)*100</f>
        <v>20.891757994295151</v>
      </c>
      <c r="F172" s="505">
        <f>('Pivot Table for Data Exchange'!$G$268)*100</f>
        <v>0</v>
      </c>
      <c r="G172" s="515">
        <f>('Pivot Table for Data Exchange'!$G$271)*100</f>
        <v>0</v>
      </c>
      <c r="H172" s="505">
        <f>('Pivot Table for Data Exchange'!$G$274)*100</f>
        <v>0</v>
      </c>
      <c r="I172" s="514" t="s">
        <v>901</v>
      </c>
      <c r="J172" s="505">
        <f>('Pivot Table for Data Exchange'!$G$277)*100</f>
        <v>72.800718132854584</v>
      </c>
      <c r="K172" s="505">
        <f>('Pivot Table for Data Exchange'!$G$280)*100</f>
        <v>12.872531418312388</v>
      </c>
      <c r="L172" s="506">
        <f>SUM(M172:O172)</f>
        <v>14.326750448833034</v>
      </c>
      <c r="M172" s="505">
        <f>('Pivot Table for Data Exchange'!$G$283)*100</f>
        <v>14.326750448833034</v>
      </c>
      <c r="N172" s="505">
        <f>('Pivot Table for Data Exchange'!$G$286)*100</f>
        <v>0</v>
      </c>
      <c r="O172" s="515">
        <f>('Pivot Table for Data Exchange'!$G$289)*100</f>
        <v>0</v>
      </c>
      <c r="P172" s="505">
        <f>('Pivot Table for Data Exchange'!$G$292)*100</f>
        <v>0</v>
      </c>
      <c r="Q172" s="510">
        <f t="shared" si="24"/>
        <v>100</v>
      </c>
      <c r="R172" s="510">
        <f t="shared" si="25"/>
        <v>100.00000000000001</v>
      </c>
      <c r="S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row>
    <row r="173" spans="1:41" ht="11.25" customHeight="1">
      <c r="A173" s="512"/>
      <c r="B173" s="505"/>
      <c r="C173" s="505"/>
      <c r="D173" s="506"/>
      <c r="E173" s="505"/>
      <c r="F173" s="505"/>
      <c r="G173" s="515"/>
      <c r="H173" s="505"/>
      <c r="I173" s="514"/>
      <c r="J173" s="505"/>
      <c r="K173" s="505"/>
      <c r="L173" s="506"/>
      <c r="M173" s="505"/>
      <c r="N173" s="505"/>
      <c r="O173" s="515"/>
      <c r="P173" s="505"/>
      <c r="Q173" s="510">
        <f t="shared" si="24"/>
        <v>0</v>
      </c>
      <c r="R173" s="510">
        <f t="shared" si="25"/>
        <v>0</v>
      </c>
      <c r="S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row>
    <row r="174" spans="1:41" ht="15.75" customHeight="1">
      <c r="A174" s="512" t="s">
        <v>902</v>
      </c>
      <c r="B174" s="505">
        <f>('Pivot Table for Data Exchange'!$G$295)*100</f>
        <v>49.941062557884983</v>
      </c>
      <c r="C174" s="505">
        <f>('Pivot Table for Data Exchange'!$G$298)*100</f>
        <v>0.21329740955909182</v>
      </c>
      <c r="D174" s="506">
        <f>SUM(E174:G174)</f>
        <v>49.84564003255592</v>
      </c>
      <c r="E174" s="505">
        <f>('Pivot Table for Data Exchange'!$G$301)*100</f>
        <v>49.84564003255592</v>
      </c>
      <c r="F174" s="505">
        <f>('Pivot Table for Data Exchange'!$G$304)*100</f>
        <v>0</v>
      </c>
      <c r="G174" s="515">
        <f>('Pivot Table for Data Exchange'!$G$307)*100</f>
        <v>0</v>
      </c>
      <c r="H174" s="505">
        <f>('Pivot Table for Data Exchange'!$G$310)*100</f>
        <v>0</v>
      </c>
      <c r="I174" s="514" t="s">
        <v>902</v>
      </c>
      <c r="J174" s="505">
        <f>('Pivot Table for Data Exchange'!$G$313)*100</f>
        <v>52.924157883860303</v>
      </c>
      <c r="K174" s="505">
        <f>('Pivot Table for Data Exchange'!$G$316)*100</f>
        <v>9.5887580078528636</v>
      </c>
      <c r="L174" s="506">
        <f>SUM(M174:O174)</f>
        <v>37.487084108286837</v>
      </c>
      <c r="M174" s="505">
        <f>('Pivot Table for Data Exchange'!$G$319)*100</f>
        <v>37.487084108286837</v>
      </c>
      <c r="N174" s="505">
        <f>('Pivot Table for Data Exchange'!$G$322)*100</f>
        <v>0</v>
      </c>
      <c r="O174" s="515">
        <f>('Pivot Table for Data Exchange'!$G$325)*100</f>
        <v>0</v>
      </c>
      <c r="P174" s="505">
        <f>('Pivot Table for Data Exchange'!$G$328)*100</f>
        <v>0</v>
      </c>
      <c r="Q174" s="510">
        <f t="shared" si="24"/>
        <v>100</v>
      </c>
      <c r="R174" s="510">
        <f t="shared" si="25"/>
        <v>100</v>
      </c>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row>
    <row r="175" spans="1:41" ht="15.75" customHeight="1">
      <c r="A175" s="512" t="s">
        <v>903</v>
      </c>
      <c r="B175" s="505">
        <f>('Pivot Table for Data Exchange'!$G$331)*100</f>
        <v>75.185920116469106</v>
      </c>
      <c r="C175" s="505">
        <f>('Pivot Table for Data Exchange'!$G$334)*100</f>
        <v>0.53370009904073978</v>
      </c>
      <c r="D175" s="506">
        <f>SUM(E175:G175)</f>
        <v>24.280379784490151</v>
      </c>
      <c r="E175" s="505">
        <f>('Pivot Table for Data Exchange'!$G$337)*100</f>
        <v>19.137260666127716</v>
      </c>
      <c r="F175" s="505">
        <f>('Pivot Table for Data Exchange'!$G$340)*100</f>
        <v>0.18198298459094076</v>
      </c>
      <c r="G175" s="515">
        <f>('Pivot Table for Data Exchange'!$G$343)*100</f>
        <v>4.9611361337714923</v>
      </c>
      <c r="H175" s="505">
        <f>('Pivot Table for Data Exchange'!$G$346)*100</f>
        <v>0</v>
      </c>
      <c r="I175" s="514" t="s">
        <v>903</v>
      </c>
      <c r="J175" s="505">
        <f>('Pivot Table for Data Exchange'!$G$349)*100</f>
        <v>55.979978925184405</v>
      </c>
      <c r="K175" s="505">
        <f>('Pivot Table for Data Exchange'!$G$352)*100</f>
        <v>2.5553213909378294</v>
      </c>
      <c r="L175" s="506">
        <f>SUM(M175:O175)</f>
        <v>41.464699683877768</v>
      </c>
      <c r="M175" s="505">
        <f>('Pivot Table for Data Exchange'!$G$355)*100</f>
        <v>34.466104671584127</v>
      </c>
      <c r="N175" s="505">
        <f>('Pivot Table for Data Exchange'!$G$358)*100</f>
        <v>7.9030558482613283E-2</v>
      </c>
      <c r="O175" s="515">
        <f>('Pivot Table for Data Exchange'!$G$361)*100</f>
        <v>6.919564453811029</v>
      </c>
      <c r="P175" s="505">
        <f>('Pivot Table for Data Exchange'!$G$364)*100</f>
        <v>0</v>
      </c>
      <c r="Q175" s="510">
        <f t="shared" si="24"/>
        <v>100</v>
      </c>
      <c r="R175" s="510">
        <f t="shared" si="25"/>
        <v>100</v>
      </c>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row>
    <row r="176" spans="1:41" ht="15.75" customHeight="1">
      <c r="A176" s="512" t="s">
        <v>904</v>
      </c>
      <c r="B176" s="505">
        <f>('Pivot Table for Data Exchange'!$G$367)*100</f>
        <v>79.007805948003352</v>
      </c>
      <c r="C176" s="505">
        <f>('Pivot Table for Data Exchange'!$G$370)*100</f>
        <v>0.82909000309212533</v>
      </c>
      <c r="D176" s="506">
        <f>SUM(E176:G176)</f>
        <v>20.163104048904522</v>
      </c>
      <c r="E176" s="505">
        <f>('Pivot Table for Data Exchange'!$G$373)*100</f>
        <v>14.772350615866831</v>
      </c>
      <c r="F176" s="505">
        <f>('Pivot Table for Data Exchange'!$G$376)*100</f>
        <v>4.2602368256552969</v>
      </c>
      <c r="G176" s="515">
        <f>('Pivot Table for Data Exchange'!$G$379)*100</f>
        <v>1.1305166073823936</v>
      </c>
      <c r="H176" s="505">
        <f>('Pivot Table for Data Exchange'!$G$382)*100</f>
        <v>0</v>
      </c>
      <c r="I176" s="514" t="s">
        <v>904</v>
      </c>
      <c r="J176" s="505">
        <f>('Pivot Table for Data Exchange'!$G$385)*100</f>
        <v>46.569147708919758</v>
      </c>
      <c r="K176" s="505">
        <f>('Pivot Table for Data Exchange'!$G$388)*100</f>
        <v>0.31378339716672049</v>
      </c>
      <c r="L176" s="506">
        <f>SUM(M176:O176)</f>
        <v>53.117068893913526</v>
      </c>
      <c r="M176" s="505">
        <f>('Pivot Table for Data Exchange'!$G$391)*100</f>
        <v>43.899681602141108</v>
      </c>
      <c r="N176" s="505">
        <f>('Pivot Table for Data Exchange'!$G$394)*100</f>
        <v>6.7901804254533706</v>
      </c>
      <c r="O176" s="515">
        <f>('Pivot Table for Data Exchange'!$G$397)*100</f>
        <v>2.4272068663190436</v>
      </c>
      <c r="P176" s="505">
        <f>('Pivot Table for Data Exchange'!$G$400)*100</f>
        <v>0</v>
      </c>
      <c r="Q176" s="510">
        <f t="shared" si="24"/>
        <v>100</v>
      </c>
      <c r="R176" s="510">
        <f t="shared" si="25"/>
        <v>100</v>
      </c>
      <c r="S176" s="568"/>
      <c r="T176" s="573"/>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row>
    <row r="177" spans="1:41" ht="15.75" customHeight="1">
      <c r="A177" s="512" t="s">
        <v>905</v>
      </c>
      <c r="B177" s="505">
        <f>('Pivot Table for Data Exchange'!$G$403)*100</f>
        <v>89.412425803796808</v>
      </c>
      <c r="C177" s="505">
        <f>('Pivot Table for Data Exchange'!$G$406)*100</f>
        <v>0.48693505246553737</v>
      </c>
      <c r="D177" s="506">
        <f>SUM(E177:G177)</f>
        <v>10.100639143737652</v>
      </c>
      <c r="E177" s="505">
        <f>('Pivot Table for Data Exchange'!$G$409)*100</f>
        <v>10.100639143737652</v>
      </c>
      <c r="F177" s="505">
        <f>('Pivot Table for Data Exchange'!$G$412)*100</f>
        <v>0</v>
      </c>
      <c r="G177" s="515">
        <f>('Pivot Table for Data Exchange'!$G$415)*100</f>
        <v>0</v>
      </c>
      <c r="H177" s="505">
        <f>('Pivot Table for Data Exchange'!$G$418)*100</f>
        <v>0</v>
      </c>
      <c r="I177" s="514" t="s">
        <v>905</v>
      </c>
      <c r="J177" s="505">
        <f>('Pivot Table for Data Exchange'!$G$421)*100</f>
        <v>60.379948795963045</v>
      </c>
      <c r="K177" s="505">
        <f>('Pivot Table for Data Exchange'!$G$424)*100</f>
        <v>4.8235686987495825</v>
      </c>
      <c r="L177" s="506">
        <f>SUM(M177:O177)</f>
        <v>34.796482505287372</v>
      </c>
      <c r="M177" s="505">
        <f>('Pivot Table for Data Exchange'!$G$427)*100</f>
        <v>34.796482505287372</v>
      </c>
      <c r="N177" s="505">
        <f>('Pivot Table for Data Exchange'!$G$430)*100</f>
        <v>0</v>
      </c>
      <c r="O177" s="515">
        <f>('Pivot Table for Data Exchange'!$G$433)*100</f>
        <v>0</v>
      </c>
      <c r="P177" s="505">
        <f>('Pivot Table for Data Exchange'!$G$436)*100</f>
        <v>0</v>
      </c>
      <c r="Q177" s="510">
        <f t="shared" si="24"/>
        <v>100</v>
      </c>
      <c r="R177" s="510">
        <f t="shared" si="25"/>
        <v>100</v>
      </c>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row>
    <row r="178" spans="1:41" ht="11.25" customHeight="1">
      <c r="A178" s="512"/>
      <c r="B178" s="505"/>
      <c r="C178" s="505"/>
      <c r="D178" s="506"/>
      <c r="E178" s="505"/>
      <c r="F178" s="505"/>
      <c r="G178" s="515"/>
      <c r="H178" s="505"/>
      <c r="I178" s="514"/>
      <c r="J178" s="505"/>
      <c r="K178" s="505"/>
      <c r="L178" s="506"/>
      <c r="M178" s="505"/>
      <c r="N178" s="505"/>
      <c r="O178" s="515"/>
      <c r="P178" s="505"/>
      <c r="Q178" s="510">
        <f t="shared" si="24"/>
        <v>0</v>
      </c>
      <c r="R178" s="510">
        <f t="shared" si="25"/>
        <v>0</v>
      </c>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row>
    <row r="179" spans="1:41" ht="15.75" customHeight="1">
      <c r="A179" s="512" t="s">
        <v>906</v>
      </c>
      <c r="B179" s="505">
        <f>('Pivot Table for Data Exchange'!$G$439)*100</f>
        <v>82.512665357372455</v>
      </c>
      <c r="C179" s="505">
        <f>('Pivot Table for Data Exchange'!$G$442)*100</f>
        <v>4.1667403881880425</v>
      </c>
      <c r="D179" s="506">
        <f>SUM(E179:G179)</f>
        <v>13.151329641359544</v>
      </c>
      <c r="E179" s="505">
        <f>('Pivot Table for Data Exchange'!$G$445)*100</f>
        <v>10.700826270811586</v>
      </c>
      <c r="F179" s="505">
        <f>('Pivot Table for Data Exchange'!$G$448)*100</f>
        <v>2.4257329393655231</v>
      </c>
      <c r="G179" s="513">
        <f>('Pivot Table for Data Exchange'!$G$451)*100</f>
        <v>2.4770431182434223E-2</v>
      </c>
      <c r="H179" s="505">
        <f>('Pivot Table for Data Exchange'!$G$454)*100</f>
        <v>0.16926461307996721</v>
      </c>
      <c r="I179" s="514" t="s">
        <v>906</v>
      </c>
      <c r="J179" s="505">
        <f>('Pivot Table for Data Exchange'!$G$457)*100</f>
        <v>11.525368779380775</v>
      </c>
      <c r="K179" s="505">
        <f>('Pivot Table for Data Exchange'!$G$460)*100</f>
        <v>9.7260496028529736E-2</v>
      </c>
      <c r="L179" s="506">
        <f>SUM(M179:O179)</f>
        <v>88.328740476576428</v>
      </c>
      <c r="M179" s="505">
        <f>('Pivot Table for Data Exchange'!$G$463)*100</f>
        <v>88.328740476576428</v>
      </c>
      <c r="N179" s="519">
        <f>('Pivot Table for Data Exchange'!$G$466)*100</f>
        <v>0</v>
      </c>
      <c r="O179" s="515">
        <f>('Pivot Table for Data Exchange'!$G$469)*100</f>
        <v>0</v>
      </c>
      <c r="P179" s="505">
        <f>('Pivot Table for Data Exchange'!$G$472)*100</f>
        <v>4.8630248014264868E-2</v>
      </c>
      <c r="Q179" s="510">
        <f t="shared" si="24"/>
        <v>100</v>
      </c>
      <c r="R179" s="510">
        <f t="shared" si="25"/>
        <v>100</v>
      </c>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row>
    <row r="180" spans="1:41" ht="15.75" customHeight="1">
      <c r="A180" s="512" t="s">
        <v>907</v>
      </c>
      <c r="B180" s="505">
        <f>('Pivot Table for Data Exchange'!$G$475)*100</f>
        <v>63.375462377619755</v>
      </c>
      <c r="C180" s="505">
        <f>('Pivot Table for Data Exchange'!$G$478)*100</f>
        <v>3.5171250099878266</v>
      </c>
      <c r="D180" s="506">
        <f>SUM(E180:G180)</f>
        <v>33.10741261239243</v>
      </c>
      <c r="E180" s="505">
        <f>('Pivot Table for Data Exchange'!$G$481)*100</f>
        <v>31.284222994091909</v>
      </c>
      <c r="F180" s="505">
        <f>('Pivot Table for Data Exchange'!$G$484)*100</f>
        <v>1.2377854755850517</v>
      </c>
      <c r="G180" s="515">
        <f>('Pivot Table for Data Exchange'!$G$487)*100</f>
        <v>0.58540414271546681</v>
      </c>
      <c r="H180" s="505">
        <f>('Pivot Table for Data Exchange'!$G$490)*100</f>
        <v>0</v>
      </c>
      <c r="I180" s="514" t="s">
        <v>907</v>
      </c>
      <c r="J180" s="505">
        <f>('Pivot Table for Data Exchange'!$G$493)*100</f>
        <v>35.237859878907699</v>
      </c>
      <c r="K180" s="505">
        <f>('Pivot Table for Data Exchange'!$G$496)*100</f>
        <v>0.82540467070307666</v>
      </c>
      <c r="L180" s="506">
        <f>SUM(M180:O180)</f>
        <v>63.936735450389222</v>
      </c>
      <c r="M180" s="505">
        <f>('Pivot Table for Data Exchange'!$G$499)*100</f>
        <v>60.711726183121215</v>
      </c>
      <c r="N180" s="505">
        <f>('Pivot Table for Data Exchange'!$G$502)*100</f>
        <v>0.77845051278882982</v>
      </c>
      <c r="O180" s="515">
        <f>('Pivot Table for Data Exchange'!$G$505)*100</f>
        <v>2.4465587544791796</v>
      </c>
      <c r="P180" s="505">
        <f>('Pivot Table for Data Exchange'!$G$508)*100</f>
        <v>0</v>
      </c>
      <c r="Q180" s="510">
        <f t="shared" si="24"/>
        <v>100</v>
      </c>
      <c r="R180" s="510">
        <f t="shared" si="25"/>
        <v>100</v>
      </c>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row>
    <row r="181" spans="1:41" ht="15.75" customHeight="1">
      <c r="A181" s="512" t="s">
        <v>908</v>
      </c>
      <c r="B181" s="505">
        <f>('Pivot Table for Data Exchange'!$G$511)*100</f>
        <v>99.534214672237823</v>
      </c>
      <c r="C181" s="505">
        <f>('Pivot Table for Data Exchange'!$G$514)*100</f>
        <v>0.46578532776217546</v>
      </c>
      <c r="D181" s="506">
        <f>SUM(E181:G181)</f>
        <v>0</v>
      </c>
      <c r="E181" s="505">
        <f>('Pivot Table for Data Exchange'!$G$517)*100</f>
        <v>0</v>
      </c>
      <c r="F181" s="505">
        <f>('Pivot Table for Data Exchange'!$G$520)*100</f>
        <v>0</v>
      </c>
      <c r="G181" s="515">
        <f>('Pivot Table for Data Exchange'!$G$523)*100</f>
        <v>0</v>
      </c>
      <c r="H181" s="505">
        <f>('Pivot Table for Data Exchange'!$G$526)*100</f>
        <v>0</v>
      </c>
      <c r="I181" s="514" t="s">
        <v>908</v>
      </c>
      <c r="J181" s="505">
        <f>('Pivot Table for Data Exchange'!$G$529)*100</f>
        <v>98.628048780487802</v>
      </c>
      <c r="K181" s="505">
        <f>('Pivot Table for Data Exchange'!$G$532)*100</f>
        <v>1.3719512195121952</v>
      </c>
      <c r="L181" s="506">
        <f>SUM(M181:O181)</f>
        <v>0</v>
      </c>
      <c r="M181" s="505">
        <f>('Pivot Table for Data Exchange'!$G$535)*100</f>
        <v>0</v>
      </c>
      <c r="N181" s="505">
        <f>('Pivot Table for Data Exchange'!$G$538)*100</f>
        <v>0</v>
      </c>
      <c r="O181" s="515">
        <f>('Pivot Table for Data Exchange'!$G$541)*100</f>
        <v>0</v>
      </c>
      <c r="P181" s="505">
        <f>('Pivot Table for Data Exchange'!$G$544)*100</f>
        <v>0</v>
      </c>
      <c r="Q181" s="510">
        <f t="shared" si="24"/>
        <v>100</v>
      </c>
      <c r="R181" s="510">
        <f t="shared" si="25"/>
        <v>100</v>
      </c>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row>
    <row r="182" spans="1:41" ht="15.75" customHeight="1">
      <c r="A182" s="484" t="s">
        <v>909</v>
      </c>
      <c r="B182" s="520">
        <f>('Pivot Table for Data Exchange'!$G$547)*100</f>
        <v>81.163576317547552</v>
      </c>
      <c r="C182" s="520">
        <f>('Pivot Table for Data Exchange'!$G$550)*100</f>
        <v>5.0004411783242793</v>
      </c>
      <c r="D182" s="521">
        <f>SUM(E182:G182)</f>
        <v>13.835982504128168</v>
      </c>
      <c r="E182" s="520">
        <f>('Pivot Table for Data Exchange'!$G$553)*100</f>
        <v>13.808566422547994</v>
      </c>
      <c r="F182" s="520">
        <f>('Pivot Table for Data Exchange'!$G$556)*100</f>
        <v>2.7416081580174709E-2</v>
      </c>
      <c r="G182" s="522">
        <f>('Pivot Table for Data Exchange'!$G$559)*100</f>
        <v>0</v>
      </c>
      <c r="H182" s="520">
        <f>('Pivot Table for Data Exchange'!$G$562)*100</f>
        <v>0</v>
      </c>
      <c r="I182" s="523" t="s">
        <v>909</v>
      </c>
      <c r="J182" s="520">
        <f>('Pivot Table for Data Exchange'!$G$565)*100</f>
        <v>40.069179867655905</v>
      </c>
      <c r="K182" s="520">
        <f>('Pivot Table for Data Exchange'!$G$568)*100</f>
        <v>7.1836775616603159</v>
      </c>
      <c r="L182" s="521">
        <f>SUM(M182:O182)</f>
        <v>52.747142570683778</v>
      </c>
      <c r="M182" s="520">
        <f>('Pivot Table for Data Exchange'!$G$571)*100</f>
        <v>52.747142570683778</v>
      </c>
      <c r="N182" s="520">
        <f>('Pivot Table for Data Exchange'!$G$574)*100</f>
        <v>0</v>
      </c>
      <c r="O182" s="522">
        <f>('Pivot Table for Data Exchange'!$G$577)*100</f>
        <v>0</v>
      </c>
      <c r="P182" s="520">
        <f>('Pivot Table for Data Exchange'!$G$580)*100</f>
        <v>0</v>
      </c>
      <c r="Q182" s="510">
        <f t="shared" si="24"/>
        <v>100</v>
      </c>
      <c r="R182" s="510">
        <f t="shared" si="25"/>
        <v>100</v>
      </c>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row>
    <row r="183" spans="1:41" s="571" customFormat="1" ht="13.5" customHeight="1">
      <c r="A183" s="525" t="s">
        <v>937</v>
      </c>
      <c r="B183" s="526"/>
      <c r="C183" s="526"/>
      <c r="D183" s="527"/>
      <c r="E183" s="526"/>
      <c r="F183" s="527"/>
      <c r="G183" s="527"/>
      <c r="H183" s="526"/>
      <c r="I183" s="525" t="s">
        <v>937</v>
      </c>
      <c r="J183" s="526"/>
      <c r="K183" s="526"/>
      <c r="L183" s="527"/>
      <c r="M183" s="526"/>
      <c r="N183" s="527"/>
      <c r="O183" s="527"/>
      <c r="P183" s="526"/>
      <c r="Q183" s="510">
        <f t="shared" si="24"/>
        <v>0</v>
      </c>
      <c r="R183" s="510">
        <f t="shared" si="25"/>
        <v>0</v>
      </c>
      <c r="S183" s="572"/>
      <c r="T183" s="572"/>
      <c r="U183" s="572"/>
      <c r="V183" s="572"/>
      <c r="W183" s="572"/>
      <c r="X183" s="572"/>
      <c r="Y183" s="572"/>
      <c r="Z183" s="572"/>
      <c r="AA183" s="572"/>
      <c r="AB183" s="572"/>
      <c r="AC183" s="572"/>
      <c r="AD183" s="572"/>
      <c r="AE183" s="572"/>
      <c r="AF183" s="572"/>
      <c r="AG183" s="572"/>
      <c r="AH183" s="572"/>
      <c r="AI183" s="572"/>
      <c r="AJ183" s="572"/>
      <c r="AK183" s="572"/>
      <c r="AL183" s="572"/>
      <c r="AM183" s="572"/>
      <c r="AN183" s="572"/>
      <c r="AO183" s="572"/>
    </row>
    <row r="184" spans="1:41" s="571" customFormat="1" ht="11.25" customHeight="1">
      <c r="A184" s="542"/>
      <c r="B184" s="543"/>
      <c r="C184" s="543"/>
      <c r="D184" s="543"/>
      <c r="E184" s="543"/>
      <c r="F184" s="543"/>
      <c r="G184" s="545"/>
      <c r="H184" s="545"/>
      <c r="I184" s="542"/>
      <c r="J184" s="543"/>
      <c r="K184" s="543"/>
      <c r="L184" s="543"/>
      <c r="M184" s="543"/>
      <c r="N184" s="543"/>
      <c r="O184" s="543"/>
      <c r="P184" s="545"/>
      <c r="Q184" s="510">
        <f t="shared" si="24"/>
        <v>0</v>
      </c>
      <c r="R184" s="510">
        <f t="shared" si="25"/>
        <v>0</v>
      </c>
      <c r="S184" s="572"/>
      <c r="T184" s="572"/>
      <c r="U184" s="572"/>
      <c r="V184" s="572"/>
      <c r="W184" s="572"/>
      <c r="X184" s="572"/>
      <c r="Y184" s="572"/>
      <c r="Z184" s="572"/>
      <c r="AA184" s="572"/>
      <c r="AB184" s="572"/>
      <c r="AC184" s="572"/>
      <c r="AD184" s="572"/>
      <c r="AE184" s="572"/>
      <c r="AF184" s="572"/>
      <c r="AG184" s="572"/>
      <c r="AH184" s="572"/>
      <c r="AI184" s="572"/>
      <c r="AJ184" s="572"/>
      <c r="AK184" s="572"/>
      <c r="AL184" s="572"/>
      <c r="AM184" s="572"/>
      <c r="AN184" s="572"/>
      <c r="AO184" s="572"/>
    </row>
    <row r="185" spans="1:41" s="571" customFormat="1" ht="13.5" customHeight="1">
      <c r="A185" s="546"/>
      <c r="B185" s="539"/>
      <c r="C185" s="524"/>
      <c r="D185" s="524"/>
      <c r="E185" s="524"/>
      <c r="F185" s="524"/>
      <c r="G185" s="524"/>
      <c r="H185" s="532" t="s">
        <v>1015</v>
      </c>
      <c r="I185" s="546"/>
      <c r="J185" s="524"/>
      <c r="K185" s="524"/>
      <c r="L185" s="524"/>
      <c r="M185" s="524"/>
      <c r="N185" s="524"/>
      <c r="O185" s="524"/>
      <c r="P185" s="532" t="s">
        <v>1015</v>
      </c>
      <c r="Q185" s="510">
        <f t="shared" si="24"/>
        <v>0</v>
      </c>
      <c r="R185" s="510">
        <f t="shared" si="25"/>
        <v>0</v>
      </c>
    </row>
    <row r="186" spans="1:41" ht="18">
      <c r="A186" s="472" t="s">
        <v>948</v>
      </c>
      <c r="B186" s="473"/>
      <c r="C186" s="473"/>
      <c r="D186" s="473"/>
      <c r="E186" s="473"/>
      <c r="F186" s="473"/>
      <c r="G186" s="473"/>
      <c r="H186" s="474"/>
      <c r="I186" s="472" t="s">
        <v>949</v>
      </c>
      <c r="J186" s="475"/>
      <c r="K186" s="475"/>
      <c r="L186" s="473"/>
      <c r="M186" s="475"/>
      <c r="N186" s="475"/>
      <c r="O186" s="475"/>
      <c r="P186" s="475"/>
      <c r="Q186" s="510">
        <f t="shared" si="24"/>
        <v>0</v>
      </c>
      <c r="R186" s="510">
        <f t="shared" si="25"/>
        <v>0</v>
      </c>
    </row>
    <row r="187" spans="1:41">
      <c r="A187" s="479"/>
      <c r="B187" s="475"/>
      <c r="C187" s="475"/>
      <c r="D187" s="475"/>
      <c r="E187" s="475"/>
      <c r="F187" s="475"/>
      <c r="G187" s="475"/>
      <c r="H187" s="480"/>
      <c r="I187" s="479"/>
      <c r="J187" s="475"/>
      <c r="K187" s="475"/>
      <c r="L187" s="475"/>
      <c r="M187" s="475"/>
      <c r="N187" s="475"/>
      <c r="O187" s="475"/>
      <c r="P187" s="475"/>
      <c r="Q187" s="510">
        <f t="shared" si="24"/>
        <v>0</v>
      </c>
      <c r="R187" s="510">
        <f t="shared" si="25"/>
        <v>0</v>
      </c>
    </row>
    <row r="188" spans="1:41" ht="15.75">
      <c r="A188" s="481" t="s">
        <v>917</v>
      </c>
      <c r="B188" s="475"/>
      <c r="C188" s="475"/>
      <c r="D188" s="475"/>
      <c r="E188" s="475"/>
      <c r="F188" s="475"/>
      <c r="G188" s="475"/>
      <c r="H188" s="480"/>
      <c r="I188" s="481" t="s">
        <v>918</v>
      </c>
      <c r="J188" s="475"/>
      <c r="K188" s="475"/>
      <c r="L188" s="475"/>
      <c r="M188" s="475"/>
      <c r="N188" s="475"/>
      <c r="O188" s="475"/>
      <c r="P188" s="475"/>
      <c r="Q188" s="510">
        <f t="shared" si="24"/>
        <v>0</v>
      </c>
      <c r="R188" s="510">
        <f t="shared" si="25"/>
        <v>0</v>
      </c>
    </row>
    <row r="189" spans="1:41" ht="15.75">
      <c r="A189" s="481" t="s">
        <v>1006</v>
      </c>
      <c r="B189" s="475"/>
      <c r="C189" s="475"/>
      <c r="D189" s="475"/>
      <c r="E189" s="475"/>
      <c r="F189" s="475"/>
      <c r="G189" s="475"/>
      <c r="H189" s="480"/>
      <c r="I189" s="481" t="s">
        <v>1006</v>
      </c>
      <c r="J189" s="475"/>
      <c r="K189" s="475"/>
      <c r="L189" s="475"/>
      <c r="M189" s="475"/>
      <c r="N189" s="475"/>
      <c r="O189" s="475"/>
      <c r="P189" s="475"/>
      <c r="Q189" s="510">
        <f t="shared" si="24"/>
        <v>0</v>
      </c>
      <c r="R189" s="510">
        <f t="shared" si="25"/>
        <v>0</v>
      </c>
    </row>
    <row r="190" spans="1:41">
      <c r="A190" s="484"/>
      <c r="B190" s="485"/>
      <c r="C190" s="485"/>
      <c r="D190" s="485"/>
      <c r="E190" s="485"/>
      <c r="F190" s="485"/>
      <c r="G190" s="485"/>
      <c r="H190" s="485"/>
      <c r="I190" s="486"/>
      <c r="L190" s="487"/>
      <c r="P190" s="484"/>
      <c r="Q190" s="510">
        <f t="shared" si="24"/>
        <v>0</v>
      </c>
      <c r="R190" s="510">
        <f t="shared" si="25"/>
        <v>0</v>
      </c>
    </row>
    <row r="191" spans="1:41" s="503" customFormat="1">
      <c r="A191" s="489"/>
      <c r="B191" s="490" t="s">
        <v>919</v>
      </c>
      <c r="C191" s="490"/>
      <c r="D191" s="490"/>
      <c r="E191" s="490"/>
      <c r="F191" s="490"/>
      <c r="G191" s="490"/>
      <c r="H191" s="491"/>
      <c r="I191" s="489"/>
      <c r="J191" s="490" t="s">
        <v>919</v>
      </c>
      <c r="K191" s="490"/>
      <c r="L191" s="490"/>
      <c r="M191" s="490"/>
      <c r="N191" s="490"/>
      <c r="O191" s="490"/>
      <c r="P191" s="491"/>
      <c r="Q191" s="510">
        <f t="shared" si="24"/>
        <v>0</v>
      </c>
      <c r="R191" s="510">
        <f t="shared" si="25"/>
        <v>0</v>
      </c>
    </row>
    <row r="192" spans="1:41" s="503" customFormat="1">
      <c r="A192" s="489"/>
      <c r="B192" s="490" t="s">
        <v>920</v>
      </c>
      <c r="C192" s="490"/>
      <c r="D192" s="659" t="s">
        <v>921</v>
      </c>
      <c r="E192" s="657"/>
      <c r="F192" s="657"/>
      <c r="G192" s="657"/>
      <c r="H192" s="495" t="s">
        <v>320</v>
      </c>
      <c r="I192" s="489"/>
      <c r="J192" s="490" t="s">
        <v>920</v>
      </c>
      <c r="K192" s="490"/>
      <c r="L192" s="659" t="s">
        <v>921</v>
      </c>
      <c r="M192" s="657"/>
      <c r="N192" s="657"/>
      <c r="O192" s="657"/>
      <c r="P192" s="495" t="s">
        <v>320</v>
      </c>
      <c r="Q192" s="510">
        <f t="shared" si="24"/>
        <v>0</v>
      </c>
      <c r="R192" s="510">
        <f t="shared" si="25"/>
        <v>0</v>
      </c>
    </row>
    <row r="193" spans="1:41" s="503" customFormat="1" ht="40.5" customHeight="1">
      <c r="A193" s="489"/>
      <c r="B193" s="496" t="s">
        <v>922</v>
      </c>
      <c r="C193" s="497" t="s">
        <v>923</v>
      </c>
      <c r="D193" s="498" t="s">
        <v>924</v>
      </c>
      <c r="E193" s="499" t="s">
        <v>10</v>
      </c>
      <c r="F193" s="496" t="s">
        <v>925</v>
      </c>
      <c r="G193" s="500" t="s">
        <v>935</v>
      </c>
      <c r="H193" s="501" t="s">
        <v>927</v>
      </c>
      <c r="I193" s="489"/>
      <c r="J193" s="496" t="s">
        <v>922</v>
      </c>
      <c r="K193" s="497" t="s">
        <v>923</v>
      </c>
      <c r="L193" s="498" t="s">
        <v>924</v>
      </c>
      <c r="M193" s="499" t="s">
        <v>10</v>
      </c>
      <c r="N193" s="496" t="s">
        <v>925</v>
      </c>
      <c r="O193" s="500" t="s">
        <v>935</v>
      </c>
      <c r="P193" s="501" t="s">
        <v>927</v>
      </c>
      <c r="Q193" s="510">
        <f t="shared" si="24"/>
        <v>0</v>
      </c>
      <c r="R193" s="510">
        <f t="shared" si="25"/>
        <v>0</v>
      </c>
      <c r="T193" s="502"/>
    </row>
    <row r="194" spans="1:41" ht="15.75" customHeight="1">
      <c r="A194" s="534" t="s">
        <v>894</v>
      </c>
      <c r="B194" s="567">
        <f>('Pivot Table for Data Exchange'!$H$7)*100</f>
        <v>20.534250122270493</v>
      </c>
      <c r="C194" s="505">
        <f>('Pivot Table for Data Exchange'!$H$10)*100</f>
        <v>4.1384965045024309</v>
      </c>
      <c r="D194" s="506">
        <f>SUM(E194:G194)</f>
        <v>75.32725337322708</v>
      </c>
      <c r="E194" s="505">
        <f>('Pivot Table for Data Exchange'!$H$13)*100</f>
        <v>75.32725337322708</v>
      </c>
      <c r="F194" s="505">
        <f>('Pivot Table for Data Exchange'!$H$16)*100</f>
        <v>0</v>
      </c>
      <c r="G194" s="509">
        <f>('Pivot Table for Data Exchange'!$H$19)*100</f>
        <v>0</v>
      </c>
      <c r="H194" s="505">
        <f>('Pivot Table for Data Exchange'!$H$22)*100</f>
        <v>0</v>
      </c>
      <c r="I194" s="508" t="s">
        <v>894</v>
      </c>
      <c r="J194" s="505">
        <f>('Pivot Table for Data Exchange'!$H$25)*100</f>
        <v>0</v>
      </c>
      <c r="K194" s="505">
        <f>('Pivot Table for Data Exchange'!$H$28)*100</f>
        <v>0</v>
      </c>
      <c r="L194" s="506">
        <f>SUM(M194:O194)</f>
        <v>100</v>
      </c>
      <c r="M194" s="505">
        <f>('Pivot Table for Data Exchange'!$H$31)*100</f>
        <v>100</v>
      </c>
      <c r="N194" s="505">
        <f>('Pivot Table for Data Exchange'!$H$34)*100</f>
        <v>0</v>
      </c>
      <c r="O194" s="509">
        <f>('Pivot Table for Data Exchange'!$H$37)*100</f>
        <v>0</v>
      </c>
      <c r="P194" s="505">
        <f>('Pivot Table for Data Exchange'!$H$40)*100</f>
        <v>0</v>
      </c>
      <c r="Q194" s="510">
        <f t="shared" si="24"/>
        <v>100</v>
      </c>
      <c r="R194" s="510">
        <f t="shared" si="25"/>
        <v>100</v>
      </c>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row>
    <row r="195" spans="1:41" ht="15.75" customHeight="1">
      <c r="A195" s="512" t="s">
        <v>895</v>
      </c>
      <c r="B195" s="505">
        <f>('Pivot Table for Data Exchange'!$H$43)*100</f>
        <v>78.998853220897246</v>
      </c>
      <c r="C195" s="505">
        <f>('Pivot Table for Data Exchange'!$H$46)*100</f>
        <v>1.6744699380049495</v>
      </c>
      <c r="D195" s="506">
        <f t="shared" ref="D195:D197" si="30">SUM(E195:G195)</f>
        <v>19.326676841097804</v>
      </c>
      <c r="E195" s="505">
        <f>('Pivot Table for Data Exchange'!$H$49)*100</f>
        <v>19.326676841097804</v>
      </c>
      <c r="F195" s="505">
        <f>('Pivot Table for Data Exchange'!$H$52)*100</f>
        <v>0</v>
      </c>
      <c r="G195" s="515">
        <f>('Pivot Table for Data Exchange'!$H$55)*100</f>
        <v>0</v>
      </c>
      <c r="H195" s="505">
        <f>('Pivot Table for Data Exchange'!$H$58)*100</f>
        <v>0</v>
      </c>
      <c r="I195" s="514" t="s">
        <v>895</v>
      </c>
      <c r="J195" s="505">
        <f>('Pivot Table for Data Exchange'!$H$61)*100</f>
        <v>66.099635479951402</v>
      </c>
      <c r="K195" s="505">
        <f>('Pivot Table for Data Exchange'!$H$64)*100</f>
        <v>0</v>
      </c>
      <c r="L195" s="506">
        <f t="shared" ref="L195:L197" si="31">SUM(M195:O195)</f>
        <v>33.900364520048605</v>
      </c>
      <c r="M195" s="505">
        <f>('Pivot Table for Data Exchange'!$H$67)*100</f>
        <v>33.900364520048605</v>
      </c>
      <c r="N195" s="505">
        <f>('Pivot Table for Data Exchange'!$H$70)*100</f>
        <v>0</v>
      </c>
      <c r="O195" s="515">
        <f>('Pivot Table for Data Exchange'!$H$73)*100</f>
        <v>0</v>
      </c>
      <c r="P195" s="505">
        <f>('Pivot Table for Data Exchange'!$H$76)*100</f>
        <v>0</v>
      </c>
      <c r="Q195" s="510">
        <f t="shared" si="24"/>
        <v>100</v>
      </c>
      <c r="R195" s="510">
        <f t="shared" si="25"/>
        <v>100</v>
      </c>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row>
    <row r="196" spans="1:41" ht="15.75" customHeight="1">
      <c r="A196" s="512" t="s">
        <v>896</v>
      </c>
      <c r="B196" s="505">
        <f>('Pivot Table for Data Exchange'!$H$79)*100</f>
        <v>0</v>
      </c>
      <c r="C196" s="505">
        <f>('Pivot Table for Data Exchange'!$H$82)*100</f>
        <v>0</v>
      </c>
      <c r="D196" s="506">
        <f t="shared" si="30"/>
        <v>0</v>
      </c>
      <c r="E196" s="505">
        <f>('Pivot Table for Data Exchange'!$H$85)*100</f>
        <v>0</v>
      </c>
      <c r="F196" s="505">
        <f>('Pivot Table for Data Exchange'!$H$88)*100</f>
        <v>0</v>
      </c>
      <c r="G196" s="515">
        <f>('Pivot Table for Data Exchange'!$H$91)*100</f>
        <v>0</v>
      </c>
      <c r="H196" s="505">
        <f>('Pivot Table for Data Exchange'!$H$94)*100</f>
        <v>0</v>
      </c>
      <c r="I196" s="514" t="s">
        <v>896</v>
      </c>
      <c r="J196" s="505">
        <f>('Pivot Table for Data Exchange'!$H$97)*100</f>
        <v>0</v>
      </c>
      <c r="K196" s="505">
        <f>('Pivot Table for Data Exchange'!$H$100)*100</f>
        <v>0</v>
      </c>
      <c r="L196" s="506">
        <f t="shared" si="31"/>
        <v>0</v>
      </c>
      <c r="M196" s="505">
        <f>('Pivot Table for Data Exchange'!$H$103)*100</f>
        <v>0</v>
      </c>
      <c r="N196" s="505">
        <f>('Pivot Table for Data Exchange'!$H$106)*100</f>
        <v>0</v>
      </c>
      <c r="O196" s="515">
        <f>('Pivot Table for Data Exchange'!$H$109)*100</f>
        <v>0</v>
      </c>
      <c r="P196" s="505">
        <f>('Pivot Table for Data Exchange'!$H$112)*100</f>
        <v>0</v>
      </c>
      <c r="Q196" s="510">
        <f t="shared" si="24"/>
        <v>0</v>
      </c>
      <c r="R196" s="510">
        <f t="shared" si="25"/>
        <v>0</v>
      </c>
      <c r="S196" s="568"/>
      <c r="T196" s="573"/>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row>
    <row r="197" spans="1:41" ht="15.75" customHeight="1">
      <c r="A197" s="512" t="s">
        <v>936</v>
      </c>
      <c r="B197" s="505">
        <f>('Pivot Table for Data Exchange'!$H$115)*100</f>
        <v>100</v>
      </c>
      <c r="C197" s="505">
        <f>('Pivot Table for Data Exchange'!$H$118)*100</f>
        <v>0</v>
      </c>
      <c r="D197" s="506">
        <f t="shared" si="30"/>
        <v>0</v>
      </c>
      <c r="E197" s="505">
        <f>('Pivot Table for Data Exchange'!$H$121)*100</f>
        <v>0</v>
      </c>
      <c r="F197" s="505">
        <f>('Pivot Table for Data Exchange'!$H$124)*100</f>
        <v>0</v>
      </c>
      <c r="G197" s="515">
        <f>('Pivot Table for Data Exchange'!$H$127)*100</f>
        <v>0</v>
      </c>
      <c r="H197" s="505">
        <f>('Pivot Table for Data Exchange'!$H$130)*100</f>
        <v>0</v>
      </c>
      <c r="I197" s="514" t="s">
        <v>897</v>
      </c>
      <c r="J197" s="505">
        <f>('Pivot Table for Data Exchange'!$H$133)*100</f>
        <v>100</v>
      </c>
      <c r="K197" s="505">
        <f>('Pivot Table for Data Exchange'!$H$136)*100</f>
        <v>0</v>
      </c>
      <c r="L197" s="506">
        <f t="shared" si="31"/>
        <v>0</v>
      </c>
      <c r="M197" s="505">
        <f>('Pivot Table for Data Exchange'!$H$139)*100</f>
        <v>0</v>
      </c>
      <c r="N197" s="505">
        <f>('Pivot Table for Data Exchange'!$H$142)*100</f>
        <v>0</v>
      </c>
      <c r="O197" s="515">
        <f>('Pivot Table for Data Exchange'!$H$145)*100</f>
        <v>0</v>
      </c>
      <c r="P197" s="505">
        <f>('Pivot Table for Data Exchange'!$H$148)*100</f>
        <v>0</v>
      </c>
      <c r="Q197" s="510">
        <f t="shared" si="24"/>
        <v>100</v>
      </c>
      <c r="R197" s="510">
        <f t="shared" si="25"/>
        <v>100</v>
      </c>
      <c r="S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row>
    <row r="198" spans="1:41" ht="15.75" customHeight="1">
      <c r="A198" s="512"/>
      <c r="B198" s="505"/>
      <c r="C198" s="505"/>
      <c r="D198" s="506"/>
      <c r="E198" s="505"/>
      <c r="F198" s="505"/>
      <c r="G198" s="515"/>
      <c r="H198" s="505"/>
      <c r="I198" s="514"/>
      <c r="J198" s="505"/>
      <c r="K198" s="505"/>
      <c r="L198" s="506"/>
      <c r="M198" s="505"/>
      <c r="N198" s="505"/>
      <c r="O198" s="515"/>
      <c r="P198" s="505"/>
      <c r="Q198" s="510">
        <f t="shared" si="24"/>
        <v>0</v>
      </c>
      <c r="R198" s="510">
        <f t="shared" si="25"/>
        <v>0</v>
      </c>
      <c r="S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row>
    <row r="199" spans="1:41" ht="15.75" customHeight="1">
      <c r="A199" s="512" t="s">
        <v>898</v>
      </c>
      <c r="B199" s="505">
        <f>('Pivot Table for Data Exchange'!$H$151)*100</f>
        <v>85.561714708056172</v>
      </c>
      <c r="C199" s="505">
        <f>('Pivot Table for Data Exchange'!$H$154)*100</f>
        <v>2.5030303030303029</v>
      </c>
      <c r="D199" s="506">
        <f t="shared" ref="D199:D200" si="32">SUM(E199:G199)</f>
        <v>11.935254988913526</v>
      </c>
      <c r="E199" s="505">
        <f>('Pivot Table for Data Exchange'!$H$157)*100</f>
        <v>11.699630450849963</v>
      </c>
      <c r="F199" s="505">
        <f>('Pivot Table for Data Exchange'!$H$160)*100</f>
        <v>0.23562453806356246</v>
      </c>
      <c r="G199" s="515">
        <f>('Pivot Table for Data Exchange'!$H$163)*100</f>
        <v>0</v>
      </c>
      <c r="H199" s="505">
        <f>('Pivot Table for Data Exchange'!$H$166)*100</f>
        <v>0</v>
      </c>
      <c r="I199" s="514" t="s">
        <v>898</v>
      </c>
      <c r="J199" s="505">
        <f>('Pivot Table for Data Exchange'!$H$169)*100</f>
        <v>0</v>
      </c>
      <c r="K199" s="505">
        <f>('Pivot Table for Data Exchange'!$H$172)*100</f>
        <v>0</v>
      </c>
      <c r="L199" s="506">
        <f t="shared" ref="L199:L200" si="33">SUM(M199:O199)</f>
        <v>100</v>
      </c>
      <c r="M199" s="505">
        <f>('Pivot Table for Data Exchange'!$H$175)*100</f>
        <v>100</v>
      </c>
      <c r="N199" s="505">
        <f>('Pivot Table for Data Exchange'!$H$178)*100</f>
        <v>0</v>
      </c>
      <c r="O199" s="515">
        <f>('Pivot Table for Data Exchange'!$H$181)*100</f>
        <v>0</v>
      </c>
      <c r="P199" s="505">
        <f>('Pivot Table for Data Exchange'!$H$184)*100</f>
        <v>0</v>
      </c>
      <c r="Q199" s="510">
        <f t="shared" si="24"/>
        <v>100</v>
      </c>
      <c r="R199" s="510">
        <f t="shared" si="25"/>
        <v>100</v>
      </c>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row>
    <row r="200" spans="1:41" ht="15.75" customHeight="1">
      <c r="A200" s="512" t="s">
        <v>899</v>
      </c>
      <c r="B200" s="505">
        <f>('Pivot Table for Data Exchange'!$H$187)*100</f>
        <v>0</v>
      </c>
      <c r="C200" s="505">
        <f>('Pivot Table for Data Exchange'!$H$190)*100</f>
        <v>0</v>
      </c>
      <c r="D200" s="506">
        <f t="shared" si="32"/>
        <v>0</v>
      </c>
      <c r="E200" s="505">
        <f>('Pivot Table for Data Exchange'!$H$193)*100</f>
        <v>0</v>
      </c>
      <c r="F200" s="505">
        <f>('Pivot Table for Data Exchange'!$H$196)*100</f>
        <v>0</v>
      </c>
      <c r="G200" s="515">
        <f>('Pivot Table for Data Exchange'!$H$199)*100</f>
        <v>0</v>
      </c>
      <c r="H200" s="505">
        <f>('Pivot Table for Data Exchange'!$H$202)*100</f>
        <v>0</v>
      </c>
      <c r="I200" s="514" t="s">
        <v>899</v>
      </c>
      <c r="J200" s="505">
        <f>('Pivot Table for Data Exchange'!$H$205)*100</f>
        <v>0</v>
      </c>
      <c r="K200" s="505">
        <f>('Pivot Table for Data Exchange'!$H$208)*100</f>
        <v>0</v>
      </c>
      <c r="L200" s="506">
        <f t="shared" si="33"/>
        <v>0</v>
      </c>
      <c r="M200" s="505">
        <f>('Pivot Table for Data Exchange'!$H$211)*100</f>
        <v>0</v>
      </c>
      <c r="N200" s="505">
        <f>('Pivot Table for Data Exchange'!$H$214)*100</f>
        <v>0</v>
      </c>
      <c r="O200" s="515">
        <f>('Pivot Table for Data Exchange'!$H$217)*100</f>
        <v>0</v>
      </c>
      <c r="P200" s="505">
        <f>('Pivot Table for Data Exchange'!$H$220)*100</f>
        <v>0</v>
      </c>
      <c r="Q200" s="510">
        <f t="shared" si="24"/>
        <v>0</v>
      </c>
      <c r="R200" s="510">
        <f t="shared" si="25"/>
        <v>0</v>
      </c>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row>
    <row r="201" spans="1:41" ht="15.75" customHeight="1">
      <c r="A201" s="512" t="s">
        <v>900</v>
      </c>
      <c r="B201" s="505">
        <f>('Pivot Table for Data Exchange'!$H$223)*100</f>
        <v>74.513438368860108</v>
      </c>
      <c r="C201" s="505">
        <f>('Pivot Table for Data Exchange'!$H$226)*100</f>
        <v>0</v>
      </c>
      <c r="D201" s="506">
        <f>SUM(E201:G201)</f>
        <v>25.486561631139892</v>
      </c>
      <c r="E201" s="505">
        <f>('Pivot Table for Data Exchange'!$H$229)*100</f>
        <v>25.486561631139892</v>
      </c>
      <c r="F201" s="505">
        <f>('Pivot Table for Data Exchange'!$H$232)*100</f>
        <v>0</v>
      </c>
      <c r="G201" s="515">
        <f>('Pivot Table for Data Exchange'!$H$235)*100</f>
        <v>0</v>
      </c>
      <c r="H201" s="505">
        <f>('Pivot Table for Data Exchange'!$H$238)*100</f>
        <v>0</v>
      </c>
      <c r="I201" s="514" t="s">
        <v>900</v>
      </c>
      <c r="J201" s="505">
        <f>('Pivot Table for Data Exchange'!$H$241)*100</f>
        <v>0</v>
      </c>
      <c r="K201" s="505">
        <f>('Pivot Table for Data Exchange'!$H$244)*100</f>
        <v>0</v>
      </c>
      <c r="L201" s="506">
        <f>SUM(M201:O201)</f>
        <v>0</v>
      </c>
      <c r="M201" s="505">
        <f>('Pivot Table for Data Exchange'!$H$247)*100</f>
        <v>0</v>
      </c>
      <c r="N201" s="505">
        <f>('Pivot Table for Data Exchange'!$H$250)*100</f>
        <v>0</v>
      </c>
      <c r="O201" s="515">
        <f>('Pivot Table for Data Exchange'!$H$253)*100</f>
        <v>0</v>
      </c>
      <c r="P201" s="505">
        <f>('Pivot Table for Data Exchange'!$H$256)*100</f>
        <v>0</v>
      </c>
      <c r="Q201" s="510">
        <f t="shared" si="24"/>
        <v>100</v>
      </c>
      <c r="R201" s="510">
        <f t="shared" si="25"/>
        <v>0</v>
      </c>
      <c r="S201" s="568"/>
      <c r="T201" s="573"/>
      <c r="U201" s="568"/>
      <c r="V201" s="568"/>
      <c r="W201" s="568"/>
      <c r="X201" s="568"/>
      <c r="Y201" s="568"/>
      <c r="Z201" s="568"/>
      <c r="AA201" s="568"/>
      <c r="AB201" s="568"/>
      <c r="AC201" s="568"/>
      <c r="AD201" s="568"/>
      <c r="AE201" s="568"/>
      <c r="AF201" s="568"/>
      <c r="AG201" s="568"/>
      <c r="AH201" s="568"/>
      <c r="AI201" s="568"/>
      <c r="AJ201" s="568"/>
      <c r="AK201" s="568"/>
      <c r="AL201" s="568"/>
      <c r="AM201" s="568"/>
      <c r="AN201" s="568"/>
      <c r="AO201" s="568"/>
    </row>
    <row r="202" spans="1:41" ht="15.75" customHeight="1">
      <c r="A202" s="512" t="s">
        <v>901</v>
      </c>
      <c r="B202" s="505">
        <f>('Pivot Table for Data Exchange'!$H$259)*100</f>
        <v>100</v>
      </c>
      <c r="C202" s="505">
        <f>('Pivot Table for Data Exchange'!$H$262)*100</f>
        <v>0</v>
      </c>
      <c r="D202" s="506">
        <f>SUM(E202:G202)</f>
        <v>0</v>
      </c>
      <c r="E202" s="505">
        <f>('Pivot Table for Data Exchange'!$H$265)*100</f>
        <v>0</v>
      </c>
      <c r="F202" s="505">
        <f>('Pivot Table for Data Exchange'!$H$268)*100</f>
        <v>0</v>
      </c>
      <c r="G202" s="515">
        <f>('Pivot Table for Data Exchange'!$H$271)*100</f>
        <v>0</v>
      </c>
      <c r="H202" s="505">
        <f>('Pivot Table for Data Exchange'!$H$274)*100</f>
        <v>0</v>
      </c>
      <c r="I202" s="514" t="s">
        <v>901</v>
      </c>
      <c r="J202" s="505">
        <f>('Pivot Table for Data Exchange'!$H$277)*100</f>
        <v>100</v>
      </c>
      <c r="K202" s="505">
        <f>('Pivot Table for Data Exchange'!$H$280)*100</f>
        <v>0</v>
      </c>
      <c r="L202" s="506">
        <f>SUM(M202:O202)</f>
        <v>0</v>
      </c>
      <c r="M202" s="505">
        <f>('Pivot Table for Data Exchange'!$H$283)*100</f>
        <v>0</v>
      </c>
      <c r="N202" s="505">
        <f>('Pivot Table for Data Exchange'!$H$286)*100</f>
        <v>0</v>
      </c>
      <c r="O202" s="515">
        <f>('Pivot Table for Data Exchange'!$H$289)*100</f>
        <v>0</v>
      </c>
      <c r="P202" s="505">
        <f>('Pivot Table for Data Exchange'!$H$292)*100</f>
        <v>0</v>
      </c>
      <c r="Q202" s="510">
        <f t="shared" si="24"/>
        <v>100</v>
      </c>
      <c r="R202" s="510">
        <f t="shared" si="25"/>
        <v>100</v>
      </c>
      <c r="S202" s="568"/>
      <c r="U202" s="568"/>
      <c r="V202" s="568"/>
      <c r="W202" s="568"/>
      <c r="X202" s="568"/>
      <c r="Y202" s="568"/>
      <c r="Z202" s="568"/>
      <c r="AA202" s="568"/>
      <c r="AB202" s="568"/>
      <c r="AC202" s="568"/>
      <c r="AD202" s="568"/>
      <c r="AE202" s="568"/>
      <c r="AF202" s="568"/>
      <c r="AG202" s="568"/>
      <c r="AH202" s="568"/>
      <c r="AI202" s="568"/>
      <c r="AJ202" s="568"/>
      <c r="AK202" s="568"/>
      <c r="AL202" s="568"/>
      <c r="AM202" s="568"/>
      <c r="AN202" s="568"/>
      <c r="AO202" s="568"/>
    </row>
    <row r="203" spans="1:41" ht="11.25" customHeight="1">
      <c r="A203" s="512"/>
      <c r="B203" s="505"/>
      <c r="C203" s="505"/>
      <c r="D203" s="506"/>
      <c r="E203" s="505"/>
      <c r="F203" s="505"/>
      <c r="G203" s="515"/>
      <c r="H203" s="505"/>
      <c r="I203" s="514"/>
      <c r="J203" s="505"/>
      <c r="K203" s="505"/>
      <c r="L203" s="506"/>
      <c r="M203" s="505"/>
      <c r="N203" s="505"/>
      <c r="O203" s="515"/>
      <c r="P203" s="505"/>
      <c r="Q203" s="510">
        <f t="shared" si="24"/>
        <v>0</v>
      </c>
      <c r="R203" s="510">
        <f t="shared" si="25"/>
        <v>0</v>
      </c>
      <c r="S203" s="568"/>
      <c r="U203" s="568"/>
      <c r="V203" s="568"/>
      <c r="W203" s="568"/>
      <c r="X203" s="568"/>
      <c r="Y203" s="568"/>
      <c r="Z203" s="568"/>
      <c r="AA203" s="568"/>
      <c r="AB203" s="568"/>
      <c r="AC203" s="568"/>
      <c r="AD203" s="568"/>
      <c r="AE203" s="568"/>
      <c r="AF203" s="568"/>
      <c r="AG203" s="568"/>
      <c r="AH203" s="568"/>
      <c r="AI203" s="568"/>
      <c r="AJ203" s="568"/>
      <c r="AK203" s="568"/>
      <c r="AL203" s="568"/>
      <c r="AM203" s="568"/>
      <c r="AN203" s="568"/>
      <c r="AO203" s="568"/>
    </row>
    <row r="204" spans="1:41" ht="15.75" customHeight="1">
      <c r="A204" s="512" t="s">
        <v>902</v>
      </c>
      <c r="B204" s="505">
        <f>('Pivot Table for Data Exchange'!$H$295)*100</f>
        <v>0</v>
      </c>
      <c r="C204" s="505">
        <f>('Pivot Table for Data Exchange'!$H$298)*100</f>
        <v>0</v>
      </c>
      <c r="D204" s="506">
        <f>SUM(E204:G204)</f>
        <v>0</v>
      </c>
      <c r="E204" s="505">
        <f>('Pivot Table for Data Exchange'!$H$301)*100</f>
        <v>0</v>
      </c>
      <c r="F204" s="505">
        <f>('Pivot Table for Data Exchange'!$H$304)*100</f>
        <v>0</v>
      </c>
      <c r="G204" s="515">
        <f>('Pivot Table for Data Exchange'!$H$307)*100</f>
        <v>0</v>
      </c>
      <c r="H204" s="505">
        <f>('Pivot Table for Data Exchange'!$H$310)*100</f>
        <v>0</v>
      </c>
      <c r="I204" s="514" t="s">
        <v>902</v>
      </c>
      <c r="J204" s="505">
        <f>('Pivot Table for Data Exchange'!$H$313)*100</f>
        <v>0</v>
      </c>
      <c r="K204" s="505">
        <f>('Pivot Table for Data Exchange'!$H$316)*100</f>
        <v>0</v>
      </c>
      <c r="L204" s="506">
        <f>SUM(M204:O204)</f>
        <v>0</v>
      </c>
      <c r="M204" s="505">
        <f>('Pivot Table for Data Exchange'!$H$319)*100</f>
        <v>0</v>
      </c>
      <c r="N204" s="505">
        <f>('Pivot Table for Data Exchange'!$H$322)*100</f>
        <v>0</v>
      </c>
      <c r="O204" s="515">
        <f>('Pivot Table for Data Exchange'!$H$325)*100</f>
        <v>0</v>
      </c>
      <c r="P204" s="505">
        <f>('Pivot Table for Data Exchange'!$H$328)*100</f>
        <v>0</v>
      </c>
      <c r="Q204" s="510">
        <f t="shared" si="24"/>
        <v>0</v>
      </c>
      <c r="R204" s="510">
        <f t="shared" si="25"/>
        <v>0</v>
      </c>
      <c r="S204" s="568"/>
      <c r="T204" s="568"/>
      <c r="U204" s="568"/>
      <c r="V204" s="568"/>
      <c r="W204" s="568"/>
      <c r="X204" s="568"/>
      <c r="Y204" s="568"/>
      <c r="Z204" s="568"/>
      <c r="AA204" s="568"/>
      <c r="AB204" s="568"/>
      <c r="AC204" s="568"/>
      <c r="AD204" s="568"/>
      <c r="AE204" s="568"/>
      <c r="AF204" s="568"/>
      <c r="AG204" s="568"/>
      <c r="AH204" s="568"/>
      <c r="AI204" s="568"/>
      <c r="AJ204" s="568"/>
      <c r="AK204" s="568"/>
      <c r="AL204" s="568"/>
      <c r="AM204" s="568"/>
      <c r="AN204" s="568"/>
      <c r="AO204" s="568"/>
    </row>
    <row r="205" spans="1:41" ht="15.75" customHeight="1">
      <c r="A205" s="512" t="s">
        <v>903</v>
      </c>
      <c r="B205" s="505">
        <f>('Pivot Table for Data Exchange'!$H$331)*100</f>
        <v>88.761777499011444</v>
      </c>
      <c r="C205" s="505">
        <f>('Pivot Table for Data Exchange'!$H$334)*100</f>
        <v>0.51541471795361271</v>
      </c>
      <c r="D205" s="506">
        <f>SUM(E205:G205)</f>
        <v>10.722807783034947</v>
      </c>
      <c r="E205" s="505">
        <f>('Pivot Table for Data Exchange'!$H$337)*100</f>
        <v>9.033392874186994</v>
      </c>
      <c r="F205" s="505">
        <f>('Pivot Table for Data Exchange'!$H$340)*100</f>
        <v>1.6894149088479526</v>
      </c>
      <c r="G205" s="515">
        <f>('Pivot Table for Data Exchange'!$H$343)*100</f>
        <v>0</v>
      </c>
      <c r="H205" s="505">
        <f>('Pivot Table for Data Exchange'!$H$346)*100</f>
        <v>0</v>
      </c>
      <c r="I205" s="514" t="s">
        <v>903</v>
      </c>
      <c r="J205" s="505">
        <f>('Pivot Table for Data Exchange'!$H$349)*100</f>
        <v>89.815817984832066</v>
      </c>
      <c r="K205" s="505">
        <f>('Pivot Table for Data Exchange'!$H$352)*100</f>
        <v>0</v>
      </c>
      <c r="L205" s="506">
        <f>SUM(M205:O205)</f>
        <v>10.184182015167931</v>
      </c>
      <c r="M205" s="505">
        <f>('Pivot Table for Data Exchange'!$H$355)*100</f>
        <v>10.184182015167931</v>
      </c>
      <c r="N205" s="505">
        <f>('Pivot Table for Data Exchange'!$H$358)*100</f>
        <v>0</v>
      </c>
      <c r="O205" s="515">
        <f>('Pivot Table for Data Exchange'!$H$361)*100</f>
        <v>0</v>
      </c>
      <c r="P205" s="505">
        <f>('Pivot Table for Data Exchange'!$H$364)*100</f>
        <v>0</v>
      </c>
      <c r="Q205" s="510">
        <f t="shared" si="24"/>
        <v>100.00000000000001</v>
      </c>
      <c r="R205" s="510">
        <f t="shared" si="25"/>
        <v>100</v>
      </c>
      <c r="S205" s="568"/>
      <c r="T205" s="568"/>
      <c r="U205" s="568"/>
      <c r="V205" s="568"/>
      <c r="W205" s="568"/>
      <c r="X205" s="568"/>
      <c r="Y205" s="568"/>
      <c r="Z205" s="568"/>
      <c r="AA205" s="568"/>
      <c r="AB205" s="568"/>
      <c r="AC205" s="568"/>
      <c r="AD205" s="568"/>
      <c r="AE205" s="568"/>
      <c r="AF205" s="568"/>
      <c r="AG205" s="568"/>
      <c r="AH205" s="568"/>
      <c r="AI205" s="568"/>
      <c r="AJ205" s="568"/>
      <c r="AK205" s="568"/>
      <c r="AL205" s="568"/>
      <c r="AM205" s="568"/>
      <c r="AN205" s="568"/>
      <c r="AO205" s="568"/>
    </row>
    <row r="206" spans="1:41" ht="15.75" customHeight="1">
      <c r="A206" s="512" t="s">
        <v>904</v>
      </c>
      <c r="B206" s="505">
        <f>('Pivot Table for Data Exchange'!$H$367)*100</f>
        <v>76.992217166825753</v>
      </c>
      <c r="C206" s="505">
        <f>('Pivot Table for Data Exchange'!$H$370)*100</f>
        <v>0</v>
      </c>
      <c r="D206" s="506">
        <f>SUM(E206:G206)</f>
        <v>23.007782833174236</v>
      </c>
      <c r="E206" s="505">
        <f>('Pivot Table for Data Exchange'!$H$373)*100</f>
        <v>21.503473359299335</v>
      </c>
      <c r="F206" s="505">
        <f>('Pivot Table for Data Exchange'!$H$376)*100</f>
        <v>1.4632005072428425</v>
      </c>
      <c r="G206" s="515">
        <f>('Pivot Table for Data Exchange'!$H$379)*100</f>
        <v>4.110896663206081E-2</v>
      </c>
      <c r="H206" s="505">
        <f>('Pivot Table for Data Exchange'!$H$382)*100</f>
        <v>0</v>
      </c>
      <c r="I206" s="514" t="s">
        <v>904</v>
      </c>
      <c r="J206" s="505">
        <f>('Pivot Table for Data Exchange'!$H$385)*100</f>
        <v>100</v>
      </c>
      <c r="K206" s="505">
        <f>('Pivot Table for Data Exchange'!$H$388)*100</f>
        <v>0</v>
      </c>
      <c r="L206" s="506">
        <f>SUM(M206:O206)</f>
        <v>0</v>
      </c>
      <c r="M206" s="505">
        <f>('Pivot Table for Data Exchange'!$H$391)*100</f>
        <v>0</v>
      </c>
      <c r="N206" s="505">
        <f>('Pivot Table for Data Exchange'!$H$394)*100</f>
        <v>0</v>
      </c>
      <c r="O206" s="515">
        <f>('Pivot Table for Data Exchange'!$H$397)*100</f>
        <v>0</v>
      </c>
      <c r="P206" s="505">
        <f>('Pivot Table for Data Exchange'!$H$400)*100</f>
        <v>0</v>
      </c>
      <c r="Q206" s="510">
        <f t="shared" si="24"/>
        <v>99.999999999999986</v>
      </c>
      <c r="R206" s="510">
        <f t="shared" si="25"/>
        <v>100</v>
      </c>
      <c r="S206" s="568"/>
      <c r="T206" s="573"/>
      <c r="U206" s="568"/>
      <c r="V206" s="568"/>
      <c r="W206" s="568"/>
      <c r="X206" s="568"/>
      <c r="Y206" s="568"/>
      <c r="Z206" s="568"/>
      <c r="AA206" s="568"/>
      <c r="AB206" s="568"/>
      <c r="AC206" s="568"/>
      <c r="AD206" s="568"/>
      <c r="AE206" s="568"/>
      <c r="AF206" s="568"/>
      <c r="AG206" s="568"/>
      <c r="AH206" s="568"/>
      <c r="AI206" s="568"/>
      <c r="AJ206" s="568"/>
      <c r="AK206" s="568"/>
      <c r="AL206" s="568"/>
      <c r="AM206" s="568"/>
      <c r="AN206" s="568"/>
      <c r="AO206" s="568"/>
    </row>
    <row r="207" spans="1:41" ht="15.75" customHeight="1">
      <c r="A207" s="512" t="s">
        <v>905</v>
      </c>
      <c r="B207" s="505">
        <f>('Pivot Table for Data Exchange'!$H$403)*100</f>
        <v>87.425398090785649</v>
      </c>
      <c r="C207" s="505">
        <f>('Pivot Table for Data Exchange'!$H$406)*100</f>
        <v>8.4313500293881197E-2</v>
      </c>
      <c r="D207" s="506">
        <f>SUM(E207:G207)</f>
        <v>12.490288408920476</v>
      </c>
      <c r="E207" s="505">
        <f>('Pivot Table for Data Exchange'!$H$409)*100</f>
        <v>12.490288408920476</v>
      </c>
      <c r="F207" s="505">
        <f>('Pivot Table for Data Exchange'!$H$412)*100</f>
        <v>0</v>
      </c>
      <c r="G207" s="513">
        <f>('Pivot Table for Data Exchange'!$H$415)*100</f>
        <v>0</v>
      </c>
      <c r="H207" s="505">
        <f>('Pivot Table for Data Exchange'!$H$418)*100</f>
        <v>0</v>
      </c>
      <c r="I207" s="514" t="s">
        <v>905</v>
      </c>
      <c r="J207" s="505">
        <f>('Pivot Table for Data Exchange'!$H$421)*100</f>
        <v>41.660290742157613</v>
      </c>
      <c r="K207" s="505">
        <f>('Pivot Table for Data Exchange'!$H$424)*100</f>
        <v>0</v>
      </c>
      <c r="L207" s="506">
        <f>SUM(M207:O207)</f>
        <v>58.339709257842387</v>
      </c>
      <c r="M207" s="505">
        <f>('Pivot Table for Data Exchange'!$H$427)*100</f>
        <v>58.339709257842387</v>
      </c>
      <c r="N207" s="505">
        <f>('Pivot Table for Data Exchange'!$H$430)*100</f>
        <v>0</v>
      </c>
      <c r="O207" s="515">
        <f>('Pivot Table for Data Exchange'!$H$433)*100</f>
        <v>0</v>
      </c>
      <c r="P207" s="505">
        <f>('Pivot Table for Data Exchange'!$H$436)*100</f>
        <v>0</v>
      </c>
      <c r="Q207" s="510">
        <f t="shared" si="24"/>
        <v>100.00000000000001</v>
      </c>
      <c r="R207" s="510">
        <f t="shared" si="25"/>
        <v>100</v>
      </c>
      <c r="S207" s="568"/>
      <c r="T207" s="568"/>
      <c r="U207" s="568"/>
      <c r="V207" s="568"/>
      <c r="W207" s="568"/>
      <c r="X207" s="568"/>
      <c r="Y207" s="568"/>
      <c r="Z207" s="568"/>
      <c r="AA207" s="568"/>
      <c r="AB207" s="568"/>
      <c r="AC207" s="568"/>
      <c r="AD207" s="568"/>
      <c r="AE207" s="568"/>
      <c r="AF207" s="568"/>
      <c r="AG207" s="568"/>
      <c r="AH207" s="568"/>
      <c r="AI207" s="568"/>
      <c r="AJ207" s="568"/>
      <c r="AK207" s="568"/>
      <c r="AL207" s="568"/>
      <c r="AM207" s="568"/>
      <c r="AN207" s="568"/>
      <c r="AO207" s="568"/>
    </row>
    <row r="208" spans="1:41" ht="11.25" customHeight="1">
      <c r="A208" s="512"/>
      <c r="B208" s="505"/>
      <c r="C208" s="505"/>
      <c r="D208" s="506"/>
      <c r="E208" s="505"/>
      <c r="F208" s="505"/>
      <c r="G208" s="515"/>
      <c r="H208" s="505"/>
      <c r="I208" s="514"/>
      <c r="J208" s="505"/>
      <c r="K208" s="505"/>
      <c r="L208" s="506"/>
      <c r="M208" s="505"/>
      <c r="N208" s="505"/>
      <c r="O208" s="515"/>
      <c r="P208" s="505"/>
      <c r="Q208" s="510">
        <f t="shared" si="24"/>
        <v>0</v>
      </c>
      <c r="R208" s="510">
        <f t="shared" si="25"/>
        <v>0</v>
      </c>
      <c r="S208" s="568"/>
      <c r="T208" s="568"/>
      <c r="U208" s="568"/>
      <c r="V208" s="568"/>
      <c r="W208" s="568"/>
      <c r="X208" s="568"/>
      <c r="Y208" s="568"/>
      <c r="Z208" s="568"/>
      <c r="AA208" s="568"/>
      <c r="AB208" s="568"/>
      <c r="AC208" s="568"/>
      <c r="AD208" s="568"/>
      <c r="AE208" s="568"/>
      <c r="AF208" s="568"/>
      <c r="AG208" s="568"/>
      <c r="AH208" s="568"/>
      <c r="AI208" s="568"/>
      <c r="AJ208" s="568"/>
      <c r="AK208" s="568"/>
      <c r="AL208" s="568"/>
      <c r="AM208" s="568"/>
      <c r="AN208" s="568"/>
      <c r="AO208" s="568"/>
    </row>
    <row r="209" spans="1:41" ht="15.75" customHeight="1">
      <c r="A209" s="512" t="s">
        <v>906</v>
      </c>
      <c r="B209" s="505">
        <f>('Pivot Table for Data Exchange'!$H$439)*100</f>
        <v>0</v>
      </c>
      <c r="C209" s="505">
        <f>('Pivot Table for Data Exchange'!$H$442)*100</f>
        <v>0</v>
      </c>
      <c r="D209" s="506">
        <f>SUM(E209:G209)</f>
        <v>0</v>
      </c>
      <c r="E209" s="505">
        <f>('Pivot Table for Data Exchange'!$H$445)*100</f>
        <v>0</v>
      </c>
      <c r="F209" s="505">
        <f>('Pivot Table for Data Exchange'!$H$448)*100</f>
        <v>0</v>
      </c>
      <c r="G209" s="515">
        <f>('Pivot Table for Data Exchange'!$H$451)*100</f>
        <v>0</v>
      </c>
      <c r="H209" s="505">
        <f>('Pivot Table for Data Exchange'!$H$454)*100</f>
        <v>0</v>
      </c>
      <c r="I209" s="514" t="s">
        <v>906</v>
      </c>
      <c r="J209" s="505">
        <f>('Pivot Table for Data Exchange'!$H$457)*100</f>
        <v>0</v>
      </c>
      <c r="K209" s="505">
        <f>('Pivot Table for Data Exchange'!$H$460)*100</f>
        <v>0</v>
      </c>
      <c r="L209" s="506">
        <f>SUM(M209:O209)</f>
        <v>0</v>
      </c>
      <c r="M209" s="505">
        <f>('Pivot Table for Data Exchange'!$H$463)*100</f>
        <v>0</v>
      </c>
      <c r="N209" s="505">
        <f>('Pivot Table for Data Exchange'!$H$466)*100</f>
        <v>0</v>
      </c>
      <c r="O209" s="515">
        <f>('Pivot Table for Data Exchange'!$H$469)*100</f>
        <v>0</v>
      </c>
      <c r="P209" s="505">
        <f>('Pivot Table for Data Exchange'!$H$472)*100</f>
        <v>0</v>
      </c>
      <c r="Q209" s="510">
        <f t="shared" si="24"/>
        <v>0</v>
      </c>
      <c r="R209" s="510">
        <f t="shared" si="25"/>
        <v>0</v>
      </c>
      <c r="S209" s="568"/>
      <c r="T209" s="568"/>
      <c r="U209" s="568"/>
      <c r="V209" s="568"/>
      <c r="W209" s="568"/>
      <c r="X209" s="568"/>
      <c r="Y209" s="568"/>
      <c r="Z209" s="568"/>
      <c r="AA209" s="568"/>
      <c r="AB209" s="568"/>
      <c r="AC209" s="568"/>
      <c r="AD209" s="568"/>
      <c r="AE209" s="568"/>
      <c r="AF209" s="568"/>
      <c r="AG209" s="568"/>
      <c r="AH209" s="568"/>
      <c r="AI209" s="568"/>
      <c r="AJ209" s="568"/>
      <c r="AK209" s="568"/>
      <c r="AL209" s="568"/>
      <c r="AM209" s="568"/>
      <c r="AN209" s="568"/>
      <c r="AO209" s="568"/>
    </row>
    <row r="210" spans="1:41" ht="15.75" customHeight="1">
      <c r="A210" s="512" t="s">
        <v>907</v>
      </c>
      <c r="B210" s="505">
        <f>('Pivot Table for Data Exchange'!$H$475)*100</f>
        <v>0</v>
      </c>
      <c r="C210" s="505">
        <f>('Pivot Table for Data Exchange'!$H$478)*100</f>
        <v>0</v>
      </c>
      <c r="D210" s="506">
        <f>SUM(E210:G210)</f>
        <v>0</v>
      </c>
      <c r="E210" s="505">
        <f>('Pivot Table for Data Exchange'!$H$481)*100</f>
        <v>0</v>
      </c>
      <c r="F210" s="505">
        <f>('Pivot Table for Data Exchange'!$H$484)*100</f>
        <v>0</v>
      </c>
      <c r="G210" s="513">
        <f>('Pivot Table for Data Exchange'!$H$487)*100</f>
        <v>0</v>
      </c>
      <c r="H210" s="505">
        <f>('Pivot Table for Data Exchange'!$H$490)*100</f>
        <v>0</v>
      </c>
      <c r="I210" s="514" t="s">
        <v>907</v>
      </c>
      <c r="J210" s="505">
        <f>('Pivot Table for Data Exchange'!$H$493)*100</f>
        <v>0</v>
      </c>
      <c r="K210" s="505">
        <f>('Pivot Table for Data Exchange'!$H$496)*100</f>
        <v>0</v>
      </c>
      <c r="L210" s="506">
        <f>SUM(M210:O210)</f>
        <v>0</v>
      </c>
      <c r="M210" s="505">
        <f>('Pivot Table for Data Exchange'!$H$499)*100</f>
        <v>0</v>
      </c>
      <c r="N210" s="505">
        <f>('Pivot Table for Data Exchange'!$H$502)*100</f>
        <v>0</v>
      </c>
      <c r="O210" s="515">
        <f>('Pivot Table for Data Exchange'!$H$505)*100</f>
        <v>0</v>
      </c>
      <c r="P210" s="505">
        <f>('Pivot Table for Data Exchange'!$H$508)*100</f>
        <v>0</v>
      </c>
      <c r="Q210" s="510">
        <f t="shared" si="24"/>
        <v>0</v>
      </c>
      <c r="R210" s="510">
        <f t="shared" si="25"/>
        <v>0</v>
      </c>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row>
    <row r="211" spans="1:41" ht="15.75" customHeight="1">
      <c r="A211" s="512" t="s">
        <v>908</v>
      </c>
      <c r="B211" s="505">
        <f>('Pivot Table for Data Exchange'!$H$511)*100</f>
        <v>80.31345949308664</v>
      </c>
      <c r="C211" s="505">
        <f>('Pivot Table for Data Exchange'!$H$514)*100</f>
        <v>0</v>
      </c>
      <c r="D211" s="506">
        <f>SUM(E211:G211)</f>
        <v>19.686540506913367</v>
      </c>
      <c r="E211" s="505">
        <f>('Pivot Table for Data Exchange'!$H$517)*100</f>
        <v>19.686540506913367</v>
      </c>
      <c r="F211" s="505">
        <f>('Pivot Table for Data Exchange'!$H$520)*100</f>
        <v>0</v>
      </c>
      <c r="G211" s="515">
        <f>('Pivot Table for Data Exchange'!$H$523)*100</f>
        <v>0</v>
      </c>
      <c r="H211" s="505">
        <f>('Pivot Table for Data Exchange'!$H$526)*100</f>
        <v>0</v>
      </c>
      <c r="I211" s="514" t="s">
        <v>908</v>
      </c>
      <c r="J211" s="505">
        <f>('Pivot Table for Data Exchange'!$H$529)*100</f>
        <v>0</v>
      </c>
      <c r="K211" s="505">
        <f>('Pivot Table for Data Exchange'!$H$532)*100</f>
        <v>0</v>
      </c>
      <c r="L211" s="506">
        <f>SUM(M211:O211)</f>
        <v>0</v>
      </c>
      <c r="M211" s="505">
        <f>('Pivot Table for Data Exchange'!$H$535)*100</f>
        <v>0</v>
      </c>
      <c r="N211" s="505">
        <f>('Pivot Table for Data Exchange'!$H$538)*100</f>
        <v>0</v>
      </c>
      <c r="O211" s="515">
        <f>('Pivot Table for Data Exchange'!$H$541)*100</f>
        <v>0</v>
      </c>
      <c r="P211" s="505">
        <f>('Pivot Table for Data Exchange'!$H$544)*100</f>
        <v>0</v>
      </c>
      <c r="Q211" s="510">
        <f t="shared" si="24"/>
        <v>100</v>
      </c>
      <c r="R211" s="510">
        <f t="shared" si="25"/>
        <v>0</v>
      </c>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row>
    <row r="212" spans="1:41" ht="15.75" customHeight="1">
      <c r="A212" s="484" t="s">
        <v>909</v>
      </c>
      <c r="B212" s="520">
        <f>('Pivot Table for Data Exchange'!$H$547)*100</f>
        <v>65.227307349132772</v>
      </c>
      <c r="C212" s="520">
        <f>('Pivot Table for Data Exchange'!$H$550)*100</f>
        <v>8.8124306326304112</v>
      </c>
      <c r="D212" s="521">
        <f>SUM(E212:G212)</f>
        <v>25.960262018236815</v>
      </c>
      <c r="E212" s="520">
        <f>('Pivot Table for Data Exchange'!$H$553)*100</f>
        <v>24.574437988291876</v>
      </c>
      <c r="F212" s="520">
        <f>('Pivot Table for Data Exchange'!$H$556)*100</f>
        <v>1.2774477160453526</v>
      </c>
      <c r="G212" s="549">
        <f>('Pivot Table for Data Exchange'!$H$559)*100</f>
        <v>0.1083763138995887</v>
      </c>
      <c r="H212" s="520">
        <f>('Pivot Table for Data Exchange'!$H$562)*100</f>
        <v>0</v>
      </c>
      <c r="I212" s="523" t="s">
        <v>909</v>
      </c>
      <c r="J212" s="520">
        <f>('Pivot Table for Data Exchange'!$H$565)*100</f>
        <v>66.798418972332016</v>
      </c>
      <c r="K212" s="520">
        <f>('Pivot Table for Data Exchange'!$H$568)*100</f>
        <v>8.537549407114625</v>
      </c>
      <c r="L212" s="521">
        <f>SUM(M212:O212)</f>
        <v>24.664031620553359</v>
      </c>
      <c r="M212" s="520">
        <f>('Pivot Table for Data Exchange'!$H$571)*100</f>
        <v>24.664031620553359</v>
      </c>
      <c r="N212" s="520">
        <f>('Pivot Table for Data Exchange'!$H$574)*100</f>
        <v>0</v>
      </c>
      <c r="O212" s="522">
        <f>('Pivot Table for Data Exchange'!$H$577)*100</f>
        <v>0</v>
      </c>
      <c r="P212" s="520">
        <f>('Pivot Table for Data Exchange'!$H$580)*100</f>
        <v>0</v>
      </c>
      <c r="Q212" s="510">
        <f t="shared" si="24"/>
        <v>100</v>
      </c>
      <c r="R212" s="510">
        <f t="shared" si="25"/>
        <v>100</v>
      </c>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row>
    <row r="213" spans="1:41" s="571" customFormat="1" ht="13.5" customHeight="1">
      <c r="A213" s="525" t="s">
        <v>937</v>
      </c>
      <c r="B213" s="526"/>
      <c r="C213" s="526"/>
      <c r="D213" s="527"/>
      <c r="E213" s="526"/>
      <c r="F213" s="527"/>
      <c r="G213" s="527"/>
      <c r="H213" s="526"/>
      <c r="I213" s="525" t="s">
        <v>937</v>
      </c>
      <c r="J213" s="526"/>
      <c r="K213" s="526"/>
      <c r="L213" s="527"/>
      <c r="M213" s="526"/>
      <c r="N213" s="527"/>
      <c r="O213" s="527"/>
      <c r="P213" s="526"/>
      <c r="Q213" s="510">
        <f t="shared" si="24"/>
        <v>0</v>
      </c>
      <c r="R213" s="510">
        <f t="shared" si="25"/>
        <v>0</v>
      </c>
      <c r="S213" s="572"/>
      <c r="T213" s="572"/>
      <c r="U213" s="572"/>
      <c r="V213" s="572"/>
      <c r="W213" s="572"/>
      <c r="X213" s="572"/>
      <c r="Y213" s="572"/>
      <c r="Z213" s="572"/>
      <c r="AA213" s="572"/>
      <c r="AB213" s="572"/>
      <c r="AC213" s="572"/>
      <c r="AD213" s="572"/>
      <c r="AE213" s="572"/>
      <c r="AF213" s="572"/>
      <c r="AG213" s="572"/>
      <c r="AH213" s="572"/>
      <c r="AI213" s="572"/>
      <c r="AJ213" s="572"/>
      <c r="AK213" s="572"/>
      <c r="AL213" s="572"/>
      <c r="AM213" s="572"/>
      <c r="AN213" s="572"/>
      <c r="AO213" s="572"/>
    </row>
    <row r="214" spans="1:41" s="571" customFormat="1" ht="23.25" customHeight="1">
      <c r="A214" s="655" t="s">
        <v>943</v>
      </c>
      <c r="B214" s="668"/>
      <c r="C214" s="668"/>
      <c r="D214" s="668"/>
      <c r="E214" s="668"/>
      <c r="F214" s="668"/>
      <c r="G214" s="668"/>
      <c r="H214" s="668"/>
      <c r="I214" s="655"/>
      <c r="J214" s="668"/>
      <c r="K214" s="668"/>
      <c r="L214" s="668"/>
      <c r="M214" s="668"/>
      <c r="N214" s="668"/>
      <c r="O214" s="668"/>
      <c r="P214" s="668"/>
      <c r="Q214" s="510">
        <f t="shared" si="24"/>
        <v>0</v>
      </c>
      <c r="R214" s="510">
        <f t="shared" si="25"/>
        <v>0</v>
      </c>
    </row>
    <row r="215" spans="1:41" s="571" customFormat="1" ht="10.5" customHeight="1">
      <c r="A215" s="542"/>
      <c r="B215" s="543"/>
      <c r="C215" s="543"/>
      <c r="D215" s="543"/>
      <c r="E215" s="543"/>
      <c r="F215" s="543"/>
      <c r="G215" s="545"/>
      <c r="H215" s="545"/>
      <c r="I215" s="542"/>
      <c r="J215" s="543"/>
      <c r="K215" s="543"/>
      <c r="L215" s="543"/>
      <c r="M215" s="543"/>
      <c r="N215" s="543"/>
      <c r="O215" s="543"/>
      <c r="P215" s="545"/>
      <c r="Q215" s="510">
        <f t="shared" si="24"/>
        <v>0</v>
      </c>
      <c r="R215" s="510">
        <f t="shared" si="25"/>
        <v>0</v>
      </c>
    </row>
    <row r="216" spans="1:41" s="571" customFormat="1">
      <c r="A216" s="524"/>
      <c r="B216" s="524"/>
      <c r="C216" s="524"/>
      <c r="D216" s="524"/>
      <c r="E216" s="524"/>
      <c r="F216" s="524"/>
      <c r="G216" s="524"/>
      <c r="H216" s="532" t="s">
        <v>1015</v>
      </c>
      <c r="I216" s="524"/>
      <c r="J216" s="524"/>
      <c r="K216" s="524"/>
      <c r="L216" s="524"/>
      <c r="M216" s="524"/>
      <c r="N216" s="524"/>
      <c r="O216" s="524"/>
      <c r="P216" s="532" t="s">
        <v>1015</v>
      </c>
      <c r="Q216" s="510">
        <f t="shared" si="24"/>
        <v>0</v>
      </c>
      <c r="R216" s="510">
        <f t="shared" si="25"/>
        <v>0</v>
      </c>
    </row>
    <row r="217" spans="1:41" ht="18">
      <c r="A217" s="472" t="s">
        <v>950</v>
      </c>
      <c r="B217" s="473"/>
      <c r="C217" s="473"/>
      <c r="D217" s="473"/>
      <c r="E217" s="473"/>
      <c r="F217" s="473"/>
      <c r="G217" s="473"/>
      <c r="H217" s="474"/>
      <c r="I217" s="512"/>
      <c r="J217" s="512"/>
      <c r="K217" s="512"/>
      <c r="L217" s="512"/>
      <c r="M217" s="512"/>
      <c r="N217" s="512"/>
      <c r="O217" s="512"/>
      <c r="P217" s="512"/>
      <c r="Q217" s="510">
        <f>SUM(B217,C217,D217,H217)</f>
        <v>0</v>
      </c>
    </row>
    <row r="218" spans="1:41">
      <c r="A218" s="479"/>
      <c r="B218" s="475"/>
      <c r="C218" s="475"/>
      <c r="D218" s="475"/>
      <c r="E218" s="475"/>
      <c r="F218" s="475"/>
      <c r="G218" s="475"/>
      <c r="H218" s="480"/>
      <c r="I218" s="512"/>
      <c r="J218" s="512"/>
      <c r="K218" s="512"/>
      <c r="L218" s="512"/>
      <c r="M218" s="512"/>
      <c r="N218" s="512"/>
      <c r="O218" s="512"/>
      <c r="P218" s="512"/>
      <c r="Q218" s="510">
        <f t="shared" ref="Q218:Q281" si="34">SUM(B218,C218,D218,H218)</f>
        <v>0</v>
      </c>
    </row>
    <row r="219" spans="1:41" ht="15.75">
      <c r="A219" s="481" t="s">
        <v>917</v>
      </c>
      <c r="B219" s="475"/>
      <c r="C219" s="475"/>
      <c r="D219" s="475"/>
      <c r="E219" s="475"/>
      <c r="F219" s="475"/>
      <c r="G219" s="475"/>
      <c r="H219" s="480"/>
      <c r="I219" s="550"/>
      <c r="J219" s="512"/>
      <c r="K219" s="512"/>
      <c r="L219" s="480"/>
      <c r="M219" s="512"/>
      <c r="N219" s="512"/>
      <c r="O219" s="512"/>
      <c r="P219" s="512"/>
      <c r="Q219" s="510">
        <f t="shared" si="34"/>
        <v>0</v>
      </c>
    </row>
    <row r="220" spans="1:41" ht="15.75">
      <c r="A220" s="481" t="s">
        <v>1007</v>
      </c>
      <c r="B220" s="475"/>
      <c r="C220" s="475"/>
      <c r="D220" s="475"/>
      <c r="E220" s="475"/>
      <c r="F220" s="475"/>
      <c r="G220" s="475"/>
      <c r="H220" s="480"/>
      <c r="I220" s="550"/>
      <c r="J220" s="512"/>
      <c r="K220" s="512"/>
      <c r="L220" s="512"/>
      <c r="M220" s="512"/>
      <c r="N220" s="512"/>
      <c r="O220" s="512"/>
      <c r="P220" s="512"/>
      <c r="Q220" s="510">
        <f t="shared" si="34"/>
        <v>0</v>
      </c>
    </row>
    <row r="221" spans="1:41">
      <c r="A221" s="484"/>
      <c r="B221" s="485"/>
      <c r="C221" s="485"/>
      <c r="D221" s="485"/>
      <c r="E221" s="485"/>
      <c r="F221" s="485"/>
      <c r="G221" s="485"/>
      <c r="H221" s="485"/>
      <c r="I221" s="550"/>
      <c r="J221" s="512"/>
      <c r="K221" s="512"/>
      <c r="L221" s="512"/>
      <c r="M221" s="512"/>
      <c r="N221" s="512"/>
      <c r="O221" s="512"/>
      <c r="P221" s="512"/>
      <c r="Q221" s="510">
        <f t="shared" si="34"/>
        <v>0</v>
      </c>
    </row>
    <row r="222" spans="1:41">
      <c r="A222" s="489"/>
      <c r="B222" s="490" t="s">
        <v>919</v>
      </c>
      <c r="C222" s="490"/>
      <c r="D222" s="490"/>
      <c r="E222" s="490"/>
      <c r="F222" s="490"/>
      <c r="G222" s="490"/>
      <c r="H222" s="491"/>
      <c r="I222" s="550"/>
      <c r="J222" s="512"/>
      <c r="K222" s="512"/>
      <c r="L222" s="512"/>
      <c r="M222" s="512"/>
      <c r="N222" s="512"/>
      <c r="O222" s="512"/>
      <c r="P222" s="512"/>
      <c r="Q222" s="510">
        <f t="shared" si="34"/>
        <v>0</v>
      </c>
    </row>
    <row r="223" spans="1:41">
      <c r="A223" s="489"/>
      <c r="B223" s="490" t="s">
        <v>920</v>
      </c>
      <c r="C223" s="490"/>
      <c r="D223" s="659" t="s">
        <v>921</v>
      </c>
      <c r="E223" s="657"/>
      <c r="F223" s="657"/>
      <c r="G223" s="657"/>
      <c r="H223" s="495" t="s">
        <v>320</v>
      </c>
      <c r="I223" s="550"/>
      <c r="J223" s="512"/>
      <c r="K223" s="512"/>
      <c r="L223" s="512"/>
      <c r="M223" s="512"/>
      <c r="N223" s="512"/>
      <c r="O223" s="512"/>
      <c r="P223" s="512"/>
      <c r="Q223" s="510">
        <f t="shared" si="34"/>
        <v>0</v>
      </c>
    </row>
    <row r="224" spans="1:41" ht="36">
      <c r="A224" s="489"/>
      <c r="B224" s="496" t="s">
        <v>922</v>
      </c>
      <c r="C224" s="497" t="s">
        <v>923</v>
      </c>
      <c r="D224" s="498" t="s">
        <v>924</v>
      </c>
      <c r="E224" s="499" t="s">
        <v>10</v>
      </c>
      <c r="F224" s="496" t="s">
        <v>925</v>
      </c>
      <c r="G224" s="500" t="s">
        <v>935</v>
      </c>
      <c r="H224" s="501" t="s">
        <v>927</v>
      </c>
      <c r="I224" s="533"/>
      <c r="J224" s="494"/>
      <c r="K224" s="494"/>
      <c r="L224" s="494"/>
      <c r="M224" s="494"/>
      <c r="N224" s="494"/>
      <c r="O224" s="494"/>
      <c r="P224" s="512"/>
      <c r="Q224" s="510">
        <f t="shared" si="34"/>
        <v>0</v>
      </c>
    </row>
    <row r="225" spans="1:41" ht="15.75" customHeight="1">
      <c r="A225" s="534" t="s">
        <v>894</v>
      </c>
      <c r="B225" s="567">
        <f>('Pivot Table for Data Exchange'!$O$7)*100</f>
        <v>69.538056767193865</v>
      </c>
      <c r="C225" s="505">
        <f>('Pivot Table for Data Exchange'!$O$10)*100</f>
        <v>7.8873015070944001</v>
      </c>
      <c r="D225" s="506">
        <f>SUM(E225:G225)</f>
        <v>22.437666882777453</v>
      </c>
      <c r="E225" s="505">
        <f>('Pivot Table for Data Exchange'!$O$13)*100</f>
        <v>21.85419630339214</v>
      </c>
      <c r="F225" s="505">
        <f>('Pivot Table for Data Exchange'!$O$16)*100</f>
        <v>0.39076941435689344</v>
      </c>
      <c r="G225" s="509">
        <f>('Pivot Table for Data Exchange'!$O$19)*100</f>
        <v>0.19270116502842127</v>
      </c>
      <c r="H225" s="505">
        <f>('Pivot Table for Data Exchange'!$O$22)*100</f>
        <v>0.13697484293427634</v>
      </c>
      <c r="I225" s="551"/>
      <c r="J225" s="551"/>
      <c r="K225" s="551"/>
      <c r="L225" s="551"/>
      <c r="M225" s="551"/>
      <c r="N225" s="551"/>
      <c r="O225" s="551"/>
      <c r="P225" s="552"/>
      <c r="Q225" s="510">
        <f t="shared" si="34"/>
        <v>100</v>
      </c>
      <c r="R225" s="510"/>
      <c r="Z225" s="568"/>
      <c r="AA225" s="568"/>
      <c r="AB225" s="568"/>
      <c r="AC225" s="568"/>
      <c r="AD225" s="568"/>
      <c r="AE225" s="568"/>
      <c r="AF225" s="568"/>
      <c r="AG225" s="568"/>
      <c r="AH225" s="568"/>
      <c r="AI225" s="568"/>
      <c r="AJ225" s="568"/>
      <c r="AK225" s="568"/>
      <c r="AL225" s="568"/>
      <c r="AM225" s="568"/>
      <c r="AN225" s="568"/>
      <c r="AO225" s="568"/>
    </row>
    <row r="226" spans="1:41" ht="15.75" customHeight="1">
      <c r="A226" s="512" t="s">
        <v>895</v>
      </c>
      <c r="B226" s="505">
        <f>('Pivot Table for Data Exchange'!$O$43)*100</f>
        <v>62.341959734515505</v>
      </c>
      <c r="C226" s="505">
        <f>('Pivot Table for Data Exchange'!$O$46)*100</f>
        <v>10.70914955391962</v>
      </c>
      <c r="D226" s="506">
        <f t="shared" ref="D226:D228" si="35">SUM(E226:G226)</f>
        <v>26.948890711564882</v>
      </c>
      <c r="E226" s="505">
        <f>('Pivot Table for Data Exchange'!$O$49)*100</f>
        <v>25.921773653833576</v>
      </c>
      <c r="F226" s="505">
        <f>('Pivot Table for Data Exchange'!$O$52)*100</f>
        <v>1.0271170577313051</v>
      </c>
      <c r="G226" s="518">
        <f>('Pivot Table for Data Exchange'!$O$55)*100</f>
        <v>0</v>
      </c>
      <c r="H226" s="516">
        <f>('Pivot Table for Data Exchange'!$O$58)*100</f>
        <v>0</v>
      </c>
      <c r="I226" s="551"/>
      <c r="J226" s="551"/>
      <c r="K226" s="551"/>
      <c r="L226" s="551"/>
      <c r="M226" s="551"/>
      <c r="N226" s="551"/>
      <c r="O226" s="551"/>
      <c r="P226" s="552"/>
      <c r="Q226" s="510">
        <f t="shared" si="34"/>
        <v>100.00000000000001</v>
      </c>
      <c r="R226" s="510"/>
      <c r="Z226" s="568"/>
      <c r="AA226" s="568"/>
      <c r="AB226" s="568"/>
      <c r="AC226" s="568"/>
      <c r="AD226" s="568"/>
      <c r="AE226" s="568"/>
      <c r="AF226" s="568"/>
      <c r="AG226" s="568"/>
      <c r="AH226" s="568"/>
      <c r="AI226" s="568"/>
      <c r="AJ226" s="568"/>
      <c r="AK226" s="568"/>
      <c r="AL226" s="568"/>
      <c r="AM226" s="568"/>
      <c r="AN226" s="568"/>
      <c r="AO226" s="568"/>
    </row>
    <row r="227" spans="1:41" ht="15.75" customHeight="1">
      <c r="A227" s="512" t="s">
        <v>896</v>
      </c>
      <c r="B227" s="505">
        <f>('Pivot Table for Data Exchange'!$O$79)*100</f>
        <v>86.055778335633576</v>
      </c>
      <c r="C227" s="505">
        <f>('Pivot Table for Data Exchange'!$O$82)*100</f>
        <v>0</v>
      </c>
      <c r="D227" s="506">
        <f t="shared" si="35"/>
        <v>13.944221664366417</v>
      </c>
      <c r="E227" s="505">
        <f>('Pivot Table for Data Exchange'!$O$85)*100</f>
        <v>13.51061556127901</v>
      </c>
      <c r="F227" s="505">
        <f>('Pivot Table for Data Exchange'!$O$88)*100</f>
        <v>0.35101446440409045</v>
      </c>
      <c r="G227" s="515">
        <f>('Pivot Table for Data Exchange'!$O$91)*100</f>
        <v>8.2591638683315399E-2</v>
      </c>
      <c r="H227" s="505">
        <f>('Pivot Table for Data Exchange'!$O$94)*100</f>
        <v>0</v>
      </c>
      <c r="I227" s="551"/>
      <c r="J227" s="551"/>
      <c r="K227" s="551"/>
      <c r="L227" s="551"/>
      <c r="M227" s="551"/>
      <c r="N227" s="551"/>
      <c r="O227" s="551"/>
      <c r="P227" s="552"/>
      <c r="Q227" s="510">
        <f t="shared" si="34"/>
        <v>100</v>
      </c>
      <c r="R227" s="510"/>
      <c r="Z227" s="568"/>
      <c r="AA227" s="568"/>
      <c r="AB227" s="568"/>
      <c r="AC227" s="568"/>
      <c r="AD227" s="568"/>
      <c r="AE227" s="568"/>
      <c r="AF227" s="568"/>
      <c r="AG227" s="568"/>
      <c r="AH227" s="568"/>
      <c r="AI227" s="568"/>
      <c r="AJ227" s="568"/>
      <c r="AK227" s="568"/>
      <c r="AL227" s="568"/>
      <c r="AM227" s="568"/>
      <c r="AN227" s="568"/>
      <c r="AO227" s="568"/>
    </row>
    <row r="228" spans="1:41" ht="15.75" customHeight="1">
      <c r="A228" s="512" t="s">
        <v>936</v>
      </c>
      <c r="B228" s="505">
        <f>('Pivot Table for Data Exchange'!$O$115)*100</f>
        <v>71.904255771438287</v>
      </c>
      <c r="C228" s="505">
        <f>('Pivot Table for Data Exchange'!$O$118)*100</f>
        <v>3.385365396334318</v>
      </c>
      <c r="D228" s="506">
        <f t="shared" si="35"/>
        <v>24.682373307431764</v>
      </c>
      <c r="E228" s="505">
        <f>('Pivot Table for Data Exchange'!$O$121)*100</f>
        <v>24.599087122364192</v>
      </c>
      <c r="F228" s="505">
        <f>('Pivot Table for Data Exchange'!$O$124)*100</f>
        <v>5.7013972238665065E-3</v>
      </c>
      <c r="G228" s="515">
        <f>('Pivot Table for Data Exchange'!$O$127)*100</f>
        <v>7.7584787843705413E-2</v>
      </c>
      <c r="H228" s="516">
        <f>('Pivot Table for Data Exchange'!$O$130)*100</f>
        <v>2.8005524795627255E-2</v>
      </c>
      <c r="I228" s="551"/>
      <c r="J228" s="551"/>
      <c r="K228" s="551"/>
      <c r="L228" s="551"/>
      <c r="M228" s="551"/>
      <c r="N228" s="551"/>
      <c r="O228" s="551"/>
      <c r="P228" s="552"/>
      <c r="Q228" s="510">
        <f t="shared" si="34"/>
        <v>100</v>
      </c>
      <c r="R228" s="510"/>
      <c r="Z228" s="568"/>
      <c r="AA228" s="568"/>
      <c r="AB228" s="568"/>
      <c r="AC228" s="568"/>
      <c r="AD228" s="568"/>
      <c r="AE228" s="568"/>
      <c r="AF228" s="568"/>
      <c r="AG228" s="568"/>
      <c r="AH228" s="568"/>
      <c r="AI228" s="568"/>
      <c r="AJ228" s="568"/>
      <c r="AK228" s="568"/>
      <c r="AL228" s="568"/>
      <c r="AM228" s="568"/>
      <c r="AN228" s="568"/>
      <c r="AO228" s="568"/>
    </row>
    <row r="229" spans="1:41" ht="15.75" customHeight="1">
      <c r="A229" s="512"/>
      <c r="B229" s="505"/>
      <c r="C229" s="505"/>
      <c r="D229" s="506"/>
      <c r="E229" s="505"/>
      <c r="F229" s="505"/>
      <c r="G229" s="515"/>
      <c r="H229" s="505"/>
      <c r="I229" s="551"/>
      <c r="J229" s="551"/>
      <c r="K229" s="551"/>
      <c r="L229" s="551"/>
      <c r="M229" s="551"/>
      <c r="N229" s="551"/>
      <c r="O229" s="551"/>
      <c r="P229" s="552"/>
      <c r="Q229" s="510">
        <f t="shared" si="34"/>
        <v>0</v>
      </c>
      <c r="R229" s="510"/>
      <c r="Z229" s="568"/>
      <c r="AA229" s="568"/>
      <c r="AB229" s="568"/>
      <c r="AC229" s="568"/>
      <c r="AD229" s="568"/>
      <c r="AE229" s="568"/>
      <c r="AF229" s="568"/>
      <c r="AG229" s="568"/>
      <c r="AH229" s="568"/>
      <c r="AI229" s="568"/>
      <c r="AJ229" s="568"/>
      <c r="AK229" s="568"/>
      <c r="AL229" s="568"/>
      <c r="AM229" s="568"/>
      <c r="AN229" s="568"/>
      <c r="AO229" s="568"/>
    </row>
    <row r="230" spans="1:41" ht="15.75" customHeight="1">
      <c r="A230" s="512" t="s">
        <v>898</v>
      </c>
      <c r="B230" s="505">
        <f>('Pivot Table for Data Exchange'!$O$151)*100</f>
        <v>63.757173059498641</v>
      </c>
      <c r="C230" s="505">
        <f>('Pivot Table for Data Exchange'!$O$154)*100</f>
        <v>13.609785563273935</v>
      </c>
      <c r="D230" s="506">
        <f t="shared" ref="D230:D231" si="36">SUM(E230:G230)</f>
        <v>22.633041377227425</v>
      </c>
      <c r="E230" s="505">
        <f>('Pivot Table for Data Exchange'!$O$157)*100</f>
        <v>22.544397463002113</v>
      </c>
      <c r="F230" s="519">
        <f>('Pivot Table for Data Exchange'!$O$160)*100</f>
        <v>2.1745696164300814E-2</v>
      </c>
      <c r="G230" s="515">
        <f>('Pivot Table for Data Exchange'!$O$163)*100</f>
        <v>6.6898218061008763E-2</v>
      </c>
      <c r="H230" s="519">
        <f>('Pivot Table for Data Exchange'!$O$166)*100</f>
        <v>0</v>
      </c>
      <c r="I230" s="551"/>
      <c r="J230" s="551"/>
      <c r="K230" s="551"/>
      <c r="L230" s="551"/>
      <c r="M230" s="551"/>
      <c r="N230" s="551"/>
      <c r="O230" s="551"/>
      <c r="P230" s="552"/>
      <c r="Q230" s="510">
        <f t="shared" si="34"/>
        <v>100</v>
      </c>
      <c r="R230" s="510"/>
      <c r="Z230" s="568"/>
      <c r="AA230" s="568"/>
      <c r="AB230" s="568"/>
      <c r="AC230" s="568"/>
      <c r="AD230" s="568"/>
      <c r="AE230" s="568"/>
      <c r="AF230" s="568"/>
      <c r="AG230" s="568"/>
      <c r="AH230" s="568"/>
      <c r="AI230" s="568"/>
      <c r="AJ230" s="568"/>
      <c r="AK230" s="568"/>
      <c r="AL230" s="568"/>
      <c r="AM230" s="568"/>
      <c r="AN230" s="568"/>
      <c r="AO230" s="568"/>
    </row>
    <row r="231" spans="1:41" ht="15.75" customHeight="1">
      <c r="A231" s="512" t="s">
        <v>899</v>
      </c>
      <c r="B231" s="505">
        <f>('Pivot Table for Data Exchange'!$O$187)*100</f>
        <v>52.179507905727561</v>
      </c>
      <c r="C231" s="505">
        <f>('Pivot Table for Data Exchange'!$O$190)*100</f>
        <v>7.5422663762660003</v>
      </c>
      <c r="D231" s="506">
        <f t="shared" si="36"/>
        <v>40.278225718006439</v>
      </c>
      <c r="E231" s="505">
        <f>('Pivot Table for Data Exchange'!$O$193)*100</f>
        <v>40.278225718006439</v>
      </c>
      <c r="F231" s="505">
        <f>('Pivot Table for Data Exchange'!$O$196)*100</f>
        <v>0</v>
      </c>
      <c r="G231" s="515">
        <f>('Pivot Table for Data Exchange'!$O$199)*100</f>
        <v>0</v>
      </c>
      <c r="H231" s="505">
        <f>('Pivot Table for Data Exchange'!$O$202)*100</f>
        <v>0</v>
      </c>
      <c r="I231" s="551"/>
      <c r="J231" s="551"/>
      <c r="K231" s="551"/>
      <c r="L231" s="551"/>
      <c r="M231" s="551"/>
      <c r="N231" s="551"/>
      <c r="O231" s="551"/>
      <c r="P231" s="552"/>
      <c r="Q231" s="510">
        <f t="shared" si="34"/>
        <v>100</v>
      </c>
      <c r="R231" s="510"/>
      <c r="Z231" s="568"/>
      <c r="AA231" s="568"/>
      <c r="AB231" s="568"/>
      <c r="AC231" s="568"/>
      <c r="AD231" s="568"/>
      <c r="AE231" s="568"/>
      <c r="AF231" s="568"/>
      <c r="AG231" s="568"/>
      <c r="AH231" s="568"/>
      <c r="AI231" s="568"/>
      <c r="AJ231" s="568"/>
      <c r="AK231" s="568"/>
      <c r="AL231" s="568"/>
      <c r="AM231" s="568"/>
      <c r="AN231" s="568"/>
      <c r="AO231" s="568"/>
    </row>
    <row r="232" spans="1:41" ht="15.75" customHeight="1">
      <c r="A232" s="512" t="s">
        <v>900</v>
      </c>
      <c r="B232" s="505">
        <f>('Pivot Table for Data Exchange'!$O$223)*100</f>
        <v>84.365469666345135</v>
      </c>
      <c r="C232" s="505">
        <f>('Pivot Table for Data Exchange'!$O$226)*100</f>
        <v>0</v>
      </c>
      <c r="D232" s="506">
        <f>SUM(E232:G232)</f>
        <v>15.634530333654851</v>
      </c>
      <c r="E232" s="505">
        <f>('Pivot Table for Data Exchange'!$O$229)*100</f>
        <v>15.634530333654851</v>
      </c>
      <c r="F232" s="505">
        <f>('Pivot Table for Data Exchange'!$O$232)*100</f>
        <v>0</v>
      </c>
      <c r="G232" s="515">
        <f>('Pivot Table for Data Exchange'!$O$235)*100</f>
        <v>0</v>
      </c>
      <c r="H232" s="505">
        <f>('Pivot Table for Data Exchange'!$O$238)*100</f>
        <v>0</v>
      </c>
      <c r="Q232" s="510">
        <f t="shared" si="34"/>
        <v>99.999999999999986</v>
      </c>
      <c r="R232" s="510"/>
      <c r="Z232" s="568"/>
      <c r="AA232" s="568"/>
      <c r="AB232" s="568"/>
      <c r="AC232" s="568"/>
      <c r="AD232" s="568"/>
      <c r="AE232" s="568"/>
      <c r="AF232" s="568"/>
      <c r="AG232" s="568"/>
      <c r="AH232" s="568"/>
      <c r="AI232" s="568"/>
      <c r="AJ232" s="568"/>
      <c r="AK232" s="568"/>
      <c r="AL232" s="568"/>
      <c r="AM232" s="568"/>
      <c r="AN232" s="568"/>
      <c r="AO232" s="568"/>
    </row>
    <row r="233" spans="1:41" ht="15.75" customHeight="1">
      <c r="A233" s="512" t="s">
        <v>901</v>
      </c>
      <c r="B233" s="505">
        <f>('Pivot Table for Data Exchange'!$O$259)*100</f>
        <v>68.958576659224434</v>
      </c>
      <c r="C233" s="505">
        <f>('Pivot Table for Data Exchange'!$O$262)*100</f>
        <v>12.652257949538132</v>
      </c>
      <c r="D233" s="506">
        <f>SUM(E233:G233)</f>
        <v>18.387291447243122</v>
      </c>
      <c r="E233" s="505">
        <f>('Pivot Table for Data Exchange'!$O$265)*100</f>
        <v>18.198749735161996</v>
      </c>
      <c r="F233" s="505">
        <f>('Pivot Table for Data Exchange'!$O$268)*100</f>
        <v>0.18854171208112572</v>
      </c>
      <c r="G233" s="513">
        <f>('Pivot Table for Data Exchange'!$O$271)*100</f>
        <v>0</v>
      </c>
      <c r="H233" s="516">
        <f>('Pivot Table for Data Exchange'!$O$274)*100</f>
        <v>1.8739439943154482E-3</v>
      </c>
      <c r="I233" s="551"/>
      <c r="J233" s="551"/>
      <c r="K233" s="551"/>
      <c r="L233" s="551"/>
      <c r="M233" s="551"/>
      <c r="N233" s="551"/>
      <c r="O233" s="551"/>
      <c r="P233" s="552"/>
      <c r="Q233" s="510">
        <f t="shared" si="34"/>
        <v>99.999999999999986</v>
      </c>
      <c r="R233" s="510"/>
      <c r="Z233" s="568"/>
      <c r="AA233" s="568"/>
      <c r="AB233" s="568"/>
      <c r="AC233" s="568"/>
      <c r="AD233" s="568"/>
      <c r="AE233" s="568"/>
      <c r="AF233" s="568"/>
      <c r="AG233" s="568"/>
      <c r="AH233" s="568"/>
      <c r="AI233" s="568"/>
      <c r="AJ233" s="568"/>
      <c r="AK233" s="568"/>
      <c r="AL233" s="568"/>
      <c r="AM233" s="568"/>
      <c r="AN233" s="568"/>
      <c r="AO233" s="568"/>
    </row>
    <row r="234" spans="1:41" ht="15.75" customHeight="1">
      <c r="A234" s="512"/>
      <c r="B234" s="505"/>
      <c r="C234" s="505"/>
      <c r="D234" s="506"/>
      <c r="E234" s="505"/>
      <c r="F234" s="505"/>
      <c r="G234" s="515"/>
      <c r="H234" s="505"/>
      <c r="I234" s="551"/>
      <c r="J234" s="551"/>
      <c r="K234" s="551"/>
      <c r="L234" s="551"/>
      <c r="M234" s="551"/>
      <c r="N234" s="551"/>
      <c r="O234" s="551"/>
      <c r="P234" s="552"/>
      <c r="Q234" s="510">
        <f t="shared" si="34"/>
        <v>0</v>
      </c>
      <c r="R234" s="510"/>
      <c r="Z234" s="568"/>
      <c r="AA234" s="568"/>
      <c r="AB234" s="568"/>
      <c r="AC234" s="568"/>
      <c r="AD234" s="568"/>
      <c r="AE234" s="568"/>
      <c r="AF234" s="568"/>
      <c r="AG234" s="568"/>
      <c r="AH234" s="568"/>
      <c r="AI234" s="568"/>
      <c r="AJ234" s="568"/>
      <c r="AK234" s="568"/>
      <c r="AL234" s="568"/>
      <c r="AM234" s="568"/>
      <c r="AN234" s="568"/>
      <c r="AO234" s="568"/>
    </row>
    <row r="235" spans="1:41" ht="15.75" customHeight="1">
      <c r="A235" s="512" t="s">
        <v>951</v>
      </c>
      <c r="B235" s="505">
        <f>('Pivot Table for Data Exchange'!$O$295)*100</f>
        <v>74.870713078229485</v>
      </c>
      <c r="C235" s="505">
        <f>('Pivot Table for Data Exchange'!$O$298)*100</f>
        <v>0</v>
      </c>
      <c r="D235" s="506">
        <f>SUM(E235:G235)</f>
        <v>25.129286921770511</v>
      </c>
      <c r="E235" s="505">
        <f>('Pivot Table for Data Exchange'!$O$301)*100</f>
        <v>25.129286921770511</v>
      </c>
      <c r="F235" s="505">
        <f>('Pivot Table for Data Exchange'!$O$304)*100</f>
        <v>0</v>
      </c>
      <c r="G235" s="515">
        <f>('Pivot Table for Data Exchange'!$O$307)*100</f>
        <v>0</v>
      </c>
      <c r="H235" s="505">
        <f>('Pivot Table for Data Exchange'!$O$310)*100</f>
        <v>0</v>
      </c>
      <c r="I235" s="551"/>
      <c r="J235" s="551"/>
      <c r="K235" s="551"/>
      <c r="L235" s="551"/>
      <c r="M235" s="551"/>
      <c r="N235" s="551"/>
      <c r="O235" s="551"/>
      <c r="P235" s="552"/>
      <c r="Q235" s="510">
        <f t="shared" si="34"/>
        <v>100</v>
      </c>
      <c r="R235" s="510"/>
      <c r="Z235" s="568"/>
      <c r="AA235" s="568"/>
      <c r="AB235" s="568"/>
      <c r="AC235" s="568"/>
      <c r="AD235" s="568"/>
      <c r="AE235" s="568"/>
      <c r="AF235" s="568"/>
      <c r="AG235" s="568"/>
      <c r="AH235" s="568"/>
      <c r="AI235" s="568"/>
      <c r="AJ235" s="568"/>
      <c r="AK235" s="568"/>
      <c r="AL235" s="568"/>
      <c r="AM235" s="568"/>
      <c r="AN235" s="568"/>
      <c r="AO235" s="568"/>
    </row>
    <row r="236" spans="1:41" ht="15.75" customHeight="1">
      <c r="A236" s="512" t="s">
        <v>903</v>
      </c>
      <c r="B236" s="505">
        <f>('Pivot Table for Data Exchange'!$O$331)*100</f>
        <v>37.029765237669949</v>
      </c>
      <c r="C236" s="505">
        <f>('Pivot Table for Data Exchange'!$O$334)*100</f>
        <v>17.849916965600055</v>
      </c>
      <c r="D236" s="506">
        <f>SUM(E236:G236)</f>
        <v>45.120317796729999</v>
      </c>
      <c r="E236" s="505">
        <f>('Pivot Table for Data Exchange'!$O$337)*100</f>
        <v>44.689548154626664</v>
      </c>
      <c r="F236" s="505">
        <f>('Pivot Table for Data Exchange'!$O$340)*100</f>
        <v>0.34866441652220392</v>
      </c>
      <c r="G236" s="515">
        <f>('Pivot Table for Data Exchange'!$O$343)*100</f>
        <v>8.2105225581132452E-2</v>
      </c>
      <c r="H236" s="505">
        <f>('Pivot Table for Data Exchange'!$O$346)*100</f>
        <v>0</v>
      </c>
      <c r="I236" s="551"/>
      <c r="J236" s="551"/>
      <c r="K236" s="551"/>
      <c r="L236" s="551"/>
      <c r="M236" s="551"/>
      <c r="N236" s="551"/>
      <c r="O236" s="551"/>
      <c r="P236" s="552"/>
      <c r="Q236" s="510">
        <f t="shared" si="34"/>
        <v>100</v>
      </c>
      <c r="R236" s="510"/>
      <c r="Z236" s="568"/>
      <c r="AA236" s="568"/>
      <c r="AB236" s="568"/>
      <c r="AC236" s="568"/>
      <c r="AD236" s="568"/>
      <c r="AE236" s="568"/>
      <c r="AF236" s="568"/>
      <c r="AG236" s="568"/>
      <c r="AH236" s="568"/>
      <c r="AI236" s="568"/>
      <c r="AJ236" s="568"/>
      <c r="AK236" s="568"/>
      <c r="AL236" s="568"/>
      <c r="AM236" s="568"/>
      <c r="AN236" s="568"/>
      <c r="AO236" s="568"/>
    </row>
    <row r="237" spans="1:41" ht="15.75" customHeight="1">
      <c r="A237" s="512" t="s">
        <v>904</v>
      </c>
      <c r="B237" s="505">
        <f>('Pivot Table for Data Exchange'!$O$367)*100</f>
        <v>67.644247679632201</v>
      </c>
      <c r="C237" s="505">
        <f>('Pivot Table for Data Exchange'!$O$370)*100</f>
        <v>2.8391977398491677</v>
      </c>
      <c r="D237" s="506">
        <f>SUM(E237:G237)</f>
        <v>29.515876716032775</v>
      </c>
      <c r="E237" s="505">
        <f>('Pivot Table for Data Exchange'!$O$373)*100</f>
        <v>27.339253851964941</v>
      </c>
      <c r="F237" s="505">
        <f>('Pivot Table for Data Exchange'!$O$376)*100</f>
        <v>1.9614385489482178</v>
      </c>
      <c r="G237" s="515">
        <f>('Pivot Table for Data Exchange'!$O$379)*100</f>
        <v>0.21518431511961672</v>
      </c>
      <c r="H237" s="519">
        <f>('Pivot Table for Data Exchange'!$O$382)*100</f>
        <v>6.7786448585108519E-4</v>
      </c>
      <c r="I237" s="551"/>
      <c r="J237" s="551"/>
      <c r="K237" s="551"/>
      <c r="L237" s="551"/>
      <c r="M237" s="551"/>
      <c r="N237" s="551"/>
      <c r="O237" s="551"/>
      <c r="P237" s="552"/>
      <c r="Q237" s="510">
        <f t="shared" si="34"/>
        <v>100</v>
      </c>
      <c r="R237" s="510"/>
      <c r="Z237" s="568"/>
      <c r="AA237" s="568"/>
      <c r="AB237" s="568"/>
      <c r="AC237" s="568"/>
      <c r="AD237" s="568"/>
      <c r="AE237" s="568"/>
      <c r="AF237" s="568"/>
      <c r="AG237" s="568"/>
      <c r="AH237" s="568"/>
      <c r="AI237" s="568"/>
      <c r="AJ237" s="568"/>
      <c r="AK237" s="568"/>
      <c r="AL237" s="568"/>
      <c r="AM237" s="568"/>
      <c r="AN237" s="568"/>
      <c r="AO237" s="568"/>
    </row>
    <row r="238" spans="1:41" ht="15.75" customHeight="1">
      <c r="A238" s="512" t="s">
        <v>905</v>
      </c>
      <c r="B238" s="505">
        <f>('Pivot Table for Data Exchange'!$O$403)*100</f>
        <v>63.524728845523384</v>
      </c>
      <c r="C238" s="505">
        <f>('Pivot Table for Data Exchange'!$O$406)*100</f>
        <v>6.7417820876232968</v>
      </c>
      <c r="D238" s="506">
        <f>SUM(E238:G238)</f>
        <v>29.73348906685332</v>
      </c>
      <c r="E238" s="505">
        <f>('Pivot Table for Data Exchange'!$O$409)*100</f>
        <v>28.783697314756346</v>
      </c>
      <c r="F238" s="505">
        <f>('Pivot Table for Data Exchange'!$O$412)*100</f>
        <v>0.80289554715278577</v>
      </c>
      <c r="G238" s="515">
        <f>('Pivot Table for Data Exchange'!$O$415)*100</f>
        <v>0.1468962049441879</v>
      </c>
      <c r="H238" s="505">
        <f>('Pivot Table for Data Exchange'!$O$418)*100</f>
        <v>0</v>
      </c>
      <c r="I238" s="551"/>
      <c r="J238" s="551"/>
      <c r="K238" s="551"/>
      <c r="L238" s="551"/>
      <c r="M238" s="551"/>
      <c r="N238" s="551"/>
      <c r="O238" s="551"/>
      <c r="P238" s="552"/>
      <c r="Q238" s="510">
        <f t="shared" si="34"/>
        <v>100</v>
      </c>
      <c r="R238" s="510"/>
      <c r="Z238" s="568"/>
      <c r="AA238" s="568"/>
      <c r="AB238" s="568"/>
      <c r="AC238" s="568"/>
      <c r="AD238" s="568"/>
      <c r="AE238" s="568"/>
      <c r="AF238" s="568"/>
      <c r="AG238" s="568"/>
      <c r="AH238" s="568"/>
      <c r="AI238" s="568"/>
      <c r="AJ238" s="568"/>
      <c r="AK238" s="568"/>
      <c r="AL238" s="568"/>
      <c r="AM238" s="568"/>
      <c r="AN238" s="568"/>
      <c r="AO238" s="568"/>
    </row>
    <row r="239" spans="1:41" ht="10.5" customHeight="1">
      <c r="A239" s="512"/>
      <c r="B239" s="505"/>
      <c r="C239" s="505"/>
      <c r="D239" s="506"/>
      <c r="E239" s="505"/>
      <c r="F239" s="505"/>
      <c r="G239" s="515"/>
      <c r="H239" s="505"/>
      <c r="I239" s="551"/>
      <c r="J239" s="551"/>
      <c r="K239" s="551"/>
      <c r="L239" s="551"/>
      <c r="M239" s="551"/>
      <c r="N239" s="551"/>
      <c r="O239" s="551"/>
      <c r="P239" s="552"/>
      <c r="Q239" s="510">
        <f t="shared" si="34"/>
        <v>0</v>
      </c>
      <c r="R239" s="510"/>
      <c r="Z239" s="568"/>
      <c r="AA239" s="568"/>
      <c r="AB239" s="568"/>
      <c r="AC239" s="568"/>
      <c r="AD239" s="568"/>
      <c r="AE239" s="568"/>
      <c r="AF239" s="568"/>
      <c r="AG239" s="568"/>
      <c r="AH239" s="568"/>
      <c r="AI239" s="568"/>
      <c r="AJ239" s="568"/>
      <c r="AK239" s="568"/>
      <c r="AL239" s="568"/>
      <c r="AM239" s="568"/>
      <c r="AN239" s="568"/>
      <c r="AO239" s="568"/>
    </row>
    <row r="240" spans="1:41" ht="15.75" customHeight="1">
      <c r="A240" s="512" t="s">
        <v>906</v>
      </c>
      <c r="B240" s="505">
        <f>('Pivot Table for Data Exchange'!$O$439)*100</f>
        <v>46.592172303039021</v>
      </c>
      <c r="C240" s="505">
        <f>('Pivot Table for Data Exchange'!$O$442)*100</f>
        <v>27.880815048175013</v>
      </c>
      <c r="D240" s="506">
        <f>SUM(E240:G240)</f>
        <v>25.402734776488266</v>
      </c>
      <c r="E240" s="505">
        <f>('Pivot Table for Data Exchange'!$O$445)*100</f>
        <v>18.96555103005613</v>
      </c>
      <c r="F240" s="505">
        <f>('Pivot Table for Data Exchange'!$O$448)*100</f>
        <v>1.9669189308484996</v>
      </c>
      <c r="G240" s="515">
        <f>('Pivot Table for Data Exchange'!$O$451)*100</f>
        <v>4.4702648155836373</v>
      </c>
      <c r="H240" s="505">
        <f>('Pivot Table for Data Exchange'!$O$454)*100</f>
        <v>0.1242778722977025</v>
      </c>
      <c r="I240" s="551"/>
      <c r="J240" s="551"/>
      <c r="K240" s="551"/>
      <c r="L240" s="551"/>
      <c r="M240" s="551"/>
      <c r="N240" s="551"/>
      <c r="O240" s="551"/>
      <c r="P240" s="552"/>
      <c r="Q240" s="510">
        <f t="shared" si="34"/>
        <v>99.999999999999986</v>
      </c>
      <c r="R240" s="510"/>
      <c r="Z240" s="568"/>
      <c r="AA240" s="568"/>
      <c r="AB240" s="568"/>
      <c r="AC240" s="568"/>
      <c r="AD240" s="568"/>
      <c r="AE240" s="568"/>
      <c r="AF240" s="568"/>
      <c r="AG240" s="568"/>
      <c r="AH240" s="568"/>
      <c r="AI240" s="568"/>
      <c r="AJ240" s="568"/>
      <c r="AK240" s="568"/>
      <c r="AL240" s="568"/>
      <c r="AM240" s="568"/>
      <c r="AN240" s="568"/>
      <c r="AO240" s="568"/>
    </row>
    <row r="241" spans="1:41" ht="15.75" customHeight="1">
      <c r="A241" s="512" t="s">
        <v>907</v>
      </c>
      <c r="B241" s="505">
        <f>('Pivot Table for Data Exchange'!$O$475)*100</f>
        <v>61.000999214669392</v>
      </c>
      <c r="C241" s="505">
        <f>('Pivot Table for Data Exchange'!$O$478)*100</f>
        <v>12.910509846326548</v>
      </c>
      <c r="D241" s="506">
        <f>SUM(E241:G241)</f>
        <v>26.088490939004053</v>
      </c>
      <c r="E241" s="505">
        <f>('Pivot Table for Data Exchange'!$O$481)*100</f>
        <v>25.415111874943598</v>
      </c>
      <c r="F241" s="505">
        <f>('Pivot Table for Data Exchange'!$O$484)*100</f>
        <v>0.47357969109071218</v>
      </c>
      <c r="G241" s="515">
        <f>('Pivot Table for Data Exchange'!$O$487)*100</f>
        <v>0.19979937296974395</v>
      </c>
      <c r="H241" s="505">
        <f>('Pivot Table for Data Exchange'!$O$490)*100</f>
        <v>0</v>
      </c>
      <c r="I241" s="551"/>
      <c r="J241" s="551"/>
      <c r="K241" s="551"/>
      <c r="L241" s="551"/>
      <c r="M241" s="551"/>
      <c r="N241" s="551"/>
      <c r="O241" s="551"/>
      <c r="P241" s="552"/>
      <c r="Q241" s="510">
        <f t="shared" si="34"/>
        <v>100</v>
      </c>
      <c r="R241" s="510"/>
      <c r="Z241" s="568"/>
      <c r="AA241" s="568"/>
      <c r="AB241" s="568"/>
      <c r="AC241" s="568"/>
      <c r="AD241" s="568"/>
      <c r="AE241" s="568"/>
      <c r="AF241" s="568"/>
      <c r="AG241" s="568"/>
      <c r="AH241" s="568"/>
      <c r="AI241" s="568"/>
      <c r="AJ241" s="568"/>
      <c r="AK241" s="568"/>
      <c r="AL241" s="568"/>
      <c r="AM241" s="568"/>
      <c r="AN241" s="568"/>
      <c r="AO241" s="568"/>
    </row>
    <row r="242" spans="1:41" ht="15.75" customHeight="1">
      <c r="A242" s="512" t="s">
        <v>908</v>
      </c>
      <c r="B242" s="505">
        <f>('Pivot Table for Data Exchange'!$O$511)*100</f>
        <v>57.347941551192186</v>
      </c>
      <c r="C242" s="505">
        <f>('Pivot Table for Data Exchange'!$O$514)*100</f>
        <v>13.190273015984447</v>
      </c>
      <c r="D242" s="506">
        <f>SUM(E242:G242)</f>
        <v>29.461785432823373</v>
      </c>
      <c r="E242" s="505">
        <f>('Pivot Table for Data Exchange'!$O$517)*100</f>
        <v>27.357456480432361</v>
      </c>
      <c r="F242" s="505">
        <f>('Pivot Table for Data Exchange'!$O$520)*100</f>
        <v>2.1043289523910098</v>
      </c>
      <c r="G242" s="515">
        <f>('Pivot Table for Data Exchange'!$O$523)*100</f>
        <v>0</v>
      </c>
      <c r="H242" s="505">
        <f>('Pivot Table for Data Exchange'!$O$526)*100</f>
        <v>0</v>
      </c>
      <c r="I242" s="551"/>
      <c r="J242" s="551"/>
      <c r="K242" s="551"/>
      <c r="L242" s="551"/>
      <c r="M242" s="551"/>
      <c r="N242" s="551"/>
      <c r="O242" s="551"/>
      <c r="P242" s="552"/>
      <c r="Q242" s="510">
        <f t="shared" si="34"/>
        <v>100.00000000000001</v>
      </c>
      <c r="R242" s="510"/>
      <c r="Z242" s="568"/>
      <c r="AA242" s="568"/>
      <c r="AB242" s="568"/>
      <c r="AC242" s="568"/>
      <c r="AD242" s="568"/>
      <c r="AE242" s="568"/>
      <c r="AF242" s="568"/>
      <c r="AG242" s="568"/>
      <c r="AH242" s="568"/>
      <c r="AI242" s="568"/>
      <c r="AJ242" s="568"/>
      <c r="AK242" s="568"/>
      <c r="AL242" s="568"/>
      <c r="AM242" s="568"/>
      <c r="AN242" s="568"/>
      <c r="AO242" s="568"/>
    </row>
    <row r="243" spans="1:41" ht="15.75" customHeight="1">
      <c r="A243" s="484" t="s">
        <v>909</v>
      </c>
      <c r="B243" s="520">
        <f>('Pivot Table for Data Exchange'!$O$547)*100</f>
        <v>62.327887122246693</v>
      </c>
      <c r="C243" s="520">
        <f>('Pivot Table for Data Exchange'!$O$550)*100</f>
        <v>12.68748718807473</v>
      </c>
      <c r="D243" s="521">
        <f>SUM(E243:G243)</f>
        <v>24.98462568967857</v>
      </c>
      <c r="E243" s="520">
        <f>('Pivot Table for Data Exchange'!$O$553)*100</f>
        <v>22.970230138267741</v>
      </c>
      <c r="F243" s="520">
        <f>('Pivot Table for Data Exchange'!$O$556)*100</f>
        <v>2.0143955514108276</v>
      </c>
      <c r="G243" s="522">
        <f>('Pivot Table for Data Exchange'!$O$559)*100</f>
        <v>0</v>
      </c>
      <c r="H243" s="520">
        <f>('Pivot Table for Data Exchange'!$O$562)*100</f>
        <v>0</v>
      </c>
      <c r="I243" s="551"/>
      <c r="J243" s="551"/>
      <c r="K243" s="551"/>
      <c r="L243" s="551"/>
      <c r="M243" s="551"/>
      <c r="N243" s="551"/>
      <c r="O243" s="551"/>
      <c r="P243" s="552"/>
      <c r="Q243" s="510">
        <f t="shared" si="34"/>
        <v>99.999999999999986</v>
      </c>
      <c r="R243" s="510"/>
      <c r="Z243" s="568"/>
      <c r="AA243" s="568"/>
      <c r="AB243" s="568"/>
      <c r="AC243" s="568"/>
      <c r="AD243" s="568"/>
      <c r="AE243" s="568"/>
      <c r="AF243" s="568"/>
      <c r="AG243" s="568"/>
      <c r="AH243" s="568"/>
      <c r="AI243" s="568"/>
      <c r="AJ243" s="568"/>
      <c r="AK243" s="568"/>
      <c r="AL243" s="568"/>
      <c r="AM243" s="568"/>
      <c r="AN243" s="568"/>
      <c r="AO243" s="568"/>
    </row>
    <row r="244" spans="1:41" s="571" customFormat="1" ht="12.75" customHeight="1">
      <c r="A244" s="525" t="s">
        <v>937</v>
      </c>
      <c r="B244" s="526"/>
      <c r="C244" s="526"/>
      <c r="D244" s="527"/>
      <c r="E244" s="526"/>
      <c r="F244" s="527"/>
      <c r="G244" s="527"/>
      <c r="H244" s="526"/>
      <c r="I244" s="546"/>
      <c r="J244" s="526"/>
      <c r="K244" s="526"/>
      <c r="L244" s="527"/>
      <c r="M244" s="526"/>
      <c r="N244" s="527"/>
      <c r="O244" s="527"/>
      <c r="P244" s="526"/>
      <c r="Q244" s="510">
        <f t="shared" si="34"/>
        <v>0</v>
      </c>
      <c r="R244" s="553"/>
      <c r="S244" s="572"/>
      <c r="T244" s="572"/>
      <c r="U244" s="572"/>
      <c r="V244" s="572"/>
      <c r="W244" s="572"/>
      <c r="X244" s="572"/>
      <c r="Y244" s="572"/>
      <c r="Z244" s="572"/>
      <c r="AA244" s="572"/>
      <c r="AB244" s="572"/>
      <c r="AC244" s="572"/>
      <c r="AD244" s="572"/>
      <c r="AE244" s="572"/>
      <c r="AF244" s="572"/>
      <c r="AG244" s="572"/>
      <c r="AH244" s="572"/>
      <c r="AI244" s="572"/>
      <c r="AJ244" s="572"/>
      <c r="AK244" s="572"/>
      <c r="AL244" s="572"/>
      <c r="AM244" s="572"/>
      <c r="AN244" s="572"/>
      <c r="AO244" s="572"/>
    </row>
    <row r="245" spans="1:41" s="571" customFormat="1" ht="24.75" customHeight="1">
      <c r="A245" s="655" t="s">
        <v>952</v>
      </c>
      <c r="B245" s="667"/>
      <c r="C245" s="667"/>
      <c r="D245" s="667"/>
      <c r="E245" s="667"/>
      <c r="F245" s="667"/>
      <c r="G245" s="667"/>
      <c r="H245" s="667"/>
      <c r="I245" s="546"/>
      <c r="J245" s="524"/>
      <c r="K245" s="524"/>
      <c r="L245" s="524"/>
      <c r="M245" s="524"/>
      <c r="N245" s="524"/>
      <c r="O245" s="524"/>
      <c r="P245" s="541"/>
      <c r="Q245" s="510">
        <f t="shared" si="34"/>
        <v>0</v>
      </c>
      <c r="R245" s="554"/>
    </row>
    <row r="246" spans="1:41" ht="12" customHeight="1">
      <c r="A246" s="512"/>
      <c r="B246" s="555"/>
      <c r="C246" s="555"/>
      <c r="D246" s="556"/>
      <c r="E246" s="555"/>
      <c r="F246" s="556"/>
      <c r="G246" s="556"/>
      <c r="H246" s="555"/>
      <c r="I246" s="512"/>
      <c r="J246" s="555"/>
      <c r="K246" s="555"/>
      <c r="L246" s="556"/>
      <c r="M246" s="555"/>
      <c r="N246" s="556"/>
      <c r="O246" s="556"/>
      <c r="P246" s="555"/>
      <c r="Q246" s="510">
        <f t="shared" si="34"/>
        <v>0</v>
      </c>
      <c r="R246" s="510"/>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row>
    <row r="247" spans="1:41" s="571" customFormat="1">
      <c r="A247" s="524"/>
      <c r="B247" s="524"/>
      <c r="C247" s="524"/>
      <c r="D247" s="524"/>
      <c r="E247" s="524"/>
      <c r="F247" s="524"/>
      <c r="G247" s="524"/>
      <c r="H247" s="532" t="s">
        <v>1015</v>
      </c>
      <c r="I247" s="540"/>
      <c r="J247" s="540"/>
      <c r="K247" s="540"/>
      <c r="L247" s="540"/>
      <c r="M247" s="540"/>
      <c r="N247" s="540"/>
      <c r="O247" s="540"/>
      <c r="P247" s="540"/>
      <c r="Q247" s="510">
        <f t="shared" si="34"/>
        <v>0</v>
      </c>
      <c r="R247" s="557"/>
    </row>
    <row r="248" spans="1:41" ht="18">
      <c r="A248" s="472" t="s">
        <v>953</v>
      </c>
      <c r="B248" s="473"/>
      <c r="C248" s="473"/>
      <c r="D248" s="473"/>
      <c r="E248" s="473"/>
      <c r="F248" s="473"/>
      <c r="G248" s="473"/>
      <c r="H248" s="474"/>
      <c r="I248" s="550"/>
      <c r="J248" s="512"/>
      <c r="K248" s="512"/>
      <c r="L248" s="512"/>
      <c r="M248" s="512"/>
      <c r="N248" s="512"/>
      <c r="O248" s="512"/>
      <c r="P248" s="512"/>
      <c r="Q248" s="510">
        <f t="shared" si="34"/>
        <v>0</v>
      </c>
    </row>
    <row r="249" spans="1:41">
      <c r="A249" s="479"/>
      <c r="B249" s="475"/>
      <c r="C249" s="475"/>
      <c r="D249" s="475"/>
      <c r="E249" s="475"/>
      <c r="F249" s="475"/>
      <c r="G249" s="475"/>
      <c r="H249" s="480"/>
      <c r="I249" s="550"/>
      <c r="J249" s="512"/>
      <c r="K249" s="512"/>
      <c r="L249" s="512"/>
      <c r="M249" s="512"/>
      <c r="N249" s="512"/>
      <c r="O249" s="512"/>
      <c r="P249" s="512"/>
      <c r="Q249" s="510">
        <f t="shared" si="34"/>
        <v>0</v>
      </c>
    </row>
    <row r="250" spans="1:41" ht="15.75">
      <c r="A250" s="481" t="s">
        <v>917</v>
      </c>
      <c r="B250" s="475"/>
      <c r="C250" s="475"/>
      <c r="D250" s="475"/>
      <c r="E250" s="475"/>
      <c r="F250" s="475"/>
      <c r="G250" s="475"/>
      <c r="H250" s="480"/>
      <c r="I250" s="550"/>
      <c r="J250" s="512"/>
      <c r="K250" s="512"/>
      <c r="L250" s="512"/>
      <c r="M250" s="512"/>
      <c r="N250" s="512"/>
      <c r="O250" s="512"/>
      <c r="P250" s="512"/>
      <c r="Q250" s="510">
        <f t="shared" si="34"/>
        <v>0</v>
      </c>
    </row>
    <row r="251" spans="1:41" ht="15.75">
      <c r="A251" s="481" t="s">
        <v>1008</v>
      </c>
      <c r="B251" s="475"/>
      <c r="C251" s="475"/>
      <c r="D251" s="475"/>
      <c r="E251" s="475"/>
      <c r="F251" s="475"/>
      <c r="G251" s="475"/>
      <c r="H251" s="480"/>
      <c r="I251" s="550"/>
      <c r="J251" s="512"/>
      <c r="K251" s="512"/>
      <c r="L251" s="512"/>
      <c r="M251" s="512"/>
      <c r="N251" s="512"/>
      <c r="O251" s="512"/>
      <c r="P251" s="512"/>
      <c r="Q251" s="510">
        <f t="shared" si="34"/>
        <v>0</v>
      </c>
    </row>
    <row r="252" spans="1:41">
      <c r="A252" s="484"/>
      <c r="B252" s="485"/>
      <c r="C252" s="485"/>
      <c r="D252" s="485"/>
      <c r="E252" s="485"/>
      <c r="F252" s="485"/>
      <c r="G252" s="485"/>
      <c r="H252" s="485"/>
      <c r="I252" s="550"/>
      <c r="J252" s="512"/>
      <c r="K252" s="512"/>
      <c r="L252" s="512"/>
      <c r="M252" s="512"/>
      <c r="N252" s="512"/>
      <c r="O252" s="512"/>
      <c r="P252" s="512"/>
      <c r="Q252" s="510">
        <f t="shared" si="34"/>
        <v>0</v>
      </c>
    </row>
    <row r="253" spans="1:41">
      <c r="A253" s="489"/>
      <c r="B253" s="490" t="s">
        <v>919</v>
      </c>
      <c r="C253" s="490"/>
      <c r="D253" s="490"/>
      <c r="E253" s="490"/>
      <c r="F253" s="490"/>
      <c r="G253" s="490"/>
      <c r="H253" s="491"/>
      <c r="I253" s="550"/>
      <c r="J253" s="512"/>
      <c r="K253" s="512"/>
      <c r="L253" s="512"/>
      <c r="M253" s="512"/>
      <c r="N253" s="512"/>
      <c r="O253" s="512"/>
      <c r="P253" s="512"/>
      <c r="Q253" s="510">
        <f t="shared" si="34"/>
        <v>0</v>
      </c>
    </row>
    <row r="254" spans="1:41">
      <c r="A254" s="489"/>
      <c r="B254" s="490" t="s">
        <v>920</v>
      </c>
      <c r="C254" s="490"/>
      <c r="D254" s="659" t="s">
        <v>921</v>
      </c>
      <c r="E254" s="657"/>
      <c r="F254" s="657"/>
      <c r="G254" s="657"/>
      <c r="H254" s="495" t="s">
        <v>320</v>
      </c>
      <c r="I254" s="550"/>
      <c r="J254" s="512"/>
      <c r="K254" s="512"/>
      <c r="L254" s="512"/>
      <c r="M254" s="512"/>
      <c r="N254" s="512"/>
      <c r="O254" s="512"/>
      <c r="P254" s="512"/>
      <c r="Q254" s="510">
        <f t="shared" si="34"/>
        <v>0</v>
      </c>
    </row>
    <row r="255" spans="1:41" ht="36">
      <c r="A255" s="489"/>
      <c r="B255" s="496" t="s">
        <v>922</v>
      </c>
      <c r="C255" s="497" t="s">
        <v>923</v>
      </c>
      <c r="D255" s="498" t="s">
        <v>924</v>
      </c>
      <c r="E255" s="499" t="s">
        <v>10</v>
      </c>
      <c r="F255" s="496" t="s">
        <v>925</v>
      </c>
      <c r="G255" s="500" t="s">
        <v>935</v>
      </c>
      <c r="H255" s="501" t="s">
        <v>927</v>
      </c>
      <c r="I255" s="550"/>
      <c r="J255" s="512"/>
      <c r="K255" s="512"/>
      <c r="L255" s="512"/>
      <c r="M255" s="512"/>
      <c r="N255" s="512"/>
      <c r="O255" s="512"/>
      <c r="P255" s="512"/>
      <c r="Q255" s="510">
        <f t="shared" si="34"/>
        <v>0</v>
      </c>
    </row>
    <row r="256" spans="1:41" ht="15.75" customHeight="1">
      <c r="A256" s="534" t="s">
        <v>894</v>
      </c>
      <c r="B256" s="567">
        <f>('Pivot Table for Data Exchange'!$K$7)*100</f>
        <v>0</v>
      </c>
      <c r="C256" s="505">
        <f>('Pivot Table for Data Exchange'!$K$10)*100</f>
        <v>0</v>
      </c>
      <c r="D256" s="506">
        <f>SUM(E256:G256)</f>
        <v>0</v>
      </c>
      <c r="E256" s="505">
        <f>('Pivot Table for Data Exchange'!$K$13)*100</f>
        <v>0</v>
      </c>
      <c r="F256" s="505">
        <f>('Pivot Table for Data Exchange'!$K$16)*100</f>
        <v>0</v>
      </c>
      <c r="G256" s="509">
        <f>('Pivot Table for Data Exchange'!$K$19)*100</f>
        <v>0</v>
      </c>
      <c r="H256" s="505">
        <f>('Pivot Table for Data Exchange'!$K$22)*100</f>
        <v>0</v>
      </c>
      <c r="I256" s="512"/>
      <c r="J256" s="552"/>
      <c r="K256" s="552"/>
      <c r="L256" s="552"/>
      <c r="M256" s="552"/>
      <c r="N256" s="552"/>
      <c r="O256" s="552"/>
      <c r="P256" s="552"/>
      <c r="Q256" s="510">
        <f t="shared" si="34"/>
        <v>0</v>
      </c>
      <c r="R256" s="510"/>
      <c r="S256" s="568"/>
      <c r="T256" s="568"/>
      <c r="U256" s="568"/>
      <c r="V256" s="568"/>
      <c r="W256" s="568"/>
      <c r="X256" s="568"/>
      <c r="Y256" s="568"/>
      <c r="Z256" s="568"/>
      <c r="AA256" s="568"/>
      <c r="AB256" s="568"/>
      <c r="AC256" s="568"/>
      <c r="AD256" s="568"/>
      <c r="AE256" s="568"/>
      <c r="AF256" s="568"/>
      <c r="AG256" s="568"/>
      <c r="AH256" s="568"/>
      <c r="AI256" s="568"/>
      <c r="AJ256" s="568"/>
      <c r="AK256" s="568"/>
      <c r="AL256" s="568"/>
      <c r="AM256" s="568"/>
      <c r="AN256" s="568"/>
      <c r="AO256" s="568"/>
    </row>
    <row r="257" spans="1:41" ht="15.75" customHeight="1">
      <c r="A257" s="512" t="s">
        <v>895</v>
      </c>
      <c r="B257" s="505">
        <f>('Pivot Table for Data Exchange'!$K$43)*100</f>
        <v>0</v>
      </c>
      <c r="C257" s="505">
        <f>('Pivot Table for Data Exchange'!$K$46)*100</f>
        <v>0</v>
      </c>
      <c r="D257" s="506">
        <f t="shared" ref="D257:D259" si="37">SUM(E257:G257)</f>
        <v>0</v>
      </c>
      <c r="E257" s="505">
        <f>('Pivot Table for Data Exchange'!$K$49)*100</f>
        <v>0</v>
      </c>
      <c r="F257" s="505">
        <f>('Pivot Table for Data Exchange'!$K$52)*100</f>
        <v>0</v>
      </c>
      <c r="G257" s="515">
        <f>('Pivot Table for Data Exchange'!$K$55)*100</f>
        <v>0</v>
      </c>
      <c r="H257" s="505">
        <f>('Pivot Table for Data Exchange'!$K$58)*100</f>
        <v>0</v>
      </c>
      <c r="I257" s="512"/>
      <c r="J257" s="552"/>
      <c r="K257" s="552"/>
      <c r="L257" s="552"/>
      <c r="M257" s="552"/>
      <c r="N257" s="552"/>
      <c r="O257" s="552"/>
      <c r="P257" s="552"/>
      <c r="Q257" s="510">
        <f t="shared" si="34"/>
        <v>0</v>
      </c>
      <c r="R257" s="510"/>
      <c r="S257" s="568"/>
      <c r="T257" s="568"/>
      <c r="U257" s="568"/>
      <c r="V257" s="568"/>
      <c r="W257" s="568"/>
      <c r="X257" s="568"/>
      <c r="Y257" s="568"/>
      <c r="Z257" s="568"/>
      <c r="AA257" s="568"/>
      <c r="AB257" s="568"/>
      <c r="AC257" s="568"/>
      <c r="AD257" s="568"/>
      <c r="AE257" s="568"/>
      <c r="AF257" s="568"/>
      <c r="AG257" s="568"/>
      <c r="AH257" s="568"/>
      <c r="AI257" s="568"/>
      <c r="AJ257" s="568"/>
      <c r="AK257" s="568"/>
      <c r="AL257" s="568"/>
      <c r="AM257" s="568"/>
      <c r="AN257" s="568"/>
      <c r="AO257" s="568"/>
    </row>
    <row r="258" spans="1:41" ht="15.75" customHeight="1">
      <c r="A258" s="512" t="s">
        <v>896</v>
      </c>
      <c r="B258" s="505">
        <f>('Pivot Table for Data Exchange'!$K$79)*100</f>
        <v>0</v>
      </c>
      <c r="C258" s="505">
        <f>('Pivot Table for Data Exchange'!$K$82)*100</f>
        <v>0</v>
      </c>
      <c r="D258" s="506">
        <f t="shared" si="37"/>
        <v>0</v>
      </c>
      <c r="E258" s="505">
        <f>('Pivot Table for Data Exchange'!$K$85)*100</f>
        <v>0</v>
      </c>
      <c r="F258" s="505">
        <f>('Pivot Table for Data Exchange'!$K$88)*100</f>
        <v>0</v>
      </c>
      <c r="G258" s="515">
        <f>('Pivot Table for Data Exchange'!$K$91)*100</f>
        <v>0</v>
      </c>
      <c r="H258" s="505">
        <f>('Pivot Table for Data Exchange'!$K$94)*100</f>
        <v>0</v>
      </c>
      <c r="I258" s="512"/>
      <c r="J258" s="552"/>
      <c r="K258" s="552"/>
      <c r="L258" s="552"/>
      <c r="M258" s="552"/>
      <c r="N258" s="552"/>
      <c r="O258" s="552"/>
      <c r="P258" s="552"/>
      <c r="Q258" s="510">
        <f t="shared" si="34"/>
        <v>0</v>
      </c>
      <c r="R258" s="510"/>
      <c r="S258" s="568"/>
      <c r="T258" s="573"/>
      <c r="U258" s="568"/>
      <c r="V258" s="568"/>
      <c r="W258" s="568"/>
      <c r="X258" s="568"/>
      <c r="Y258" s="568"/>
      <c r="Z258" s="568"/>
      <c r="AA258" s="568"/>
      <c r="AB258" s="568"/>
      <c r="AC258" s="568"/>
      <c r="AD258" s="568"/>
      <c r="AE258" s="568"/>
      <c r="AF258" s="568"/>
      <c r="AG258" s="568"/>
      <c r="AH258" s="568"/>
      <c r="AI258" s="568"/>
      <c r="AJ258" s="568"/>
      <c r="AK258" s="568"/>
      <c r="AL258" s="568"/>
      <c r="AM258" s="568"/>
      <c r="AN258" s="568"/>
      <c r="AO258" s="568"/>
    </row>
    <row r="259" spans="1:41" ht="15.75" customHeight="1">
      <c r="A259" s="512" t="s">
        <v>936</v>
      </c>
      <c r="B259" s="505">
        <f>('Pivot Table for Data Exchange'!$K$115)*100</f>
        <v>72.10343775130454</v>
      </c>
      <c r="C259" s="505">
        <f>('Pivot Table for Data Exchange'!$K$118)*100</f>
        <v>3.3058415620478807</v>
      </c>
      <c r="D259" s="506">
        <f t="shared" si="37"/>
        <v>24.557112025686489</v>
      </c>
      <c r="E259" s="505">
        <f>('Pivot Table for Data Exchange'!$K$121)*100</f>
        <v>24.48293487206665</v>
      </c>
      <c r="F259" s="505">
        <f>('Pivot Table for Data Exchange'!$K$124)*100</f>
        <v>2.1585944175085293E-3</v>
      </c>
      <c r="G259" s="515">
        <f>('Pivot Table for Data Exchange'!$K$127)*100</f>
        <v>7.2018559202330037E-2</v>
      </c>
      <c r="H259" s="519">
        <f>('Pivot Table for Data Exchange'!$K$130)*100</f>
        <v>3.3608660961087347E-2</v>
      </c>
      <c r="I259" s="512"/>
      <c r="J259" s="552"/>
      <c r="K259" s="552"/>
      <c r="L259" s="552"/>
      <c r="M259" s="552"/>
      <c r="N259" s="552"/>
      <c r="O259" s="552"/>
      <c r="P259" s="552"/>
      <c r="Q259" s="510">
        <f t="shared" si="34"/>
        <v>100</v>
      </c>
      <c r="R259" s="510"/>
      <c r="S259" s="568"/>
      <c r="U259" s="568"/>
      <c r="V259" s="568"/>
      <c r="W259" s="568"/>
      <c r="X259" s="568"/>
      <c r="Y259" s="568"/>
      <c r="Z259" s="568"/>
      <c r="AA259" s="568"/>
      <c r="AB259" s="568"/>
      <c r="AC259" s="568"/>
      <c r="AD259" s="568"/>
      <c r="AE259" s="568"/>
      <c r="AF259" s="568"/>
      <c r="AG259" s="568"/>
      <c r="AH259" s="568"/>
      <c r="AI259" s="568"/>
      <c r="AJ259" s="568"/>
      <c r="AK259" s="568"/>
      <c r="AL259" s="568"/>
      <c r="AM259" s="568"/>
      <c r="AN259" s="568"/>
      <c r="AO259" s="568"/>
    </row>
    <row r="260" spans="1:41" ht="15.75" customHeight="1">
      <c r="A260" s="512"/>
      <c r="B260" s="505"/>
      <c r="C260" s="505"/>
      <c r="D260" s="506"/>
      <c r="E260" s="505"/>
      <c r="F260" s="505"/>
      <c r="G260" s="515"/>
      <c r="H260" s="505"/>
      <c r="I260" s="512"/>
      <c r="J260" s="552"/>
      <c r="K260" s="552"/>
      <c r="L260" s="552"/>
      <c r="M260" s="552"/>
      <c r="N260" s="552"/>
      <c r="O260" s="552"/>
      <c r="P260" s="552"/>
      <c r="Q260" s="510">
        <f t="shared" si="34"/>
        <v>0</v>
      </c>
      <c r="R260" s="510"/>
      <c r="S260" s="568"/>
      <c r="U260" s="568"/>
      <c r="V260" s="568"/>
      <c r="W260" s="568"/>
      <c r="X260" s="568"/>
      <c r="Y260" s="568"/>
      <c r="Z260" s="568"/>
      <c r="AA260" s="568"/>
      <c r="AB260" s="568"/>
      <c r="AC260" s="568"/>
      <c r="AD260" s="568"/>
      <c r="AE260" s="568"/>
      <c r="AF260" s="568"/>
      <c r="AG260" s="568"/>
      <c r="AH260" s="568"/>
      <c r="AI260" s="568"/>
      <c r="AJ260" s="568"/>
      <c r="AK260" s="568"/>
      <c r="AL260" s="568"/>
      <c r="AM260" s="568"/>
      <c r="AN260" s="568"/>
      <c r="AO260" s="568"/>
    </row>
    <row r="261" spans="1:41" ht="15.75" customHeight="1">
      <c r="A261" s="512" t="s">
        <v>898</v>
      </c>
      <c r="B261" s="505">
        <f>('Pivot Table for Data Exchange'!$K$151)*100</f>
        <v>66.032983321758422</v>
      </c>
      <c r="C261" s="505">
        <f>('Pivot Table for Data Exchange'!$K$154)*100</f>
        <v>11.963554569672343</v>
      </c>
      <c r="D261" s="506">
        <f t="shared" ref="D261:D262" si="38">SUM(E261:G261)</f>
        <v>22.003462108569238</v>
      </c>
      <c r="E261" s="505">
        <f>('Pivot Table for Data Exchange'!$K$157)*100</f>
        <v>21.888611321302335</v>
      </c>
      <c r="F261" s="505">
        <f>('Pivot Table for Data Exchange'!$K$160)*100</f>
        <v>2.3011619831455433E-2</v>
      </c>
      <c r="G261" s="515">
        <f>('Pivot Table for Data Exchange'!$K$163)*100</f>
        <v>9.183916743544826E-2</v>
      </c>
      <c r="H261" s="519">
        <f>('Pivot Table for Data Exchange'!$K$166)*100</f>
        <v>0</v>
      </c>
      <c r="I261" s="512"/>
      <c r="J261" s="552"/>
      <c r="K261" s="552"/>
      <c r="L261" s="552"/>
      <c r="M261" s="552"/>
      <c r="N261" s="552"/>
      <c r="O261" s="552"/>
      <c r="P261" s="552"/>
      <c r="Q261" s="510">
        <f t="shared" si="34"/>
        <v>100</v>
      </c>
      <c r="R261" s="510"/>
      <c r="S261" s="568"/>
      <c r="T261" s="568"/>
      <c r="U261" s="568"/>
      <c r="V261" s="568"/>
      <c r="W261" s="568"/>
      <c r="X261" s="568"/>
      <c r="Y261" s="568"/>
      <c r="Z261" s="568"/>
      <c r="AA261" s="568"/>
      <c r="AB261" s="568"/>
      <c r="AC261" s="568"/>
      <c r="AD261" s="568"/>
      <c r="AE261" s="568"/>
      <c r="AF261" s="568"/>
      <c r="AG261" s="568"/>
      <c r="AH261" s="568"/>
      <c r="AI261" s="568"/>
      <c r="AJ261" s="568"/>
      <c r="AK261" s="568"/>
      <c r="AL261" s="568"/>
      <c r="AM261" s="568"/>
      <c r="AN261" s="568"/>
      <c r="AO261" s="568"/>
    </row>
    <row r="262" spans="1:41" ht="15.75" customHeight="1">
      <c r="A262" s="512" t="s">
        <v>899</v>
      </c>
      <c r="B262" s="505">
        <f>('Pivot Table for Data Exchange'!$K$187)*100</f>
        <v>0</v>
      </c>
      <c r="C262" s="505">
        <f>('Pivot Table for Data Exchange'!$K$190)*100</f>
        <v>0</v>
      </c>
      <c r="D262" s="506">
        <f t="shared" si="38"/>
        <v>0</v>
      </c>
      <c r="E262" s="505">
        <f>('Pivot Table for Data Exchange'!$K$193)*100</f>
        <v>0</v>
      </c>
      <c r="F262" s="505">
        <f>('Pivot Table for Data Exchange'!$K$196)*100</f>
        <v>0</v>
      </c>
      <c r="G262" s="515">
        <f>('Pivot Table for Data Exchange'!$K$199)*100</f>
        <v>0</v>
      </c>
      <c r="H262" s="505">
        <f>('Pivot Table for Data Exchange'!$K$202)*100</f>
        <v>0</v>
      </c>
      <c r="I262" s="512"/>
      <c r="J262" s="552"/>
      <c r="K262" s="552"/>
      <c r="L262" s="552"/>
      <c r="M262" s="552"/>
      <c r="N262" s="552"/>
      <c r="O262" s="552"/>
      <c r="P262" s="552"/>
      <c r="Q262" s="510">
        <f t="shared" si="34"/>
        <v>0</v>
      </c>
      <c r="R262" s="510"/>
      <c r="S262" s="568"/>
      <c r="T262" s="568"/>
      <c r="U262" s="568"/>
      <c r="V262" s="568"/>
      <c r="W262" s="568"/>
      <c r="X262" s="568"/>
      <c r="Y262" s="568"/>
      <c r="Z262" s="568"/>
      <c r="AA262" s="568"/>
      <c r="AB262" s="568"/>
      <c r="AC262" s="568"/>
      <c r="AD262" s="568"/>
      <c r="AE262" s="568"/>
      <c r="AF262" s="568"/>
      <c r="AG262" s="568"/>
      <c r="AH262" s="568"/>
      <c r="AI262" s="568"/>
      <c r="AJ262" s="568"/>
      <c r="AK262" s="568"/>
      <c r="AL262" s="568"/>
      <c r="AM262" s="568"/>
      <c r="AN262" s="568"/>
      <c r="AO262" s="568"/>
    </row>
    <row r="263" spans="1:41" ht="15.75" customHeight="1">
      <c r="A263" s="512" t="s">
        <v>900</v>
      </c>
      <c r="B263" s="505">
        <f>('Pivot Table for Data Exchange'!$K$223)*100</f>
        <v>0</v>
      </c>
      <c r="C263" s="505">
        <f>('Pivot Table for Data Exchange'!$K$226)*100</f>
        <v>0</v>
      </c>
      <c r="D263" s="506">
        <f>SUM(E263:G263)</f>
        <v>0</v>
      </c>
      <c r="E263" s="505">
        <f>('Pivot Table for Data Exchange'!$K$229)*100</f>
        <v>0</v>
      </c>
      <c r="F263" s="505">
        <f>('Pivot Table for Data Exchange'!$K$232)*100</f>
        <v>0</v>
      </c>
      <c r="G263" s="515">
        <f>('Pivot Table for Data Exchange'!$K$235)*100</f>
        <v>0</v>
      </c>
      <c r="H263" s="505">
        <f>('Pivot Table for Data Exchange'!$K$238)*100</f>
        <v>0</v>
      </c>
      <c r="I263" s="512"/>
      <c r="J263" s="552"/>
      <c r="K263" s="552"/>
      <c r="L263" s="552"/>
      <c r="M263" s="552"/>
      <c r="N263" s="552"/>
      <c r="O263" s="552"/>
      <c r="P263" s="552"/>
      <c r="Q263" s="510">
        <f t="shared" si="34"/>
        <v>0</v>
      </c>
      <c r="R263" s="510"/>
      <c r="S263" s="568"/>
      <c r="T263" s="573"/>
      <c r="U263" s="568"/>
      <c r="V263" s="568"/>
      <c r="W263" s="568"/>
      <c r="X263" s="568"/>
      <c r="Y263" s="568"/>
      <c r="Z263" s="568"/>
      <c r="AA263" s="568"/>
      <c r="AB263" s="568"/>
      <c r="AC263" s="568"/>
      <c r="AD263" s="568"/>
      <c r="AE263" s="568"/>
      <c r="AF263" s="568"/>
      <c r="AG263" s="568"/>
      <c r="AH263" s="568"/>
      <c r="AI263" s="568"/>
      <c r="AJ263" s="568"/>
      <c r="AK263" s="568"/>
      <c r="AL263" s="568"/>
      <c r="AM263" s="568"/>
      <c r="AN263" s="568"/>
      <c r="AO263" s="568"/>
    </row>
    <row r="264" spans="1:41" ht="15.75" customHeight="1">
      <c r="A264" s="512" t="s">
        <v>901</v>
      </c>
      <c r="B264" s="505">
        <f>('Pivot Table for Data Exchange'!$K$259)*100</f>
        <v>0</v>
      </c>
      <c r="C264" s="505">
        <f>('Pivot Table for Data Exchange'!$K$262)*100</f>
        <v>0</v>
      </c>
      <c r="D264" s="506">
        <f>SUM(E264:G264)</f>
        <v>0</v>
      </c>
      <c r="E264" s="505">
        <f>('Pivot Table for Data Exchange'!$K$265)*100</f>
        <v>0</v>
      </c>
      <c r="F264" s="505">
        <f>('Pivot Table for Data Exchange'!$K$268)*100</f>
        <v>0</v>
      </c>
      <c r="G264" s="515">
        <f>('Pivot Table for Data Exchange'!$K$271)*100</f>
        <v>0</v>
      </c>
      <c r="H264" s="505">
        <f>('Pivot Table for Data Exchange'!$K$274)*100</f>
        <v>0</v>
      </c>
      <c r="I264" s="512"/>
      <c r="J264" s="552"/>
      <c r="K264" s="552"/>
      <c r="L264" s="552"/>
      <c r="M264" s="552"/>
      <c r="N264" s="552"/>
      <c r="O264" s="552"/>
      <c r="P264" s="552"/>
      <c r="Q264" s="510">
        <f t="shared" si="34"/>
        <v>0</v>
      </c>
      <c r="R264" s="510"/>
      <c r="S264" s="568"/>
      <c r="U264" s="568"/>
      <c r="V264" s="568"/>
      <c r="W264" s="568"/>
      <c r="X264" s="568"/>
      <c r="Y264" s="568"/>
      <c r="Z264" s="568"/>
      <c r="AA264" s="568"/>
      <c r="AB264" s="568"/>
      <c r="AC264" s="568"/>
      <c r="AD264" s="568"/>
      <c r="AE264" s="568"/>
      <c r="AF264" s="568"/>
      <c r="AG264" s="568"/>
      <c r="AH264" s="568"/>
      <c r="AI264" s="568"/>
      <c r="AJ264" s="568"/>
      <c r="AK264" s="568"/>
      <c r="AL264" s="568"/>
      <c r="AM264" s="568"/>
      <c r="AN264" s="568"/>
      <c r="AO264" s="568"/>
    </row>
    <row r="265" spans="1:41" ht="15.75" customHeight="1">
      <c r="A265" s="512"/>
      <c r="B265" s="505"/>
      <c r="C265" s="505"/>
      <c r="D265" s="506"/>
      <c r="E265" s="505"/>
      <c r="F265" s="505"/>
      <c r="G265" s="515"/>
      <c r="H265" s="505"/>
      <c r="I265" s="512"/>
      <c r="J265" s="552"/>
      <c r="K265" s="552"/>
      <c r="L265" s="552"/>
      <c r="M265" s="552"/>
      <c r="N265" s="552"/>
      <c r="O265" s="552"/>
      <c r="P265" s="552"/>
      <c r="Q265" s="510">
        <f t="shared" si="34"/>
        <v>0</v>
      </c>
      <c r="R265" s="510"/>
      <c r="S265" s="568"/>
      <c r="U265" s="568"/>
      <c r="V265" s="568"/>
      <c r="W265" s="568"/>
      <c r="X265" s="568"/>
      <c r="Y265" s="568"/>
      <c r="Z265" s="568"/>
      <c r="AA265" s="568"/>
      <c r="AB265" s="568"/>
      <c r="AC265" s="568"/>
      <c r="AD265" s="568"/>
      <c r="AE265" s="568"/>
      <c r="AF265" s="568"/>
      <c r="AG265" s="568"/>
      <c r="AH265" s="568"/>
      <c r="AI265" s="568"/>
      <c r="AJ265" s="568"/>
      <c r="AK265" s="568"/>
      <c r="AL265" s="568"/>
      <c r="AM265" s="568"/>
      <c r="AN265" s="568"/>
      <c r="AO265" s="568"/>
    </row>
    <row r="266" spans="1:41" ht="15.75" customHeight="1">
      <c r="A266" s="512" t="s">
        <v>902</v>
      </c>
      <c r="B266" s="505">
        <f>('Pivot Table for Data Exchange'!$K$295)*100</f>
        <v>0</v>
      </c>
      <c r="C266" s="505">
        <f>('Pivot Table for Data Exchange'!$K$298)*100</f>
        <v>0</v>
      </c>
      <c r="D266" s="506">
        <f>SUM(E266:G266)</f>
        <v>0</v>
      </c>
      <c r="E266" s="505">
        <f>('Pivot Table for Data Exchange'!$K$301)*100</f>
        <v>0</v>
      </c>
      <c r="F266" s="505">
        <f>('Pivot Table for Data Exchange'!$K$304)*100</f>
        <v>0</v>
      </c>
      <c r="G266" s="515">
        <f>('Pivot Table for Data Exchange'!$K$307)*100</f>
        <v>0</v>
      </c>
      <c r="H266" s="505">
        <f>('Pivot Table for Data Exchange'!$K$310)*100</f>
        <v>0</v>
      </c>
      <c r="I266" s="512"/>
      <c r="J266" s="552"/>
      <c r="K266" s="552"/>
      <c r="L266" s="552"/>
      <c r="M266" s="552"/>
      <c r="N266" s="552"/>
      <c r="O266" s="552"/>
      <c r="P266" s="552"/>
      <c r="Q266" s="510">
        <f t="shared" si="34"/>
        <v>0</v>
      </c>
      <c r="R266" s="510"/>
      <c r="S266" s="568"/>
      <c r="T266" s="568"/>
      <c r="U266" s="568"/>
      <c r="V266" s="568"/>
      <c r="W266" s="568"/>
      <c r="X266" s="568"/>
      <c r="Y266" s="568"/>
      <c r="Z266" s="568"/>
      <c r="AA266" s="568"/>
      <c r="AB266" s="568"/>
      <c r="AC266" s="568"/>
      <c r="AD266" s="568"/>
      <c r="AE266" s="568"/>
      <c r="AF266" s="568"/>
      <c r="AG266" s="568"/>
      <c r="AH266" s="568"/>
      <c r="AI266" s="568"/>
      <c r="AJ266" s="568"/>
      <c r="AK266" s="568"/>
      <c r="AL266" s="568"/>
      <c r="AM266" s="568"/>
      <c r="AN266" s="568"/>
      <c r="AO266" s="568"/>
    </row>
    <row r="267" spans="1:41" ht="15.75" customHeight="1">
      <c r="A267" s="512" t="s">
        <v>903</v>
      </c>
      <c r="B267" s="505">
        <f>('Pivot Table for Data Exchange'!$K$331)*100</f>
        <v>0</v>
      </c>
      <c r="C267" s="505">
        <f>('Pivot Table for Data Exchange'!$K$334)*100</f>
        <v>0</v>
      </c>
      <c r="D267" s="506">
        <f>SUM(E267:G267)</f>
        <v>0</v>
      </c>
      <c r="E267" s="505">
        <f>('Pivot Table for Data Exchange'!$K$337)*100</f>
        <v>0</v>
      </c>
      <c r="F267" s="505">
        <f>('Pivot Table for Data Exchange'!$K$340)*100</f>
        <v>0</v>
      </c>
      <c r="G267" s="515">
        <f>('Pivot Table for Data Exchange'!$K$343)*100</f>
        <v>0</v>
      </c>
      <c r="H267" s="505">
        <f>('Pivot Table for Data Exchange'!$K$346)*100</f>
        <v>0</v>
      </c>
      <c r="I267" s="512"/>
      <c r="J267" s="552"/>
      <c r="K267" s="552"/>
      <c r="L267" s="552"/>
      <c r="M267" s="552"/>
      <c r="N267" s="552"/>
      <c r="O267" s="552"/>
      <c r="P267" s="552"/>
      <c r="Q267" s="510">
        <f t="shared" si="34"/>
        <v>0</v>
      </c>
      <c r="R267" s="510"/>
      <c r="S267" s="568"/>
      <c r="T267" s="568"/>
      <c r="U267" s="568"/>
      <c r="V267" s="568"/>
      <c r="W267" s="568"/>
      <c r="X267" s="568"/>
      <c r="Y267" s="568"/>
      <c r="Z267" s="568"/>
      <c r="AA267" s="568"/>
      <c r="AB267" s="568"/>
      <c r="AC267" s="568"/>
      <c r="AD267" s="568"/>
      <c r="AE267" s="568"/>
      <c r="AF267" s="568"/>
      <c r="AG267" s="568"/>
      <c r="AH267" s="568"/>
      <c r="AI267" s="568"/>
      <c r="AJ267" s="568"/>
      <c r="AK267" s="568"/>
      <c r="AL267" s="568"/>
      <c r="AM267" s="568"/>
      <c r="AN267" s="568"/>
      <c r="AO267" s="568"/>
    </row>
    <row r="268" spans="1:41" ht="15.75" customHeight="1">
      <c r="A268" s="512" t="s">
        <v>904</v>
      </c>
      <c r="B268" s="505">
        <f>('Pivot Table for Data Exchange'!$K$367)*100</f>
        <v>66.444025263660848</v>
      </c>
      <c r="C268" s="505">
        <f>('Pivot Table for Data Exchange'!$K$370)*100</f>
        <v>0.52757053767401119</v>
      </c>
      <c r="D268" s="506">
        <f>SUM(E268:G268)</f>
        <v>33.023924826175467</v>
      </c>
      <c r="E268" s="505">
        <f>('Pivot Table for Data Exchange'!$K$373)*100</f>
        <v>32.336092294981611</v>
      </c>
      <c r="F268" s="505">
        <f>('Pivot Table for Data Exchange'!$K$376)*100</f>
        <v>0.33445981256314672</v>
      </c>
      <c r="G268" s="515">
        <f>('Pivot Table for Data Exchange'!$K$379)*100</f>
        <v>0.35337271863070563</v>
      </c>
      <c r="H268" s="505">
        <f>('Pivot Table for Data Exchange'!$K$382)*100</f>
        <v>4.4793724896850006E-3</v>
      </c>
      <c r="I268" s="512"/>
      <c r="J268" s="552"/>
      <c r="K268" s="552"/>
      <c r="L268" s="552"/>
      <c r="M268" s="552"/>
      <c r="N268" s="552"/>
      <c r="O268" s="552"/>
      <c r="P268" s="552"/>
      <c r="Q268" s="510">
        <f t="shared" si="34"/>
        <v>100.00000000000001</v>
      </c>
      <c r="R268" s="510"/>
      <c r="S268" s="568"/>
      <c r="T268" s="573"/>
      <c r="U268" s="568"/>
      <c r="V268" s="568"/>
      <c r="W268" s="568"/>
      <c r="X268" s="568"/>
      <c r="Y268" s="568"/>
      <c r="Z268" s="568"/>
      <c r="AA268" s="568"/>
      <c r="AB268" s="568"/>
      <c r="AC268" s="568"/>
      <c r="AD268" s="568"/>
      <c r="AE268" s="568"/>
      <c r="AF268" s="568"/>
      <c r="AG268" s="568"/>
      <c r="AH268" s="568"/>
      <c r="AI268" s="568"/>
      <c r="AJ268" s="568"/>
      <c r="AK268" s="568"/>
      <c r="AL268" s="568"/>
      <c r="AM268" s="568"/>
      <c r="AN268" s="568"/>
      <c r="AO268" s="568"/>
    </row>
    <row r="269" spans="1:41" ht="15.75" customHeight="1">
      <c r="A269" s="512" t="s">
        <v>905</v>
      </c>
      <c r="B269" s="505">
        <f>('Pivot Table for Data Exchange'!$K$403)*100</f>
        <v>0</v>
      </c>
      <c r="C269" s="505">
        <f>('Pivot Table for Data Exchange'!$K$406)*100</f>
        <v>0</v>
      </c>
      <c r="D269" s="506">
        <f>SUM(E269:G269)</f>
        <v>0</v>
      </c>
      <c r="E269" s="505">
        <f>('Pivot Table for Data Exchange'!$K$409)*100</f>
        <v>0</v>
      </c>
      <c r="F269" s="505">
        <f>('Pivot Table for Data Exchange'!$K$412)*100</f>
        <v>0</v>
      </c>
      <c r="G269" s="515">
        <f>('Pivot Table for Data Exchange'!$K$415)*100</f>
        <v>0</v>
      </c>
      <c r="H269" s="505">
        <f>('Pivot Table for Data Exchange'!$K$418)*100</f>
        <v>0</v>
      </c>
      <c r="I269" s="512"/>
      <c r="J269" s="552"/>
      <c r="K269" s="552"/>
      <c r="L269" s="552"/>
      <c r="M269" s="552"/>
      <c r="N269" s="552"/>
      <c r="O269" s="552"/>
      <c r="P269" s="552"/>
      <c r="Q269" s="510">
        <f t="shared" si="34"/>
        <v>0</v>
      </c>
      <c r="R269" s="510"/>
      <c r="S269" s="568"/>
      <c r="T269" s="568"/>
      <c r="U269" s="568"/>
      <c r="V269" s="568"/>
      <c r="W269" s="568"/>
      <c r="X269" s="568"/>
      <c r="Y269" s="568"/>
      <c r="Z269" s="568"/>
      <c r="AA269" s="568"/>
      <c r="AB269" s="568"/>
      <c r="AC269" s="568"/>
      <c r="AD269" s="568"/>
      <c r="AE269" s="568"/>
      <c r="AF269" s="568"/>
      <c r="AG269" s="568"/>
      <c r="AH269" s="568"/>
      <c r="AI269" s="568"/>
      <c r="AJ269" s="568"/>
      <c r="AK269" s="568"/>
      <c r="AL269" s="568"/>
      <c r="AM269" s="568"/>
      <c r="AN269" s="568"/>
      <c r="AO269" s="568"/>
    </row>
    <row r="270" spans="1:41" ht="15.75" customHeight="1">
      <c r="A270" s="512"/>
      <c r="B270" s="505"/>
      <c r="C270" s="505"/>
      <c r="D270" s="506"/>
      <c r="E270" s="505"/>
      <c r="F270" s="505"/>
      <c r="G270" s="515"/>
      <c r="H270" s="505"/>
      <c r="I270" s="512"/>
      <c r="J270" s="552"/>
      <c r="K270" s="552"/>
      <c r="L270" s="552"/>
      <c r="M270" s="552"/>
      <c r="N270" s="552"/>
      <c r="O270" s="552"/>
      <c r="P270" s="552"/>
      <c r="Q270" s="510">
        <f t="shared" si="34"/>
        <v>0</v>
      </c>
      <c r="R270" s="510"/>
      <c r="S270" s="568"/>
      <c r="T270" s="568"/>
      <c r="U270" s="568"/>
      <c r="V270" s="568"/>
      <c r="W270" s="568"/>
      <c r="X270" s="568"/>
      <c r="Y270" s="568"/>
      <c r="Z270" s="568"/>
      <c r="AA270" s="568"/>
      <c r="AB270" s="568"/>
      <c r="AC270" s="568"/>
      <c r="AD270" s="568"/>
      <c r="AE270" s="568"/>
      <c r="AF270" s="568"/>
      <c r="AG270" s="568"/>
      <c r="AH270" s="568"/>
      <c r="AI270" s="568"/>
      <c r="AJ270" s="568"/>
      <c r="AK270" s="568"/>
      <c r="AL270" s="568"/>
      <c r="AM270" s="568"/>
      <c r="AN270" s="568"/>
      <c r="AO270" s="568"/>
    </row>
    <row r="271" spans="1:41" ht="15.75" customHeight="1">
      <c r="A271" s="512" t="s">
        <v>906</v>
      </c>
      <c r="B271" s="505">
        <f>('Pivot Table for Data Exchange'!$K$439)*100</f>
        <v>0</v>
      </c>
      <c r="C271" s="505">
        <f>('Pivot Table for Data Exchange'!$K$442)*100</f>
        <v>0</v>
      </c>
      <c r="D271" s="506">
        <f>SUM(E271:G271)</f>
        <v>0</v>
      </c>
      <c r="E271" s="505">
        <f>('Pivot Table for Data Exchange'!$K$445)*100</f>
        <v>0</v>
      </c>
      <c r="F271" s="505">
        <f>('Pivot Table for Data Exchange'!$K$448)*100</f>
        <v>0</v>
      </c>
      <c r="G271" s="515">
        <f>('Pivot Table for Data Exchange'!$K$451)*100</f>
        <v>0</v>
      </c>
      <c r="H271" s="505">
        <f>('Pivot Table for Data Exchange'!$K$454)*100</f>
        <v>0</v>
      </c>
      <c r="I271" s="512"/>
      <c r="J271" s="552"/>
      <c r="K271" s="552"/>
      <c r="L271" s="552"/>
      <c r="M271" s="552"/>
      <c r="N271" s="552"/>
      <c r="O271" s="552"/>
      <c r="P271" s="552"/>
      <c r="Q271" s="510">
        <f t="shared" si="34"/>
        <v>0</v>
      </c>
      <c r="R271" s="510"/>
      <c r="S271" s="568"/>
      <c r="T271" s="568"/>
      <c r="U271" s="568"/>
      <c r="V271" s="568"/>
      <c r="W271" s="568"/>
      <c r="X271" s="568"/>
      <c r="Y271" s="568"/>
      <c r="Z271" s="568"/>
      <c r="AA271" s="568"/>
      <c r="AB271" s="568"/>
      <c r="AC271" s="568"/>
      <c r="AD271" s="568"/>
      <c r="AE271" s="568"/>
      <c r="AF271" s="568"/>
      <c r="AG271" s="568"/>
      <c r="AH271" s="568"/>
      <c r="AI271" s="568"/>
      <c r="AJ271" s="568"/>
      <c r="AK271" s="568"/>
      <c r="AL271" s="568"/>
      <c r="AM271" s="568"/>
      <c r="AN271" s="568"/>
      <c r="AO271" s="568"/>
    </row>
    <row r="272" spans="1:41" ht="15.75" customHeight="1">
      <c r="A272" s="512" t="s">
        <v>907</v>
      </c>
      <c r="B272" s="505">
        <f>('Pivot Table for Data Exchange'!$K$475)*100</f>
        <v>74.883083541069468</v>
      </c>
      <c r="C272" s="505">
        <f>('Pivot Table for Data Exchange'!$K$478)*100</f>
        <v>1.6994260742329439</v>
      </c>
      <c r="D272" s="506">
        <f>SUM(E272:G272)</f>
        <v>23.417490384697594</v>
      </c>
      <c r="E272" s="505">
        <f>('Pivot Table for Data Exchange'!$K$481)*100</f>
        <v>22.852847094401568</v>
      </c>
      <c r="F272" s="505">
        <f>('Pivot Table for Data Exchange'!$K$484)*100</f>
        <v>9.5511800348581435E-2</v>
      </c>
      <c r="G272" s="513">
        <f>('Pivot Table for Data Exchange'!$K$487)*100</f>
        <v>0.46913148994744402</v>
      </c>
      <c r="H272" s="505">
        <f>('Pivot Table for Data Exchange'!$K$490)*100</f>
        <v>0</v>
      </c>
      <c r="I272" s="512"/>
      <c r="J272" s="552"/>
      <c r="K272" s="552"/>
      <c r="L272" s="552"/>
      <c r="M272" s="552"/>
      <c r="N272" s="552"/>
      <c r="O272" s="552"/>
      <c r="P272" s="552"/>
      <c r="Q272" s="510">
        <f t="shared" si="34"/>
        <v>100</v>
      </c>
      <c r="R272" s="510"/>
      <c r="S272" s="568"/>
      <c r="T272" s="568"/>
      <c r="U272" s="568"/>
      <c r="V272" s="568"/>
      <c r="W272" s="568"/>
      <c r="X272" s="568"/>
      <c r="Y272" s="568"/>
      <c r="Z272" s="568"/>
      <c r="AA272" s="568"/>
      <c r="AB272" s="568"/>
      <c r="AC272" s="568"/>
      <c r="AD272" s="568"/>
      <c r="AE272" s="568"/>
      <c r="AF272" s="568"/>
      <c r="AG272" s="568"/>
      <c r="AH272" s="568"/>
      <c r="AI272" s="568"/>
      <c r="AJ272" s="568"/>
      <c r="AK272" s="568"/>
      <c r="AL272" s="568"/>
      <c r="AM272" s="568"/>
      <c r="AN272" s="568"/>
      <c r="AO272" s="568"/>
    </row>
    <row r="273" spans="1:41" ht="15.75" customHeight="1">
      <c r="A273" s="512" t="s">
        <v>908</v>
      </c>
      <c r="B273" s="505">
        <f>('Pivot Table for Data Exchange'!$K$511)*100</f>
        <v>0</v>
      </c>
      <c r="C273" s="505">
        <f>('Pivot Table for Data Exchange'!$K$514)*100</f>
        <v>0</v>
      </c>
      <c r="D273" s="506">
        <f>SUM(E273:G273)</f>
        <v>0</v>
      </c>
      <c r="E273" s="505">
        <f>('Pivot Table for Data Exchange'!$K$517)*100</f>
        <v>0</v>
      </c>
      <c r="F273" s="505">
        <f>('Pivot Table for Data Exchange'!$K$520)*100</f>
        <v>0</v>
      </c>
      <c r="G273" s="515">
        <f>('Pivot Table for Data Exchange'!$K$523)*100</f>
        <v>0</v>
      </c>
      <c r="H273" s="505">
        <f>('Pivot Table for Data Exchange'!$K$526)*100</f>
        <v>0</v>
      </c>
      <c r="I273" s="512"/>
      <c r="J273" s="552"/>
      <c r="K273" s="552"/>
      <c r="L273" s="552"/>
      <c r="M273" s="552"/>
      <c r="N273" s="552"/>
      <c r="O273" s="552"/>
      <c r="P273" s="552"/>
      <c r="Q273" s="510">
        <f t="shared" si="34"/>
        <v>0</v>
      </c>
      <c r="R273" s="510"/>
      <c r="S273" s="568"/>
      <c r="T273" s="568"/>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row>
    <row r="274" spans="1:41" ht="15.75" customHeight="1">
      <c r="A274" s="484" t="s">
        <v>909</v>
      </c>
      <c r="B274" s="520">
        <f>('Pivot Table for Data Exchange'!$K$547)*100</f>
        <v>84.337107062812478</v>
      </c>
      <c r="C274" s="520">
        <f>('Pivot Table for Data Exchange'!$K$550)*100</f>
        <v>6.8961553933681969</v>
      </c>
      <c r="D274" s="521">
        <f>SUM(E274:G274)</f>
        <v>8.7667375438193211</v>
      </c>
      <c r="E274" s="520">
        <f>('Pivot Table for Data Exchange'!$K$553)*100</f>
        <v>8.7667375438193211</v>
      </c>
      <c r="F274" s="520">
        <f>('Pivot Table for Data Exchange'!$K$556)*100</f>
        <v>0</v>
      </c>
      <c r="G274" s="522">
        <f>('Pivot Table for Data Exchange'!$K$559)*100</f>
        <v>0</v>
      </c>
      <c r="H274" s="520">
        <f>('Pivot Table for Data Exchange'!$K$562)*100</f>
        <v>0</v>
      </c>
      <c r="I274" s="512"/>
      <c r="J274" s="552"/>
      <c r="K274" s="552"/>
      <c r="L274" s="552"/>
      <c r="M274" s="552"/>
      <c r="N274" s="552"/>
      <c r="O274" s="552"/>
      <c r="P274" s="552"/>
      <c r="Q274" s="510">
        <f t="shared" si="34"/>
        <v>100</v>
      </c>
      <c r="R274" s="510"/>
      <c r="S274" s="568"/>
      <c r="T274" s="568"/>
      <c r="U274" s="568"/>
      <c r="V274" s="568"/>
      <c r="W274" s="568"/>
      <c r="X274" s="568"/>
      <c r="Y274" s="568"/>
      <c r="Z274" s="568"/>
      <c r="AA274" s="568"/>
      <c r="AB274" s="568"/>
      <c r="AC274" s="568"/>
      <c r="AD274" s="568"/>
      <c r="AE274" s="568"/>
      <c r="AF274" s="568"/>
      <c r="AG274" s="568"/>
      <c r="AH274" s="568"/>
      <c r="AI274" s="568"/>
      <c r="AJ274" s="568"/>
      <c r="AK274" s="568"/>
      <c r="AL274" s="568"/>
      <c r="AM274" s="568"/>
      <c r="AN274" s="568"/>
      <c r="AO274" s="568"/>
    </row>
    <row r="275" spans="1:41" s="571" customFormat="1" ht="12.75" customHeight="1">
      <c r="A275" s="525" t="s">
        <v>937</v>
      </c>
      <c r="B275" s="526"/>
      <c r="C275" s="526"/>
      <c r="D275" s="527"/>
      <c r="E275" s="526"/>
      <c r="F275" s="527"/>
      <c r="G275" s="527"/>
      <c r="H275" s="526"/>
      <c r="I275" s="546"/>
      <c r="J275" s="526"/>
      <c r="K275" s="526"/>
      <c r="L275" s="527"/>
      <c r="M275" s="526"/>
      <c r="N275" s="527"/>
      <c r="O275" s="527"/>
      <c r="P275" s="526"/>
      <c r="Q275" s="510">
        <f t="shared" si="34"/>
        <v>0</v>
      </c>
      <c r="R275" s="553"/>
      <c r="S275" s="572"/>
      <c r="T275" s="572"/>
      <c r="U275" s="572"/>
      <c r="V275" s="572"/>
      <c r="W275" s="572"/>
      <c r="X275" s="572"/>
      <c r="Y275" s="572"/>
      <c r="Z275" s="572"/>
      <c r="AA275" s="572"/>
      <c r="AB275" s="572"/>
      <c r="AC275" s="572"/>
      <c r="AD275" s="572"/>
      <c r="AE275" s="572"/>
      <c r="AF275" s="572"/>
      <c r="AG275" s="572"/>
      <c r="AH275" s="572"/>
      <c r="AI275" s="572"/>
      <c r="AJ275" s="572"/>
      <c r="AK275" s="572"/>
      <c r="AL275" s="572"/>
      <c r="AM275" s="572"/>
      <c r="AN275" s="572"/>
      <c r="AO275" s="572"/>
    </row>
    <row r="276" spans="1:41" s="571" customFormat="1" ht="27" customHeight="1">
      <c r="A276" s="655" t="s">
        <v>954</v>
      </c>
      <c r="B276" s="667"/>
      <c r="C276" s="667"/>
      <c r="D276" s="667"/>
      <c r="E276" s="667"/>
      <c r="F276" s="667"/>
      <c r="G276" s="667"/>
      <c r="H276" s="667"/>
      <c r="I276" s="546"/>
      <c r="J276" s="524"/>
      <c r="K276" s="524"/>
      <c r="L276" s="524"/>
      <c r="M276" s="524"/>
      <c r="N276" s="524"/>
      <c r="O276" s="524"/>
      <c r="P276" s="541"/>
      <c r="Q276" s="510">
        <f t="shared" si="34"/>
        <v>0</v>
      </c>
      <c r="R276" s="554"/>
    </row>
    <row r="277" spans="1:41" s="571" customFormat="1" ht="13.5" customHeight="1">
      <c r="A277" s="512"/>
      <c r="B277" s="555"/>
      <c r="C277" s="555"/>
      <c r="D277" s="556"/>
      <c r="E277" s="555"/>
      <c r="F277" s="556"/>
      <c r="G277" s="556"/>
      <c r="H277" s="555"/>
      <c r="I277" s="538"/>
      <c r="J277" s="524"/>
      <c r="K277" s="524"/>
      <c r="L277" s="524"/>
      <c r="M277" s="524"/>
      <c r="N277" s="524"/>
      <c r="O277" s="524"/>
      <c r="P277" s="524"/>
      <c r="Q277" s="510">
        <f t="shared" si="34"/>
        <v>0</v>
      </c>
      <c r="R277" s="554"/>
    </row>
    <row r="278" spans="1:41" s="571" customFormat="1">
      <c r="A278" s="524"/>
      <c r="B278" s="524"/>
      <c r="C278" s="524"/>
      <c r="D278" s="524"/>
      <c r="E278" s="524"/>
      <c r="F278" s="524"/>
      <c r="G278" s="524"/>
      <c r="H278" s="532" t="s">
        <v>1015</v>
      </c>
      <c r="I278" s="558"/>
      <c r="J278" s="540"/>
      <c r="K278" s="540"/>
      <c r="L278" s="540"/>
      <c r="M278" s="540"/>
      <c r="N278" s="540"/>
      <c r="O278" s="540"/>
      <c r="P278" s="540"/>
      <c r="Q278" s="510">
        <f t="shared" si="34"/>
        <v>0</v>
      </c>
      <c r="R278" s="554"/>
    </row>
    <row r="279" spans="1:41" ht="18">
      <c r="A279" s="472" t="s">
        <v>955</v>
      </c>
      <c r="B279" s="473"/>
      <c r="C279" s="473"/>
      <c r="D279" s="473"/>
      <c r="E279" s="473"/>
      <c r="F279" s="473"/>
      <c r="G279" s="473"/>
      <c r="H279" s="474"/>
      <c r="I279" s="550"/>
      <c r="J279" s="512"/>
      <c r="K279" s="512"/>
      <c r="L279" s="512"/>
      <c r="M279" s="512"/>
      <c r="N279" s="512"/>
      <c r="O279" s="512"/>
      <c r="P279" s="512"/>
      <c r="Q279" s="510">
        <f t="shared" si="34"/>
        <v>0</v>
      </c>
    </row>
    <row r="280" spans="1:41">
      <c r="A280" s="479"/>
      <c r="B280" s="475"/>
      <c r="C280" s="475"/>
      <c r="D280" s="475"/>
      <c r="E280" s="475"/>
      <c r="F280" s="475"/>
      <c r="G280" s="475"/>
      <c r="H280" s="480"/>
      <c r="I280" s="550"/>
      <c r="J280" s="512"/>
      <c r="K280" s="512"/>
      <c r="L280" s="512"/>
      <c r="M280" s="512"/>
      <c r="N280" s="512"/>
      <c r="O280" s="512"/>
      <c r="P280" s="512"/>
      <c r="Q280" s="510">
        <f t="shared" si="34"/>
        <v>0</v>
      </c>
    </row>
    <row r="281" spans="1:41" ht="15.75">
      <c r="A281" s="481" t="s">
        <v>917</v>
      </c>
      <c r="B281" s="475"/>
      <c r="C281" s="475"/>
      <c r="D281" s="475"/>
      <c r="E281" s="475"/>
      <c r="F281" s="475"/>
      <c r="G281" s="475"/>
      <c r="H281" s="480"/>
      <c r="I281" s="550"/>
      <c r="J281" s="512"/>
      <c r="K281" s="512"/>
      <c r="L281" s="512"/>
      <c r="M281" s="512"/>
      <c r="N281" s="512"/>
      <c r="O281" s="512"/>
      <c r="P281" s="512"/>
      <c r="Q281" s="510">
        <f t="shared" si="34"/>
        <v>0</v>
      </c>
    </row>
    <row r="282" spans="1:41" ht="15.75">
      <c r="A282" s="481" t="s">
        <v>1009</v>
      </c>
      <c r="B282" s="475"/>
      <c r="C282" s="475"/>
      <c r="D282" s="475"/>
      <c r="E282" s="475"/>
      <c r="F282" s="475"/>
      <c r="G282" s="475"/>
      <c r="H282" s="480"/>
      <c r="I282" s="550"/>
      <c r="J282" s="512"/>
      <c r="K282" s="512"/>
      <c r="L282" s="512"/>
      <c r="M282" s="512"/>
      <c r="N282" s="512"/>
      <c r="O282" s="512"/>
      <c r="P282" s="512"/>
      <c r="Q282" s="510">
        <f t="shared" ref="Q282:Q346" si="39">SUM(B282,C282,D282,H282)</f>
        <v>0</v>
      </c>
    </row>
    <row r="283" spans="1:41">
      <c r="A283" s="484"/>
      <c r="B283" s="485"/>
      <c r="C283" s="485"/>
      <c r="D283" s="485"/>
      <c r="E283" s="485"/>
      <c r="F283" s="485"/>
      <c r="G283" s="485"/>
      <c r="H283" s="485"/>
      <c r="I283" s="550"/>
      <c r="J283" s="512"/>
      <c r="K283" s="512"/>
      <c r="L283" s="512"/>
      <c r="M283" s="512"/>
      <c r="N283" s="512"/>
      <c r="O283" s="512"/>
      <c r="P283" s="512"/>
      <c r="Q283" s="510">
        <f t="shared" si="39"/>
        <v>0</v>
      </c>
    </row>
    <row r="284" spans="1:41">
      <c r="A284" s="489"/>
      <c r="B284" s="490" t="s">
        <v>919</v>
      </c>
      <c r="C284" s="490"/>
      <c r="D284" s="490"/>
      <c r="E284" s="490"/>
      <c r="F284" s="490"/>
      <c r="G284" s="490"/>
      <c r="H284" s="491"/>
      <c r="I284" s="550"/>
      <c r="J284" s="512"/>
      <c r="K284" s="512"/>
      <c r="L284" s="512"/>
      <c r="M284" s="512"/>
      <c r="N284" s="512"/>
      <c r="O284" s="512"/>
      <c r="P284" s="512"/>
      <c r="Q284" s="510">
        <f t="shared" si="39"/>
        <v>0</v>
      </c>
    </row>
    <row r="285" spans="1:41">
      <c r="A285" s="489"/>
      <c r="B285" s="490" t="s">
        <v>920</v>
      </c>
      <c r="C285" s="490"/>
      <c r="D285" s="659" t="s">
        <v>921</v>
      </c>
      <c r="E285" s="657"/>
      <c r="F285" s="657"/>
      <c r="G285" s="657"/>
      <c r="H285" s="495" t="s">
        <v>320</v>
      </c>
      <c r="I285" s="550"/>
      <c r="J285" s="512"/>
      <c r="K285" s="512"/>
      <c r="L285" s="512"/>
      <c r="M285" s="512"/>
      <c r="N285" s="512"/>
      <c r="O285" s="512"/>
      <c r="P285" s="512"/>
      <c r="Q285" s="510">
        <f t="shared" si="39"/>
        <v>0</v>
      </c>
    </row>
    <row r="286" spans="1:41" ht="36">
      <c r="A286" s="489"/>
      <c r="B286" s="496" t="s">
        <v>922</v>
      </c>
      <c r="C286" s="497" t="s">
        <v>923</v>
      </c>
      <c r="D286" s="498" t="s">
        <v>924</v>
      </c>
      <c r="E286" s="499" t="s">
        <v>10</v>
      </c>
      <c r="F286" s="496" t="s">
        <v>925</v>
      </c>
      <c r="G286" s="500" t="s">
        <v>935</v>
      </c>
      <c r="H286" s="501" t="s">
        <v>927</v>
      </c>
      <c r="I286" s="550"/>
      <c r="J286" s="512"/>
      <c r="K286" s="512"/>
      <c r="L286" s="512"/>
      <c r="M286" s="512"/>
      <c r="N286" s="512"/>
      <c r="O286" s="512"/>
      <c r="P286" s="512"/>
      <c r="Q286" s="510">
        <f t="shared" si="39"/>
        <v>0</v>
      </c>
    </row>
    <row r="287" spans="1:41" ht="15.75" customHeight="1">
      <c r="A287" s="534" t="s">
        <v>894</v>
      </c>
      <c r="B287" s="567">
        <f>('Pivot Table for Data Exchange'!$L$7)*100</f>
        <v>60.508088057243057</v>
      </c>
      <c r="C287" s="505">
        <f>('Pivot Table for Data Exchange'!$L$10)*100</f>
        <v>8.7841703454753972</v>
      </c>
      <c r="D287" s="506">
        <f>SUM(E287:G287)</f>
        <v>30.70774159728154</v>
      </c>
      <c r="E287" s="505">
        <f>('Pivot Table for Data Exchange'!$L$13)*100</f>
        <v>30.072831099438268</v>
      </c>
      <c r="F287" s="505">
        <f>('Pivot Table for Data Exchange'!$L$16)*100</f>
        <v>0.42948262511275914</v>
      </c>
      <c r="G287" s="509">
        <f>('Pivot Table for Data Exchange'!$L$19)*100</f>
        <v>0.20542787273051427</v>
      </c>
      <c r="H287" s="505">
        <f>('Pivot Table for Data Exchange'!$L$22)*100</f>
        <v>0</v>
      </c>
      <c r="I287" s="512"/>
      <c r="J287" s="552"/>
      <c r="K287" s="552"/>
      <c r="L287" s="552"/>
      <c r="M287" s="552"/>
      <c r="N287" s="552"/>
      <c r="O287" s="552"/>
      <c r="P287" s="552"/>
      <c r="Q287" s="510">
        <f t="shared" si="39"/>
        <v>100</v>
      </c>
      <c r="R287" s="510"/>
      <c r="S287" s="568"/>
      <c r="T287" s="568"/>
      <c r="U287" s="568"/>
      <c r="V287" s="568"/>
      <c r="W287" s="568"/>
      <c r="X287" s="568"/>
      <c r="Y287" s="568"/>
      <c r="Z287" s="568"/>
      <c r="AA287" s="568"/>
      <c r="AB287" s="568"/>
      <c r="AC287" s="568"/>
      <c r="AD287" s="568"/>
      <c r="AE287" s="568"/>
      <c r="AF287" s="568"/>
      <c r="AG287" s="568"/>
      <c r="AH287" s="568"/>
      <c r="AI287" s="568"/>
      <c r="AJ287" s="568"/>
      <c r="AK287" s="568"/>
      <c r="AL287" s="568"/>
      <c r="AM287" s="568"/>
      <c r="AN287" s="568"/>
      <c r="AO287" s="568"/>
    </row>
    <row r="288" spans="1:41" ht="15.75" customHeight="1">
      <c r="A288" s="512" t="s">
        <v>895</v>
      </c>
      <c r="B288" s="505">
        <f>('Pivot Table for Data Exchange'!$L$43)*100</f>
        <v>61.722520889548015</v>
      </c>
      <c r="C288" s="505">
        <f>('Pivot Table for Data Exchange'!$L$46)*100</f>
        <v>6.837078690257953</v>
      </c>
      <c r="D288" s="506">
        <f t="shared" ref="D288:D290" si="40">SUM(E288:G288)</f>
        <v>31.440400420194027</v>
      </c>
      <c r="E288" s="505">
        <f>('Pivot Table for Data Exchange'!$L$49)*100</f>
        <v>31.423235631355261</v>
      </c>
      <c r="F288" s="519">
        <f>('Pivot Table for Data Exchange'!$L$52)*100</f>
        <v>1.7164788838767708E-2</v>
      </c>
      <c r="G288" s="515">
        <f>('Pivot Table for Data Exchange'!$L$55)*100</f>
        <v>0</v>
      </c>
      <c r="H288" s="505">
        <f>('Pivot Table for Data Exchange'!$L$58)*100</f>
        <v>0</v>
      </c>
      <c r="I288" s="512"/>
      <c r="J288" s="552"/>
      <c r="K288" s="552"/>
      <c r="L288" s="552"/>
      <c r="M288" s="552"/>
      <c r="N288" s="552"/>
      <c r="O288" s="552"/>
      <c r="P288" s="552"/>
      <c r="Q288" s="510">
        <f t="shared" si="39"/>
        <v>99.999999999999986</v>
      </c>
      <c r="R288" s="510"/>
      <c r="S288" s="568"/>
      <c r="T288" s="568"/>
      <c r="U288" s="568"/>
      <c r="V288" s="568"/>
      <c r="W288" s="568"/>
      <c r="X288" s="568"/>
      <c r="Y288" s="568"/>
      <c r="Z288" s="568"/>
      <c r="AA288" s="568"/>
      <c r="AB288" s="568"/>
      <c r="AC288" s="568"/>
      <c r="AD288" s="568"/>
      <c r="AE288" s="568"/>
      <c r="AF288" s="568"/>
      <c r="AG288" s="568"/>
      <c r="AH288" s="568"/>
      <c r="AI288" s="568"/>
      <c r="AJ288" s="568"/>
      <c r="AK288" s="568"/>
      <c r="AL288" s="568"/>
      <c r="AM288" s="568"/>
      <c r="AN288" s="568"/>
      <c r="AO288" s="568"/>
    </row>
    <row r="289" spans="1:41" ht="15.75" customHeight="1">
      <c r="A289" s="512" t="s">
        <v>896</v>
      </c>
      <c r="B289" s="505">
        <f>('Pivot Table for Data Exchange'!$L$79)*100</f>
        <v>0</v>
      </c>
      <c r="C289" s="505">
        <f>('Pivot Table for Data Exchange'!$L$82)*100</f>
        <v>0</v>
      </c>
      <c r="D289" s="506">
        <f t="shared" si="40"/>
        <v>0</v>
      </c>
      <c r="E289" s="505">
        <f>('Pivot Table for Data Exchange'!$L$85)*100</f>
        <v>0</v>
      </c>
      <c r="F289" s="505">
        <f>('Pivot Table for Data Exchange'!$L$88)*100</f>
        <v>0</v>
      </c>
      <c r="G289" s="513">
        <f>('Pivot Table for Data Exchange'!$L$91)*100</f>
        <v>0</v>
      </c>
      <c r="H289" s="505">
        <f>('Pivot Table for Data Exchange'!$L$94)*100</f>
        <v>0</v>
      </c>
      <c r="I289" s="512"/>
      <c r="J289" s="552"/>
      <c r="K289" s="552"/>
      <c r="L289" s="552"/>
      <c r="M289" s="552"/>
      <c r="N289" s="552"/>
      <c r="O289" s="552"/>
      <c r="P289" s="552"/>
      <c r="Q289" s="510">
        <f t="shared" si="39"/>
        <v>0</v>
      </c>
      <c r="R289" s="510"/>
      <c r="S289" s="568"/>
      <c r="T289" s="573"/>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row>
    <row r="290" spans="1:41" ht="15.75" customHeight="1">
      <c r="A290" s="512" t="s">
        <v>936</v>
      </c>
      <c r="B290" s="505">
        <f>('Pivot Table for Data Exchange'!$L$115)*100</f>
        <v>71.297320176128679</v>
      </c>
      <c r="C290" s="505">
        <f>('Pivot Table for Data Exchange'!$L$118)*100</f>
        <v>3.4410241523198328</v>
      </c>
      <c r="D290" s="506">
        <f t="shared" si="40"/>
        <v>25.261655671551498</v>
      </c>
      <c r="E290" s="505">
        <f>('Pivot Table for Data Exchange'!$L$121)*100</f>
        <v>25.146423023483084</v>
      </c>
      <c r="F290" s="505">
        <f>('Pivot Table for Data Exchange'!$L$124)*100</f>
        <v>0</v>
      </c>
      <c r="G290" s="515">
        <f>('Pivot Table for Data Exchange'!$L$127)*100</f>
        <v>0.11523264806841274</v>
      </c>
      <c r="H290" s="519">
        <f>('Pivot Table for Data Exchange'!$L$130)*100</f>
        <v>0</v>
      </c>
      <c r="I290" s="512"/>
      <c r="J290" s="552"/>
      <c r="K290" s="552"/>
      <c r="L290" s="552"/>
      <c r="M290" s="552"/>
      <c r="N290" s="552"/>
      <c r="O290" s="552"/>
      <c r="P290" s="552"/>
      <c r="Q290" s="510">
        <f t="shared" si="39"/>
        <v>100</v>
      </c>
      <c r="R290" s="510"/>
      <c r="S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row>
    <row r="291" spans="1:41" ht="15.75" customHeight="1">
      <c r="A291" s="512"/>
      <c r="B291" s="505"/>
      <c r="C291" s="505"/>
      <c r="D291" s="506"/>
      <c r="E291" s="505"/>
      <c r="F291" s="505"/>
      <c r="G291" s="515"/>
      <c r="H291" s="505"/>
      <c r="I291" s="512"/>
      <c r="J291" s="552"/>
      <c r="K291" s="552"/>
      <c r="L291" s="552"/>
      <c r="M291" s="552"/>
      <c r="N291" s="552"/>
      <c r="O291" s="552"/>
      <c r="P291" s="552"/>
      <c r="Q291" s="510">
        <f t="shared" si="39"/>
        <v>0</v>
      </c>
      <c r="R291" s="510"/>
      <c r="S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row>
    <row r="292" spans="1:41" ht="15.75" customHeight="1">
      <c r="A292" s="512" t="s">
        <v>898</v>
      </c>
      <c r="B292" s="505">
        <f>('Pivot Table for Data Exchange'!$L$151)*100</f>
        <v>0</v>
      </c>
      <c r="C292" s="505">
        <f>('Pivot Table for Data Exchange'!$L$154)*100</f>
        <v>0</v>
      </c>
      <c r="D292" s="506">
        <f t="shared" ref="D292:D293" si="41">SUM(E292:G292)</f>
        <v>0</v>
      </c>
      <c r="E292" s="505">
        <f>('Pivot Table for Data Exchange'!$L$157)*100</f>
        <v>0</v>
      </c>
      <c r="F292" s="505">
        <f>('Pivot Table for Data Exchange'!$L$160)*100</f>
        <v>0</v>
      </c>
      <c r="G292" s="515">
        <f>('Pivot Table for Data Exchange'!$L$163)*100</f>
        <v>0</v>
      </c>
      <c r="H292" s="505">
        <f>('Pivot Table for Data Exchange'!$L$166)*100</f>
        <v>0</v>
      </c>
      <c r="I292" s="512"/>
      <c r="J292" s="552"/>
      <c r="K292" s="552"/>
      <c r="L292" s="552"/>
      <c r="M292" s="552"/>
      <c r="N292" s="552"/>
      <c r="O292" s="552"/>
      <c r="P292" s="552"/>
      <c r="Q292" s="510">
        <f t="shared" si="39"/>
        <v>0</v>
      </c>
      <c r="R292" s="510"/>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row>
    <row r="293" spans="1:41" ht="15.75" customHeight="1">
      <c r="A293" s="512" t="s">
        <v>899</v>
      </c>
      <c r="B293" s="505">
        <f>('Pivot Table for Data Exchange'!$L$187)*100</f>
        <v>56.834072896093566</v>
      </c>
      <c r="C293" s="505">
        <f>('Pivot Table for Data Exchange'!$L$190)*100</f>
        <v>11.535640085156592</v>
      </c>
      <c r="D293" s="506">
        <f t="shared" si="41"/>
        <v>31.630287018749843</v>
      </c>
      <c r="E293" s="505">
        <f>('Pivot Table for Data Exchange'!$L$193)*100</f>
        <v>31.630287018749843</v>
      </c>
      <c r="F293" s="519">
        <f>('Pivot Table for Data Exchange'!$L$196)*100</f>
        <v>0</v>
      </c>
      <c r="G293" s="513">
        <f>('Pivot Table for Data Exchange'!$L$199)*100</f>
        <v>0</v>
      </c>
      <c r="H293" s="505">
        <f>('Pivot Table for Data Exchange'!$L$202)*100</f>
        <v>0</v>
      </c>
      <c r="I293" s="512"/>
      <c r="J293" s="552"/>
      <c r="K293" s="552"/>
      <c r="L293" s="552"/>
      <c r="M293" s="552"/>
      <c r="N293" s="552"/>
      <c r="O293" s="552"/>
      <c r="P293" s="552"/>
      <c r="Q293" s="510">
        <f t="shared" si="39"/>
        <v>100</v>
      </c>
      <c r="R293" s="510"/>
      <c r="S293" s="568"/>
      <c r="T293" s="568"/>
      <c r="U293" s="568"/>
      <c r="V293" s="568"/>
      <c r="W293" s="568"/>
      <c r="X293" s="568"/>
      <c r="Y293" s="568"/>
      <c r="Z293" s="568"/>
      <c r="AA293" s="568"/>
      <c r="AB293" s="568"/>
      <c r="AC293" s="568"/>
      <c r="AD293" s="568"/>
      <c r="AE293" s="568"/>
      <c r="AF293" s="568"/>
      <c r="AG293" s="568"/>
      <c r="AH293" s="568"/>
      <c r="AI293" s="568"/>
      <c r="AJ293" s="568"/>
      <c r="AK293" s="568"/>
      <c r="AL293" s="568"/>
      <c r="AM293" s="568"/>
      <c r="AN293" s="568"/>
      <c r="AO293" s="568"/>
    </row>
    <row r="294" spans="1:41" ht="15.75" customHeight="1">
      <c r="A294" s="512" t="s">
        <v>900</v>
      </c>
      <c r="B294" s="505">
        <f>('Pivot Table for Data Exchange'!$L$223)*100</f>
        <v>84.42167969294799</v>
      </c>
      <c r="C294" s="505">
        <f>('Pivot Table for Data Exchange'!$L$226)*100</f>
        <v>0</v>
      </c>
      <c r="D294" s="506">
        <f>SUM(E294:G294)</f>
        <v>15.578320307052007</v>
      </c>
      <c r="E294" s="505">
        <f>('Pivot Table for Data Exchange'!$L$229)*100</f>
        <v>15.578320307052007</v>
      </c>
      <c r="F294" s="505">
        <f>('Pivot Table for Data Exchange'!$L$232)*100</f>
        <v>0</v>
      </c>
      <c r="G294" s="515">
        <f>('Pivot Table for Data Exchange'!$L$235)*100</f>
        <v>0</v>
      </c>
      <c r="H294" s="505">
        <f>('Pivot Table for Data Exchange'!$L$238)*100</f>
        <v>0</v>
      </c>
      <c r="I294" s="512"/>
      <c r="J294" s="552"/>
      <c r="K294" s="552"/>
      <c r="L294" s="552"/>
      <c r="M294" s="552"/>
      <c r="N294" s="552"/>
      <c r="O294" s="552"/>
      <c r="P294" s="552"/>
      <c r="Q294" s="510">
        <f t="shared" si="39"/>
        <v>100</v>
      </c>
      <c r="R294" s="510"/>
      <c r="S294" s="568"/>
      <c r="T294" s="573"/>
      <c r="U294" s="568"/>
      <c r="V294" s="568"/>
      <c r="W294" s="568"/>
      <c r="X294" s="568"/>
      <c r="Y294" s="568"/>
      <c r="Z294" s="568"/>
      <c r="AA294" s="568"/>
      <c r="AB294" s="568"/>
      <c r="AC294" s="568"/>
      <c r="AD294" s="568"/>
      <c r="AE294" s="568"/>
      <c r="AF294" s="568"/>
      <c r="AG294" s="568"/>
      <c r="AH294" s="568"/>
      <c r="AI294" s="568"/>
      <c r="AJ294" s="568"/>
      <c r="AK294" s="568"/>
      <c r="AL294" s="568"/>
      <c r="AM294" s="568"/>
      <c r="AN294" s="568"/>
      <c r="AO294" s="568"/>
    </row>
    <row r="295" spans="1:41" ht="15.75" customHeight="1">
      <c r="A295" s="512" t="s">
        <v>901</v>
      </c>
      <c r="B295" s="505">
        <f>('Pivot Table for Data Exchange'!$L$259)*100</f>
        <v>68.461453458639468</v>
      </c>
      <c r="C295" s="505">
        <f>('Pivot Table for Data Exchange'!$L$262)*100</f>
        <v>14.948076077989963</v>
      </c>
      <c r="D295" s="506">
        <f>SUM(E295:G295)</f>
        <v>16.590470463370572</v>
      </c>
      <c r="E295" s="505">
        <f>('Pivot Table for Data Exchange'!$L$265)*100</f>
        <v>16.56004337915385</v>
      </c>
      <c r="F295" s="519">
        <f>('Pivot Table for Data Exchange'!$L$268)*100</f>
        <v>3.042708421672102E-2</v>
      </c>
      <c r="G295" s="513">
        <f>('Pivot Table for Data Exchange'!$L$271)*100</f>
        <v>0</v>
      </c>
      <c r="H295" s="505">
        <f>('Pivot Table for Data Exchange'!$L$274)*100</f>
        <v>0</v>
      </c>
      <c r="I295" s="512"/>
      <c r="J295" s="552"/>
      <c r="K295" s="552"/>
      <c r="L295" s="552"/>
      <c r="M295" s="552"/>
      <c r="N295" s="552"/>
      <c r="O295" s="552"/>
      <c r="P295" s="552"/>
      <c r="Q295" s="510">
        <f t="shared" si="39"/>
        <v>100</v>
      </c>
      <c r="R295" s="510"/>
      <c r="S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row>
    <row r="296" spans="1:41" ht="9.75" customHeight="1">
      <c r="A296" s="512"/>
      <c r="B296" s="505"/>
      <c r="C296" s="505"/>
      <c r="D296" s="506"/>
      <c r="E296" s="505"/>
      <c r="F296" s="505"/>
      <c r="G296" s="515"/>
      <c r="H296" s="505"/>
      <c r="I296" s="512"/>
      <c r="J296" s="552"/>
      <c r="K296" s="552"/>
      <c r="L296" s="552"/>
      <c r="M296" s="552"/>
      <c r="N296" s="552"/>
      <c r="O296" s="552"/>
      <c r="P296" s="552"/>
      <c r="Q296" s="510">
        <f t="shared" si="39"/>
        <v>0</v>
      </c>
      <c r="R296" s="510"/>
      <c r="S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row>
    <row r="297" spans="1:41" ht="15.75" customHeight="1">
      <c r="A297" s="512" t="s">
        <v>951</v>
      </c>
      <c r="B297" s="505">
        <f>('Pivot Table for Data Exchange'!$L$295)*100</f>
        <v>74.678741209555994</v>
      </c>
      <c r="C297" s="505">
        <f>('Pivot Table for Data Exchange'!$L$298)*100</f>
        <v>0</v>
      </c>
      <c r="D297" s="506">
        <f>SUM(E297:G297)</f>
        <v>25.321258790444006</v>
      </c>
      <c r="E297" s="505">
        <f>('Pivot Table for Data Exchange'!$L$301)*100</f>
        <v>25.321258790444006</v>
      </c>
      <c r="F297" s="505">
        <f>('Pivot Table for Data Exchange'!$L$304)*100</f>
        <v>0</v>
      </c>
      <c r="G297" s="515">
        <f>('Pivot Table for Data Exchange'!$L$307)*100</f>
        <v>0</v>
      </c>
      <c r="H297" s="505">
        <f>('Pivot Table for Data Exchange'!$L$310)*100</f>
        <v>0</v>
      </c>
      <c r="I297" s="559"/>
      <c r="J297" s="552"/>
      <c r="K297" s="552"/>
      <c r="L297" s="552"/>
      <c r="M297" s="552"/>
      <c r="N297" s="552"/>
      <c r="O297" s="552"/>
      <c r="P297" s="552"/>
      <c r="Q297" s="510">
        <f t="shared" si="39"/>
        <v>100</v>
      </c>
      <c r="R297" s="510"/>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row>
    <row r="298" spans="1:41" ht="15.75" customHeight="1">
      <c r="A298" s="512" t="s">
        <v>903</v>
      </c>
      <c r="B298" s="505">
        <f>('Pivot Table for Data Exchange'!$L$331)*100</f>
        <v>37.846176705418166</v>
      </c>
      <c r="C298" s="505">
        <f>('Pivot Table for Data Exchange'!$L$334)*100</f>
        <v>20.825083571726083</v>
      </c>
      <c r="D298" s="506">
        <f>SUM(E298:G298)</f>
        <v>41.328739722855751</v>
      </c>
      <c r="E298" s="505">
        <f>('Pivot Table for Data Exchange'!$L$337)*100</f>
        <v>41.21106500394437</v>
      </c>
      <c r="F298" s="519">
        <f>('Pivot Table for Data Exchange'!$L$340)*100</f>
        <v>8.5988473606133403E-2</v>
      </c>
      <c r="G298" s="515">
        <f>('Pivot Table for Data Exchange'!$L$343)*100</f>
        <v>3.1686245305244165E-2</v>
      </c>
      <c r="H298" s="505">
        <f>('Pivot Table for Data Exchange'!$L$346)*100</f>
        <v>0</v>
      </c>
      <c r="I298" s="512"/>
      <c r="J298" s="552"/>
      <c r="K298" s="552"/>
      <c r="L298" s="552"/>
      <c r="M298" s="552"/>
      <c r="N298" s="552"/>
      <c r="O298" s="552"/>
      <c r="P298" s="552"/>
      <c r="Q298" s="510">
        <f t="shared" si="39"/>
        <v>100</v>
      </c>
      <c r="R298" s="510"/>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row>
    <row r="299" spans="1:41" ht="15.75" customHeight="1">
      <c r="A299" s="512" t="s">
        <v>904</v>
      </c>
      <c r="B299" s="505">
        <f>('Pivot Table for Data Exchange'!$L$367)*100</f>
        <v>65.693007215073777</v>
      </c>
      <c r="C299" s="505">
        <f>('Pivot Table for Data Exchange'!$L$370)*100</f>
        <v>4.1252055683977291</v>
      </c>
      <c r="D299" s="506">
        <f>SUM(E299:G299)</f>
        <v>30.181787216528495</v>
      </c>
      <c r="E299" s="505">
        <f>('Pivot Table for Data Exchange'!$L$373)*100</f>
        <v>30.073924790794791</v>
      </c>
      <c r="F299" s="505">
        <f>('Pivot Table for Data Exchange'!$L$376)*100</f>
        <v>0</v>
      </c>
      <c r="G299" s="515">
        <f>('Pivot Table for Data Exchange'!$L$379)*100</f>
        <v>0.107862425733704</v>
      </c>
      <c r="H299" s="519">
        <f>('Pivot Table for Data Exchange'!$L$382)*100</f>
        <v>0</v>
      </c>
      <c r="I299" s="512"/>
      <c r="J299" s="552"/>
      <c r="K299" s="552"/>
      <c r="L299" s="552"/>
      <c r="M299" s="552"/>
      <c r="N299" s="552"/>
      <c r="O299" s="552"/>
      <c r="P299" s="552"/>
      <c r="Q299" s="510">
        <f t="shared" si="39"/>
        <v>100</v>
      </c>
      <c r="R299" s="510"/>
      <c r="S299" s="568"/>
      <c r="T299" s="573"/>
      <c r="U299" s="568"/>
      <c r="V299" s="568"/>
      <c r="W299" s="568"/>
      <c r="X299" s="568"/>
      <c r="Y299" s="568"/>
      <c r="Z299" s="568"/>
      <c r="AA299" s="568"/>
      <c r="AB299" s="568"/>
      <c r="AC299" s="568"/>
      <c r="AD299" s="568"/>
      <c r="AE299" s="568"/>
      <c r="AF299" s="568"/>
      <c r="AG299" s="568"/>
      <c r="AH299" s="568"/>
      <c r="AI299" s="568"/>
      <c r="AJ299" s="568"/>
      <c r="AK299" s="568"/>
      <c r="AL299" s="568"/>
      <c r="AM299" s="568"/>
      <c r="AN299" s="568"/>
      <c r="AO299" s="568"/>
    </row>
    <row r="300" spans="1:41" ht="15.75" customHeight="1">
      <c r="A300" s="512" t="s">
        <v>905</v>
      </c>
      <c r="B300" s="505">
        <f>('Pivot Table for Data Exchange'!$L$403)*100</f>
        <v>61.918475028189512</v>
      </c>
      <c r="C300" s="505">
        <f>('Pivot Table for Data Exchange'!$L$406)*100</f>
        <v>6.3434048956677911</v>
      </c>
      <c r="D300" s="506">
        <f>SUM(E300:G300)</f>
        <v>31.7381200761427</v>
      </c>
      <c r="E300" s="505">
        <f>('Pivot Table for Data Exchange'!$L$409)*100</f>
        <v>31.308431703622571</v>
      </c>
      <c r="F300" s="505">
        <f>('Pivot Table for Data Exchange'!$L$412)*100</f>
        <v>0.42968837252012981</v>
      </c>
      <c r="G300" s="515">
        <f>('Pivot Table for Data Exchange'!$L$415)*100</f>
        <v>0</v>
      </c>
      <c r="H300" s="505">
        <f>('Pivot Table for Data Exchange'!$L$418)*100</f>
        <v>0</v>
      </c>
      <c r="I300" s="512"/>
      <c r="J300" s="552"/>
      <c r="K300" s="552"/>
      <c r="L300" s="552"/>
      <c r="M300" s="552"/>
      <c r="N300" s="552"/>
      <c r="O300" s="552"/>
      <c r="P300" s="552"/>
      <c r="Q300" s="510">
        <f t="shared" si="39"/>
        <v>100</v>
      </c>
      <c r="R300" s="510"/>
      <c r="S300" s="568"/>
      <c r="T300" s="568"/>
      <c r="U300" s="568"/>
      <c r="V300" s="568"/>
      <c r="W300" s="568"/>
      <c r="X300" s="568"/>
      <c r="Y300" s="568"/>
      <c r="Z300" s="568"/>
      <c r="AA300" s="568"/>
      <c r="AB300" s="568"/>
      <c r="AC300" s="568"/>
      <c r="AD300" s="568"/>
      <c r="AE300" s="568"/>
      <c r="AF300" s="568"/>
      <c r="AG300" s="568"/>
      <c r="AH300" s="568"/>
      <c r="AI300" s="568"/>
      <c r="AJ300" s="568"/>
      <c r="AK300" s="568"/>
      <c r="AL300" s="568"/>
      <c r="AM300" s="568"/>
      <c r="AN300" s="568"/>
      <c r="AO300" s="568"/>
    </row>
    <row r="301" spans="1:41" ht="11.25" customHeight="1">
      <c r="A301" s="512"/>
      <c r="B301" s="505"/>
      <c r="C301" s="505"/>
      <c r="D301" s="506"/>
      <c r="E301" s="505"/>
      <c r="F301" s="505"/>
      <c r="G301" s="515"/>
      <c r="H301" s="505"/>
      <c r="I301" s="512"/>
      <c r="J301" s="552"/>
      <c r="K301" s="552"/>
      <c r="L301" s="552"/>
      <c r="M301" s="552"/>
      <c r="N301" s="552"/>
      <c r="O301" s="552"/>
      <c r="P301" s="552"/>
      <c r="Q301" s="510">
        <f t="shared" si="39"/>
        <v>0</v>
      </c>
      <c r="R301" s="510"/>
      <c r="S301" s="568"/>
      <c r="T301" s="568"/>
      <c r="U301" s="568"/>
      <c r="V301" s="568"/>
      <c r="W301" s="568"/>
      <c r="X301" s="568"/>
      <c r="Y301" s="568"/>
      <c r="Z301" s="568"/>
      <c r="AA301" s="568"/>
      <c r="AB301" s="568"/>
      <c r="AC301" s="568"/>
      <c r="AD301" s="568"/>
      <c r="AE301" s="568"/>
      <c r="AF301" s="568"/>
      <c r="AG301" s="568"/>
      <c r="AH301" s="568"/>
      <c r="AI301" s="568"/>
      <c r="AJ301" s="568"/>
      <c r="AK301" s="568"/>
      <c r="AL301" s="568"/>
      <c r="AM301" s="568"/>
      <c r="AN301" s="568"/>
      <c r="AO301" s="568"/>
    </row>
    <row r="302" spans="1:41" ht="15.75" customHeight="1">
      <c r="A302" s="512" t="s">
        <v>906</v>
      </c>
      <c r="B302" s="505">
        <f>('Pivot Table for Data Exchange'!$L$439)*100</f>
        <v>52.919939950577486</v>
      </c>
      <c r="C302" s="505">
        <f>('Pivot Table for Data Exchange'!$L$442)*100</f>
        <v>22.224623997926678</v>
      </c>
      <c r="D302" s="506">
        <f>SUM(E302:G302)</f>
        <v>24.767953572040916</v>
      </c>
      <c r="E302" s="505">
        <f>('Pivot Table for Data Exchange'!$L$445)*100</f>
        <v>20.158996294160687</v>
      </c>
      <c r="F302" s="505">
        <f>('Pivot Table for Data Exchange'!$L$448)*100</f>
        <v>0.11781275693734364</v>
      </c>
      <c r="G302" s="515">
        <f>('Pivot Table for Data Exchange'!$L$451)*100</f>
        <v>4.4911445209428873</v>
      </c>
      <c r="H302" s="505">
        <f>('Pivot Table for Data Exchange'!$L$454)*100</f>
        <v>8.7482479454915121E-2</v>
      </c>
      <c r="I302" s="512"/>
      <c r="J302" s="552"/>
      <c r="K302" s="552"/>
      <c r="L302" s="552"/>
      <c r="M302" s="552"/>
      <c r="N302" s="552"/>
      <c r="O302" s="552"/>
      <c r="P302" s="552"/>
      <c r="Q302" s="510">
        <f t="shared" si="39"/>
        <v>99.999999999999986</v>
      </c>
      <c r="R302" s="510"/>
      <c r="S302" s="568"/>
      <c r="T302" s="568"/>
      <c r="U302" s="568"/>
      <c r="V302" s="568"/>
      <c r="W302" s="568"/>
      <c r="X302" s="568"/>
      <c r="Y302" s="568"/>
      <c r="Z302" s="568"/>
      <c r="AA302" s="568"/>
      <c r="AB302" s="568"/>
      <c r="AC302" s="568"/>
      <c r="AD302" s="568"/>
      <c r="AE302" s="568"/>
      <c r="AF302" s="568"/>
      <c r="AG302" s="568"/>
      <c r="AH302" s="568"/>
      <c r="AI302" s="568"/>
      <c r="AJ302" s="568"/>
      <c r="AK302" s="568"/>
      <c r="AL302" s="568"/>
      <c r="AM302" s="568"/>
      <c r="AN302" s="568"/>
      <c r="AO302" s="568"/>
    </row>
    <row r="303" spans="1:41" ht="15.75" customHeight="1">
      <c r="A303" s="512" t="s">
        <v>907</v>
      </c>
      <c r="B303" s="505">
        <f>('Pivot Table for Data Exchange'!$L$475)*100</f>
        <v>62.720089108186514</v>
      </c>
      <c r="C303" s="505">
        <f>('Pivot Table for Data Exchange'!$L$478)*100</f>
        <v>11.663576779911638</v>
      </c>
      <c r="D303" s="506">
        <f>SUM(E303:G303)</f>
        <v>25.616334111901843</v>
      </c>
      <c r="E303" s="505">
        <f>('Pivot Table for Data Exchange'!$L$481)*100</f>
        <v>25.449435434141115</v>
      </c>
      <c r="F303" s="505">
        <f>('Pivot Table for Data Exchange'!$L$484)*100</f>
        <v>4.1866513905983498E-2</v>
      </c>
      <c r="G303" s="515">
        <f>('Pivot Table for Data Exchange'!$L$487)*100</f>
        <v>0.1250321638547453</v>
      </c>
      <c r="H303" s="505">
        <f>('Pivot Table for Data Exchange'!$L$490)*100</f>
        <v>0</v>
      </c>
      <c r="I303" s="512"/>
      <c r="J303" s="552"/>
      <c r="K303" s="552"/>
      <c r="L303" s="552"/>
      <c r="M303" s="552"/>
      <c r="N303" s="552"/>
      <c r="O303" s="552"/>
      <c r="P303" s="552"/>
      <c r="Q303" s="510">
        <f t="shared" si="39"/>
        <v>100</v>
      </c>
      <c r="R303" s="510"/>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row>
    <row r="304" spans="1:41" ht="15.75" customHeight="1">
      <c r="A304" s="512" t="s">
        <v>908</v>
      </c>
      <c r="B304" s="505">
        <f>('Pivot Table for Data Exchange'!$L$511)*100</f>
        <v>65.565847952185294</v>
      </c>
      <c r="C304" s="505">
        <f>('Pivot Table for Data Exchange'!$L$514)*100</f>
        <v>6.7731952981648291</v>
      </c>
      <c r="D304" s="506">
        <f>SUM(E304:G304)</f>
        <v>27.66095674964988</v>
      </c>
      <c r="E304" s="505">
        <f>('Pivot Table for Data Exchange'!$L$517)*100</f>
        <v>27.546890645673411</v>
      </c>
      <c r="F304" s="505">
        <f>('Pivot Table for Data Exchange'!$L$520)*100</f>
        <v>0.11406610397646977</v>
      </c>
      <c r="G304" s="515">
        <f>('Pivot Table for Data Exchange'!$L$523)*100</f>
        <v>0</v>
      </c>
      <c r="H304" s="505">
        <f>('Pivot Table for Data Exchange'!$L$526)*100</f>
        <v>0</v>
      </c>
      <c r="I304" s="512"/>
      <c r="J304" s="552"/>
      <c r="K304" s="552"/>
      <c r="L304" s="552"/>
      <c r="M304" s="552"/>
      <c r="N304" s="552"/>
      <c r="O304" s="552"/>
      <c r="P304" s="552"/>
      <c r="Q304" s="510">
        <f t="shared" si="39"/>
        <v>100.00000000000001</v>
      </c>
      <c r="R304" s="510"/>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row>
    <row r="305" spans="1:41" ht="15.75" customHeight="1">
      <c r="A305" s="484" t="s">
        <v>909</v>
      </c>
      <c r="B305" s="520">
        <f>('Pivot Table for Data Exchange'!$L$547)*100</f>
        <v>0</v>
      </c>
      <c r="C305" s="520">
        <f>('Pivot Table for Data Exchange'!$L$550)*100</f>
        <v>0</v>
      </c>
      <c r="D305" s="521">
        <f>SUM(E305:G305)</f>
        <v>0</v>
      </c>
      <c r="E305" s="520">
        <f>('Pivot Table for Data Exchange'!$L$553)*100</f>
        <v>0</v>
      </c>
      <c r="F305" s="520">
        <f>('Pivot Table for Data Exchange'!$L$556)*100</f>
        <v>0</v>
      </c>
      <c r="G305" s="522">
        <f>('Pivot Table for Data Exchange'!$L$559)*100</f>
        <v>0</v>
      </c>
      <c r="H305" s="520">
        <f>('Pivot Table for Data Exchange'!$L$562)*100</f>
        <v>0</v>
      </c>
      <c r="I305" s="512"/>
      <c r="J305" s="552"/>
      <c r="K305" s="552"/>
      <c r="L305" s="552"/>
      <c r="M305" s="552"/>
      <c r="N305" s="552"/>
      <c r="O305" s="552"/>
      <c r="P305" s="552"/>
      <c r="Q305" s="510">
        <f t="shared" si="39"/>
        <v>0</v>
      </c>
      <c r="R305" s="510"/>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row>
    <row r="306" spans="1:41" s="571" customFormat="1" ht="13.5" customHeight="1">
      <c r="A306" s="525" t="s">
        <v>937</v>
      </c>
      <c r="B306" s="526"/>
      <c r="C306" s="526"/>
      <c r="D306" s="527"/>
      <c r="E306" s="526"/>
      <c r="F306" s="527"/>
      <c r="G306" s="527"/>
      <c r="H306" s="526"/>
      <c r="I306" s="546"/>
      <c r="J306" s="526"/>
      <c r="K306" s="526"/>
      <c r="L306" s="527"/>
      <c r="M306" s="526"/>
      <c r="N306" s="527"/>
      <c r="O306" s="527"/>
      <c r="P306" s="526"/>
      <c r="Q306" s="510">
        <f t="shared" si="39"/>
        <v>0</v>
      </c>
      <c r="R306" s="553"/>
      <c r="S306" s="572"/>
      <c r="T306" s="572"/>
      <c r="U306" s="572"/>
      <c r="V306" s="572"/>
      <c r="W306" s="572"/>
      <c r="X306" s="572"/>
      <c r="Y306" s="572"/>
      <c r="Z306" s="572"/>
      <c r="AA306" s="572"/>
      <c r="AB306" s="572"/>
      <c r="AC306" s="572"/>
      <c r="AD306" s="572"/>
      <c r="AE306" s="572"/>
      <c r="AF306" s="572"/>
      <c r="AG306" s="572"/>
      <c r="AH306" s="572"/>
      <c r="AI306" s="572"/>
      <c r="AJ306" s="572"/>
      <c r="AK306" s="572"/>
      <c r="AL306" s="572"/>
      <c r="AM306" s="572"/>
      <c r="AN306" s="572"/>
      <c r="AO306" s="572"/>
    </row>
    <row r="307" spans="1:41" s="571" customFormat="1" ht="24" customHeight="1">
      <c r="A307" s="655" t="s">
        <v>952</v>
      </c>
      <c r="B307" s="667"/>
      <c r="C307" s="667"/>
      <c r="D307" s="667"/>
      <c r="E307" s="667"/>
      <c r="F307" s="667"/>
      <c r="G307" s="667"/>
      <c r="H307" s="667"/>
      <c r="I307" s="546"/>
      <c r="J307" s="524"/>
      <c r="K307" s="524"/>
      <c r="L307" s="524"/>
      <c r="M307" s="524"/>
      <c r="N307" s="524"/>
      <c r="O307" s="524"/>
      <c r="P307" s="541"/>
      <c r="Q307" s="510">
        <f t="shared" si="39"/>
        <v>0</v>
      </c>
      <c r="R307" s="554"/>
    </row>
    <row r="308" spans="1:41" s="571" customFormat="1" ht="13.5" customHeight="1">
      <c r="A308" s="538"/>
      <c r="B308" s="524"/>
      <c r="C308" s="524"/>
      <c r="D308" s="524"/>
      <c r="E308" s="524"/>
      <c r="F308" s="524"/>
      <c r="G308" s="524"/>
      <c r="H308" s="540"/>
      <c r="I308" s="538"/>
      <c r="J308" s="524"/>
      <c r="K308" s="524"/>
      <c r="L308" s="524"/>
      <c r="M308" s="524"/>
      <c r="N308" s="524"/>
      <c r="O308" s="524"/>
      <c r="P308" s="524"/>
      <c r="Q308" s="510">
        <f t="shared" si="39"/>
        <v>0</v>
      </c>
      <c r="R308" s="554"/>
    </row>
    <row r="309" spans="1:41" s="571" customFormat="1">
      <c r="A309" s="540"/>
      <c r="B309" s="524"/>
      <c r="C309" s="524"/>
      <c r="D309" s="524"/>
      <c r="E309" s="524"/>
      <c r="F309" s="524"/>
      <c r="G309" s="524"/>
      <c r="H309" s="532" t="s">
        <v>1015</v>
      </c>
      <c r="I309" s="558"/>
      <c r="J309" s="540"/>
      <c r="K309" s="540"/>
      <c r="L309" s="540"/>
      <c r="M309" s="540"/>
      <c r="N309" s="540"/>
      <c r="O309" s="540"/>
      <c r="P309" s="540"/>
      <c r="Q309" s="510">
        <f t="shared" si="39"/>
        <v>0</v>
      </c>
      <c r="R309" s="554"/>
    </row>
    <row r="310" spans="1:41" ht="18">
      <c r="A310" s="472" t="s">
        <v>956</v>
      </c>
      <c r="B310" s="473"/>
      <c r="C310" s="473"/>
      <c r="D310" s="473"/>
      <c r="E310" s="473"/>
      <c r="F310" s="473"/>
      <c r="G310" s="473"/>
      <c r="H310" s="474"/>
      <c r="I310" s="550"/>
      <c r="J310" s="512"/>
      <c r="K310" s="512"/>
      <c r="L310" s="512"/>
      <c r="M310" s="512"/>
      <c r="N310" s="512"/>
      <c r="O310" s="512"/>
      <c r="P310" s="512"/>
      <c r="Q310" s="510">
        <f t="shared" si="39"/>
        <v>0</v>
      </c>
    </row>
    <row r="311" spans="1:41">
      <c r="A311" s="479"/>
      <c r="B311" s="475"/>
      <c r="C311" s="475"/>
      <c r="D311" s="475"/>
      <c r="E311" s="475"/>
      <c r="F311" s="475"/>
      <c r="G311" s="475"/>
      <c r="H311" s="480"/>
      <c r="I311" s="550"/>
      <c r="J311" s="512"/>
      <c r="K311" s="512"/>
      <c r="L311" s="512"/>
      <c r="M311" s="512"/>
      <c r="N311" s="512"/>
      <c r="O311" s="512"/>
      <c r="P311" s="512"/>
      <c r="Q311" s="510">
        <f t="shared" si="39"/>
        <v>0</v>
      </c>
    </row>
    <row r="312" spans="1:41" ht="15.75">
      <c r="A312" s="481" t="s">
        <v>917</v>
      </c>
      <c r="B312" s="475"/>
      <c r="C312" s="475"/>
      <c r="D312" s="475"/>
      <c r="E312" s="475"/>
      <c r="F312" s="475"/>
      <c r="G312" s="475"/>
      <c r="H312" s="480"/>
      <c r="I312" s="550"/>
      <c r="J312" s="512"/>
      <c r="K312" s="512"/>
      <c r="L312" s="512"/>
      <c r="M312" s="512"/>
      <c r="N312" s="512"/>
      <c r="O312" s="512"/>
      <c r="P312" s="512"/>
      <c r="Q312" s="510">
        <f t="shared" si="39"/>
        <v>0</v>
      </c>
    </row>
    <row r="313" spans="1:41" ht="15.75">
      <c r="A313" s="481" t="s">
        <v>1010</v>
      </c>
      <c r="B313" s="475"/>
      <c r="C313" s="475"/>
      <c r="D313" s="475"/>
      <c r="E313" s="475"/>
      <c r="F313" s="475"/>
      <c r="G313" s="475"/>
      <c r="H313" s="480"/>
      <c r="I313" s="550"/>
      <c r="J313" s="512"/>
      <c r="K313" s="512"/>
      <c r="L313" s="512"/>
      <c r="M313" s="512"/>
      <c r="N313" s="512"/>
      <c r="O313" s="512"/>
      <c r="P313" s="512"/>
      <c r="Q313" s="510">
        <f t="shared" si="39"/>
        <v>0</v>
      </c>
    </row>
    <row r="314" spans="1:41">
      <c r="A314" s="484"/>
      <c r="B314" s="485"/>
      <c r="C314" s="485"/>
      <c r="D314" s="485"/>
      <c r="E314" s="485"/>
      <c r="F314" s="485"/>
      <c r="G314" s="485"/>
      <c r="H314" s="485"/>
      <c r="I314" s="550"/>
      <c r="J314" s="512"/>
      <c r="K314" s="512"/>
      <c r="L314" s="512"/>
      <c r="M314" s="512"/>
      <c r="N314" s="512"/>
      <c r="O314" s="512"/>
      <c r="P314" s="512"/>
      <c r="Q314" s="510">
        <f t="shared" si="39"/>
        <v>0</v>
      </c>
    </row>
    <row r="315" spans="1:41">
      <c r="A315" s="489"/>
      <c r="B315" s="490" t="s">
        <v>919</v>
      </c>
      <c r="C315" s="490"/>
      <c r="D315" s="490"/>
      <c r="E315" s="490"/>
      <c r="F315" s="490"/>
      <c r="G315" s="490"/>
      <c r="H315" s="491"/>
      <c r="I315" s="550"/>
      <c r="J315" s="512"/>
      <c r="K315" s="512"/>
      <c r="L315" s="512"/>
      <c r="M315" s="512"/>
      <c r="N315" s="512"/>
      <c r="O315" s="512"/>
      <c r="P315" s="512"/>
      <c r="Q315" s="510">
        <f t="shared" si="39"/>
        <v>0</v>
      </c>
    </row>
    <row r="316" spans="1:41">
      <c r="A316" s="489"/>
      <c r="B316" s="490" t="s">
        <v>920</v>
      </c>
      <c r="C316" s="490"/>
      <c r="D316" s="659" t="s">
        <v>921</v>
      </c>
      <c r="E316" s="657"/>
      <c r="F316" s="657"/>
      <c r="G316" s="657"/>
      <c r="H316" s="495" t="s">
        <v>320</v>
      </c>
      <c r="I316" s="550"/>
      <c r="J316" s="512"/>
      <c r="K316" s="512"/>
      <c r="L316" s="512"/>
      <c r="M316" s="512"/>
      <c r="N316" s="512"/>
      <c r="O316" s="512"/>
      <c r="P316" s="512"/>
      <c r="Q316" s="510">
        <f t="shared" si="39"/>
        <v>0</v>
      </c>
    </row>
    <row r="317" spans="1:41" ht="36">
      <c r="A317" s="489"/>
      <c r="B317" s="496" t="s">
        <v>922</v>
      </c>
      <c r="C317" s="497" t="s">
        <v>923</v>
      </c>
      <c r="D317" s="498" t="s">
        <v>924</v>
      </c>
      <c r="E317" s="499" t="s">
        <v>10</v>
      </c>
      <c r="F317" s="496" t="s">
        <v>925</v>
      </c>
      <c r="G317" s="500" t="s">
        <v>935</v>
      </c>
      <c r="H317" s="501" t="s">
        <v>927</v>
      </c>
      <c r="I317" s="550"/>
      <c r="J317" s="512"/>
      <c r="K317" s="512"/>
      <c r="L317" s="512"/>
      <c r="M317" s="512"/>
      <c r="N317" s="512"/>
      <c r="O317" s="512"/>
      <c r="P317" s="512"/>
      <c r="Q317" s="510">
        <f t="shared" si="39"/>
        <v>0</v>
      </c>
    </row>
    <row r="318" spans="1:41" ht="15.75" customHeight="1">
      <c r="A318" s="534" t="s">
        <v>894</v>
      </c>
      <c r="B318" s="567">
        <f>('Pivot Table for Data Exchange'!$M$7)*100</f>
        <v>74.088981473172083</v>
      </c>
      <c r="C318" s="505">
        <f>('Pivot Table for Data Exchange'!$M$10)*100</f>
        <v>7.1957336551294855</v>
      </c>
      <c r="D318" s="506">
        <f>SUM(E318:G318)</f>
        <v>18.489594769794184</v>
      </c>
      <c r="E318" s="505">
        <f>('Pivot Table for Data Exchange'!$M$13)*100</f>
        <v>17.777296186753784</v>
      </c>
      <c r="F318" s="505">
        <f>('Pivot Table for Data Exchange'!$M$16)*100</f>
        <v>0.49930593610793411</v>
      </c>
      <c r="G318" s="509">
        <f>('Pivot Table for Data Exchange'!$M$19)*100</f>
        <v>0.21299264693246672</v>
      </c>
      <c r="H318" s="505">
        <f>('Pivot Table for Data Exchange'!$M$22)*100</f>
        <v>0.22569010190423636</v>
      </c>
      <c r="I318" s="512"/>
      <c r="J318" s="552"/>
      <c r="K318" s="552"/>
      <c r="L318" s="552"/>
      <c r="M318" s="552"/>
      <c r="N318" s="552"/>
      <c r="O318" s="552"/>
      <c r="P318" s="552"/>
      <c r="Q318" s="510">
        <f t="shared" si="39"/>
        <v>99.999999999999986</v>
      </c>
      <c r="R318" s="510"/>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row>
    <row r="319" spans="1:41" ht="15.75" customHeight="1">
      <c r="A319" s="512" t="s">
        <v>895</v>
      </c>
      <c r="B319" s="505">
        <f>('Pivot Table for Data Exchange'!$M$43)*100</f>
        <v>66.509463799998585</v>
      </c>
      <c r="C319" s="505">
        <f>('Pivot Table for Data Exchange'!$M$46)*100</f>
        <v>11.43738710561643</v>
      </c>
      <c r="D319" s="506">
        <f t="shared" ref="D319:D321" si="42">SUM(E319:G319)</f>
        <v>22.053149094384978</v>
      </c>
      <c r="E319" s="505">
        <f>('Pivot Table for Data Exchange'!$M$49)*100</f>
        <v>22.053149094384978</v>
      </c>
      <c r="F319" s="505">
        <f>('Pivot Table for Data Exchange'!$M$52)*100</f>
        <v>0</v>
      </c>
      <c r="G319" s="515">
        <f>('Pivot Table for Data Exchange'!$M$55)*100</f>
        <v>0</v>
      </c>
      <c r="H319" s="505">
        <f>('Pivot Table for Data Exchange'!$M$58)*100</f>
        <v>0</v>
      </c>
      <c r="I319" s="512"/>
      <c r="J319" s="552"/>
      <c r="K319" s="552"/>
      <c r="L319" s="552"/>
      <c r="M319" s="552"/>
      <c r="N319" s="552"/>
      <c r="O319" s="552"/>
      <c r="P319" s="552"/>
      <c r="Q319" s="510">
        <f t="shared" si="39"/>
        <v>99.999999999999986</v>
      </c>
      <c r="R319" s="510"/>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row>
    <row r="320" spans="1:41" ht="15.75" customHeight="1">
      <c r="A320" s="512" t="s">
        <v>896</v>
      </c>
      <c r="B320" s="505">
        <f>('Pivot Table for Data Exchange'!$M$79)*100</f>
        <v>86.055778335633576</v>
      </c>
      <c r="C320" s="505">
        <f>('Pivot Table for Data Exchange'!$M$82)*100</f>
        <v>0</v>
      </c>
      <c r="D320" s="506">
        <f t="shared" si="42"/>
        <v>13.944221664366417</v>
      </c>
      <c r="E320" s="505">
        <f>('Pivot Table for Data Exchange'!$M$85)*100</f>
        <v>13.51061556127901</v>
      </c>
      <c r="F320" s="505">
        <f>('Pivot Table for Data Exchange'!$M$88)*100</f>
        <v>0.35101446440409045</v>
      </c>
      <c r="G320" s="515">
        <f>('Pivot Table for Data Exchange'!$M$91)*100</f>
        <v>8.2591638683315399E-2</v>
      </c>
      <c r="H320" s="505">
        <f>('Pivot Table for Data Exchange'!$M$94)*100</f>
        <v>0</v>
      </c>
      <c r="I320" s="512"/>
      <c r="J320" s="552"/>
      <c r="K320" s="552"/>
      <c r="L320" s="552"/>
      <c r="M320" s="552"/>
      <c r="N320" s="552"/>
      <c r="O320" s="552"/>
      <c r="P320" s="552"/>
      <c r="Q320" s="510">
        <f t="shared" si="39"/>
        <v>100</v>
      </c>
      <c r="R320" s="510"/>
      <c r="S320" s="568"/>
      <c r="T320" s="573"/>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row>
    <row r="321" spans="1:41" ht="15.75" customHeight="1">
      <c r="A321" s="512" t="s">
        <v>936</v>
      </c>
      <c r="B321" s="505">
        <f>('Pivot Table for Data Exchange'!$M$115)*100</f>
        <v>67.173844843813029</v>
      </c>
      <c r="C321" s="505">
        <f>('Pivot Table for Data Exchange'!$M$118)*100</f>
        <v>7.232704402515723</v>
      </c>
      <c r="D321" s="506">
        <f t="shared" si="42"/>
        <v>25.593450753671252</v>
      </c>
      <c r="E321" s="505">
        <f>('Pivot Table for Data Exchange'!$M$121)*100</f>
        <v>25.287201780725738</v>
      </c>
      <c r="F321" s="505">
        <f>('Pivot Table for Data Exchange'!$M$124)*100</f>
        <v>0.26740763979145193</v>
      </c>
      <c r="G321" s="513">
        <f>('Pivot Table for Data Exchange'!$M$127)*100</f>
        <v>3.8841333154065641E-2</v>
      </c>
      <c r="H321" s="505">
        <f>('Pivot Table for Data Exchange'!$M$130)*100</f>
        <v>0</v>
      </c>
      <c r="I321" s="512"/>
      <c r="J321" s="552"/>
      <c r="K321" s="552"/>
      <c r="L321" s="552"/>
      <c r="M321" s="552"/>
      <c r="N321" s="552"/>
      <c r="O321" s="552"/>
      <c r="P321" s="552"/>
      <c r="Q321" s="510">
        <f t="shared" si="39"/>
        <v>100</v>
      </c>
      <c r="R321" s="510"/>
      <c r="S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row>
    <row r="322" spans="1:41" ht="15.75" customHeight="1">
      <c r="A322" s="512"/>
      <c r="B322" s="505"/>
      <c r="C322" s="505"/>
      <c r="D322" s="506"/>
      <c r="E322" s="505"/>
      <c r="F322" s="505"/>
      <c r="G322" s="515"/>
      <c r="H322" s="505"/>
      <c r="I322" s="512"/>
      <c r="J322" s="552"/>
      <c r="K322" s="552"/>
      <c r="L322" s="552"/>
      <c r="M322" s="552"/>
      <c r="N322" s="552"/>
      <c r="O322" s="552"/>
      <c r="P322" s="552"/>
      <c r="Q322" s="510">
        <f t="shared" si="39"/>
        <v>0</v>
      </c>
      <c r="R322" s="510"/>
      <c r="S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row>
    <row r="323" spans="1:41" ht="15.75" customHeight="1">
      <c r="A323" s="512" t="s">
        <v>898</v>
      </c>
      <c r="B323" s="505">
        <f>('Pivot Table for Data Exchange'!$M$151)*100</f>
        <v>59.650420429772652</v>
      </c>
      <c r="C323" s="505">
        <f>('Pivot Table for Data Exchange'!$M$154)*100</f>
        <v>18.569760199314857</v>
      </c>
      <c r="D323" s="506">
        <f t="shared" ref="D323:D324" si="43">SUM(E323:G323)</f>
        <v>21.779819370912488</v>
      </c>
      <c r="E323" s="505">
        <f>('Pivot Table for Data Exchange'!$M$157)*100</f>
        <v>21.754126440361258</v>
      </c>
      <c r="F323" s="505">
        <f>('Pivot Table for Data Exchange'!$M$160)*100</f>
        <v>2.5692930551230148E-2</v>
      </c>
      <c r="G323" s="515">
        <f>('Pivot Table for Data Exchange'!$M$163)*100</f>
        <v>0</v>
      </c>
      <c r="H323" s="505">
        <f>('Pivot Table for Data Exchange'!$M$166)*100</f>
        <v>0</v>
      </c>
      <c r="I323" s="512"/>
      <c r="J323" s="552"/>
      <c r="K323" s="552"/>
      <c r="L323" s="552"/>
      <c r="M323" s="552"/>
      <c r="N323" s="552"/>
      <c r="O323" s="552"/>
      <c r="P323" s="552"/>
      <c r="Q323" s="510">
        <f t="shared" si="39"/>
        <v>100</v>
      </c>
      <c r="R323" s="510"/>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row>
    <row r="324" spans="1:41" ht="15.75" customHeight="1">
      <c r="A324" s="512" t="s">
        <v>899</v>
      </c>
      <c r="B324" s="505">
        <f>('Pivot Table for Data Exchange'!$M$187)*100</f>
        <v>50.933198599542507</v>
      </c>
      <c r="C324" s="505">
        <f>('Pivot Table for Data Exchange'!$M$190)*100</f>
        <v>5.9301776428094639</v>
      </c>
      <c r="D324" s="506">
        <f t="shared" si="43"/>
        <v>43.136623757648032</v>
      </c>
      <c r="E324" s="505">
        <f>('Pivot Table for Data Exchange'!$M$193)*100</f>
        <v>43.136623757648032</v>
      </c>
      <c r="F324" s="505">
        <f>('Pivot Table for Data Exchange'!$M$196)*100</f>
        <v>0</v>
      </c>
      <c r="G324" s="515">
        <f>('Pivot Table for Data Exchange'!$M$199)*100</f>
        <v>0</v>
      </c>
      <c r="H324" s="505">
        <f>('Pivot Table for Data Exchange'!$M$202)*100</f>
        <v>0</v>
      </c>
      <c r="I324" s="512"/>
      <c r="J324" s="552"/>
      <c r="K324" s="552"/>
      <c r="L324" s="552"/>
      <c r="M324" s="552"/>
      <c r="N324" s="552"/>
      <c r="O324" s="552"/>
      <c r="P324" s="552"/>
      <c r="Q324" s="510">
        <f t="shared" si="39"/>
        <v>100</v>
      </c>
      <c r="R324" s="510"/>
      <c r="S324" s="568"/>
      <c r="T324" s="568"/>
      <c r="U324" s="568"/>
      <c r="V324" s="568"/>
      <c r="W324" s="568"/>
      <c r="X324" s="568"/>
      <c r="Y324" s="568"/>
      <c r="Z324" s="568"/>
      <c r="AA324" s="568"/>
      <c r="AB324" s="568"/>
      <c r="AC324" s="568"/>
      <c r="AD324" s="568"/>
      <c r="AE324" s="568"/>
      <c r="AF324" s="568"/>
      <c r="AG324" s="568"/>
      <c r="AH324" s="568"/>
      <c r="AI324" s="568"/>
      <c r="AJ324" s="568"/>
      <c r="AK324" s="568"/>
      <c r="AL324" s="568"/>
      <c r="AM324" s="568"/>
      <c r="AN324" s="568"/>
      <c r="AO324" s="568"/>
    </row>
    <row r="325" spans="1:41" ht="15.75" customHeight="1">
      <c r="A325" s="512" t="s">
        <v>900</v>
      </c>
      <c r="B325" s="505">
        <f>('Pivot Table for Data Exchange'!$M$223)*100</f>
        <v>88.537090831292403</v>
      </c>
      <c r="C325" s="505">
        <f>('Pivot Table for Data Exchange'!$M$226)*100</f>
        <v>0</v>
      </c>
      <c r="D325" s="506">
        <f>SUM(E325:G325)</f>
        <v>11.462909168707586</v>
      </c>
      <c r="E325" s="505">
        <f>('Pivot Table for Data Exchange'!$M$229)*100</f>
        <v>11.462909168707586</v>
      </c>
      <c r="F325" s="505">
        <f>('Pivot Table for Data Exchange'!$M$232)*100</f>
        <v>0</v>
      </c>
      <c r="G325" s="515">
        <f>('Pivot Table for Data Exchange'!$M$235)*100</f>
        <v>0</v>
      </c>
      <c r="H325" s="505">
        <f>('Pivot Table for Data Exchange'!$M$238)*100</f>
        <v>0</v>
      </c>
      <c r="I325" s="512"/>
      <c r="J325" s="552"/>
      <c r="K325" s="552"/>
      <c r="L325" s="552"/>
      <c r="M325" s="552"/>
      <c r="N325" s="552"/>
      <c r="O325" s="552"/>
      <c r="P325" s="552"/>
      <c r="Q325" s="510">
        <f t="shared" si="39"/>
        <v>99.999999999999986</v>
      </c>
      <c r="R325" s="510"/>
      <c r="S325" s="568"/>
      <c r="T325" s="573"/>
      <c r="U325" s="568"/>
      <c r="V325" s="568"/>
      <c r="W325" s="568"/>
      <c r="X325" s="568"/>
      <c r="Y325" s="568"/>
      <c r="Z325" s="568"/>
      <c r="AA325" s="568"/>
      <c r="AB325" s="568"/>
      <c r="AC325" s="568"/>
      <c r="AD325" s="568"/>
      <c r="AE325" s="568"/>
      <c r="AF325" s="568"/>
      <c r="AG325" s="568"/>
      <c r="AH325" s="568"/>
      <c r="AI325" s="568"/>
      <c r="AJ325" s="568"/>
      <c r="AK325" s="568"/>
      <c r="AL325" s="568"/>
      <c r="AM325" s="568"/>
      <c r="AN325" s="568"/>
      <c r="AO325" s="568"/>
    </row>
    <row r="326" spans="1:41" ht="15.75" customHeight="1">
      <c r="A326" s="512" t="s">
        <v>901</v>
      </c>
      <c r="B326" s="505">
        <f>('Pivot Table for Data Exchange'!$M$259)*100</f>
        <v>69.142462856215786</v>
      </c>
      <c r="C326" s="505">
        <f>('Pivot Table for Data Exchange'!$M$262)*100</f>
        <v>6.28663801107521</v>
      </c>
      <c r="D326" s="506">
        <f>SUM(E326:G326)</f>
        <v>24.561321206505951</v>
      </c>
      <c r="E326" s="505">
        <f>('Pivot Table for Data Exchange'!$M$265)*100</f>
        <v>24.030625907703975</v>
      </c>
      <c r="F326" s="505">
        <f>('Pivot Table for Data Exchange'!$M$268)*100</f>
        <v>0.53069529880197741</v>
      </c>
      <c r="G326" s="515">
        <f>('Pivot Table for Data Exchange'!$M$271)*100</f>
        <v>0</v>
      </c>
      <c r="H326" s="519">
        <f>('Pivot Table for Data Exchange'!$M$274)*100</f>
        <v>9.5779262030559441E-3</v>
      </c>
      <c r="I326" s="512"/>
      <c r="J326" s="552"/>
      <c r="K326" s="552"/>
      <c r="L326" s="552"/>
      <c r="M326" s="552"/>
      <c r="N326" s="552"/>
      <c r="O326" s="552"/>
      <c r="P326" s="552"/>
      <c r="Q326" s="510">
        <f t="shared" si="39"/>
        <v>100</v>
      </c>
      <c r="R326" s="510"/>
      <c r="S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row>
    <row r="327" spans="1:41" ht="12" customHeight="1">
      <c r="A327" s="512"/>
      <c r="B327" s="505"/>
      <c r="C327" s="505"/>
      <c r="D327" s="506"/>
      <c r="E327" s="505"/>
      <c r="F327" s="505"/>
      <c r="G327" s="515"/>
      <c r="H327" s="505"/>
      <c r="I327" s="512"/>
      <c r="J327" s="552"/>
      <c r="K327" s="552"/>
      <c r="L327" s="552"/>
      <c r="M327" s="552"/>
      <c r="N327" s="552"/>
      <c r="O327" s="552"/>
      <c r="P327" s="552"/>
      <c r="Q327" s="510">
        <f t="shared" si="39"/>
        <v>0</v>
      </c>
      <c r="R327" s="510"/>
      <c r="S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row>
    <row r="328" spans="1:41" ht="15.75" customHeight="1">
      <c r="A328" s="512" t="s">
        <v>951</v>
      </c>
      <c r="B328" s="505">
        <f>('Pivot Table for Data Exchange'!$M$295)*100</f>
        <v>74.000594670521764</v>
      </c>
      <c r="C328" s="505">
        <f>('Pivot Table for Data Exchange'!$M$298)*100</f>
        <v>0</v>
      </c>
      <c r="D328" s="506">
        <f>SUM(E328:G328)</f>
        <v>25.999405329478225</v>
      </c>
      <c r="E328" s="505">
        <f>('Pivot Table for Data Exchange'!$M$301)*100</f>
        <v>25.999405329478225</v>
      </c>
      <c r="F328" s="505">
        <f>('Pivot Table for Data Exchange'!$M$304)*100</f>
        <v>0</v>
      </c>
      <c r="G328" s="515">
        <f>('Pivot Table for Data Exchange'!$M$307)*100</f>
        <v>0</v>
      </c>
      <c r="H328" s="505">
        <f>('Pivot Table for Data Exchange'!$M$310)*100</f>
        <v>0</v>
      </c>
      <c r="I328" s="559"/>
      <c r="J328" s="552"/>
      <c r="K328" s="552"/>
      <c r="L328" s="552"/>
      <c r="M328" s="552"/>
      <c r="N328" s="552"/>
      <c r="O328" s="552"/>
      <c r="P328" s="552"/>
      <c r="Q328" s="510">
        <f t="shared" si="39"/>
        <v>99.999999999999986</v>
      </c>
      <c r="R328" s="510"/>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row>
    <row r="329" spans="1:41" ht="15.75" customHeight="1">
      <c r="A329" s="512" t="s">
        <v>903</v>
      </c>
      <c r="B329" s="505">
        <f>('Pivot Table for Data Exchange'!$M$331)*100</f>
        <v>37.146194132121103</v>
      </c>
      <c r="C329" s="505">
        <f>('Pivot Table for Data Exchange'!$M$334)*100</f>
        <v>15.500358649463406</v>
      </c>
      <c r="D329" s="506">
        <f>SUM(E329:G329)</f>
        <v>47.353447218415496</v>
      </c>
      <c r="E329" s="505">
        <f>('Pivot Table for Data Exchange'!$M$337)*100</f>
        <v>46.771322177696796</v>
      </c>
      <c r="F329" s="505">
        <f>('Pivot Table for Data Exchange'!$M$340)*100</f>
        <v>0.55393673634674701</v>
      </c>
      <c r="G329" s="513">
        <f>('Pivot Table for Data Exchange'!$M$343)*100</f>
        <v>2.8188304371949142E-2</v>
      </c>
      <c r="H329" s="505">
        <f>('Pivot Table for Data Exchange'!$M$346)*100</f>
        <v>0</v>
      </c>
      <c r="I329" s="512"/>
      <c r="J329" s="552"/>
      <c r="K329" s="552"/>
      <c r="L329" s="552"/>
      <c r="M329" s="552"/>
      <c r="N329" s="552"/>
      <c r="O329" s="552"/>
      <c r="P329" s="552"/>
      <c r="Q329" s="510">
        <f t="shared" si="39"/>
        <v>100</v>
      </c>
      <c r="R329" s="510"/>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row>
    <row r="330" spans="1:41" ht="15.75" customHeight="1">
      <c r="A330" s="512" t="s">
        <v>904</v>
      </c>
      <c r="B330" s="505">
        <f>('Pivot Table for Data Exchange'!$M$367)*100</f>
        <v>70.66989893164029</v>
      </c>
      <c r="C330" s="505">
        <f>('Pivot Table for Data Exchange'!$M$370)*100</f>
        <v>0.79890415403124426</v>
      </c>
      <c r="D330" s="506">
        <f>SUM(E330:G330)</f>
        <v>28.531196914328458</v>
      </c>
      <c r="E330" s="505">
        <f>('Pivot Table for Data Exchange'!$M$373)*100</f>
        <v>21.684863176962001</v>
      </c>
      <c r="F330" s="505">
        <f>('Pivot Table for Data Exchange'!$M$376)*100</f>
        <v>6.1983787607748431</v>
      </c>
      <c r="G330" s="513">
        <f>('Pivot Table for Data Exchange'!$M$379)*100</f>
        <v>0.64795497659161261</v>
      </c>
      <c r="H330" s="505">
        <f>('Pivot Table for Data Exchange'!$M$382)*100</f>
        <v>0</v>
      </c>
      <c r="I330" s="512"/>
      <c r="J330" s="552"/>
      <c r="K330" s="552"/>
      <c r="L330" s="552"/>
      <c r="M330" s="552"/>
      <c r="N330" s="552"/>
      <c r="O330" s="552"/>
      <c r="P330" s="552"/>
      <c r="Q330" s="510">
        <f t="shared" si="39"/>
        <v>100</v>
      </c>
      <c r="R330" s="510"/>
      <c r="S330" s="568"/>
      <c r="T330" s="573"/>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row>
    <row r="331" spans="1:41" ht="15.75" customHeight="1">
      <c r="A331" s="512" t="s">
        <v>905</v>
      </c>
      <c r="B331" s="505">
        <f>('Pivot Table for Data Exchange'!$M$403)*100</f>
        <v>61.759462270224518</v>
      </c>
      <c r="C331" s="505">
        <f>('Pivot Table for Data Exchange'!$M$406)*100</f>
        <v>8.821847748279076</v>
      </c>
      <c r="D331" s="506">
        <f>SUM(E331:G331)</f>
        <v>29.418689981496406</v>
      </c>
      <c r="E331" s="505">
        <f>('Pivot Table for Data Exchange'!$M$409)*100</f>
        <v>27.830802407718387</v>
      </c>
      <c r="F331" s="505">
        <f>('Pivot Table for Data Exchange'!$M$412)*100</f>
        <v>1.5878875737780198</v>
      </c>
      <c r="G331" s="517">
        <f>('Pivot Table for Data Exchange'!$M$415)*100</f>
        <v>0</v>
      </c>
      <c r="H331" s="505">
        <f>('Pivot Table for Data Exchange'!$M$418)*100</f>
        <v>0</v>
      </c>
      <c r="I331" s="512"/>
      <c r="J331" s="552"/>
      <c r="K331" s="552"/>
      <c r="L331" s="552"/>
      <c r="M331" s="552"/>
      <c r="N331" s="552"/>
      <c r="O331" s="552"/>
      <c r="P331" s="552"/>
      <c r="Q331" s="510">
        <f t="shared" si="39"/>
        <v>100</v>
      </c>
      <c r="R331" s="510"/>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row>
    <row r="332" spans="1:41" ht="12.75" customHeight="1">
      <c r="A332" s="512"/>
      <c r="B332" s="505"/>
      <c r="C332" s="505"/>
      <c r="D332" s="506"/>
      <c r="E332" s="505"/>
      <c r="F332" s="505"/>
      <c r="G332" s="515"/>
      <c r="H332" s="505"/>
      <c r="I332" s="512"/>
      <c r="J332" s="552"/>
      <c r="K332" s="552"/>
      <c r="L332" s="552"/>
      <c r="M332" s="552"/>
      <c r="N332" s="552"/>
      <c r="O332" s="552"/>
      <c r="P332" s="552"/>
      <c r="Q332" s="510">
        <f t="shared" si="39"/>
        <v>0</v>
      </c>
      <c r="R332" s="510"/>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row>
    <row r="333" spans="1:41" ht="15.75" customHeight="1">
      <c r="A333" s="512" t="s">
        <v>906</v>
      </c>
      <c r="B333" s="505">
        <f>('Pivot Table for Data Exchange'!$M$439)*100</f>
        <v>39.752539253036687</v>
      </c>
      <c r="C333" s="505">
        <f>('Pivot Table for Data Exchange'!$M$442)*100</f>
        <v>33.970728045689306</v>
      </c>
      <c r="D333" s="506">
        <f>SUM(E333:G333)</f>
        <v>26.121500549866777</v>
      </c>
      <c r="E333" s="505">
        <f>('Pivot Table for Data Exchange'!$M$445)*100</f>
        <v>17.533230029211243</v>
      </c>
      <c r="F333" s="505">
        <f>('Pivot Table for Data Exchange'!$M$448)*100</f>
        <v>3.9787725207355655</v>
      </c>
      <c r="G333" s="515">
        <f>('Pivot Table for Data Exchange'!$M$451)*100</f>
        <v>4.6094979999199692</v>
      </c>
      <c r="H333" s="505">
        <f>('Pivot Table for Data Exchange'!$M$454)*100</f>
        <v>0.15523215140723121</v>
      </c>
      <c r="I333" s="512"/>
      <c r="J333" s="552"/>
      <c r="K333" s="552"/>
      <c r="L333" s="552"/>
      <c r="M333" s="552"/>
      <c r="N333" s="552"/>
      <c r="O333" s="552"/>
      <c r="P333" s="552"/>
      <c r="Q333" s="510">
        <f t="shared" si="39"/>
        <v>100.00000000000001</v>
      </c>
      <c r="R333" s="510"/>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row>
    <row r="334" spans="1:41" ht="15.75" customHeight="1">
      <c r="A334" s="512" t="s">
        <v>907</v>
      </c>
      <c r="B334" s="505">
        <f>('Pivot Table for Data Exchange'!$M$475)*100</f>
        <v>51.272831154306701</v>
      </c>
      <c r="C334" s="505">
        <f>('Pivot Table for Data Exchange'!$M$478)*100</f>
        <v>21.466299544744505</v>
      </c>
      <c r="D334" s="506">
        <f>SUM(E334:G334)</f>
        <v>27.260869300948801</v>
      </c>
      <c r="E334" s="505">
        <f>('Pivot Table for Data Exchange'!$M$481)*100</f>
        <v>24.893216551282595</v>
      </c>
      <c r="F334" s="505">
        <f>('Pivot Table for Data Exchange'!$M$484)*100</f>
        <v>2.1156920309014544</v>
      </c>
      <c r="G334" s="515">
        <f>('Pivot Table for Data Exchange'!$M$487)*100</f>
        <v>0.25196071876475223</v>
      </c>
      <c r="H334" s="505">
        <f>('Pivot Table for Data Exchange'!$M$490)*100</f>
        <v>0</v>
      </c>
      <c r="I334" s="512"/>
      <c r="J334" s="552"/>
      <c r="K334" s="552"/>
      <c r="L334" s="552"/>
      <c r="M334" s="552"/>
      <c r="N334" s="552"/>
      <c r="O334" s="552"/>
      <c r="P334" s="552"/>
      <c r="Q334" s="510">
        <f t="shared" si="39"/>
        <v>100</v>
      </c>
      <c r="R334" s="510"/>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row>
    <row r="335" spans="1:41" ht="15.75" customHeight="1">
      <c r="A335" s="512" t="s">
        <v>908</v>
      </c>
      <c r="B335" s="505">
        <f>('Pivot Table for Data Exchange'!$M$511)*100</f>
        <v>44.978914695270007</v>
      </c>
      <c r="C335" s="505">
        <f>('Pivot Table for Data Exchange'!$M$514)*100</f>
        <v>23.729781698311189</v>
      </c>
      <c r="D335" s="506">
        <f>SUM(E335:G335)</f>
        <v>31.291303606418801</v>
      </c>
      <c r="E335" s="505">
        <f>('Pivot Table for Data Exchange'!$M$517)*100</f>
        <v>26.736333782832343</v>
      </c>
      <c r="F335" s="505">
        <f>('Pivot Table for Data Exchange'!$M$520)*100</f>
        <v>4.5549698235864584</v>
      </c>
      <c r="G335" s="515">
        <f>('Pivot Table for Data Exchange'!$M$523)*100</f>
        <v>0</v>
      </c>
      <c r="H335" s="505">
        <f>('Pivot Table for Data Exchange'!$M$526)*100</f>
        <v>0</v>
      </c>
      <c r="I335" s="512"/>
      <c r="J335" s="552"/>
      <c r="K335" s="552"/>
      <c r="L335" s="552"/>
      <c r="M335" s="552"/>
      <c r="N335" s="552"/>
      <c r="O335" s="552"/>
      <c r="P335" s="552"/>
      <c r="Q335" s="510">
        <f t="shared" si="39"/>
        <v>100</v>
      </c>
      <c r="R335" s="510"/>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row>
    <row r="336" spans="1:41" ht="15.75" customHeight="1">
      <c r="A336" s="484" t="s">
        <v>909</v>
      </c>
      <c r="B336" s="520">
        <f>('Pivot Table for Data Exchange'!$M$547)*100</f>
        <v>0</v>
      </c>
      <c r="C336" s="520">
        <f>('Pivot Table for Data Exchange'!$M$550)*100</f>
        <v>0</v>
      </c>
      <c r="D336" s="521">
        <f>SUM(E336:G336)</f>
        <v>0</v>
      </c>
      <c r="E336" s="520">
        <f>('Pivot Table for Data Exchange'!$M$553)*100</f>
        <v>0</v>
      </c>
      <c r="F336" s="520">
        <f>('Pivot Table for Data Exchange'!$M$556)*100</f>
        <v>0</v>
      </c>
      <c r="G336" s="549">
        <f>('Pivot Table for Data Exchange'!$M$559)*100</f>
        <v>0</v>
      </c>
      <c r="H336" s="520">
        <f>('Pivot Table for Data Exchange'!$M$562)*100</f>
        <v>0</v>
      </c>
      <c r="I336" s="512"/>
      <c r="J336" s="552"/>
      <c r="K336" s="552"/>
      <c r="L336" s="552"/>
      <c r="M336" s="552"/>
      <c r="N336" s="552"/>
      <c r="O336" s="552"/>
      <c r="P336" s="552"/>
      <c r="Q336" s="510">
        <f t="shared" si="39"/>
        <v>0</v>
      </c>
      <c r="R336" s="510"/>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row>
    <row r="337" spans="1:41" s="571" customFormat="1" ht="12" customHeight="1">
      <c r="A337" s="525" t="s">
        <v>937</v>
      </c>
      <c r="B337" s="526"/>
      <c r="C337" s="526"/>
      <c r="D337" s="527"/>
      <c r="E337" s="526"/>
      <c r="F337" s="527"/>
      <c r="G337" s="527"/>
      <c r="H337" s="526"/>
      <c r="I337" s="546"/>
      <c r="J337" s="526"/>
      <c r="K337" s="526"/>
      <c r="L337" s="527"/>
      <c r="M337" s="526"/>
      <c r="N337" s="527"/>
      <c r="O337" s="527"/>
      <c r="P337" s="526"/>
      <c r="Q337" s="510">
        <f t="shared" si="39"/>
        <v>0</v>
      </c>
      <c r="R337" s="553"/>
      <c r="S337" s="572"/>
      <c r="T337" s="572"/>
      <c r="U337" s="572"/>
      <c r="V337" s="572"/>
      <c r="W337" s="572"/>
      <c r="X337" s="572"/>
      <c r="Y337" s="572"/>
      <c r="Z337" s="572"/>
      <c r="AA337" s="572"/>
      <c r="AB337" s="572"/>
      <c r="AC337" s="572"/>
      <c r="AD337" s="572"/>
      <c r="AE337" s="572"/>
      <c r="AF337" s="572"/>
      <c r="AG337" s="572"/>
      <c r="AH337" s="572"/>
      <c r="AI337" s="572"/>
      <c r="AJ337" s="572"/>
      <c r="AK337" s="572"/>
      <c r="AL337" s="572"/>
      <c r="AM337" s="572"/>
      <c r="AN337" s="572"/>
      <c r="AO337" s="572"/>
    </row>
    <row r="338" spans="1:41" s="571" customFormat="1" ht="24" customHeight="1">
      <c r="A338" s="655" t="s">
        <v>952</v>
      </c>
      <c r="B338" s="667"/>
      <c r="C338" s="667"/>
      <c r="D338" s="667"/>
      <c r="E338" s="667"/>
      <c r="F338" s="667"/>
      <c r="G338" s="667"/>
      <c r="H338" s="667"/>
      <c r="I338" s="546"/>
      <c r="J338" s="524"/>
      <c r="K338" s="524"/>
      <c r="L338" s="524"/>
      <c r="M338" s="524"/>
      <c r="N338" s="524"/>
      <c r="O338" s="524"/>
      <c r="P338" s="541"/>
      <c r="Q338" s="510">
        <f t="shared" si="39"/>
        <v>0</v>
      </c>
      <c r="R338" s="554"/>
    </row>
    <row r="339" spans="1:41" s="571" customFormat="1" ht="11.25" customHeight="1">
      <c r="A339" s="529"/>
      <c r="B339" s="574"/>
      <c r="C339" s="574"/>
      <c r="D339" s="574"/>
      <c r="E339" s="574"/>
      <c r="F339" s="574"/>
      <c r="G339" s="574"/>
      <c r="H339" s="574"/>
      <c r="I339" s="546"/>
      <c r="J339" s="524"/>
      <c r="K339" s="524"/>
      <c r="L339" s="524"/>
      <c r="M339" s="524"/>
      <c r="N339" s="524"/>
      <c r="O339" s="524"/>
      <c r="P339" s="541"/>
      <c r="Q339" s="510"/>
      <c r="R339" s="554"/>
    </row>
    <row r="340" spans="1:41" s="571" customFormat="1">
      <c r="A340" s="524"/>
      <c r="B340" s="524"/>
      <c r="C340" s="524"/>
      <c r="D340" s="524"/>
      <c r="E340" s="524"/>
      <c r="F340" s="524"/>
      <c r="G340" s="524"/>
      <c r="H340" s="532" t="s">
        <v>1015</v>
      </c>
      <c r="I340" s="540"/>
      <c r="J340" s="540"/>
      <c r="K340" s="540"/>
      <c r="L340" s="540"/>
      <c r="M340" s="540"/>
      <c r="N340" s="540"/>
      <c r="O340" s="540"/>
      <c r="P340" s="540"/>
      <c r="Q340" s="510">
        <f t="shared" si="39"/>
        <v>0</v>
      </c>
      <c r="R340" s="557"/>
    </row>
    <row r="341" spans="1:41" ht="18">
      <c r="A341" s="472" t="s">
        <v>957</v>
      </c>
      <c r="B341" s="473"/>
      <c r="C341" s="473"/>
      <c r="D341" s="473"/>
      <c r="E341" s="473"/>
      <c r="F341" s="473"/>
      <c r="G341" s="473"/>
      <c r="H341" s="474"/>
      <c r="I341" s="550"/>
      <c r="J341" s="512"/>
      <c r="K341" s="512"/>
      <c r="L341" s="474"/>
      <c r="M341" s="512"/>
      <c r="N341" s="512"/>
      <c r="O341" s="512"/>
      <c r="P341" s="512"/>
      <c r="Q341" s="510">
        <f t="shared" si="39"/>
        <v>0</v>
      </c>
    </row>
    <row r="342" spans="1:41">
      <c r="A342" s="479"/>
      <c r="B342" s="475"/>
      <c r="C342" s="475"/>
      <c r="D342" s="475"/>
      <c r="E342" s="475"/>
      <c r="F342" s="475"/>
      <c r="G342" s="475"/>
      <c r="H342" s="480"/>
      <c r="I342" s="550"/>
      <c r="J342" s="512"/>
      <c r="K342" s="512"/>
      <c r="L342" s="512"/>
      <c r="M342" s="512"/>
      <c r="N342" s="512"/>
      <c r="O342" s="512"/>
      <c r="P342" s="512"/>
      <c r="Q342" s="510">
        <f t="shared" si="39"/>
        <v>0</v>
      </c>
    </row>
    <row r="343" spans="1:41" ht="15.75">
      <c r="A343" s="481" t="s">
        <v>917</v>
      </c>
      <c r="B343" s="475"/>
      <c r="C343" s="475"/>
      <c r="D343" s="475"/>
      <c r="E343" s="475"/>
      <c r="F343" s="475"/>
      <c r="G343" s="475"/>
      <c r="H343" s="480"/>
      <c r="I343" s="550"/>
      <c r="J343" s="512"/>
      <c r="K343" s="512"/>
      <c r="L343" s="480"/>
      <c r="M343" s="512"/>
      <c r="N343" s="512"/>
      <c r="O343" s="512"/>
      <c r="P343" s="512"/>
      <c r="Q343" s="510">
        <f t="shared" si="39"/>
        <v>0</v>
      </c>
    </row>
    <row r="344" spans="1:41" ht="15.75">
      <c r="A344" s="481" t="s">
        <v>1011</v>
      </c>
      <c r="B344" s="475"/>
      <c r="C344" s="475"/>
      <c r="D344" s="475"/>
      <c r="E344" s="475"/>
      <c r="F344" s="475"/>
      <c r="G344" s="475"/>
      <c r="H344" s="480"/>
      <c r="I344" s="550"/>
      <c r="J344" s="512"/>
      <c r="K344" s="512"/>
      <c r="L344" s="512"/>
      <c r="M344" s="512"/>
      <c r="N344" s="512"/>
      <c r="O344" s="512"/>
      <c r="P344" s="512"/>
      <c r="Q344" s="510">
        <f t="shared" si="39"/>
        <v>0</v>
      </c>
    </row>
    <row r="345" spans="1:41">
      <c r="A345" s="484"/>
      <c r="B345" s="485"/>
      <c r="C345" s="485"/>
      <c r="D345" s="485"/>
      <c r="E345" s="485"/>
      <c r="F345" s="485"/>
      <c r="G345" s="485"/>
      <c r="H345" s="485"/>
      <c r="I345" s="550"/>
      <c r="J345" s="512"/>
      <c r="K345" s="512"/>
      <c r="L345" s="512"/>
      <c r="M345" s="512"/>
      <c r="N345" s="512"/>
      <c r="O345" s="512"/>
      <c r="P345" s="512"/>
      <c r="Q345" s="510">
        <f t="shared" si="39"/>
        <v>0</v>
      </c>
    </row>
    <row r="346" spans="1:41">
      <c r="A346" s="489"/>
      <c r="B346" s="490" t="s">
        <v>919</v>
      </c>
      <c r="C346" s="490"/>
      <c r="D346" s="490"/>
      <c r="E346" s="490"/>
      <c r="F346" s="490"/>
      <c r="G346" s="490"/>
      <c r="H346" s="491"/>
      <c r="I346" s="550"/>
      <c r="J346" s="512"/>
      <c r="K346" s="512"/>
      <c r="L346" s="512"/>
      <c r="M346" s="512"/>
      <c r="N346" s="512"/>
      <c r="O346" s="512"/>
      <c r="P346" s="512"/>
      <c r="Q346" s="510">
        <f t="shared" si="39"/>
        <v>0</v>
      </c>
    </row>
    <row r="347" spans="1:41">
      <c r="A347" s="489"/>
      <c r="B347" s="490" t="s">
        <v>920</v>
      </c>
      <c r="C347" s="490"/>
      <c r="D347" s="659" t="s">
        <v>921</v>
      </c>
      <c r="E347" s="657"/>
      <c r="F347" s="657"/>
      <c r="G347" s="657"/>
      <c r="H347" s="495" t="s">
        <v>320</v>
      </c>
      <c r="I347" s="550"/>
      <c r="J347" s="512"/>
      <c r="K347" s="512"/>
      <c r="L347" s="512"/>
      <c r="M347" s="512"/>
      <c r="N347" s="512"/>
      <c r="O347" s="512"/>
      <c r="P347" s="512"/>
      <c r="Q347" s="510">
        <f t="shared" ref="Q347:Q410" si="44">SUM(B347,C347,D347,H347)</f>
        <v>0</v>
      </c>
    </row>
    <row r="348" spans="1:41" ht="36">
      <c r="A348" s="489"/>
      <c r="B348" s="496" t="s">
        <v>922</v>
      </c>
      <c r="C348" s="497" t="s">
        <v>923</v>
      </c>
      <c r="D348" s="498" t="s">
        <v>924</v>
      </c>
      <c r="E348" s="499" t="s">
        <v>10</v>
      </c>
      <c r="F348" s="496" t="s">
        <v>925</v>
      </c>
      <c r="G348" s="500" t="s">
        <v>935</v>
      </c>
      <c r="H348" s="501" t="s">
        <v>927</v>
      </c>
      <c r="I348" s="550"/>
      <c r="J348" s="512"/>
      <c r="K348" s="512"/>
      <c r="L348" s="512"/>
      <c r="M348" s="512"/>
      <c r="N348" s="512"/>
      <c r="O348" s="512"/>
      <c r="P348" s="512"/>
      <c r="Q348" s="510">
        <f t="shared" si="44"/>
        <v>0</v>
      </c>
    </row>
    <row r="349" spans="1:41" ht="15.75" customHeight="1">
      <c r="A349" s="534" t="s">
        <v>894</v>
      </c>
      <c r="B349" s="567">
        <f>('Pivot Table for Data Exchange'!$N$7)*100</f>
        <v>65.352882650767995</v>
      </c>
      <c r="C349" s="505">
        <f>('Pivot Table for Data Exchange'!$N$10)*100</f>
        <v>9.0676389521622749</v>
      </c>
      <c r="D349" s="506">
        <f>SUM(E349:G349)</f>
        <v>25.568812916810781</v>
      </c>
      <c r="E349" s="505">
        <f>('Pivot Table for Data Exchange'!$N$13)*100</f>
        <v>25.455454098058429</v>
      </c>
      <c r="F349" s="505">
        <f>('Pivot Table for Data Exchange'!$N$16)*100</f>
        <v>0</v>
      </c>
      <c r="G349" s="509">
        <f>('Pivot Table for Data Exchange'!$N$19)*100</f>
        <v>0.11335881875235213</v>
      </c>
      <c r="H349" s="505">
        <f>('Pivot Table for Data Exchange'!$N$22)*100</f>
        <v>1.066548025895786E-2</v>
      </c>
      <c r="I349" s="512"/>
      <c r="J349" s="552"/>
      <c r="K349" s="552"/>
      <c r="L349" s="552"/>
      <c r="M349" s="552"/>
      <c r="N349" s="552"/>
      <c r="O349" s="552"/>
      <c r="P349" s="552"/>
      <c r="Q349" s="510">
        <f t="shared" si="44"/>
        <v>100.00000000000001</v>
      </c>
      <c r="R349" s="510"/>
      <c r="S349" s="568"/>
      <c r="T349" s="568"/>
      <c r="U349" s="568"/>
      <c r="V349" s="568"/>
      <c r="W349" s="568"/>
      <c r="X349" s="568"/>
      <c r="Y349" s="568"/>
      <c r="Z349" s="568"/>
      <c r="AA349" s="568"/>
      <c r="AB349" s="568"/>
      <c r="AC349" s="568"/>
      <c r="AD349" s="568"/>
      <c r="AE349" s="568"/>
      <c r="AF349" s="568"/>
      <c r="AG349" s="568"/>
      <c r="AH349" s="568"/>
      <c r="AI349" s="568"/>
      <c r="AJ349" s="568"/>
      <c r="AK349" s="568"/>
      <c r="AL349" s="568"/>
      <c r="AM349" s="568"/>
      <c r="AN349" s="568"/>
      <c r="AO349" s="568"/>
    </row>
    <row r="350" spans="1:41" ht="15.75" customHeight="1">
      <c r="A350" s="512" t="s">
        <v>895</v>
      </c>
      <c r="B350" s="505">
        <f>('Pivot Table for Data Exchange'!$N$43)*100</f>
        <v>61.605443488632019</v>
      </c>
      <c r="C350" s="505">
        <f>('Pivot Table for Data Exchange'!$N$46)*100</f>
        <v>12.537985509264715</v>
      </c>
      <c r="D350" s="506">
        <f t="shared" ref="D350:D352" si="45">SUM(E350:G350)</f>
        <v>25.856571002103262</v>
      </c>
      <c r="E350" s="505">
        <f>('Pivot Table for Data Exchange'!$N$49)*100</f>
        <v>24.043265093325619</v>
      </c>
      <c r="F350" s="505">
        <f>('Pivot Table for Data Exchange'!$N$52)*100</f>
        <v>1.8133059087776431</v>
      </c>
      <c r="G350" s="513">
        <f>('Pivot Table for Data Exchange'!$N$55)*100</f>
        <v>0</v>
      </c>
      <c r="H350" s="516">
        <f>('Pivot Table for Data Exchange'!$N$58)*100</f>
        <v>0</v>
      </c>
      <c r="I350" s="512"/>
      <c r="J350" s="552"/>
      <c r="K350" s="552"/>
      <c r="L350" s="552"/>
      <c r="M350" s="552"/>
      <c r="N350" s="552"/>
      <c r="O350" s="552"/>
      <c r="P350" s="552"/>
      <c r="Q350" s="510">
        <f t="shared" si="44"/>
        <v>100</v>
      </c>
      <c r="R350" s="510"/>
      <c r="S350" s="568"/>
      <c r="T350" s="568"/>
      <c r="U350" s="568"/>
      <c r="V350" s="568"/>
      <c r="W350" s="568"/>
      <c r="X350" s="568"/>
      <c r="Y350" s="568"/>
      <c r="Z350" s="568"/>
      <c r="AA350" s="568"/>
      <c r="AB350" s="568"/>
      <c r="AC350" s="568"/>
      <c r="AD350" s="568"/>
      <c r="AE350" s="568"/>
      <c r="AF350" s="568"/>
      <c r="AG350" s="568"/>
      <c r="AH350" s="568"/>
      <c r="AI350" s="568"/>
      <c r="AJ350" s="568"/>
      <c r="AK350" s="568"/>
      <c r="AL350" s="568"/>
      <c r="AM350" s="568"/>
      <c r="AN350" s="568"/>
      <c r="AO350" s="568"/>
    </row>
    <row r="351" spans="1:41" ht="15.75" customHeight="1">
      <c r="A351" s="512" t="s">
        <v>896</v>
      </c>
      <c r="B351" s="505">
        <f>('Pivot Table for Data Exchange'!$N$79)*100</f>
        <v>0</v>
      </c>
      <c r="C351" s="505">
        <f>('Pivot Table for Data Exchange'!$N$82)*100</f>
        <v>0</v>
      </c>
      <c r="D351" s="506">
        <f t="shared" si="45"/>
        <v>0</v>
      </c>
      <c r="E351" s="505">
        <f>('Pivot Table for Data Exchange'!$N$85)*100</f>
        <v>0</v>
      </c>
      <c r="F351" s="505">
        <f>('Pivot Table for Data Exchange'!$N$88)*100</f>
        <v>0</v>
      </c>
      <c r="G351" s="515">
        <f>('Pivot Table for Data Exchange'!$N$91)*100</f>
        <v>0</v>
      </c>
      <c r="H351" s="505">
        <f>('Pivot Table for Data Exchange'!$N$94)*100</f>
        <v>0</v>
      </c>
      <c r="I351" s="512"/>
      <c r="J351" s="552"/>
      <c r="K351" s="552"/>
      <c r="L351" s="552"/>
      <c r="M351" s="552"/>
      <c r="N351" s="552"/>
      <c r="O351" s="552"/>
      <c r="P351" s="552"/>
      <c r="Q351" s="510">
        <f t="shared" si="44"/>
        <v>0</v>
      </c>
      <c r="R351" s="510"/>
      <c r="S351" s="568"/>
      <c r="T351" s="573"/>
      <c r="U351" s="568"/>
      <c r="V351" s="568"/>
      <c r="W351" s="568"/>
      <c r="X351" s="568"/>
      <c r="Y351" s="568"/>
      <c r="Z351" s="568"/>
      <c r="AA351" s="568"/>
      <c r="AB351" s="568"/>
      <c r="AC351" s="568"/>
      <c r="AD351" s="568"/>
      <c r="AE351" s="568"/>
      <c r="AF351" s="568"/>
      <c r="AG351" s="568"/>
      <c r="AH351" s="568"/>
      <c r="AI351" s="568"/>
      <c r="AJ351" s="568"/>
      <c r="AK351" s="568"/>
      <c r="AL351" s="568"/>
      <c r="AM351" s="568"/>
      <c r="AN351" s="568"/>
      <c r="AO351" s="568"/>
    </row>
    <row r="352" spans="1:41" ht="15.75" customHeight="1">
      <c r="A352" s="512" t="s">
        <v>936</v>
      </c>
      <c r="B352" s="505">
        <f>('Pivot Table for Data Exchange'!$N$115)*100</f>
        <v>70.282724523592378</v>
      </c>
      <c r="C352" s="505">
        <f>('Pivot Table for Data Exchange'!$N$118)*100</f>
        <v>3.8040608649738399</v>
      </c>
      <c r="D352" s="506">
        <f t="shared" si="45"/>
        <v>25.913214611433784</v>
      </c>
      <c r="E352" s="505">
        <f>('Pivot Table for Data Exchange'!$N$121)*100</f>
        <v>25.913214611433784</v>
      </c>
      <c r="F352" s="505">
        <f>('Pivot Table for Data Exchange'!$N$124)*100</f>
        <v>0</v>
      </c>
      <c r="G352" s="515">
        <f>('Pivot Table for Data Exchange'!$N$127)*100</f>
        <v>0</v>
      </c>
      <c r="H352" s="505">
        <f>('Pivot Table for Data Exchange'!$N$130)*100</f>
        <v>0</v>
      </c>
      <c r="I352" s="512"/>
      <c r="J352" s="552"/>
      <c r="K352" s="552"/>
      <c r="L352" s="552"/>
      <c r="M352" s="552"/>
      <c r="N352" s="552"/>
      <c r="O352" s="552"/>
      <c r="P352" s="552"/>
      <c r="Q352" s="510">
        <f t="shared" si="44"/>
        <v>100</v>
      </c>
      <c r="R352" s="510"/>
      <c r="S352" s="568"/>
      <c r="U352" s="568"/>
      <c r="V352" s="568"/>
      <c r="W352" s="568"/>
      <c r="X352" s="568"/>
      <c r="Y352" s="568"/>
      <c r="Z352" s="568"/>
      <c r="AA352" s="568"/>
      <c r="AB352" s="568"/>
      <c r="AC352" s="568"/>
      <c r="AD352" s="568"/>
      <c r="AE352" s="568"/>
      <c r="AF352" s="568"/>
      <c r="AG352" s="568"/>
      <c r="AH352" s="568"/>
      <c r="AI352" s="568"/>
      <c r="AJ352" s="568"/>
      <c r="AK352" s="568"/>
      <c r="AL352" s="568"/>
      <c r="AM352" s="568"/>
      <c r="AN352" s="568"/>
      <c r="AO352" s="568"/>
    </row>
    <row r="353" spans="1:41" ht="15.75" customHeight="1">
      <c r="A353" s="512"/>
      <c r="B353" s="505"/>
      <c r="C353" s="505"/>
      <c r="D353" s="506"/>
      <c r="E353" s="505"/>
      <c r="F353" s="505"/>
      <c r="G353" s="515"/>
      <c r="H353" s="505"/>
      <c r="I353" s="512"/>
      <c r="J353" s="552"/>
      <c r="K353" s="552"/>
      <c r="L353" s="552"/>
      <c r="M353" s="552"/>
      <c r="N353" s="552"/>
      <c r="O353" s="552"/>
      <c r="P353" s="552"/>
      <c r="Q353" s="510">
        <f t="shared" si="44"/>
        <v>0</v>
      </c>
      <c r="R353" s="510"/>
      <c r="S353" s="568"/>
      <c r="U353" s="568"/>
      <c r="V353" s="568"/>
      <c r="W353" s="568"/>
      <c r="X353" s="568"/>
      <c r="Y353" s="568"/>
      <c r="Z353" s="568"/>
      <c r="AA353" s="568"/>
      <c r="AB353" s="568"/>
      <c r="AC353" s="568"/>
      <c r="AD353" s="568"/>
      <c r="AE353" s="568"/>
      <c r="AF353" s="568"/>
      <c r="AG353" s="568"/>
      <c r="AH353" s="568"/>
      <c r="AI353" s="568"/>
      <c r="AJ353" s="568"/>
      <c r="AK353" s="568"/>
      <c r="AL353" s="568"/>
      <c r="AM353" s="568"/>
      <c r="AN353" s="568"/>
      <c r="AO353" s="568"/>
    </row>
    <row r="354" spans="1:41" ht="15.75" customHeight="1">
      <c r="A354" s="512" t="s">
        <v>898</v>
      </c>
      <c r="B354" s="505">
        <f>('Pivot Table for Data Exchange'!$N$151)*100</f>
        <v>52.660764665823521</v>
      </c>
      <c r="C354" s="505">
        <f>('Pivot Table for Data Exchange'!$N$154)*100</f>
        <v>16.665045237863605</v>
      </c>
      <c r="D354" s="506">
        <f t="shared" ref="D354:D355" si="46">SUM(E354:G354)</f>
        <v>30.67419009631287</v>
      </c>
      <c r="E354" s="505">
        <f>('Pivot Table for Data Exchange'!$N$157)*100</f>
        <v>30.67419009631287</v>
      </c>
      <c r="F354" s="505">
        <f>('Pivot Table for Data Exchange'!$N$160)*100</f>
        <v>0</v>
      </c>
      <c r="G354" s="515">
        <f>('Pivot Table for Data Exchange'!$N$163)*100</f>
        <v>0</v>
      </c>
      <c r="H354" s="505">
        <f>('Pivot Table for Data Exchange'!$N$166)*100</f>
        <v>0</v>
      </c>
      <c r="I354" s="512"/>
      <c r="J354" s="552"/>
      <c r="K354" s="552"/>
      <c r="L354" s="552"/>
      <c r="M354" s="552"/>
      <c r="N354" s="552"/>
      <c r="O354" s="552"/>
      <c r="P354" s="552"/>
      <c r="Q354" s="510">
        <f t="shared" si="44"/>
        <v>100</v>
      </c>
      <c r="R354" s="510"/>
      <c r="S354" s="568"/>
      <c r="T354" s="568"/>
      <c r="U354" s="568"/>
      <c r="V354" s="568"/>
      <c r="W354" s="568"/>
      <c r="X354" s="568"/>
      <c r="Y354" s="568"/>
      <c r="Z354" s="568"/>
      <c r="AA354" s="568"/>
      <c r="AB354" s="568"/>
      <c r="AC354" s="568"/>
      <c r="AD354" s="568"/>
      <c r="AE354" s="568"/>
      <c r="AF354" s="568"/>
      <c r="AG354" s="568"/>
      <c r="AH354" s="568"/>
      <c r="AI354" s="568"/>
      <c r="AJ354" s="568"/>
      <c r="AK354" s="568"/>
      <c r="AL354" s="568"/>
      <c r="AM354" s="568"/>
      <c r="AN354" s="568"/>
      <c r="AO354" s="568"/>
    </row>
    <row r="355" spans="1:41" ht="15.75" customHeight="1">
      <c r="A355" s="512" t="s">
        <v>899</v>
      </c>
      <c r="B355" s="505">
        <f>('Pivot Table for Data Exchange'!$N$187)*100</f>
        <v>41.702896369001024</v>
      </c>
      <c r="C355" s="505">
        <f>('Pivot Table for Data Exchange'!$N$190)*100</f>
        <v>3.5093635214066361</v>
      </c>
      <c r="D355" s="506">
        <f t="shared" si="46"/>
        <v>54.787740109592342</v>
      </c>
      <c r="E355" s="505">
        <f>('Pivot Table for Data Exchange'!$N$193)*100</f>
        <v>54.787740109592342</v>
      </c>
      <c r="F355" s="505">
        <f>('Pivot Table for Data Exchange'!$N$196)*100</f>
        <v>0</v>
      </c>
      <c r="G355" s="515">
        <f>('Pivot Table for Data Exchange'!$N$199)*100</f>
        <v>0</v>
      </c>
      <c r="H355" s="505">
        <f>('Pivot Table for Data Exchange'!$N$202)*100</f>
        <v>0</v>
      </c>
      <c r="I355" s="512"/>
      <c r="J355" s="552"/>
      <c r="K355" s="552"/>
      <c r="L355" s="552"/>
      <c r="M355" s="552"/>
      <c r="N355" s="552"/>
      <c r="O355" s="552"/>
      <c r="P355" s="552"/>
      <c r="Q355" s="510">
        <f t="shared" si="44"/>
        <v>100</v>
      </c>
      <c r="R355" s="510"/>
      <c r="S355" s="568"/>
      <c r="T355" s="568"/>
      <c r="U355" s="568"/>
      <c r="V355" s="568"/>
      <c r="W355" s="568"/>
      <c r="X355" s="568"/>
      <c r="Y355" s="568"/>
      <c r="Z355" s="568"/>
      <c r="AA355" s="568"/>
      <c r="AB355" s="568"/>
      <c r="AC355" s="568"/>
      <c r="AD355" s="568"/>
      <c r="AE355" s="568"/>
      <c r="AF355" s="568"/>
      <c r="AG355" s="568"/>
      <c r="AH355" s="568"/>
      <c r="AI355" s="568"/>
      <c r="AJ355" s="568"/>
      <c r="AK355" s="568"/>
      <c r="AL355" s="568"/>
      <c r="AM355" s="568"/>
      <c r="AN355" s="568"/>
      <c r="AO355" s="568"/>
    </row>
    <row r="356" spans="1:41" ht="15.75" customHeight="1">
      <c r="A356" s="512" t="s">
        <v>900</v>
      </c>
      <c r="B356" s="505">
        <f>('Pivot Table for Data Exchange'!$N$223)*100</f>
        <v>75.817453761510151</v>
      </c>
      <c r="C356" s="505">
        <f>('Pivot Table for Data Exchange'!$N$226)*100</f>
        <v>0</v>
      </c>
      <c r="D356" s="506">
        <f>SUM(E356:G356)</f>
        <v>24.182546238489856</v>
      </c>
      <c r="E356" s="505">
        <f>('Pivot Table for Data Exchange'!$N$229)*100</f>
        <v>24.182546238489856</v>
      </c>
      <c r="F356" s="505">
        <f>('Pivot Table for Data Exchange'!$N$232)*100</f>
        <v>0</v>
      </c>
      <c r="G356" s="515">
        <f>('Pivot Table for Data Exchange'!$N$235)*100</f>
        <v>0</v>
      </c>
      <c r="H356" s="505">
        <f>('Pivot Table for Data Exchange'!$N$238)*100</f>
        <v>0</v>
      </c>
      <c r="I356" s="512"/>
      <c r="J356" s="552"/>
      <c r="K356" s="552"/>
      <c r="L356" s="552"/>
      <c r="M356" s="552"/>
      <c r="N356" s="552"/>
      <c r="O356" s="552"/>
      <c r="P356" s="552"/>
      <c r="Q356" s="510">
        <f t="shared" si="44"/>
        <v>100</v>
      </c>
      <c r="R356" s="510"/>
      <c r="S356" s="568"/>
      <c r="T356" s="573"/>
      <c r="U356" s="568"/>
      <c r="V356" s="568"/>
      <c r="W356" s="568"/>
      <c r="X356" s="568"/>
      <c r="Y356" s="568"/>
      <c r="Z356" s="568"/>
      <c r="AA356" s="568"/>
      <c r="AB356" s="568"/>
      <c r="AC356" s="568"/>
      <c r="AD356" s="568"/>
      <c r="AE356" s="568"/>
      <c r="AF356" s="568"/>
      <c r="AG356" s="568"/>
      <c r="AH356" s="568"/>
      <c r="AI356" s="568"/>
      <c r="AJ356" s="568"/>
      <c r="AK356" s="568"/>
      <c r="AL356" s="568"/>
      <c r="AM356" s="568"/>
      <c r="AN356" s="568"/>
      <c r="AO356" s="568"/>
    </row>
    <row r="357" spans="1:41" ht="15.75" customHeight="1">
      <c r="A357" s="512" t="s">
        <v>901</v>
      </c>
      <c r="B357" s="505">
        <f>('Pivot Table for Data Exchange'!$N$259)*100</f>
        <v>74.499612890124254</v>
      </c>
      <c r="C357" s="505">
        <f>('Pivot Table for Data Exchange'!$N$262)*100</f>
        <v>4.9721407810735005</v>
      </c>
      <c r="D357" s="506">
        <f>SUM(E357:G357)</f>
        <v>20.528246328802243</v>
      </c>
      <c r="E357" s="505">
        <f>('Pivot Table for Data Exchange'!$N$265)*100</f>
        <v>19.498280216781531</v>
      </c>
      <c r="F357" s="505">
        <f>('Pivot Table for Data Exchange'!$N$268)*100</f>
        <v>1.0299661120207135</v>
      </c>
      <c r="G357" s="515">
        <f>('Pivot Table for Data Exchange'!$N$271)*100</f>
        <v>0</v>
      </c>
      <c r="H357" s="505">
        <f>('Pivot Table for Data Exchange'!$N$274)*100</f>
        <v>0</v>
      </c>
      <c r="I357" s="512"/>
      <c r="J357" s="552"/>
      <c r="K357" s="552"/>
      <c r="L357" s="552"/>
      <c r="M357" s="552"/>
      <c r="N357" s="552"/>
      <c r="O357" s="552"/>
      <c r="P357" s="552"/>
      <c r="Q357" s="510">
        <f t="shared" si="44"/>
        <v>100</v>
      </c>
      <c r="R357" s="510"/>
      <c r="S357" s="568"/>
      <c r="U357" s="568"/>
      <c r="V357" s="568"/>
      <c r="W357" s="568"/>
      <c r="X357" s="568"/>
      <c r="Y357" s="568"/>
      <c r="Z357" s="568"/>
      <c r="AA357" s="568"/>
      <c r="AB357" s="568"/>
      <c r="AC357" s="568"/>
      <c r="AD357" s="568"/>
      <c r="AE357" s="568"/>
      <c r="AF357" s="568"/>
      <c r="AG357" s="568"/>
      <c r="AH357" s="568"/>
      <c r="AI357" s="568"/>
      <c r="AJ357" s="568"/>
      <c r="AK357" s="568"/>
      <c r="AL357" s="568"/>
      <c r="AM357" s="568"/>
      <c r="AN357" s="568"/>
      <c r="AO357" s="568"/>
    </row>
    <row r="358" spans="1:41" ht="12.75" customHeight="1">
      <c r="A358" s="512"/>
      <c r="B358" s="505"/>
      <c r="C358" s="505"/>
      <c r="D358" s="506"/>
      <c r="E358" s="505"/>
      <c r="F358" s="505"/>
      <c r="G358" s="515"/>
      <c r="H358" s="505"/>
      <c r="I358" s="512"/>
      <c r="J358" s="552"/>
      <c r="K358" s="552"/>
      <c r="L358" s="552"/>
      <c r="M358" s="552"/>
      <c r="N358" s="552"/>
      <c r="O358" s="552"/>
      <c r="P358" s="552"/>
      <c r="Q358" s="510">
        <f t="shared" si="44"/>
        <v>0</v>
      </c>
      <c r="R358" s="510"/>
      <c r="S358" s="568"/>
      <c r="U358" s="568"/>
      <c r="V358" s="568"/>
      <c r="W358" s="568"/>
      <c r="X358" s="568"/>
      <c r="Y358" s="568"/>
      <c r="Z358" s="568"/>
      <c r="AA358" s="568"/>
      <c r="AB358" s="568"/>
      <c r="AC358" s="568"/>
      <c r="AD358" s="568"/>
      <c r="AE358" s="568"/>
      <c r="AF358" s="568"/>
      <c r="AG358" s="568"/>
      <c r="AH358" s="568"/>
      <c r="AI358" s="568"/>
      <c r="AJ358" s="568"/>
      <c r="AK358" s="568"/>
      <c r="AL358" s="568"/>
      <c r="AM358" s="568"/>
      <c r="AN358" s="568"/>
      <c r="AO358" s="568"/>
    </row>
    <row r="359" spans="1:41" ht="15.75" customHeight="1">
      <c r="A359" s="512" t="s">
        <v>951</v>
      </c>
      <c r="B359" s="505">
        <f>('Pivot Table for Data Exchange'!$N$295)*100</f>
        <v>84.244178220487271</v>
      </c>
      <c r="C359" s="505">
        <f>('Pivot Table for Data Exchange'!$N$298)*100</f>
        <v>0</v>
      </c>
      <c r="D359" s="506">
        <f>SUM(E359:G359)</f>
        <v>15.755821779512722</v>
      </c>
      <c r="E359" s="505">
        <f>('Pivot Table for Data Exchange'!$N$301)*100</f>
        <v>15.755821779512722</v>
      </c>
      <c r="F359" s="505">
        <f>('Pivot Table for Data Exchange'!$N$304)*100</f>
        <v>0</v>
      </c>
      <c r="G359" s="515">
        <f>('Pivot Table for Data Exchange'!$N$307)*100</f>
        <v>0</v>
      </c>
      <c r="H359" s="505">
        <f>('Pivot Table for Data Exchange'!$N$310)*100</f>
        <v>0</v>
      </c>
      <c r="I359" s="559"/>
      <c r="J359" s="552"/>
      <c r="K359" s="552"/>
      <c r="L359" s="552"/>
      <c r="M359" s="552"/>
      <c r="N359" s="552"/>
      <c r="O359" s="552"/>
      <c r="P359" s="552"/>
      <c r="Q359" s="510">
        <f t="shared" si="44"/>
        <v>100</v>
      </c>
      <c r="R359" s="510"/>
      <c r="S359" s="568"/>
      <c r="T359" s="568"/>
      <c r="U359" s="568"/>
      <c r="V359" s="568"/>
      <c r="W359" s="568"/>
      <c r="X359" s="568"/>
      <c r="Y359" s="568"/>
      <c r="Z359" s="568"/>
      <c r="AA359" s="568"/>
      <c r="AB359" s="568"/>
      <c r="AC359" s="568"/>
      <c r="AD359" s="568"/>
      <c r="AE359" s="568"/>
      <c r="AF359" s="568"/>
      <c r="AG359" s="568"/>
      <c r="AH359" s="568"/>
      <c r="AI359" s="568"/>
      <c r="AJ359" s="568"/>
      <c r="AK359" s="568"/>
      <c r="AL359" s="568"/>
      <c r="AM359" s="568"/>
      <c r="AN359" s="568"/>
      <c r="AO359" s="568"/>
    </row>
    <row r="360" spans="1:41" ht="15.75" customHeight="1">
      <c r="A360" s="512" t="s">
        <v>903</v>
      </c>
      <c r="B360" s="505">
        <f>('Pivot Table for Data Exchange'!$N$331)*100</f>
        <v>33.987020536138921</v>
      </c>
      <c r="C360" s="505">
        <f>('Pivot Table for Data Exchange'!$N$334)*100</f>
        <v>13.635533232510562</v>
      </c>
      <c r="D360" s="506">
        <f>SUM(E360:G360)</f>
        <v>52.377446231350511</v>
      </c>
      <c r="E360" s="505">
        <f>('Pivot Table for Data Exchange'!$N$337)*100</f>
        <v>51.265510308331464</v>
      </c>
      <c r="F360" s="505">
        <f>('Pivot Table for Data Exchange'!$N$340)*100</f>
        <v>0.72612526013029788</v>
      </c>
      <c r="G360" s="515">
        <f>('Pivot Table for Data Exchange'!$N$343)*100</f>
        <v>0.38581066288874855</v>
      </c>
      <c r="H360" s="505">
        <f>('Pivot Table for Data Exchange'!$N$346)*100</f>
        <v>0</v>
      </c>
      <c r="I360" s="512"/>
      <c r="J360" s="552"/>
      <c r="K360" s="552"/>
      <c r="L360" s="552"/>
      <c r="M360" s="552"/>
      <c r="N360" s="552"/>
      <c r="O360" s="552"/>
      <c r="P360" s="552"/>
      <c r="Q360" s="510">
        <f t="shared" si="44"/>
        <v>100</v>
      </c>
      <c r="R360" s="510"/>
      <c r="S360" s="568"/>
      <c r="T360" s="568"/>
      <c r="U360" s="568"/>
      <c r="V360" s="568"/>
      <c r="W360" s="568"/>
      <c r="X360" s="568"/>
      <c r="Y360" s="568"/>
      <c r="Z360" s="568"/>
      <c r="AA360" s="568"/>
      <c r="AB360" s="568"/>
      <c r="AC360" s="568"/>
      <c r="AD360" s="568"/>
      <c r="AE360" s="568"/>
      <c r="AF360" s="568"/>
      <c r="AG360" s="568"/>
      <c r="AH360" s="568"/>
      <c r="AI360" s="568"/>
      <c r="AJ360" s="568"/>
      <c r="AK360" s="568"/>
      <c r="AL360" s="568"/>
      <c r="AM360" s="568"/>
      <c r="AN360" s="568"/>
      <c r="AO360" s="568"/>
    </row>
    <row r="361" spans="1:41" ht="15.75" customHeight="1">
      <c r="A361" s="512" t="s">
        <v>904</v>
      </c>
      <c r="B361" s="505">
        <f>('Pivot Table for Data Exchange'!$N$367)*100</f>
        <v>69.606762650658922</v>
      </c>
      <c r="C361" s="505">
        <f>('Pivot Table for Data Exchange'!$N$370)*100</f>
        <v>3.4030155231440227</v>
      </c>
      <c r="D361" s="506">
        <f>SUM(E361:G361)</f>
        <v>26.990221826197061</v>
      </c>
      <c r="E361" s="505">
        <f>('Pivot Table for Data Exchange'!$N$373)*100</f>
        <v>23.556429676874735</v>
      </c>
      <c r="F361" s="505">
        <f>('Pivot Table for Data Exchange'!$N$376)*100</f>
        <v>3.4041879660460537</v>
      </c>
      <c r="G361" s="513">
        <f>('Pivot Table for Data Exchange'!$N$379)*100</f>
        <v>2.9604183276274443E-2</v>
      </c>
      <c r="H361" s="505">
        <f>('Pivot Table for Data Exchange'!$N$382)*100</f>
        <v>0</v>
      </c>
      <c r="I361" s="512"/>
      <c r="J361" s="552"/>
      <c r="K361" s="552"/>
      <c r="L361" s="552"/>
      <c r="M361" s="552"/>
      <c r="N361" s="552"/>
      <c r="O361" s="552"/>
      <c r="P361" s="552"/>
      <c r="Q361" s="510">
        <f t="shared" si="44"/>
        <v>100</v>
      </c>
      <c r="R361" s="510"/>
      <c r="S361" s="568"/>
      <c r="T361" s="573"/>
      <c r="U361" s="568"/>
      <c r="V361" s="568"/>
      <c r="W361" s="568"/>
      <c r="X361" s="568"/>
      <c r="Y361" s="568"/>
      <c r="Z361" s="568"/>
      <c r="AA361" s="568"/>
      <c r="AB361" s="568"/>
      <c r="AC361" s="568"/>
      <c r="AD361" s="568"/>
      <c r="AE361" s="568"/>
      <c r="AF361" s="568"/>
      <c r="AG361" s="568"/>
      <c r="AH361" s="568"/>
      <c r="AI361" s="568"/>
      <c r="AJ361" s="568"/>
      <c r="AK361" s="568"/>
      <c r="AL361" s="568"/>
      <c r="AM361" s="568"/>
      <c r="AN361" s="568"/>
      <c r="AO361" s="568"/>
    </row>
    <row r="362" spans="1:41" ht="15.75" customHeight="1">
      <c r="A362" s="512" t="s">
        <v>905</v>
      </c>
      <c r="B362" s="505">
        <f>('Pivot Table for Data Exchange'!$N$403)*100</f>
        <v>74.68524425046165</v>
      </c>
      <c r="C362" s="505">
        <f>('Pivot Table for Data Exchange'!$N$406)*100</f>
        <v>4.9300474539074752</v>
      </c>
      <c r="D362" s="506">
        <f>SUM(E362:G362)</f>
        <v>20.384708295630883</v>
      </c>
      <c r="E362" s="505">
        <f>('Pivot Table for Data Exchange'!$N$409)*100</f>
        <v>18.021430004462879</v>
      </c>
      <c r="F362" s="505">
        <f>('Pivot Table for Data Exchange'!$N$412)*100</f>
        <v>1.2221735445489423</v>
      </c>
      <c r="G362" s="515">
        <f>('Pivot Table for Data Exchange'!$N$415)*100</f>
        <v>1.1411047466190627</v>
      </c>
      <c r="H362" s="505">
        <f>('Pivot Table for Data Exchange'!$N$418)*100</f>
        <v>0</v>
      </c>
      <c r="I362" s="512"/>
      <c r="J362" s="552"/>
      <c r="K362" s="552"/>
      <c r="L362" s="552"/>
      <c r="M362" s="552"/>
      <c r="N362" s="552"/>
      <c r="O362" s="552"/>
      <c r="P362" s="552"/>
      <c r="Q362" s="510">
        <f t="shared" si="44"/>
        <v>100.00000000000001</v>
      </c>
      <c r="R362" s="510"/>
      <c r="S362" s="568"/>
      <c r="T362" s="568"/>
      <c r="U362" s="568"/>
      <c r="V362" s="568"/>
      <c r="W362" s="568"/>
      <c r="X362" s="568"/>
      <c r="Y362" s="568"/>
      <c r="Z362" s="568"/>
      <c r="AA362" s="568"/>
      <c r="AB362" s="568"/>
      <c r="AC362" s="568"/>
      <c r="AD362" s="568"/>
      <c r="AE362" s="568"/>
      <c r="AF362" s="568"/>
      <c r="AG362" s="568"/>
      <c r="AH362" s="568"/>
      <c r="AI362" s="568"/>
      <c r="AJ362" s="568"/>
      <c r="AK362" s="568"/>
      <c r="AL362" s="568"/>
      <c r="AM362" s="568"/>
      <c r="AN362" s="568"/>
      <c r="AO362" s="568"/>
    </row>
    <row r="363" spans="1:41" ht="12" customHeight="1">
      <c r="A363" s="512"/>
      <c r="B363" s="505"/>
      <c r="C363" s="505"/>
      <c r="D363" s="506"/>
      <c r="E363" s="505"/>
      <c r="F363" s="505"/>
      <c r="G363" s="515"/>
      <c r="H363" s="505"/>
      <c r="I363" s="512"/>
      <c r="J363" s="552"/>
      <c r="K363" s="552"/>
      <c r="L363" s="552"/>
      <c r="M363" s="552"/>
      <c r="N363" s="552"/>
      <c r="O363" s="552"/>
      <c r="P363" s="552"/>
      <c r="Q363" s="510">
        <f t="shared" si="44"/>
        <v>0</v>
      </c>
      <c r="R363" s="510"/>
      <c r="S363" s="568"/>
      <c r="T363" s="568"/>
      <c r="U363" s="568"/>
      <c r="V363" s="568"/>
      <c r="W363" s="568"/>
      <c r="X363" s="568"/>
      <c r="Y363" s="568"/>
      <c r="Z363" s="568"/>
      <c r="AA363" s="568"/>
      <c r="AB363" s="568"/>
      <c r="AC363" s="568"/>
      <c r="AD363" s="568"/>
      <c r="AE363" s="568"/>
      <c r="AF363" s="568"/>
      <c r="AG363" s="568"/>
      <c r="AH363" s="568"/>
      <c r="AI363" s="568"/>
      <c r="AJ363" s="568"/>
      <c r="AK363" s="568"/>
      <c r="AL363" s="568"/>
      <c r="AM363" s="568"/>
      <c r="AN363" s="568"/>
      <c r="AO363" s="568"/>
    </row>
    <row r="364" spans="1:41" ht="15.75" customHeight="1">
      <c r="A364" s="512" t="s">
        <v>906</v>
      </c>
      <c r="B364" s="505">
        <f>('Pivot Table for Data Exchange'!$N$439)*100</f>
        <v>33.917369241219482</v>
      </c>
      <c r="C364" s="505">
        <f>('Pivot Table for Data Exchange'!$N$442)*100</f>
        <v>39.555280297278941</v>
      </c>
      <c r="D364" s="506">
        <f>SUM(E364:G364)</f>
        <v>26.201702161665402</v>
      </c>
      <c r="E364" s="505">
        <f>('Pivot Table for Data Exchange'!$N$445)*100</f>
        <v>18.635873256882569</v>
      </c>
      <c r="F364" s="505">
        <f>('Pivot Table for Data Exchange'!$N$448)*100</f>
        <v>5.4800815119670752</v>
      </c>
      <c r="G364" s="515">
        <f>('Pivot Table for Data Exchange'!$N$451)*100</f>
        <v>2.085747392815759</v>
      </c>
      <c r="H364" s="505">
        <f>('Pivot Table for Data Exchange'!$N$454)*100</f>
        <v>0.32564829983617694</v>
      </c>
      <c r="I364" s="512"/>
      <c r="J364" s="552"/>
      <c r="K364" s="552"/>
      <c r="L364" s="552"/>
      <c r="M364" s="552"/>
      <c r="N364" s="552"/>
      <c r="O364" s="552"/>
      <c r="P364" s="552"/>
      <c r="Q364" s="510">
        <f t="shared" si="44"/>
        <v>99.999999999999986</v>
      </c>
      <c r="R364" s="510"/>
      <c r="S364" s="568"/>
      <c r="T364" s="568"/>
      <c r="U364" s="568"/>
      <c r="V364" s="568"/>
      <c r="W364" s="568"/>
      <c r="X364" s="568"/>
      <c r="Y364" s="568"/>
      <c r="Z364" s="568"/>
      <c r="AA364" s="568"/>
      <c r="AB364" s="568"/>
      <c r="AC364" s="568"/>
      <c r="AD364" s="568"/>
      <c r="AE364" s="568"/>
      <c r="AF364" s="568"/>
      <c r="AG364" s="568"/>
      <c r="AH364" s="568"/>
      <c r="AI364" s="568"/>
      <c r="AJ364" s="568"/>
      <c r="AK364" s="568"/>
      <c r="AL364" s="568"/>
      <c r="AM364" s="568"/>
      <c r="AN364" s="568"/>
      <c r="AO364" s="568"/>
    </row>
    <row r="365" spans="1:41" ht="15.75" customHeight="1">
      <c r="A365" s="512" t="s">
        <v>907</v>
      </c>
      <c r="B365" s="505">
        <f>('Pivot Table for Data Exchange'!$N$475)*100</f>
        <v>50.505430715856782</v>
      </c>
      <c r="C365" s="505">
        <f>('Pivot Table for Data Exchange'!$N$478)*100</f>
        <v>14.252057776467652</v>
      </c>
      <c r="D365" s="506">
        <f>SUM(E365:G365)</f>
        <v>35.242511507675559</v>
      </c>
      <c r="E365" s="505">
        <f>('Pivot Table for Data Exchange'!$N$481)*100</f>
        <v>32.310605201696106</v>
      </c>
      <c r="F365" s="505">
        <f>('Pivot Table for Data Exchange'!$N$484)*100</f>
        <v>1.8208203895603274</v>
      </c>
      <c r="G365" s="515">
        <f>('Pivot Table for Data Exchange'!$N$487)*100</f>
        <v>1.1110859164191289</v>
      </c>
      <c r="H365" s="505">
        <f>('Pivot Table for Data Exchange'!$N$490)*100</f>
        <v>0</v>
      </c>
      <c r="I365" s="512"/>
      <c r="J365" s="552"/>
      <c r="K365" s="552"/>
      <c r="L365" s="552"/>
      <c r="M365" s="552"/>
      <c r="N365" s="552"/>
      <c r="O365" s="552"/>
      <c r="P365" s="552"/>
      <c r="Q365" s="510">
        <f t="shared" si="44"/>
        <v>99.999999999999986</v>
      </c>
      <c r="R365" s="510"/>
      <c r="S365" s="568"/>
      <c r="T365" s="568"/>
      <c r="U365" s="568"/>
      <c r="V365" s="568"/>
      <c r="W365" s="568"/>
      <c r="X365" s="568"/>
      <c r="Y365" s="568"/>
      <c r="Z365" s="568"/>
      <c r="AA365" s="568"/>
      <c r="AB365" s="568"/>
      <c r="AC365" s="568"/>
      <c r="AD365" s="568"/>
      <c r="AE365" s="568"/>
      <c r="AF365" s="568"/>
      <c r="AG365" s="568"/>
      <c r="AH365" s="568"/>
      <c r="AI365" s="568"/>
      <c r="AJ365" s="568"/>
      <c r="AK365" s="568"/>
      <c r="AL365" s="568"/>
      <c r="AM365" s="568"/>
      <c r="AN365" s="568"/>
      <c r="AO365" s="568"/>
    </row>
    <row r="366" spans="1:41" ht="15.75" customHeight="1">
      <c r="A366" s="512" t="s">
        <v>908</v>
      </c>
      <c r="B366" s="505">
        <f>('Pivot Table for Data Exchange'!$N$511)*100</f>
        <v>41.211347674755558</v>
      </c>
      <c r="C366" s="505">
        <f>('Pivot Table for Data Exchange'!$N$514)*100</f>
        <v>23.048946859462962</v>
      </c>
      <c r="D366" s="506">
        <f>SUM(E366:G366)</f>
        <v>35.739705465781476</v>
      </c>
      <c r="E366" s="505">
        <f>('Pivot Table for Data Exchange'!$N$517)*100</f>
        <v>28.031218152632931</v>
      </c>
      <c r="F366" s="505">
        <f>('Pivot Table for Data Exchange'!$N$520)*100</f>
        <v>7.708487313148547</v>
      </c>
      <c r="G366" s="515">
        <f>('Pivot Table for Data Exchange'!$N$523)*100</f>
        <v>0</v>
      </c>
      <c r="H366" s="505">
        <f>('Pivot Table for Data Exchange'!$N$526)*100</f>
        <v>0</v>
      </c>
      <c r="I366" s="512"/>
      <c r="J366" s="552"/>
      <c r="K366" s="552"/>
      <c r="L366" s="552"/>
      <c r="M366" s="552"/>
      <c r="N366" s="552"/>
      <c r="O366" s="552"/>
      <c r="P366" s="552"/>
      <c r="Q366" s="510">
        <f t="shared" si="44"/>
        <v>100</v>
      </c>
      <c r="R366" s="510"/>
      <c r="S366" s="568"/>
      <c r="T366" s="568"/>
      <c r="U366" s="568"/>
      <c r="V366" s="568"/>
      <c r="W366" s="568"/>
      <c r="X366" s="568"/>
      <c r="Y366" s="568"/>
      <c r="Z366" s="568"/>
      <c r="AA366" s="568"/>
      <c r="AB366" s="568"/>
      <c r="AC366" s="568"/>
      <c r="AD366" s="568"/>
      <c r="AE366" s="568"/>
      <c r="AF366" s="568"/>
      <c r="AG366" s="568"/>
      <c r="AH366" s="568"/>
      <c r="AI366" s="568"/>
      <c r="AJ366" s="568"/>
      <c r="AK366" s="568"/>
      <c r="AL366" s="568"/>
      <c r="AM366" s="568"/>
      <c r="AN366" s="568"/>
      <c r="AO366" s="568"/>
    </row>
    <row r="367" spans="1:41" ht="15.75" customHeight="1">
      <c r="A367" s="484" t="s">
        <v>909</v>
      </c>
      <c r="B367" s="520">
        <f>('Pivot Table for Data Exchange'!$N$547)*100</f>
        <v>59.869364959637949</v>
      </c>
      <c r="C367" s="520">
        <f>('Pivot Table for Data Exchange'!$N$550)*100</f>
        <v>13.334403235383801</v>
      </c>
      <c r="D367" s="521">
        <f>SUM(E367:G367)</f>
        <v>26.796231804978255</v>
      </c>
      <c r="E367" s="520">
        <f>('Pivot Table for Data Exchange'!$N$553)*100</f>
        <v>24.55681982314519</v>
      </c>
      <c r="F367" s="520">
        <f>('Pivot Table for Data Exchange'!$N$556)*100</f>
        <v>2.2394119818330633</v>
      </c>
      <c r="G367" s="522">
        <f>('Pivot Table for Data Exchange'!$N$559)*100</f>
        <v>0</v>
      </c>
      <c r="H367" s="520">
        <f>('Pivot Table for Data Exchange'!$N$562)*100</f>
        <v>0</v>
      </c>
      <c r="I367" s="512"/>
      <c r="J367" s="552"/>
      <c r="K367" s="552"/>
      <c r="L367" s="552"/>
      <c r="M367" s="552"/>
      <c r="N367" s="552"/>
      <c r="O367" s="552"/>
      <c r="P367" s="552"/>
      <c r="Q367" s="510">
        <f t="shared" si="44"/>
        <v>100</v>
      </c>
      <c r="R367" s="510"/>
      <c r="S367" s="568"/>
      <c r="T367" s="568"/>
      <c r="U367" s="568"/>
      <c r="V367" s="568"/>
      <c r="W367" s="568"/>
      <c r="X367" s="568"/>
      <c r="Y367" s="568"/>
      <c r="Z367" s="568"/>
      <c r="AA367" s="568"/>
      <c r="AB367" s="568"/>
      <c r="AC367" s="568"/>
      <c r="AD367" s="568"/>
      <c r="AE367" s="568"/>
      <c r="AF367" s="568"/>
      <c r="AG367" s="568"/>
      <c r="AH367" s="568"/>
      <c r="AI367" s="568"/>
      <c r="AJ367" s="568"/>
      <c r="AK367" s="568"/>
      <c r="AL367" s="568"/>
      <c r="AM367" s="568"/>
      <c r="AN367" s="568"/>
      <c r="AO367" s="568"/>
    </row>
    <row r="368" spans="1:41" s="571" customFormat="1" ht="12" customHeight="1">
      <c r="A368" s="525" t="s">
        <v>937</v>
      </c>
      <c r="B368" s="526"/>
      <c r="C368" s="526"/>
      <c r="D368" s="527"/>
      <c r="E368" s="526"/>
      <c r="F368" s="527"/>
      <c r="G368" s="527"/>
      <c r="H368" s="526"/>
      <c r="I368" s="546"/>
      <c r="J368" s="526"/>
      <c r="K368" s="526"/>
      <c r="L368" s="527"/>
      <c r="M368" s="526"/>
      <c r="N368" s="527"/>
      <c r="O368" s="527"/>
      <c r="P368" s="526"/>
      <c r="Q368" s="510">
        <f t="shared" si="44"/>
        <v>0</v>
      </c>
      <c r="R368" s="553"/>
      <c r="S368" s="572"/>
      <c r="T368" s="572"/>
      <c r="U368" s="572"/>
      <c r="V368" s="572"/>
      <c r="W368" s="572"/>
      <c r="X368" s="572"/>
      <c r="Y368" s="572"/>
      <c r="Z368" s="572"/>
      <c r="AA368" s="572"/>
      <c r="AB368" s="572"/>
      <c r="AC368" s="572"/>
      <c r="AD368" s="572"/>
      <c r="AE368" s="572"/>
      <c r="AF368" s="572"/>
      <c r="AG368" s="572"/>
      <c r="AH368" s="572"/>
      <c r="AI368" s="572"/>
      <c r="AJ368" s="572"/>
      <c r="AK368" s="572"/>
      <c r="AL368" s="572"/>
      <c r="AM368" s="572"/>
      <c r="AN368" s="572"/>
      <c r="AO368" s="572"/>
    </row>
    <row r="369" spans="1:41" s="571" customFormat="1" ht="22.5" customHeight="1">
      <c r="A369" s="655" t="s">
        <v>952</v>
      </c>
      <c r="B369" s="667"/>
      <c r="C369" s="667"/>
      <c r="D369" s="667"/>
      <c r="E369" s="667"/>
      <c r="F369" s="667"/>
      <c r="G369" s="667"/>
      <c r="H369" s="667"/>
      <c r="I369" s="546"/>
      <c r="J369" s="524"/>
      <c r="K369" s="524"/>
      <c r="L369" s="524"/>
      <c r="M369" s="524"/>
      <c r="N369" s="524"/>
      <c r="O369" s="524"/>
      <c r="P369" s="541"/>
      <c r="Q369" s="510">
        <f t="shared" si="44"/>
        <v>0</v>
      </c>
      <c r="R369" s="554"/>
    </row>
    <row r="370" spans="1:41" s="571" customFormat="1" ht="13.5" customHeight="1">
      <c r="A370" s="538"/>
      <c r="B370" s="524"/>
      <c r="C370" s="524"/>
      <c r="D370" s="524"/>
      <c r="E370" s="524"/>
      <c r="F370" s="524"/>
      <c r="G370" s="524"/>
      <c r="H370" s="540"/>
      <c r="I370" s="538"/>
      <c r="J370" s="524"/>
      <c r="K370" s="524"/>
      <c r="L370" s="524"/>
      <c r="M370" s="524"/>
      <c r="N370" s="524"/>
      <c r="O370" s="524"/>
      <c r="P370" s="524"/>
      <c r="Q370" s="510">
        <f t="shared" si="44"/>
        <v>0</v>
      </c>
      <c r="R370" s="554"/>
    </row>
    <row r="371" spans="1:41" s="571" customFormat="1">
      <c r="A371" s="540"/>
      <c r="B371" s="526"/>
      <c r="C371" s="526"/>
      <c r="D371" s="527"/>
      <c r="E371" s="526"/>
      <c r="F371" s="527"/>
      <c r="G371" s="527"/>
      <c r="H371" s="532" t="s">
        <v>1015</v>
      </c>
      <c r="I371" s="558"/>
      <c r="J371" s="540"/>
      <c r="K371" s="540"/>
      <c r="L371" s="540"/>
      <c r="M371" s="540"/>
      <c r="N371" s="540"/>
      <c r="O371" s="540"/>
      <c r="P371" s="540"/>
      <c r="Q371" s="510">
        <f t="shared" si="44"/>
        <v>0</v>
      </c>
      <c r="R371" s="553"/>
      <c r="S371" s="572"/>
      <c r="T371" s="572"/>
      <c r="U371" s="572"/>
      <c r="V371" s="572"/>
      <c r="W371" s="572"/>
      <c r="X371" s="572"/>
      <c r="Y371" s="572"/>
      <c r="Z371" s="572"/>
      <c r="AA371" s="572"/>
      <c r="AB371" s="572"/>
      <c r="AC371" s="572"/>
      <c r="AD371" s="572"/>
      <c r="AE371" s="572"/>
      <c r="AF371" s="572"/>
      <c r="AG371" s="572"/>
      <c r="AH371" s="572"/>
      <c r="AI371" s="572"/>
      <c r="AJ371" s="572"/>
      <c r="AK371" s="572"/>
      <c r="AL371" s="572"/>
      <c r="AM371" s="572"/>
      <c r="AN371" s="572"/>
      <c r="AO371" s="572"/>
    </row>
    <row r="372" spans="1:41" ht="18">
      <c r="A372" s="472" t="s">
        <v>958</v>
      </c>
      <c r="B372" s="473"/>
      <c r="C372" s="473"/>
      <c r="D372" s="473"/>
      <c r="E372" s="473"/>
      <c r="F372" s="473"/>
      <c r="G372" s="473"/>
      <c r="H372" s="474"/>
      <c r="I372" s="550"/>
      <c r="J372" s="512"/>
      <c r="K372" s="512"/>
      <c r="L372" s="512"/>
      <c r="M372" s="512"/>
      <c r="N372" s="512"/>
      <c r="O372" s="512"/>
      <c r="P372" s="512"/>
      <c r="Q372" s="510">
        <f t="shared" si="44"/>
        <v>0</v>
      </c>
    </row>
    <row r="373" spans="1:41">
      <c r="A373" s="479"/>
      <c r="B373" s="475"/>
      <c r="C373" s="475"/>
      <c r="D373" s="475"/>
      <c r="E373" s="475"/>
      <c r="F373" s="475"/>
      <c r="G373" s="475"/>
      <c r="H373" s="480"/>
      <c r="I373" s="550"/>
      <c r="J373" s="512"/>
      <c r="K373" s="512"/>
      <c r="L373" s="512"/>
      <c r="M373" s="512"/>
      <c r="N373" s="512"/>
      <c r="O373" s="512"/>
      <c r="P373" s="512"/>
      <c r="Q373" s="510">
        <f t="shared" si="44"/>
        <v>0</v>
      </c>
    </row>
    <row r="374" spans="1:41" ht="15.75">
      <c r="A374" s="481" t="s">
        <v>917</v>
      </c>
      <c r="B374" s="475"/>
      <c r="C374" s="475"/>
      <c r="D374" s="475"/>
      <c r="E374" s="475"/>
      <c r="F374" s="475"/>
      <c r="G374" s="475"/>
      <c r="H374" s="480"/>
      <c r="I374" s="550"/>
      <c r="J374" s="512"/>
      <c r="K374" s="512"/>
      <c r="L374" s="512"/>
      <c r="M374" s="512"/>
      <c r="N374" s="512"/>
      <c r="O374" s="512"/>
      <c r="P374" s="512"/>
      <c r="Q374" s="510">
        <f t="shared" si="44"/>
        <v>0</v>
      </c>
    </row>
    <row r="375" spans="1:41" ht="15.75">
      <c r="A375" s="481" t="s">
        <v>1012</v>
      </c>
      <c r="B375" s="475"/>
      <c r="C375" s="475"/>
      <c r="D375" s="475"/>
      <c r="E375" s="475"/>
      <c r="F375" s="475"/>
      <c r="G375" s="475"/>
      <c r="H375" s="480"/>
      <c r="I375" s="550"/>
      <c r="J375" s="512"/>
      <c r="K375" s="512"/>
      <c r="L375" s="512"/>
      <c r="M375" s="512"/>
      <c r="N375" s="512"/>
      <c r="O375" s="512"/>
      <c r="P375" s="512"/>
      <c r="Q375" s="510">
        <f t="shared" si="44"/>
        <v>0</v>
      </c>
    </row>
    <row r="376" spans="1:41">
      <c r="A376" s="484"/>
      <c r="B376" s="485"/>
      <c r="C376" s="485"/>
      <c r="D376" s="485"/>
      <c r="E376" s="485"/>
      <c r="F376" s="485"/>
      <c r="G376" s="485"/>
      <c r="H376" s="485"/>
      <c r="I376" s="550"/>
      <c r="J376" s="512"/>
      <c r="K376" s="512"/>
      <c r="L376" s="512"/>
      <c r="M376" s="512"/>
      <c r="N376" s="512"/>
      <c r="O376" s="512"/>
      <c r="P376" s="512"/>
      <c r="Q376" s="510">
        <f t="shared" si="44"/>
        <v>0</v>
      </c>
    </row>
    <row r="377" spans="1:41">
      <c r="A377" s="489"/>
      <c r="B377" s="490" t="s">
        <v>919</v>
      </c>
      <c r="C377" s="490"/>
      <c r="D377" s="490"/>
      <c r="E377" s="490"/>
      <c r="F377" s="490"/>
      <c r="G377" s="490"/>
      <c r="H377" s="491"/>
      <c r="I377" s="550"/>
      <c r="J377" s="512"/>
      <c r="K377" s="512"/>
      <c r="L377" s="512"/>
      <c r="M377" s="512"/>
      <c r="N377" s="512"/>
      <c r="O377" s="512"/>
      <c r="P377" s="512"/>
      <c r="Q377" s="510">
        <f t="shared" si="44"/>
        <v>0</v>
      </c>
    </row>
    <row r="378" spans="1:41">
      <c r="A378" s="489"/>
      <c r="B378" s="490" t="s">
        <v>920</v>
      </c>
      <c r="C378" s="490"/>
      <c r="D378" s="659" t="s">
        <v>921</v>
      </c>
      <c r="E378" s="657"/>
      <c r="F378" s="657"/>
      <c r="G378" s="657"/>
      <c r="H378" s="495" t="s">
        <v>320</v>
      </c>
      <c r="I378" s="550"/>
      <c r="J378" s="512"/>
      <c r="K378" s="512"/>
      <c r="L378" s="512"/>
      <c r="M378" s="512"/>
      <c r="N378" s="512"/>
      <c r="O378" s="512"/>
      <c r="P378" s="512"/>
      <c r="Q378" s="510">
        <f t="shared" si="44"/>
        <v>0</v>
      </c>
    </row>
    <row r="379" spans="1:41" ht="36">
      <c r="A379" s="489"/>
      <c r="B379" s="496" t="s">
        <v>922</v>
      </c>
      <c r="C379" s="497" t="s">
        <v>923</v>
      </c>
      <c r="D379" s="498" t="s">
        <v>924</v>
      </c>
      <c r="E379" s="499" t="s">
        <v>10</v>
      </c>
      <c r="F379" s="496" t="s">
        <v>925</v>
      </c>
      <c r="G379" s="500" t="s">
        <v>935</v>
      </c>
      <c r="H379" s="501" t="s">
        <v>927</v>
      </c>
      <c r="I379" s="550"/>
      <c r="J379" s="512"/>
      <c r="K379" s="512"/>
      <c r="L379" s="512"/>
      <c r="M379" s="512"/>
      <c r="N379" s="512"/>
      <c r="O379" s="512"/>
      <c r="P379" s="512"/>
      <c r="Q379" s="510">
        <f t="shared" si="44"/>
        <v>0</v>
      </c>
    </row>
    <row r="380" spans="1:41" ht="15.75" customHeight="1">
      <c r="A380" s="534" t="s">
        <v>894</v>
      </c>
      <c r="B380" s="567">
        <f>('Pivot Table for Data Exchange'!$R$7)*100</f>
        <v>87.19592428894363</v>
      </c>
      <c r="C380" s="505">
        <f>('Pivot Table for Data Exchange'!$R$10)*100</f>
        <v>2.7182653485835107</v>
      </c>
      <c r="D380" s="506">
        <f>SUM(E380:G380)</f>
        <v>10.085810362472868</v>
      </c>
      <c r="E380" s="505">
        <f>('Pivot Table for Data Exchange'!$R$13)*100</f>
        <v>7.1302450599997753</v>
      </c>
      <c r="F380" s="505">
        <f>('Pivot Table for Data Exchange'!$R$16)*100</f>
        <v>0</v>
      </c>
      <c r="G380" s="509">
        <f>('Pivot Table for Data Exchange'!$R$19)*100</f>
        <v>2.9555653024730932</v>
      </c>
      <c r="H380" s="505">
        <f>('Pivot Table for Data Exchange'!$R$22)*100</f>
        <v>0</v>
      </c>
      <c r="I380" s="512"/>
      <c r="J380" s="552"/>
      <c r="K380" s="552"/>
      <c r="L380" s="552"/>
      <c r="M380" s="552"/>
      <c r="N380" s="552"/>
      <c r="O380" s="552"/>
      <c r="P380" s="552"/>
      <c r="Q380" s="510">
        <f t="shared" si="44"/>
        <v>100.00000000000001</v>
      </c>
      <c r="R380" s="510"/>
      <c r="S380" s="568"/>
      <c r="T380" s="568"/>
      <c r="U380" s="568"/>
      <c r="V380" s="568"/>
      <c r="W380" s="568"/>
      <c r="X380" s="568"/>
      <c r="Y380" s="568"/>
      <c r="Z380" s="568"/>
      <c r="AA380" s="568"/>
      <c r="AB380" s="568"/>
      <c r="AC380" s="568"/>
      <c r="AD380" s="568"/>
      <c r="AE380" s="568"/>
      <c r="AF380" s="568"/>
      <c r="AG380" s="568"/>
      <c r="AH380" s="568"/>
      <c r="AI380" s="568"/>
      <c r="AJ380" s="568"/>
      <c r="AK380" s="568"/>
      <c r="AL380" s="568"/>
      <c r="AM380" s="568"/>
      <c r="AN380" s="568"/>
      <c r="AO380" s="568"/>
    </row>
    <row r="381" spans="1:41" ht="15.75" customHeight="1">
      <c r="A381" s="512" t="s">
        <v>895</v>
      </c>
      <c r="B381" s="505">
        <f>('Pivot Table for Data Exchange'!$R$43)*100</f>
        <v>0</v>
      </c>
      <c r="C381" s="505">
        <f>('Pivot Table for Data Exchange'!$R$46)*100</f>
        <v>0</v>
      </c>
      <c r="D381" s="506">
        <f t="shared" ref="D381:D383" si="47">SUM(E381:G381)</f>
        <v>0</v>
      </c>
      <c r="E381" s="505">
        <f>('Pivot Table for Data Exchange'!$R$49)*100</f>
        <v>0</v>
      </c>
      <c r="F381" s="505">
        <f>('Pivot Table for Data Exchange'!$R$52)*100</f>
        <v>0</v>
      </c>
      <c r="G381" s="515">
        <f>('Pivot Table for Data Exchange'!$R$55)*100</f>
        <v>0</v>
      </c>
      <c r="H381" s="505">
        <f>('Pivot Table for Data Exchange'!$R$58)*100</f>
        <v>0</v>
      </c>
      <c r="I381" s="512"/>
      <c r="J381" s="552"/>
      <c r="K381" s="552"/>
      <c r="L381" s="552"/>
      <c r="M381" s="552"/>
      <c r="N381" s="552"/>
      <c r="O381" s="552"/>
      <c r="P381" s="552"/>
      <c r="Q381" s="510">
        <f t="shared" si="44"/>
        <v>0</v>
      </c>
      <c r="R381" s="510"/>
      <c r="S381" s="568"/>
      <c r="T381" s="568"/>
      <c r="U381" s="568"/>
      <c r="V381" s="568"/>
      <c r="W381" s="568"/>
      <c r="X381" s="568"/>
      <c r="Y381" s="568"/>
      <c r="Z381" s="568"/>
      <c r="AA381" s="568"/>
      <c r="AB381" s="568"/>
      <c r="AC381" s="568"/>
      <c r="AD381" s="568"/>
      <c r="AE381" s="568"/>
      <c r="AF381" s="568"/>
      <c r="AG381" s="568"/>
      <c r="AH381" s="568"/>
      <c r="AI381" s="568"/>
      <c r="AJ381" s="568"/>
      <c r="AK381" s="568"/>
      <c r="AL381" s="568"/>
      <c r="AM381" s="568"/>
      <c r="AN381" s="568"/>
      <c r="AO381" s="568"/>
    </row>
    <row r="382" spans="1:41" ht="15.75" customHeight="1">
      <c r="A382" s="512" t="s">
        <v>896</v>
      </c>
      <c r="B382" s="505">
        <f>('Pivot Table for Data Exchange'!$R$79)*100</f>
        <v>0</v>
      </c>
      <c r="C382" s="505">
        <f>('Pivot Table for Data Exchange'!$R$82)*100</f>
        <v>0</v>
      </c>
      <c r="D382" s="506">
        <f t="shared" si="47"/>
        <v>0</v>
      </c>
      <c r="E382" s="505">
        <f>('Pivot Table for Data Exchange'!$R$85)*100</f>
        <v>0</v>
      </c>
      <c r="F382" s="505">
        <f>('Pivot Table for Data Exchange'!$R$88)*100</f>
        <v>0</v>
      </c>
      <c r="G382" s="515">
        <f>('Pivot Table for Data Exchange'!$R$91)*100</f>
        <v>0</v>
      </c>
      <c r="H382" s="505">
        <f>('Pivot Table for Data Exchange'!$R$94)*100</f>
        <v>0</v>
      </c>
      <c r="I382" s="512"/>
      <c r="J382" s="552"/>
      <c r="K382" s="552"/>
      <c r="L382" s="552"/>
      <c r="M382" s="552"/>
      <c r="N382" s="552"/>
      <c r="O382" s="552"/>
      <c r="P382" s="552"/>
      <c r="Q382" s="510">
        <f t="shared" si="44"/>
        <v>0</v>
      </c>
      <c r="R382" s="510"/>
      <c r="S382" s="568"/>
      <c r="T382" s="573"/>
      <c r="U382" s="568"/>
      <c r="V382" s="568"/>
      <c r="W382" s="568"/>
      <c r="X382" s="568"/>
      <c r="Y382" s="568"/>
      <c r="Z382" s="568"/>
      <c r="AA382" s="568"/>
      <c r="AB382" s="568"/>
      <c r="AC382" s="568"/>
      <c r="AD382" s="568"/>
      <c r="AE382" s="568"/>
      <c r="AF382" s="568"/>
      <c r="AG382" s="568"/>
      <c r="AH382" s="568"/>
      <c r="AI382" s="568"/>
      <c r="AJ382" s="568"/>
      <c r="AK382" s="568"/>
      <c r="AL382" s="568"/>
      <c r="AM382" s="568"/>
      <c r="AN382" s="568"/>
      <c r="AO382" s="568"/>
    </row>
    <row r="383" spans="1:41" ht="15.75" customHeight="1">
      <c r="A383" s="512" t="s">
        <v>897</v>
      </c>
      <c r="B383" s="505">
        <f>('Pivot Table for Data Exchange'!$R$115)*100</f>
        <v>0</v>
      </c>
      <c r="C383" s="505">
        <f>('Pivot Table for Data Exchange'!$R$118)*100</f>
        <v>0</v>
      </c>
      <c r="D383" s="506">
        <f t="shared" si="47"/>
        <v>0</v>
      </c>
      <c r="E383" s="505">
        <f>('Pivot Table for Data Exchange'!$R$121)*100</f>
        <v>0</v>
      </c>
      <c r="F383" s="505">
        <f>('Pivot Table for Data Exchange'!$R$124)*100</f>
        <v>0</v>
      </c>
      <c r="G383" s="515">
        <f>('Pivot Table for Data Exchange'!$R$127)*100</f>
        <v>0</v>
      </c>
      <c r="H383" s="505">
        <f>('Pivot Table for Data Exchange'!$R$130)*100</f>
        <v>0</v>
      </c>
      <c r="I383" s="512"/>
      <c r="J383" s="552"/>
      <c r="K383" s="552"/>
      <c r="L383" s="552"/>
      <c r="M383" s="552"/>
      <c r="N383" s="552"/>
      <c r="O383" s="552"/>
      <c r="P383" s="552"/>
      <c r="Q383" s="510">
        <f t="shared" si="44"/>
        <v>0</v>
      </c>
      <c r="R383" s="510"/>
      <c r="S383" s="568"/>
      <c r="U383" s="568"/>
      <c r="V383" s="568"/>
      <c r="W383" s="568"/>
      <c r="X383" s="568"/>
      <c r="Y383" s="568"/>
      <c r="Z383" s="568"/>
      <c r="AA383" s="568"/>
      <c r="AB383" s="568"/>
      <c r="AC383" s="568"/>
      <c r="AD383" s="568"/>
      <c r="AE383" s="568"/>
      <c r="AF383" s="568"/>
      <c r="AG383" s="568"/>
      <c r="AH383" s="568"/>
      <c r="AI383" s="568"/>
      <c r="AJ383" s="568"/>
      <c r="AK383" s="568"/>
      <c r="AL383" s="568"/>
      <c r="AM383" s="568"/>
      <c r="AN383" s="568"/>
      <c r="AO383" s="568"/>
    </row>
    <row r="384" spans="1:41" ht="15.75" customHeight="1">
      <c r="A384" s="512"/>
      <c r="B384" s="505"/>
      <c r="C384" s="505"/>
      <c r="D384" s="506"/>
      <c r="E384" s="505"/>
      <c r="F384" s="505"/>
      <c r="G384" s="515"/>
      <c r="H384" s="505"/>
      <c r="I384" s="512"/>
      <c r="J384" s="552"/>
      <c r="K384" s="552"/>
      <c r="L384" s="552"/>
      <c r="M384" s="552"/>
      <c r="N384" s="552"/>
      <c r="O384" s="552"/>
      <c r="P384" s="552"/>
      <c r="Q384" s="510">
        <f t="shared" si="44"/>
        <v>0</v>
      </c>
      <c r="R384" s="510"/>
      <c r="S384" s="568"/>
      <c r="U384" s="568"/>
      <c r="V384" s="568"/>
      <c r="W384" s="568"/>
      <c r="X384" s="568"/>
      <c r="Y384" s="568"/>
      <c r="Z384" s="568"/>
      <c r="AA384" s="568"/>
      <c r="AB384" s="568"/>
      <c r="AC384" s="568"/>
      <c r="AD384" s="568"/>
      <c r="AE384" s="568"/>
      <c r="AF384" s="568"/>
      <c r="AG384" s="568"/>
      <c r="AH384" s="568"/>
      <c r="AI384" s="568"/>
      <c r="AJ384" s="568"/>
      <c r="AK384" s="568"/>
      <c r="AL384" s="568"/>
      <c r="AM384" s="568"/>
      <c r="AN384" s="568"/>
      <c r="AO384" s="568"/>
    </row>
    <row r="385" spans="1:41" ht="15.75" customHeight="1">
      <c r="A385" s="512" t="s">
        <v>898</v>
      </c>
      <c r="B385" s="505">
        <f>('Pivot Table for Data Exchange'!$R$151)*100</f>
        <v>67.727248573176553</v>
      </c>
      <c r="C385" s="505">
        <f>('Pivot Table for Data Exchange'!$R$154)*100</f>
        <v>0</v>
      </c>
      <c r="D385" s="506">
        <f t="shared" ref="D385:D386" si="48">SUM(E385:G385)</f>
        <v>32.272751426823454</v>
      </c>
      <c r="E385" s="505">
        <f>('Pivot Table for Data Exchange'!$R$157)*100</f>
        <v>31.675257815162635</v>
      </c>
      <c r="F385" s="505">
        <f>('Pivot Table for Data Exchange'!$R$160)*100</f>
        <v>0.5974936116608206</v>
      </c>
      <c r="G385" s="515">
        <f>('Pivot Table for Data Exchange'!$R$163)*100</f>
        <v>0</v>
      </c>
      <c r="H385" s="505">
        <f>('Pivot Table for Data Exchange'!$R$166)*100</f>
        <v>0</v>
      </c>
      <c r="I385" s="512"/>
      <c r="J385" s="552"/>
      <c r="K385" s="552"/>
      <c r="L385" s="552"/>
      <c r="M385" s="552"/>
      <c r="N385" s="552"/>
      <c r="O385" s="552"/>
      <c r="P385" s="552"/>
      <c r="Q385" s="510">
        <f t="shared" si="44"/>
        <v>100</v>
      </c>
      <c r="R385" s="510"/>
      <c r="S385" s="568"/>
      <c r="T385" s="568"/>
      <c r="U385" s="568"/>
      <c r="V385" s="568"/>
      <c r="W385" s="568"/>
      <c r="X385" s="568"/>
      <c r="Y385" s="568"/>
      <c r="Z385" s="568"/>
      <c r="AA385" s="568"/>
      <c r="AB385" s="568"/>
      <c r="AC385" s="568"/>
      <c r="AD385" s="568"/>
      <c r="AE385" s="568"/>
      <c r="AF385" s="568"/>
      <c r="AG385" s="568"/>
      <c r="AH385" s="568"/>
      <c r="AI385" s="568"/>
      <c r="AJ385" s="568"/>
      <c r="AK385" s="568"/>
      <c r="AL385" s="568"/>
      <c r="AM385" s="568"/>
      <c r="AN385" s="568"/>
      <c r="AO385" s="568"/>
    </row>
    <row r="386" spans="1:41" ht="15.75" customHeight="1">
      <c r="A386" s="512" t="s">
        <v>899</v>
      </c>
      <c r="B386" s="505">
        <f>('Pivot Table for Data Exchange'!$R$187)*100</f>
        <v>53.582912578848706</v>
      </c>
      <c r="C386" s="505">
        <f>('Pivot Table for Data Exchange'!$R$190)*100</f>
        <v>14.296758480084288</v>
      </c>
      <c r="D386" s="506">
        <f t="shared" si="48"/>
        <v>32.120328941067008</v>
      </c>
      <c r="E386" s="505">
        <f>('Pivot Table for Data Exchange'!$R$193)*100</f>
        <v>32.120328941067008</v>
      </c>
      <c r="F386" s="505">
        <f>('Pivot Table for Data Exchange'!$R$196)*100</f>
        <v>0</v>
      </c>
      <c r="G386" s="515">
        <f>('Pivot Table for Data Exchange'!$R$199)*100</f>
        <v>0</v>
      </c>
      <c r="H386" s="505">
        <f>('Pivot Table for Data Exchange'!$R$202)*100</f>
        <v>0</v>
      </c>
      <c r="I386" s="512"/>
      <c r="J386" s="552"/>
      <c r="K386" s="552"/>
      <c r="L386" s="552"/>
      <c r="M386" s="552"/>
      <c r="N386" s="552"/>
      <c r="O386" s="552"/>
      <c r="P386" s="552"/>
      <c r="Q386" s="510">
        <f t="shared" si="44"/>
        <v>100</v>
      </c>
      <c r="R386" s="510"/>
      <c r="S386" s="568"/>
      <c r="T386" s="568"/>
      <c r="U386" s="568"/>
      <c r="V386" s="568"/>
      <c r="W386" s="568"/>
      <c r="X386" s="568"/>
      <c r="Y386" s="568"/>
      <c r="Z386" s="568"/>
      <c r="AA386" s="568"/>
      <c r="AB386" s="568"/>
      <c r="AC386" s="568"/>
      <c r="AD386" s="568"/>
      <c r="AE386" s="568"/>
      <c r="AF386" s="568"/>
      <c r="AG386" s="568"/>
      <c r="AH386" s="568"/>
      <c r="AI386" s="568"/>
      <c r="AJ386" s="568"/>
      <c r="AK386" s="568"/>
      <c r="AL386" s="568"/>
      <c r="AM386" s="568"/>
      <c r="AN386" s="568"/>
      <c r="AO386" s="568"/>
    </row>
    <row r="387" spans="1:41" ht="15.75" customHeight="1">
      <c r="A387" s="512" t="s">
        <v>900</v>
      </c>
      <c r="B387" s="505">
        <f>('Pivot Table for Data Exchange'!$R$223)*100</f>
        <v>89.965644174715678</v>
      </c>
      <c r="C387" s="505">
        <f>('Pivot Table for Data Exchange'!$R$226)*100</f>
        <v>0</v>
      </c>
      <c r="D387" s="506">
        <f>SUM(E387:G387)</f>
        <v>10.034355825284333</v>
      </c>
      <c r="E387" s="505">
        <f>('Pivot Table for Data Exchange'!$R$229)*100</f>
        <v>10.034355825284333</v>
      </c>
      <c r="F387" s="505">
        <f>('Pivot Table for Data Exchange'!$R$232)*100</f>
        <v>0</v>
      </c>
      <c r="G387" s="515">
        <f>('Pivot Table for Data Exchange'!$R$235)*100</f>
        <v>0</v>
      </c>
      <c r="H387" s="505">
        <f>('Pivot Table for Data Exchange'!$R$238)*100</f>
        <v>0</v>
      </c>
      <c r="I387" s="559"/>
      <c r="J387" s="552"/>
      <c r="K387" s="552"/>
      <c r="L387" s="552"/>
      <c r="M387" s="552"/>
      <c r="N387" s="552"/>
      <c r="O387" s="552"/>
      <c r="P387" s="552"/>
      <c r="Q387" s="510">
        <f t="shared" si="44"/>
        <v>100.00000000000001</v>
      </c>
      <c r="R387" s="510"/>
      <c r="S387" s="568"/>
      <c r="T387" s="573"/>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row>
    <row r="388" spans="1:41" ht="15.75" customHeight="1">
      <c r="A388" s="512" t="s">
        <v>901</v>
      </c>
      <c r="B388" s="505">
        <f>('Pivot Table for Data Exchange'!$R$259)*100</f>
        <v>0</v>
      </c>
      <c r="C388" s="505">
        <f>('Pivot Table for Data Exchange'!$R$262)*100</f>
        <v>0</v>
      </c>
      <c r="D388" s="506">
        <f>SUM(E388:G388)</f>
        <v>0</v>
      </c>
      <c r="E388" s="505">
        <f>('Pivot Table for Data Exchange'!$R$265)*100</f>
        <v>0</v>
      </c>
      <c r="F388" s="505">
        <f>('Pivot Table for Data Exchange'!$R$268)*100</f>
        <v>0</v>
      </c>
      <c r="G388" s="515">
        <f>('Pivot Table for Data Exchange'!$R$271)*100</f>
        <v>0</v>
      </c>
      <c r="H388" s="505">
        <f>('Pivot Table for Data Exchange'!$R$274)*100</f>
        <v>0</v>
      </c>
      <c r="I388" s="512"/>
      <c r="J388" s="552"/>
      <c r="K388" s="552"/>
      <c r="L388" s="552"/>
      <c r="M388" s="552"/>
      <c r="N388" s="552"/>
      <c r="O388" s="552"/>
      <c r="P388" s="552"/>
      <c r="Q388" s="510">
        <f t="shared" si="44"/>
        <v>0</v>
      </c>
      <c r="R388" s="510"/>
      <c r="S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row>
    <row r="389" spans="1:41" ht="15.75" customHeight="1">
      <c r="A389" s="512"/>
      <c r="B389" s="505"/>
      <c r="C389" s="505"/>
      <c r="D389" s="506"/>
      <c r="E389" s="505"/>
      <c r="F389" s="505"/>
      <c r="G389" s="515"/>
      <c r="H389" s="505"/>
      <c r="I389" s="512"/>
      <c r="J389" s="552"/>
      <c r="K389" s="552"/>
      <c r="L389" s="552"/>
      <c r="M389" s="552"/>
      <c r="N389" s="552"/>
      <c r="O389" s="552"/>
      <c r="P389" s="552"/>
      <c r="Q389" s="510">
        <f t="shared" si="44"/>
        <v>0</v>
      </c>
      <c r="R389" s="510"/>
      <c r="S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row>
    <row r="390" spans="1:41" ht="15.75" customHeight="1">
      <c r="A390" s="512" t="s">
        <v>902</v>
      </c>
      <c r="B390" s="505">
        <f>('Pivot Table for Data Exchange'!$R$295)*100</f>
        <v>0</v>
      </c>
      <c r="C390" s="505">
        <f>('Pivot Table for Data Exchange'!$R$298)*100</f>
        <v>0</v>
      </c>
      <c r="D390" s="506">
        <f>SUM(E390:G390)</f>
        <v>0</v>
      </c>
      <c r="E390" s="505">
        <f>('Pivot Table for Data Exchange'!$R$301)*100</f>
        <v>0</v>
      </c>
      <c r="F390" s="505">
        <f>('Pivot Table for Data Exchange'!$R$304)*100</f>
        <v>0</v>
      </c>
      <c r="G390" s="515">
        <f>('Pivot Table for Data Exchange'!$R$307)*100</f>
        <v>0</v>
      </c>
      <c r="H390" s="505">
        <f>('Pivot Table for Data Exchange'!$R$310)*100</f>
        <v>0</v>
      </c>
      <c r="I390" s="512"/>
      <c r="J390" s="552"/>
      <c r="K390" s="552"/>
      <c r="L390" s="552"/>
      <c r="M390" s="552"/>
      <c r="N390" s="552"/>
      <c r="O390" s="552"/>
      <c r="P390" s="552"/>
      <c r="Q390" s="510">
        <f t="shared" si="44"/>
        <v>0</v>
      </c>
      <c r="R390" s="510"/>
      <c r="S390" s="568"/>
      <c r="T390" s="568"/>
      <c r="U390" s="568"/>
      <c r="V390" s="568"/>
      <c r="W390" s="568"/>
      <c r="X390" s="568"/>
      <c r="Y390" s="568"/>
      <c r="Z390" s="568"/>
      <c r="AA390" s="568"/>
      <c r="AB390" s="568"/>
      <c r="AC390" s="568"/>
      <c r="AD390" s="568"/>
      <c r="AE390" s="568"/>
      <c r="AF390" s="568"/>
      <c r="AG390" s="568"/>
      <c r="AH390" s="568"/>
      <c r="AI390" s="568"/>
      <c r="AJ390" s="568"/>
      <c r="AK390" s="568"/>
      <c r="AL390" s="568"/>
      <c r="AM390" s="568"/>
      <c r="AN390" s="568"/>
      <c r="AO390" s="568"/>
    </row>
    <row r="391" spans="1:41" ht="15.75" customHeight="1">
      <c r="A391" s="512" t="s">
        <v>903</v>
      </c>
      <c r="B391" s="505">
        <f>('Pivot Table for Data Exchange'!$R$331)*100</f>
        <v>0</v>
      </c>
      <c r="C391" s="505">
        <f>('Pivot Table for Data Exchange'!$R$334)*100</f>
        <v>0</v>
      </c>
      <c r="D391" s="506">
        <f>SUM(E391:G391)</f>
        <v>0</v>
      </c>
      <c r="E391" s="505">
        <f>('Pivot Table for Data Exchange'!$R$337)*100</f>
        <v>0</v>
      </c>
      <c r="F391" s="505">
        <f>('Pivot Table for Data Exchange'!$R$340)*100</f>
        <v>0</v>
      </c>
      <c r="G391" s="515">
        <f>('Pivot Table for Data Exchange'!$R$343)*100</f>
        <v>0</v>
      </c>
      <c r="H391" s="505">
        <f>('Pivot Table for Data Exchange'!$R$346)*100</f>
        <v>0</v>
      </c>
      <c r="I391" s="512"/>
      <c r="J391" s="552"/>
      <c r="K391" s="552"/>
      <c r="L391" s="552"/>
      <c r="M391" s="552"/>
      <c r="N391" s="552"/>
      <c r="O391" s="552"/>
      <c r="P391" s="552"/>
      <c r="Q391" s="510">
        <f t="shared" si="44"/>
        <v>0</v>
      </c>
      <c r="R391" s="510"/>
      <c r="S391" s="568"/>
      <c r="T391" s="568"/>
      <c r="U391" s="568"/>
      <c r="V391" s="568"/>
      <c r="W391" s="568"/>
      <c r="X391" s="568"/>
      <c r="Y391" s="568"/>
      <c r="Z391" s="568"/>
      <c r="AA391" s="568"/>
      <c r="AB391" s="568"/>
      <c r="AC391" s="568"/>
      <c r="AD391" s="568"/>
      <c r="AE391" s="568"/>
      <c r="AF391" s="568"/>
      <c r="AG391" s="568"/>
      <c r="AH391" s="568"/>
      <c r="AI391" s="568"/>
      <c r="AJ391" s="568"/>
      <c r="AK391" s="568"/>
      <c r="AL391" s="568"/>
      <c r="AM391" s="568"/>
      <c r="AN391" s="568"/>
      <c r="AO391" s="568"/>
    </row>
    <row r="392" spans="1:41" ht="15.75" customHeight="1">
      <c r="A392" s="512" t="s">
        <v>904</v>
      </c>
      <c r="B392" s="505">
        <f>('Pivot Table for Data Exchange'!$R$367)*100</f>
        <v>0</v>
      </c>
      <c r="C392" s="505">
        <f>('Pivot Table for Data Exchange'!$R$370)*100</f>
        <v>0</v>
      </c>
      <c r="D392" s="506">
        <f>SUM(E392:G392)</f>
        <v>0</v>
      </c>
      <c r="E392" s="505">
        <f>('Pivot Table for Data Exchange'!$R$373)*100</f>
        <v>0</v>
      </c>
      <c r="F392" s="505">
        <f>('Pivot Table for Data Exchange'!$R$376)*100</f>
        <v>0</v>
      </c>
      <c r="G392" s="515">
        <f>('Pivot Table for Data Exchange'!$R$379)*100</f>
        <v>0</v>
      </c>
      <c r="H392" s="505">
        <f>('Pivot Table for Data Exchange'!$R$382)*100</f>
        <v>0</v>
      </c>
      <c r="I392" s="512"/>
      <c r="J392" s="552"/>
      <c r="K392" s="552"/>
      <c r="L392" s="552"/>
      <c r="M392" s="552"/>
      <c r="N392" s="552"/>
      <c r="O392" s="552"/>
      <c r="P392" s="552"/>
      <c r="Q392" s="510">
        <f t="shared" si="44"/>
        <v>0</v>
      </c>
      <c r="R392" s="510"/>
      <c r="S392" s="568"/>
      <c r="T392" s="573"/>
      <c r="U392" s="568"/>
      <c r="V392" s="568"/>
      <c r="W392" s="568"/>
      <c r="X392" s="568"/>
      <c r="Y392" s="568"/>
      <c r="Z392" s="568"/>
      <c r="AA392" s="568"/>
      <c r="AB392" s="568"/>
      <c r="AC392" s="568"/>
      <c r="AD392" s="568"/>
      <c r="AE392" s="568"/>
      <c r="AF392" s="568"/>
      <c r="AG392" s="568"/>
      <c r="AH392" s="568"/>
      <c r="AI392" s="568"/>
      <c r="AJ392" s="568"/>
      <c r="AK392" s="568"/>
      <c r="AL392" s="568"/>
      <c r="AM392" s="568"/>
      <c r="AN392" s="568"/>
      <c r="AO392" s="568"/>
    </row>
    <row r="393" spans="1:41" ht="15.75" customHeight="1">
      <c r="A393" s="512" t="s">
        <v>905</v>
      </c>
      <c r="B393" s="505">
        <f>('Pivot Table for Data Exchange'!$R$403)*100</f>
        <v>0</v>
      </c>
      <c r="C393" s="505">
        <f>('Pivot Table for Data Exchange'!$R$406)*100</f>
        <v>0</v>
      </c>
      <c r="D393" s="506">
        <f>SUM(E393:G393)</f>
        <v>0</v>
      </c>
      <c r="E393" s="505">
        <f>('Pivot Table for Data Exchange'!$R$409)*100</f>
        <v>0</v>
      </c>
      <c r="F393" s="505">
        <f>('Pivot Table for Data Exchange'!$R$412)*100</f>
        <v>0</v>
      </c>
      <c r="G393" s="515">
        <f>('Pivot Table for Data Exchange'!$R$415)*100</f>
        <v>0</v>
      </c>
      <c r="H393" s="505">
        <f>('Pivot Table for Data Exchange'!$R$418)*100</f>
        <v>0</v>
      </c>
      <c r="I393" s="512"/>
      <c r="J393" s="552"/>
      <c r="K393" s="552"/>
      <c r="L393" s="552"/>
      <c r="M393" s="552"/>
      <c r="N393" s="552"/>
      <c r="O393" s="552"/>
      <c r="P393" s="552"/>
      <c r="Q393" s="510">
        <f t="shared" si="44"/>
        <v>0</v>
      </c>
      <c r="R393" s="510"/>
      <c r="S393" s="568"/>
      <c r="T393" s="568"/>
      <c r="U393" s="568"/>
      <c r="V393" s="568"/>
      <c r="W393" s="568"/>
      <c r="X393" s="568"/>
      <c r="Y393" s="568"/>
      <c r="Z393" s="568"/>
      <c r="AA393" s="568"/>
      <c r="AB393" s="568"/>
      <c r="AC393" s="568"/>
      <c r="AD393" s="568"/>
      <c r="AE393" s="568"/>
      <c r="AF393" s="568"/>
      <c r="AG393" s="568"/>
      <c r="AH393" s="568"/>
      <c r="AI393" s="568"/>
      <c r="AJ393" s="568"/>
      <c r="AK393" s="568"/>
      <c r="AL393" s="568"/>
      <c r="AM393" s="568"/>
      <c r="AN393" s="568"/>
      <c r="AO393" s="568"/>
    </row>
    <row r="394" spans="1:41" ht="15.75" customHeight="1">
      <c r="A394" s="512"/>
      <c r="B394" s="505"/>
      <c r="C394" s="505"/>
      <c r="D394" s="506"/>
      <c r="E394" s="505"/>
      <c r="F394" s="505"/>
      <c r="G394" s="515"/>
      <c r="H394" s="505"/>
      <c r="I394" s="512"/>
      <c r="J394" s="552"/>
      <c r="K394" s="552"/>
      <c r="L394" s="552"/>
      <c r="M394" s="552"/>
      <c r="N394" s="552"/>
      <c r="O394" s="552"/>
      <c r="P394" s="552"/>
      <c r="Q394" s="510">
        <f t="shared" si="44"/>
        <v>0</v>
      </c>
      <c r="R394" s="510"/>
      <c r="S394" s="568"/>
      <c r="T394" s="568"/>
      <c r="U394" s="568"/>
      <c r="V394" s="568"/>
      <c r="W394" s="568"/>
      <c r="X394" s="568"/>
      <c r="Y394" s="568"/>
      <c r="Z394" s="568"/>
      <c r="AA394" s="568"/>
      <c r="AB394" s="568"/>
      <c r="AC394" s="568"/>
      <c r="AD394" s="568"/>
      <c r="AE394" s="568"/>
      <c r="AF394" s="568"/>
      <c r="AG394" s="568"/>
      <c r="AH394" s="568"/>
      <c r="AI394" s="568"/>
      <c r="AJ394" s="568"/>
      <c r="AK394" s="568"/>
      <c r="AL394" s="568"/>
      <c r="AM394" s="568"/>
      <c r="AN394" s="568"/>
      <c r="AO394" s="568"/>
    </row>
    <row r="395" spans="1:41" ht="15.75" customHeight="1">
      <c r="A395" s="512" t="s">
        <v>906</v>
      </c>
      <c r="B395" s="505">
        <f>('Pivot Table for Data Exchange'!$R$439)*100</f>
        <v>0</v>
      </c>
      <c r="C395" s="505">
        <f>('Pivot Table for Data Exchange'!$R$442)*100</f>
        <v>0</v>
      </c>
      <c r="D395" s="506">
        <f>SUM(E395:G395)</f>
        <v>0</v>
      </c>
      <c r="E395" s="505">
        <f>('Pivot Table for Data Exchange'!$R$445)*100</f>
        <v>0</v>
      </c>
      <c r="F395" s="505">
        <f>('Pivot Table for Data Exchange'!$R$448)*100</f>
        <v>0</v>
      </c>
      <c r="G395" s="515">
        <f>('Pivot Table for Data Exchange'!$R$451)*100</f>
        <v>0</v>
      </c>
      <c r="H395" s="505">
        <f>('Pivot Table for Data Exchange'!$R$454)*100</f>
        <v>0</v>
      </c>
      <c r="I395" s="512"/>
      <c r="J395" s="552"/>
      <c r="K395" s="552"/>
      <c r="L395" s="552"/>
      <c r="M395" s="552"/>
      <c r="N395" s="552"/>
      <c r="O395" s="552"/>
      <c r="P395" s="552"/>
      <c r="Q395" s="510">
        <f t="shared" si="44"/>
        <v>0</v>
      </c>
      <c r="R395" s="510"/>
      <c r="S395" s="568"/>
      <c r="T395" s="568"/>
      <c r="U395" s="568"/>
      <c r="V395" s="568"/>
      <c r="W395" s="568"/>
      <c r="X395" s="568"/>
      <c r="Y395" s="568"/>
      <c r="Z395" s="568"/>
      <c r="AA395" s="568"/>
      <c r="AB395" s="568"/>
      <c r="AC395" s="568"/>
      <c r="AD395" s="568"/>
      <c r="AE395" s="568"/>
      <c r="AF395" s="568"/>
      <c r="AG395" s="568"/>
      <c r="AH395" s="568"/>
      <c r="AI395" s="568"/>
      <c r="AJ395" s="568"/>
      <c r="AK395" s="568"/>
      <c r="AL395" s="568"/>
      <c r="AM395" s="568"/>
      <c r="AN395" s="568"/>
      <c r="AO395" s="568"/>
    </row>
    <row r="396" spans="1:41" ht="15.75" customHeight="1">
      <c r="A396" s="512" t="s">
        <v>907</v>
      </c>
      <c r="B396" s="505">
        <f>('Pivot Table for Data Exchange'!$R$475)*100</f>
        <v>0</v>
      </c>
      <c r="C396" s="505">
        <f>('Pivot Table for Data Exchange'!$R$478)*100</f>
        <v>0</v>
      </c>
      <c r="D396" s="506">
        <f>SUM(E396:G396)</f>
        <v>0</v>
      </c>
      <c r="E396" s="505">
        <f>('Pivot Table for Data Exchange'!$R$481)*100</f>
        <v>0</v>
      </c>
      <c r="F396" s="505">
        <f>('Pivot Table for Data Exchange'!$R$484)*100</f>
        <v>0</v>
      </c>
      <c r="G396" s="515">
        <f>('Pivot Table for Data Exchange'!$R$487)*100</f>
        <v>0</v>
      </c>
      <c r="H396" s="505">
        <f>('Pivot Table for Data Exchange'!$R$490)*100</f>
        <v>0</v>
      </c>
      <c r="I396" s="512"/>
      <c r="J396" s="552"/>
      <c r="K396" s="552"/>
      <c r="L396" s="552"/>
      <c r="M396" s="552"/>
      <c r="N396" s="552"/>
      <c r="O396" s="552"/>
      <c r="P396" s="552"/>
      <c r="Q396" s="510">
        <f t="shared" si="44"/>
        <v>0</v>
      </c>
      <c r="R396" s="510"/>
      <c r="S396" s="568"/>
      <c r="T396" s="568"/>
      <c r="U396" s="568"/>
      <c r="V396" s="568"/>
      <c r="W396" s="568"/>
      <c r="X396" s="568"/>
      <c r="Y396" s="568"/>
      <c r="Z396" s="568"/>
      <c r="AA396" s="568"/>
      <c r="AB396" s="568"/>
      <c r="AC396" s="568"/>
      <c r="AD396" s="568"/>
      <c r="AE396" s="568"/>
      <c r="AF396" s="568"/>
      <c r="AG396" s="568"/>
      <c r="AH396" s="568"/>
      <c r="AI396" s="568"/>
      <c r="AJ396" s="568"/>
      <c r="AK396" s="568"/>
      <c r="AL396" s="568"/>
      <c r="AM396" s="568"/>
      <c r="AN396" s="568"/>
      <c r="AO396" s="568"/>
    </row>
    <row r="397" spans="1:41" ht="15.75" customHeight="1">
      <c r="A397" s="512" t="s">
        <v>908</v>
      </c>
      <c r="B397" s="505">
        <f>('Pivot Table for Data Exchange'!$R$511)*100</f>
        <v>0</v>
      </c>
      <c r="C397" s="505">
        <f>('Pivot Table for Data Exchange'!$R$514)*100</f>
        <v>0</v>
      </c>
      <c r="D397" s="506">
        <f>SUM(E397:G397)</f>
        <v>0</v>
      </c>
      <c r="E397" s="505">
        <f>('Pivot Table for Data Exchange'!$R$517)*100</f>
        <v>0</v>
      </c>
      <c r="F397" s="505">
        <f>('Pivot Table for Data Exchange'!$R$520)*100</f>
        <v>0</v>
      </c>
      <c r="G397" s="515">
        <f>('Pivot Table for Data Exchange'!$R$523)*100</f>
        <v>0</v>
      </c>
      <c r="H397" s="505">
        <f>('Pivot Table for Data Exchange'!$R$526)*100</f>
        <v>0</v>
      </c>
      <c r="I397" s="512"/>
      <c r="J397" s="552"/>
      <c r="K397" s="552"/>
      <c r="L397" s="552"/>
      <c r="M397" s="552"/>
      <c r="N397" s="552"/>
      <c r="O397" s="552"/>
      <c r="P397" s="552"/>
      <c r="Q397" s="510">
        <f t="shared" si="44"/>
        <v>0</v>
      </c>
      <c r="R397" s="510"/>
      <c r="S397" s="568"/>
      <c r="T397" s="568"/>
      <c r="U397" s="568"/>
      <c r="V397" s="568"/>
      <c r="W397" s="568"/>
      <c r="X397" s="568"/>
      <c r="Y397" s="568"/>
      <c r="Z397" s="568"/>
      <c r="AA397" s="568"/>
      <c r="AB397" s="568"/>
      <c r="AC397" s="568"/>
      <c r="AD397" s="568"/>
      <c r="AE397" s="568"/>
      <c r="AF397" s="568"/>
      <c r="AG397" s="568"/>
      <c r="AH397" s="568"/>
      <c r="AI397" s="568"/>
      <c r="AJ397" s="568"/>
      <c r="AK397" s="568"/>
      <c r="AL397" s="568"/>
      <c r="AM397" s="568"/>
      <c r="AN397" s="568"/>
      <c r="AO397" s="568"/>
    </row>
    <row r="398" spans="1:41" ht="15.75" customHeight="1">
      <c r="A398" s="484" t="s">
        <v>909</v>
      </c>
      <c r="B398" s="520">
        <f>('Pivot Table for Data Exchange'!$R$547)*100</f>
        <v>0</v>
      </c>
      <c r="C398" s="520">
        <f>('Pivot Table for Data Exchange'!$R$550)*100</f>
        <v>0</v>
      </c>
      <c r="D398" s="521">
        <f>SUM(E398:G398)</f>
        <v>0</v>
      </c>
      <c r="E398" s="520">
        <f>('Pivot Table for Data Exchange'!$R$553)*100</f>
        <v>0</v>
      </c>
      <c r="F398" s="520">
        <f>('Pivot Table for Data Exchange'!$R$556)*100</f>
        <v>0</v>
      </c>
      <c r="G398" s="522">
        <f>('Pivot Table for Data Exchange'!$R$559)*100</f>
        <v>0</v>
      </c>
      <c r="H398" s="520">
        <f>('Pivot Table for Data Exchange'!$R$562)*100</f>
        <v>0</v>
      </c>
      <c r="I398" s="512"/>
      <c r="J398" s="552"/>
      <c r="K398" s="552"/>
      <c r="L398" s="552"/>
      <c r="M398" s="552"/>
      <c r="N398" s="552"/>
      <c r="O398" s="552"/>
      <c r="P398" s="552"/>
      <c r="Q398" s="510">
        <f t="shared" si="44"/>
        <v>0</v>
      </c>
      <c r="R398" s="510"/>
      <c r="S398" s="568"/>
      <c r="T398" s="568"/>
      <c r="U398" s="568"/>
      <c r="V398" s="568"/>
      <c r="W398" s="568"/>
      <c r="X398" s="568"/>
      <c r="Y398" s="568"/>
      <c r="Z398" s="568"/>
      <c r="AA398" s="568"/>
      <c r="AB398" s="568"/>
      <c r="AC398" s="568"/>
      <c r="AD398" s="568"/>
      <c r="AE398" s="568"/>
      <c r="AF398" s="568"/>
      <c r="AG398" s="568"/>
      <c r="AH398" s="568"/>
      <c r="AI398" s="568"/>
      <c r="AJ398" s="568"/>
      <c r="AK398" s="568"/>
      <c r="AL398" s="568"/>
      <c r="AM398" s="568"/>
      <c r="AN398" s="568"/>
      <c r="AO398" s="568"/>
    </row>
    <row r="399" spans="1:41" s="571" customFormat="1" ht="14.25" customHeight="1">
      <c r="A399" s="525" t="s">
        <v>937</v>
      </c>
      <c r="B399" s="526"/>
      <c r="C399" s="526"/>
      <c r="D399" s="527"/>
      <c r="E399" s="526"/>
      <c r="F399" s="527"/>
      <c r="G399" s="527"/>
      <c r="H399" s="526"/>
      <c r="I399" s="546"/>
      <c r="J399" s="526"/>
      <c r="K399" s="526"/>
      <c r="L399" s="527"/>
      <c r="M399" s="526"/>
      <c r="N399" s="527"/>
      <c r="O399" s="527"/>
      <c r="P399" s="526"/>
      <c r="Q399" s="510">
        <f t="shared" si="44"/>
        <v>0</v>
      </c>
      <c r="R399" s="553"/>
      <c r="S399" s="572"/>
      <c r="T399" s="572"/>
      <c r="U399" s="572"/>
      <c r="V399" s="572"/>
      <c r="W399" s="572"/>
      <c r="X399" s="572"/>
      <c r="Y399" s="572"/>
      <c r="Z399" s="572"/>
      <c r="AA399" s="572"/>
      <c r="AB399" s="572"/>
      <c r="AC399" s="572"/>
      <c r="AD399" s="572"/>
      <c r="AE399" s="572"/>
      <c r="AF399" s="572"/>
      <c r="AG399" s="572"/>
      <c r="AH399" s="572"/>
      <c r="AI399" s="572"/>
      <c r="AJ399" s="572"/>
      <c r="AK399" s="572"/>
      <c r="AL399" s="572"/>
      <c r="AM399" s="572"/>
      <c r="AN399" s="572"/>
      <c r="AO399" s="572"/>
    </row>
    <row r="400" spans="1:41" s="571" customFormat="1" ht="18" customHeight="1">
      <c r="A400" s="546"/>
      <c r="B400" s="526"/>
      <c r="C400" s="526"/>
      <c r="D400" s="527"/>
      <c r="E400" s="526"/>
      <c r="F400" s="527"/>
      <c r="G400" s="527"/>
      <c r="H400" s="526"/>
      <c r="I400" s="546"/>
      <c r="J400" s="526"/>
      <c r="K400" s="526"/>
      <c r="L400" s="527"/>
      <c r="M400" s="526"/>
      <c r="N400" s="527"/>
      <c r="O400" s="527"/>
      <c r="P400" s="526"/>
      <c r="Q400" s="510">
        <f t="shared" si="44"/>
        <v>0</v>
      </c>
      <c r="R400" s="553"/>
      <c r="S400" s="572"/>
      <c r="T400" s="572"/>
      <c r="U400" s="572"/>
      <c r="V400" s="572"/>
      <c r="W400" s="572"/>
      <c r="X400" s="572"/>
      <c r="Y400" s="572"/>
      <c r="Z400" s="572"/>
      <c r="AA400" s="572"/>
      <c r="AB400" s="572"/>
      <c r="AC400" s="572"/>
      <c r="AD400" s="572"/>
      <c r="AE400" s="572"/>
      <c r="AF400" s="572"/>
      <c r="AG400" s="572"/>
      <c r="AH400" s="572"/>
      <c r="AI400" s="572"/>
      <c r="AJ400" s="572"/>
      <c r="AK400" s="572"/>
      <c r="AL400" s="572"/>
      <c r="AM400" s="572"/>
      <c r="AN400" s="572"/>
      <c r="AO400" s="572"/>
    </row>
    <row r="401" spans="1:41" s="576" customFormat="1" ht="15.75" customHeight="1">
      <c r="A401" s="512"/>
      <c r="B401" s="555"/>
      <c r="C401" s="555"/>
      <c r="D401" s="555"/>
      <c r="E401" s="555"/>
      <c r="F401" s="555"/>
      <c r="G401" s="555"/>
      <c r="H401" s="532" t="s">
        <v>1015</v>
      </c>
      <c r="I401" s="512"/>
      <c r="J401" s="552"/>
      <c r="K401" s="552"/>
      <c r="L401" s="552"/>
      <c r="M401" s="552"/>
      <c r="N401" s="552"/>
      <c r="O401" s="552"/>
      <c r="P401" s="552"/>
      <c r="Q401" s="510">
        <f t="shared" si="44"/>
        <v>0</v>
      </c>
      <c r="R401" s="510"/>
      <c r="S401" s="575"/>
      <c r="T401" s="575"/>
      <c r="U401" s="575"/>
      <c r="V401" s="575"/>
      <c r="W401" s="575"/>
      <c r="X401" s="575"/>
      <c r="Y401" s="575"/>
      <c r="Z401" s="575"/>
      <c r="AA401" s="575"/>
      <c r="AB401" s="575"/>
      <c r="AC401" s="575"/>
      <c r="AD401" s="575"/>
      <c r="AE401" s="575"/>
      <c r="AF401" s="575"/>
      <c r="AG401" s="575"/>
      <c r="AH401" s="575"/>
      <c r="AI401" s="575"/>
      <c r="AJ401" s="575"/>
      <c r="AK401" s="575"/>
      <c r="AL401" s="575"/>
      <c r="AM401" s="575"/>
      <c r="AN401" s="575"/>
      <c r="AO401" s="575"/>
    </row>
    <row r="402" spans="1:41" ht="18">
      <c r="A402" s="472" t="s">
        <v>959</v>
      </c>
      <c r="B402" s="473"/>
      <c r="C402" s="473"/>
      <c r="D402" s="473"/>
      <c r="E402" s="473"/>
      <c r="F402" s="473"/>
      <c r="G402" s="473"/>
      <c r="H402" s="474"/>
      <c r="I402" s="550"/>
      <c r="J402" s="512"/>
      <c r="K402" s="512"/>
      <c r="L402" s="512"/>
      <c r="M402" s="512"/>
      <c r="N402" s="512"/>
      <c r="O402" s="512"/>
      <c r="P402" s="512"/>
      <c r="Q402" s="510">
        <f t="shared" si="44"/>
        <v>0</v>
      </c>
    </row>
    <row r="403" spans="1:41">
      <c r="A403" s="479"/>
      <c r="B403" s="475"/>
      <c r="C403" s="475"/>
      <c r="D403" s="475"/>
      <c r="E403" s="475"/>
      <c r="F403" s="475"/>
      <c r="G403" s="475"/>
      <c r="H403" s="480"/>
      <c r="I403" s="550"/>
      <c r="J403" s="512"/>
      <c r="K403" s="512"/>
      <c r="L403" s="512"/>
      <c r="M403" s="512"/>
      <c r="N403" s="512"/>
      <c r="O403" s="512"/>
      <c r="P403" s="512"/>
      <c r="Q403" s="510">
        <f t="shared" si="44"/>
        <v>0</v>
      </c>
    </row>
    <row r="404" spans="1:41" ht="15.75">
      <c r="A404" s="481" t="s">
        <v>917</v>
      </c>
      <c r="B404" s="475"/>
      <c r="C404" s="475"/>
      <c r="D404" s="475"/>
      <c r="E404" s="475"/>
      <c r="F404" s="475"/>
      <c r="G404" s="475"/>
      <c r="H404" s="480"/>
      <c r="I404" s="550"/>
      <c r="J404" s="512"/>
      <c r="K404" s="512"/>
      <c r="L404" s="512"/>
      <c r="M404" s="512"/>
      <c r="N404" s="512"/>
      <c r="O404" s="512"/>
      <c r="P404" s="512"/>
      <c r="Q404" s="510">
        <f t="shared" si="44"/>
        <v>0</v>
      </c>
    </row>
    <row r="405" spans="1:41" ht="15.75">
      <c r="A405" s="481" t="s">
        <v>1013</v>
      </c>
      <c r="B405" s="475"/>
      <c r="C405" s="475"/>
      <c r="D405" s="475"/>
      <c r="E405" s="475"/>
      <c r="F405" s="475"/>
      <c r="G405" s="475"/>
      <c r="H405" s="480"/>
      <c r="I405" s="550"/>
      <c r="J405" s="512"/>
      <c r="K405" s="512"/>
      <c r="L405" s="512"/>
      <c r="M405" s="512"/>
      <c r="N405" s="512"/>
      <c r="O405" s="512"/>
      <c r="P405" s="512"/>
      <c r="Q405" s="510">
        <f t="shared" si="44"/>
        <v>0</v>
      </c>
    </row>
    <row r="406" spans="1:41">
      <c r="A406" s="484"/>
      <c r="B406" s="485"/>
      <c r="C406" s="485"/>
      <c r="D406" s="485"/>
      <c r="E406" s="485"/>
      <c r="F406" s="485"/>
      <c r="G406" s="485"/>
      <c r="H406" s="485"/>
      <c r="I406" s="550"/>
      <c r="J406" s="512"/>
      <c r="K406" s="512"/>
      <c r="L406" s="512"/>
      <c r="M406" s="512"/>
      <c r="N406" s="512"/>
      <c r="O406" s="512"/>
      <c r="P406" s="512"/>
      <c r="Q406" s="510">
        <f t="shared" si="44"/>
        <v>0</v>
      </c>
    </row>
    <row r="407" spans="1:41">
      <c r="A407" s="489"/>
      <c r="B407" s="490" t="s">
        <v>919</v>
      </c>
      <c r="C407" s="490"/>
      <c r="D407" s="490"/>
      <c r="E407" s="490"/>
      <c r="F407" s="490"/>
      <c r="G407" s="490"/>
      <c r="H407" s="491"/>
      <c r="I407" s="550"/>
      <c r="J407" s="512"/>
      <c r="K407" s="512"/>
      <c r="L407" s="512"/>
      <c r="M407" s="512"/>
      <c r="N407" s="512"/>
      <c r="O407" s="512"/>
      <c r="P407" s="512"/>
      <c r="Q407" s="510">
        <f t="shared" si="44"/>
        <v>0</v>
      </c>
    </row>
    <row r="408" spans="1:41">
      <c r="A408" s="489"/>
      <c r="B408" s="490" t="s">
        <v>920</v>
      </c>
      <c r="C408" s="490"/>
      <c r="D408" s="659" t="s">
        <v>921</v>
      </c>
      <c r="E408" s="657"/>
      <c r="F408" s="657"/>
      <c r="G408" s="657"/>
      <c r="H408" s="495" t="s">
        <v>320</v>
      </c>
      <c r="I408" s="550"/>
      <c r="J408" s="512"/>
      <c r="K408" s="512"/>
      <c r="L408" s="512"/>
      <c r="M408" s="512"/>
      <c r="N408" s="512"/>
      <c r="O408" s="512"/>
      <c r="P408" s="512"/>
      <c r="Q408" s="510">
        <f t="shared" si="44"/>
        <v>0</v>
      </c>
    </row>
    <row r="409" spans="1:41" ht="36">
      <c r="A409" s="489"/>
      <c r="B409" s="496" t="s">
        <v>922</v>
      </c>
      <c r="C409" s="497" t="s">
        <v>923</v>
      </c>
      <c r="D409" s="498" t="s">
        <v>924</v>
      </c>
      <c r="E409" s="499" t="s">
        <v>10</v>
      </c>
      <c r="F409" s="496" t="s">
        <v>925</v>
      </c>
      <c r="G409" s="500" t="s">
        <v>935</v>
      </c>
      <c r="H409" s="501" t="s">
        <v>927</v>
      </c>
      <c r="I409" s="550"/>
      <c r="J409" s="512"/>
      <c r="K409" s="512"/>
      <c r="L409" s="512"/>
      <c r="M409" s="512"/>
      <c r="N409" s="512"/>
      <c r="O409" s="512"/>
      <c r="P409" s="512"/>
      <c r="Q409" s="510">
        <f t="shared" si="44"/>
        <v>0</v>
      </c>
    </row>
    <row r="410" spans="1:41" ht="15.75" customHeight="1">
      <c r="A410" s="534" t="s">
        <v>894</v>
      </c>
      <c r="B410" s="567">
        <f>('Pivot Table for Data Exchange'!$P$7)*100</f>
        <v>87.908496732026137</v>
      </c>
      <c r="C410" s="505">
        <f>('Pivot Table for Data Exchange'!$P$10)*100</f>
        <v>0</v>
      </c>
      <c r="D410" s="506">
        <f>SUM(E410:G410)</f>
        <v>12.091503267973856</v>
      </c>
      <c r="E410" s="505">
        <f>('Pivot Table for Data Exchange'!$P$13)*100</f>
        <v>6.1909949164851126</v>
      </c>
      <c r="F410" s="505">
        <f>('Pivot Table for Data Exchange'!$P$16)*100</f>
        <v>0</v>
      </c>
      <c r="G410" s="509">
        <f>('Pivot Table for Data Exchange'!$P$19)*100</f>
        <v>5.9005083514887442</v>
      </c>
      <c r="H410" s="505">
        <f>('Pivot Table for Data Exchange'!$P$22)*100</f>
        <v>0</v>
      </c>
      <c r="I410" s="512"/>
      <c r="J410" s="552"/>
      <c r="K410" s="552"/>
      <c r="L410" s="552"/>
      <c r="M410" s="552"/>
      <c r="N410" s="552"/>
      <c r="O410" s="552"/>
      <c r="P410" s="552"/>
      <c r="Q410" s="510">
        <f t="shared" si="44"/>
        <v>100</v>
      </c>
      <c r="R410" s="510"/>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row>
    <row r="411" spans="1:41" ht="15.75" customHeight="1">
      <c r="A411" s="512" t="s">
        <v>895</v>
      </c>
      <c r="B411" s="505">
        <f>('Pivot Table for Data Exchange'!$P$43)*100</f>
        <v>0</v>
      </c>
      <c r="C411" s="505">
        <f>('Pivot Table for Data Exchange'!$P$46)*100</f>
        <v>0</v>
      </c>
      <c r="D411" s="506">
        <f t="shared" ref="D411:D413" si="49">SUM(E411:G411)</f>
        <v>0</v>
      </c>
      <c r="E411" s="505">
        <f>('Pivot Table for Data Exchange'!$P$49)*100</f>
        <v>0</v>
      </c>
      <c r="F411" s="505">
        <f>('Pivot Table for Data Exchange'!$P$52)*100</f>
        <v>0</v>
      </c>
      <c r="G411" s="515">
        <f>('Pivot Table for Data Exchange'!$P$55)*100</f>
        <v>0</v>
      </c>
      <c r="H411" s="505">
        <f>('Pivot Table for Data Exchange'!$P$58)*100</f>
        <v>0</v>
      </c>
      <c r="I411" s="512"/>
      <c r="J411" s="552"/>
      <c r="K411" s="552"/>
      <c r="L411" s="552"/>
      <c r="M411" s="552"/>
      <c r="N411" s="552"/>
      <c r="O411" s="552"/>
      <c r="P411" s="552"/>
      <c r="Q411" s="510">
        <f t="shared" ref="Q411:Q458" si="50">SUM(B411,C411,D411,H411)</f>
        <v>0</v>
      </c>
      <c r="R411" s="510"/>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row>
    <row r="412" spans="1:41" ht="15.75" customHeight="1">
      <c r="A412" s="512" t="s">
        <v>896</v>
      </c>
      <c r="B412" s="505">
        <f>('Pivot Table for Data Exchange'!$P$79)*100</f>
        <v>0</v>
      </c>
      <c r="C412" s="505">
        <f>('Pivot Table for Data Exchange'!$P$82)*100</f>
        <v>0</v>
      </c>
      <c r="D412" s="506">
        <f t="shared" si="49"/>
        <v>0</v>
      </c>
      <c r="E412" s="505">
        <f>('Pivot Table for Data Exchange'!$P$85)*100</f>
        <v>0</v>
      </c>
      <c r="F412" s="505">
        <f>('Pivot Table for Data Exchange'!$P$88)*100</f>
        <v>0</v>
      </c>
      <c r="G412" s="515">
        <f>('Pivot Table for Data Exchange'!$P$91)*100</f>
        <v>0</v>
      </c>
      <c r="H412" s="505">
        <f>('Pivot Table for Data Exchange'!$P$94)*100</f>
        <v>0</v>
      </c>
      <c r="I412" s="512"/>
      <c r="J412" s="552"/>
      <c r="K412" s="552"/>
      <c r="L412" s="552"/>
      <c r="M412" s="552"/>
      <c r="N412" s="552"/>
      <c r="O412" s="552"/>
      <c r="P412" s="552"/>
      <c r="Q412" s="510">
        <f t="shared" si="50"/>
        <v>0</v>
      </c>
      <c r="R412" s="510"/>
      <c r="S412" s="568"/>
      <c r="T412" s="573"/>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row>
    <row r="413" spans="1:41" ht="15.75" customHeight="1">
      <c r="A413" s="512" t="s">
        <v>897</v>
      </c>
      <c r="B413" s="505">
        <f>('Pivot Table for Data Exchange'!$P$115)*100</f>
        <v>0</v>
      </c>
      <c r="C413" s="505">
        <f>('Pivot Table for Data Exchange'!$P$118)*100</f>
        <v>0</v>
      </c>
      <c r="D413" s="506">
        <f t="shared" si="49"/>
        <v>0</v>
      </c>
      <c r="E413" s="505">
        <f>('Pivot Table for Data Exchange'!$P$121)*100</f>
        <v>0</v>
      </c>
      <c r="F413" s="505">
        <f>('Pivot Table for Data Exchange'!$P$124)*100</f>
        <v>0</v>
      </c>
      <c r="G413" s="515">
        <f>('Pivot Table for Data Exchange'!$P$127)*100</f>
        <v>0</v>
      </c>
      <c r="H413" s="505">
        <f>('Pivot Table for Data Exchange'!$P$130)*100</f>
        <v>0</v>
      </c>
      <c r="I413" s="512"/>
      <c r="J413" s="552"/>
      <c r="K413" s="552"/>
      <c r="L413" s="552"/>
      <c r="M413" s="552"/>
      <c r="N413" s="552"/>
      <c r="O413" s="552"/>
      <c r="P413" s="552"/>
      <c r="Q413" s="510">
        <f t="shared" si="50"/>
        <v>0</v>
      </c>
      <c r="R413" s="510"/>
      <c r="S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row>
    <row r="414" spans="1:41" ht="15.75" customHeight="1">
      <c r="A414" s="512"/>
      <c r="B414" s="505"/>
      <c r="C414" s="505"/>
      <c r="D414" s="506"/>
      <c r="E414" s="505"/>
      <c r="F414" s="505"/>
      <c r="G414" s="515"/>
      <c r="H414" s="505"/>
      <c r="I414" s="512"/>
      <c r="J414" s="552"/>
      <c r="K414" s="552"/>
      <c r="L414" s="552"/>
      <c r="M414" s="552"/>
      <c r="N414" s="552"/>
      <c r="O414" s="552"/>
      <c r="P414" s="552"/>
      <c r="Q414" s="510">
        <f t="shared" si="50"/>
        <v>0</v>
      </c>
      <c r="R414" s="510"/>
      <c r="S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row>
    <row r="415" spans="1:41" ht="15.75" customHeight="1">
      <c r="A415" s="512" t="s">
        <v>898</v>
      </c>
      <c r="B415" s="505">
        <f>('Pivot Table for Data Exchange'!$P$151)*100</f>
        <v>67.727248573176553</v>
      </c>
      <c r="C415" s="505">
        <f>('Pivot Table for Data Exchange'!$P$154)*100</f>
        <v>0</v>
      </c>
      <c r="D415" s="506">
        <f t="shared" ref="D415:D416" si="51">SUM(E415:G415)</f>
        <v>32.272751426823454</v>
      </c>
      <c r="E415" s="505">
        <f>('Pivot Table for Data Exchange'!$P$157)*100</f>
        <v>31.675257815162635</v>
      </c>
      <c r="F415" s="505">
        <f>('Pivot Table for Data Exchange'!$P$160)*100</f>
        <v>0.5974936116608206</v>
      </c>
      <c r="G415" s="515">
        <f>('Pivot Table for Data Exchange'!$P$163)*100</f>
        <v>0</v>
      </c>
      <c r="H415" s="505">
        <f>('Pivot Table for Data Exchange'!$P$166)*100</f>
        <v>0</v>
      </c>
      <c r="I415" s="512"/>
      <c r="J415" s="552"/>
      <c r="K415" s="552"/>
      <c r="L415" s="552"/>
      <c r="M415" s="552"/>
      <c r="N415" s="552"/>
      <c r="O415" s="552"/>
      <c r="P415" s="552"/>
      <c r="Q415" s="510">
        <f t="shared" si="50"/>
        <v>100</v>
      </c>
      <c r="R415" s="510"/>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row>
    <row r="416" spans="1:41" ht="15.75" customHeight="1">
      <c r="A416" s="512" t="s">
        <v>899</v>
      </c>
      <c r="B416" s="505">
        <f>('Pivot Table for Data Exchange'!$P$187)*100</f>
        <v>53.582912578848706</v>
      </c>
      <c r="C416" s="505">
        <f>('Pivot Table for Data Exchange'!$P$190)*100</f>
        <v>14.296758480084288</v>
      </c>
      <c r="D416" s="506">
        <f t="shared" si="51"/>
        <v>32.120328941067008</v>
      </c>
      <c r="E416" s="505">
        <f>('Pivot Table for Data Exchange'!$P$193)*100</f>
        <v>32.120328941067008</v>
      </c>
      <c r="F416" s="505">
        <f>('Pivot Table for Data Exchange'!$P$196)*100</f>
        <v>0</v>
      </c>
      <c r="G416" s="515">
        <f>('Pivot Table for Data Exchange'!$P$199)*100</f>
        <v>0</v>
      </c>
      <c r="H416" s="505">
        <f>('Pivot Table for Data Exchange'!$P$202)*100</f>
        <v>0</v>
      </c>
      <c r="I416" s="512"/>
      <c r="J416" s="552"/>
      <c r="K416" s="552"/>
      <c r="L416" s="552"/>
      <c r="M416" s="552"/>
      <c r="N416" s="552"/>
      <c r="O416" s="552"/>
      <c r="P416" s="552"/>
      <c r="Q416" s="510">
        <f t="shared" si="50"/>
        <v>100</v>
      </c>
      <c r="R416" s="510"/>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row>
    <row r="417" spans="1:41" ht="15.75" customHeight="1">
      <c r="A417" s="512" t="s">
        <v>900</v>
      </c>
      <c r="B417" s="505">
        <f>('Pivot Table for Data Exchange'!$P$223)*100</f>
        <v>89.965644174715678</v>
      </c>
      <c r="C417" s="505">
        <f>('Pivot Table for Data Exchange'!$P$226)*100</f>
        <v>0</v>
      </c>
      <c r="D417" s="506">
        <f>SUM(E417:G417)</f>
        <v>10.034355825284333</v>
      </c>
      <c r="E417" s="505">
        <f>('Pivot Table for Data Exchange'!$P$229)*100</f>
        <v>10.034355825284333</v>
      </c>
      <c r="F417" s="505">
        <f>('Pivot Table for Data Exchange'!$P$232)*100</f>
        <v>0</v>
      </c>
      <c r="G417" s="515">
        <f>('Pivot Table for Data Exchange'!$P$235)*100</f>
        <v>0</v>
      </c>
      <c r="H417" s="505">
        <f>('Pivot Table for Data Exchange'!$P$238)*100</f>
        <v>0</v>
      </c>
      <c r="I417" s="559"/>
      <c r="J417" s="552"/>
      <c r="K417" s="552"/>
      <c r="L417" s="552"/>
      <c r="M417" s="552"/>
      <c r="N417" s="552"/>
      <c r="O417" s="552"/>
      <c r="P417" s="552"/>
      <c r="Q417" s="510">
        <f t="shared" si="50"/>
        <v>100.00000000000001</v>
      </c>
      <c r="R417" s="510"/>
      <c r="S417" s="568"/>
      <c r="T417" s="573"/>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row>
    <row r="418" spans="1:41" ht="15.75" customHeight="1">
      <c r="A418" s="512" t="s">
        <v>901</v>
      </c>
      <c r="B418" s="505">
        <f>('Pivot Table for Data Exchange'!$P$259)*100</f>
        <v>0</v>
      </c>
      <c r="C418" s="505">
        <f>('Pivot Table for Data Exchange'!$P$262)*100</f>
        <v>0</v>
      </c>
      <c r="D418" s="506">
        <f>SUM(E418:G418)</f>
        <v>0</v>
      </c>
      <c r="E418" s="505">
        <f>('Pivot Table for Data Exchange'!$P$265)*100</f>
        <v>0</v>
      </c>
      <c r="F418" s="505">
        <f>('Pivot Table for Data Exchange'!$P$268)*100</f>
        <v>0</v>
      </c>
      <c r="G418" s="515">
        <f>('Pivot Table for Data Exchange'!$P$271)*100</f>
        <v>0</v>
      </c>
      <c r="H418" s="505">
        <f>('Pivot Table for Data Exchange'!$P$274)*100</f>
        <v>0</v>
      </c>
      <c r="I418" s="512"/>
      <c r="J418" s="552"/>
      <c r="K418" s="552"/>
      <c r="L418" s="552"/>
      <c r="M418" s="552"/>
      <c r="N418" s="552"/>
      <c r="O418" s="552"/>
      <c r="P418" s="552"/>
      <c r="Q418" s="510">
        <f t="shared" si="50"/>
        <v>0</v>
      </c>
      <c r="R418" s="510"/>
      <c r="S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row>
    <row r="419" spans="1:41" ht="15.75" customHeight="1">
      <c r="A419" s="512"/>
      <c r="B419" s="505"/>
      <c r="C419" s="505"/>
      <c r="D419" s="506"/>
      <c r="E419" s="505"/>
      <c r="F419" s="505"/>
      <c r="G419" s="515"/>
      <c r="H419" s="505"/>
      <c r="I419" s="512"/>
      <c r="J419" s="552"/>
      <c r="K419" s="552"/>
      <c r="L419" s="552"/>
      <c r="M419" s="552"/>
      <c r="N419" s="552"/>
      <c r="O419" s="552"/>
      <c r="P419" s="552"/>
      <c r="Q419" s="510">
        <f t="shared" si="50"/>
        <v>0</v>
      </c>
      <c r="R419" s="510"/>
      <c r="S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row>
    <row r="420" spans="1:41" ht="15.75" customHeight="1">
      <c r="A420" s="512" t="s">
        <v>902</v>
      </c>
      <c r="B420" s="505">
        <f>('Pivot Table for Data Exchange'!$P$295)*100</f>
        <v>0</v>
      </c>
      <c r="C420" s="505">
        <f>('Pivot Table for Data Exchange'!$P$298)*100</f>
        <v>0</v>
      </c>
      <c r="D420" s="506">
        <f>SUM(E420:G420)</f>
        <v>0</v>
      </c>
      <c r="E420" s="505">
        <f>('Pivot Table for Data Exchange'!$P$301)*100</f>
        <v>0</v>
      </c>
      <c r="F420" s="505">
        <f>('Pivot Table for Data Exchange'!$P$304)*100</f>
        <v>0</v>
      </c>
      <c r="G420" s="515">
        <f>('Pivot Table for Data Exchange'!$P$307)*100</f>
        <v>0</v>
      </c>
      <c r="H420" s="505">
        <f>('Pivot Table for Data Exchange'!$P$310)*100</f>
        <v>0</v>
      </c>
      <c r="I420" s="512"/>
      <c r="J420" s="552"/>
      <c r="K420" s="552"/>
      <c r="L420" s="552"/>
      <c r="M420" s="552"/>
      <c r="N420" s="552"/>
      <c r="O420" s="552"/>
      <c r="P420" s="552"/>
      <c r="Q420" s="510">
        <f t="shared" si="50"/>
        <v>0</v>
      </c>
      <c r="R420" s="510"/>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row>
    <row r="421" spans="1:41" ht="15.75" customHeight="1">
      <c r="A421" s="512" t="s">
        <v>903</v>
      </c>
      <c r="B421" s="505">
        <f>('Pivot Table for Data Exchange'!$P$331)*100</f>
        <v>0</v>
      </c>
      <c r="C421" s="505">
        <f>('Pivot Table for Data Exchange'!$P$334)*100</f>
        <v>0</v>
      </c>
      <c r="D421" s="506">
        <f>SUM(E421:G421)</f>
        <v>0</v>
      </c>
      <c r="E421" s="505">
        <f>('Pivot Table for Data Exchange'!$P$337)*100</f>
        <v>0</v>
      </c>
      <c r="F421" s="505">
        <f>('Pivot Table for Data Exchange'!$P$340)*100</f>
        <v>0</v>
      </c>
      <c r="G421" s="515">
        <f>('Pivot Table for Data Exchange'!$P$343)*100</f>
        <v>0</v>
      </c>
      <c r="H421" s="505">
        <f>('Pivot Table for Data Exchange'!$P$346)*100</f>
        <v>0</v>
      </c>
      <c r="I421" s="512"/>
      <c r="J421" s="552"/>
      <c r="K421" s="552"/>
      <c r="L421" s="552"/>
      <c r="M421" s="552"/>
      <c r="N421" s="552"/>
      <c r="O421" s="552"/>
      <c r="P421" s="552"/>
      <c r="Q421" s="510">
        <f t="shared" si="50"/>
        <v>0</v>
      </c>
      <c r="R421" s="510"/>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row>
    <row r="422" spans="1:41" ht="15.75" customHeight="1">
      <c r="A422" s="512" t="s">
        <v>904</v>
      </c>
      <c r="B422" s="505">
        <f>('Pivot Table for Data Exchange'!$P$367)*100</f>
        <v>0</v>
      </c>
      <c r="C422" s="505">
        <f>('Pivot Table for Data Exchange'!$P$370)*100</f>
        <v>0</v>
      </c>
      <c r="D422" s="506">
        <f>SUM(E422:G422)</f>
        <v>0</v>
      </c>
      <c r="E422" s="505">
        <f>('Pivot Table for Data Exchange'!$P$373)*100</f>
        <v>0</v>
      </c>
      <c r="F422" s="505">
        <f>('Pivot Table for Data Exchange'!$P$376)*100</f>
        <v>0</v>
      </c>
      <c r="G422" s="515">
        <f>('Pivot Table for Data Exchange'!$P$379)*100</f>
        <v>0</v>
      </c>
      <c r="H422" s="505">
        <f>('Pivot Table for Data Exchange'!$P$382)*100</f>
        <v>0</v>
      </c>
      <c r="I422" s="512"/>
      <c r="J422" s="552"/>
      <c r="K422" s="552"/>
      <c r="L422" s="552"/>
      <c r="M422" s="552"/>
      <c r="N422" s="552"/>
      <c r="O422" s="552"/>
      <c r="P422" s="552"/>
      <c r="Q422" s="510">
        <f t="shared" si="50"/>
        <v>0</v>
      </c>
      <c r="R422" s="510"/>
      <c r="S422" s="568"/>
      <c r="T422" s="573"/>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row>
    <row r="423" spans="1:41" ht="15.75" customHeight="1">
      <c r="A423" s="512" t="s">
        <v>905</v>
      </c>
      <c r="B423" s="505">
        <f>('Pivot Table for Data Exchange'!$P$403)*100</f>
        <v>0</v>
      </c>
      <c r="C423" s="505">
        <f>('Pivot Table for Data Exchange'!$P$406)*100</f>
        <v>0</v>
      </c>
      <c r="D423" s="506">
        <f>SUM(E423:G423)</f>
        <v>0</v>
      </c>
      <c r="E423" s="505">
        <f>('Pivot Table for Data Exchange'!$P$409)*100</f>
        <v>0</v>
      </c>
      <c r="F423" s="505">
        <f>('Pivot Table for Data Exchange'!$P$412)*100</f>
        <v>0</v>
      </c>
      <c r="G423" s="515">
        <f>('Pivot Table for Data Exchange'!$P$415)*100</f>
        <v>0</v>
      </c>
      <c r="H423" s="505">
        <f>('Pivot Table for Data Exchange'!$P$418)*100</f>
        <v>0</v>
      </c>
      <c r="I423" s="512"/>
      <c r="J423" s="552"/>
      <c r="K423" s="552"/>
      <c r="L423" s="552"/>
      <c r="M423" s="552"/>
      <c r="N423" s="552"/>
      <c r="O423" s="552"/>
      <c r="P423" s="552"/>
      <c r="Q423" s="510">
        <f t="shared" si="50"/>
        <v>0</v>
      </c>
      <c r="R423" s="510"/>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row>
    <row r="424" spans="1:41" ht="15.75" customHeight="1">
      <c r="A424" s="512"/>
      <c r="B424" s="505"/>
      <c r="C424" s="505"/>
      <c r="D424" s="506"/>
      <c r="E424" s="505"/>
      <c r="F424" s="505"/>
      <c r="G424" s="515"/>
      <c r="H424" s="505"/>
      <c r="I424" s="512"/>
      <c r="J424" s="552"/>
      <c r="K424" s="552"/>
      <c r="L424" s="552"/>
      <c r="M424" s="552"/>
      <c r="N424" s="552"/>
      <c r="O424" s="552"/>
      <c r="P424" s="552"/>
      <c r="Q424" s="510">
        <f t="shared" si="50"/>
        <v>0</v>
      </c>
      <c r="R424" s="510"/>
      <c r="S424" s="568"/>
      <c r="T424" s="568"/>
      <c r="U424" s="568"/>
      <c r="V424" s="568"/>
      <c r="W424" s="568"/>
      <c r="X424" s="568"/>
      <c r="Y424" s="568"/>
      <c r="Z424" s="568"/>
      <c r="AA424" s="568"/>
      <c r="AB424" s="568"/>
      <c r="AC424" s="568"/>
      <c r="AD424" s="568"/>
      <c r="AE424" s="568"/>
      <c r="AF424" s="568"/>
      <c r="AG424" s="568"/>
      <c r="AH424" s="568"/>
      <c r="AI424" s="568"/>
      <c r="AJ424" s="568"/>
      <c r="AK424" s="568"/>
      <c r="AL424" s="568"/>
      <c r="AM424" s="568"/>
      <c r="AN424" s="568"/>
      <c r="AO424" s="568"/>
    </row>
    <row r="425" spans="1:41" ht="15.75" customHeight="1">
      <c r="A425" s="512" t="s">
        <v>906</v>
      </c>
      <c r="B425" s="505">
        <f>('Pivot Table for Data Exchange'!$P$439)*100</f>
        <v>0</v>
      </c>
      <c r="C425" s="505">
        <f>('Pivot Table for Data Exchange'!$P$442)*100</f>
        <v>0</v>
      </c>
      <c r="D425" s="506">
        <f>SUM(E425:G425)</f>
        <v>0</v>
      </c>
      <c r="E425" s="505">
        <f>('Pivot Table for Data Exchange'!$P$445)*100</f>
        <v>0</v>
      </c>
      <c r="F425" s="505">
        <f>('Pivot Table for Data Exchange'!$P$448)*100</f>
        <v>0</v>
      </c>
      <c r="G425" s="515">
        <f>('Pivot Table for Data Exchange'!$P$451)*100</f>
        <v>0</v>
      </c>
      <c r="H425" s="505">
        <f>('Pivot Table for Data Exchange'!$P$454)*100</f>
        <v>0</v>
      </c>
      <c r="I425" s="512"/>
      <c r="J425" s="552"/>
      <c r="K425" s="552"/>
      <c r="L425" s="552"/>
      <c r="M425" s="552"/>
      <c r="N425" s="552"/>
      <c r="O425" s="552"/>
      <c r="P425" s="552"/>
      <c r="Q425" s="510">
        <f t="shared" si="50"/>
        <v>0</v>
      </c>
      <c r="R425" s="510"/>
      <c r="S425" s="568"/>
      <c r="T425" s="568"/>
      <c r="U425" s="568"/>
      <c r="V425" s="568"/>
      <c r="W425" s="568"/>
      <c r="X425" s="568"/>
      <c r="Y425" s="568"/>
      <c r="Z425" s="568"/>
      <c r="AA425" s="568"/>
      <c r="AB425" s="568"/>
      <c r="AC425" s="568"/>
      <c r="AD425" s="568"/>
      <c r="AE425" s="568"/>
      <c r="AF425" s="568"/>
      <c r="AG425" s="568"/>
      <c r="AH425" s="568"/>
      <c r="AI425" s="568"/>
      <c r="AJ425" s="568"/>
      <c r="AK425" s="568"/>
      <c r="AL425" s="568"/>
      <c r="AM425" s="568"/>
      <c r="AN425" s="568"/>
      <c r="AO425" s="568"/>
    </row>
    <row r="426" spans="1:41" ht="15.75" customHeight="1">
      <c r="A426" s="512" t="s">
        <v>907</v>
      </c>
      <c r="B426" s="505">
        <f>('Pivot Table for Data Exchange'!$P$475)*100</f>
        <v>0</v>
      </c>
      <c r="C426" s="505">
        <f>('Pivot Table for Data Exchange'!$P$478)*100</f>
        <v>0</v>
      </c>
      <c r="D426" s="506">
        <f>SUM(E426:G426)</f>
        <v>0</v>
      </c>
      <c r="E426" s="505">
        <f>('Pivot Table for Data Exchange'!$P$481)*100</f>
        <v>0</v>
      </c>
      <c r="F426" s="505">
        <f>('Pivot Table for Data Exchange'!$P$484)*100</f>
        <v>0</v>
      </c>
      <c r="G426" s="515">
        <f>('Pivot Table for Data Exchange'!$P$487)*100</f>
        <v>0</v>
      </c>
      <c r="H426" s="505">
        <f>('Pivot Table for Data Exchange'!$P$490)*100</f>
        <v>0</v>
      </c>
      <c r="I426" s="512"/>
      <c r="J426" s="552"/>
      <c r="K426" s="552"/>
      <c r="L426" s="552"/>
      <c r="M426" s="552"/>
      <c r="N426" s="552"/>
      <c r="O426" s="552"/>
      <c r="P426" s="552"/>
      <c r="Q426" s="510">
        <f t="shared" si="50"/>
        <v>0</v>
      </c>
      <c r="R426" s="510"/>
      <c r="S426" s="568"/>
      <c r="T426" s="568"/>
      <c r="U426" s="568"/>
      <c r="V426" s="568"/>
      <c r="W426" s="568"/>
      <c r="X426" s="568"/>
      <c r="Y426" s="568"/>
      <c r="Z426" s="568"/>
      <c r="AA426" s="568"/>
      <c r="AB426" s="568"/>
      <c r="AC426" s="568"/>
      <c r="AD426" s="568"/>
      <c r="AE426" s="568"/>
      <c r="AF426" s="568"/>
      <c r="AG426" s="568"/>
      <c r="AH426" s="568"/>
      <c r="AI426" s="568"/>
      <c r="AJ426" s="568"/>
      <c r="AK426" s="568"/>
      <c r="AL426" s="568"/>
      <c r="AM426" s="568"/>
      <c r="AN426" s="568"/>
      <c r="AO426" s="568"/>
    </row>
    <row r="427" spans="1:41" ht="15.75" customHeight="1">
      <c r="A427" s="512" t="s">
        <v>908</v>
      </c>
      <c r="B427" s="505">
        <f>('Pivot Table for Data Exchange'!$P$511)*100</f>
        <v>0</v>
      </c>
      <c r="C427" s="505">
        <f>('Pivot Table for Data Exchange'!$P$514)*100</f>
        <v>0</v>
      </c>
      <c r="D427" s="506">
        <f>SUM(E427:G427)</f>
        <v>0</v>
      </c>
      <c r="E427" s="505">
        <f>('Pivot Table for Data Exchange'!$P$517)*100</f>
        <v>0</v>
      </c>
      <c r="F427" s="505">
        <f>('Pivot Table for Data Exchange'!$P$520)*100</f>
        <v>0</v>
      </c>
      <c r="G427" s="515">
        <f>('Pivot Table for Data Exchange'!$P$523)*100</f>
        <v>0</v>
      </c>
      <c r="H427" s="505">
        <f>('Pivot Table for Data Exchange'!$P$526)*100</f>
        <v>0</v>
      </c>
      <c r="I427" s="512"/>
      <c r="J427" s="552"/>
      <c r="K427" s="552"/>
      <c r="L427" s="552"/>
      <c r="M427" s="552"/>
      <c r="N427" s="552"/>
      <c r="O427" s="552"/>
      <c r="P427" s="552"/>
      <c r="Q427" s="510">
        <f t="shared" si="50"/>
        <v>0</v>
      </c>
      <c r="R427" s="510"/>
      <c r="S427" s="568"/>
      <c r="T427" s="568"/>
      <c r="U427" s="568"/>
      <c r="V427" s="568"/>
      <c r="W427" s="568"/>
      <c r="X427" s="568"/>
      <c r="Y427" s="568"/>
      <c r="Z427" s="568"/>
      <c r="AA427" s="568"/>
      <c r="AB427" s="568"/>
      <c r="AC427" s="568"/>
      <c r="AD427" s="568"/>
      <c r="AE427" s="568"/>
      <c r="AF427" s="568"/>
      <c r="AG427" s="568"/>
      <c r="AH427" s="568"/>
      <c r="AI427" s="568"/>
      <c r="AJ427" s="568"/>
      <c r="AK427" s="568"/>
      <c r="AL427" s="568"/>
      <c r="AM427" s="568"/>
      <c r="AN427" s="568"/>
      <c r="AO427" s="568"/>
    </row>
    <row r="428" spans="1:41" ht="15.75" customHeight="1">
      <c r="A428" s="484" t="s">
        <v>909</v>
      </c>
      <c r="B428" s="520">
        <f>('Pivot Table for Data Exchange'!$P$547)*100</f>
        <v>0</v>
      </c>
      <c r="C428" s="520">
        <f>('Pivot Table for Data Exchange'!$P$550)*100</f>
        <v>0</v>
      </c>
      <c r="D428" s="521">
        <f>SUM(E428:G428)</f>
        <v>0</v>
      </c>
      <c r="E428" s="520">
        <f>('Pivot Table for Data Exchange'!$P$553)*100</f>
        <v>0</v>
      </c>
      <c r="F428" s="520">
        <f>('Pivot Table for Data Exchange'!$P$556)*100</f>
        <v>0</v>
      </c>
      <c r="G428" s="522">
        <f>('Pivot Table for Data Exchange'!$P$559)*100</f>
        <v>0</v>
      </c>
      <c r="H428" s="520">
        <f>('Pivot Table for Data Exchange'!$P$562)*100</f>
        <v>0</v>
      </c>
      <c r="I428" s="512"/>
      <c r="J428" s="552"/>
      <c r="K428" s="552"/>
      <c r="L428" s="552"/>
      <c r="M428" s="552"/>
      <c r="N428" s="552"/>
      <c r="O428" s="552"/>
      <c r="P428" s="552"/>
      <c r="Q428" s="510">
        <f t="shared" si="50"/>
        <v>0</v>
      </c>
      <c r="R428" s="510"/>
      <c r="S428" s="568"/>
      <c r="T428" s="568"/>
      <c r="U428" s="568"/>
      <c r="V428" s="568"/>
      <c r="W428" s="568"/>
      <c r="X428" s="568"/>
      <c r="Y428" s="568"/>
      <c r="Z428" s="568"/>
      <c r="AA428" s="568"/>
      <c r="AB428" s="568"/>
      <c r="AC428" s="568"/>
      <c r="AD428" s="568"/>
      <c r="AE428" s="568"/>
      <c r="AF428" s="568"/>
      <c r="AG428" s="568"/>
      <c r="AH428" s="568"/>
      <c r="AI428" s="568"/>
      <c r="AJ428" s="568"/>
      <c r="AK428" s="568"/>
      <c r="AL428" s="568"/>
      <c r="AM428" s="568"/>
      <c r="AN428" s="568"/>
      <c r="AO428" s="568"/>
    </row>
    <row r="429" spans="1:41" s="571" customFormat="1" ht="13.5" customHeight="1">
      <c r="A429" s="525" t="s">
        <v>937</v>
      </c>
      <c r="B429" s="526"/>
      <c r="C429" s="526"/>
      <c r="D429" s="527"/>
      <c r="E429" s="526"/>
      <c r="F429" s="527"/>
      <c r="G429" s="527"/>
      <c r="H429" s="526"/>
      <c r="I429" s="546"/>
      <c r="J429" s="526"/>
      <c r="K429" s="526"/>
      <c r="L429" s="527"/>
      <c r="M429" s="526"/>
      <c r="N429" s="527"/>
      <c r="O429" s="527"/>
      <c r="P429" s="526"/>
      <c r="Q429" s="510">
        <f t="shared" si="50"/>
        <v>0</v>
      </c>
      <c r="R429" s="553"/>
      <c r="S429" s="572"/>
      <c r="T429" s="572"/>
      <c r="U429" s="572"/>
      <c r="V429" s="572"/>
      <c r="W429" s="572"/>
      <c r="X429" s="572"/>
      <c r="Y429" s="572"/>
      <c r="Z429" s="572"/>
      <c r="AA429" s="572"/>
      <c r="AB429" s="572"/>
      <c r="AC429" s="572"/>
      <c r="AD429" s="572"/>
      <c r="AE429" s="572"/>
      <c r="AF429" s="572"/>
      <c r="AG429" s="572"/>
      <c r="AH429" s="572"/>
      <c r="AI429" s="572"/>
      <c r="AJ429" s="572"/>
      <c r="AK429" s="572"/>
      <c r="AL429" s="572"/>
      <c r="AM429" s="572"/>
      <c r="AN429" s="572"/>
      <c r="AO429" s="572"/>
    </row>
    <row r="430" spans="1:41" s="571" customFormat="1" ht="13.5" customHeight="1">
      <c r="A430" s="546"/>
      <c r="B430" s="539"/>
      <c r="C430" s="524"/>
      <c r="D430" s="524"/>
      <c r="E430" s="524"/>
      <c r="F430" s="524"/>
      <c r="G430" s="524"/>
      <c r="H430" s="524"/>
      <c r="I430" s="546"/>
      <c r="J430" s="524"/>
      <c r="K430" s="524"/>
      <c r="L430" s="524"/>
      <c r="M430" s="524"/>
      <c r="N430" s="524"/>
      <c r="O430" s="524"/>
      <c r="P430" s="541"/>
      <c r="Q430" s="510">
        <f t="shared" si="50"/>
        <v>0</v>
      </c>
      <c r="R430" s="554"/>
    </row>
    <row r="431" spans="1:41" s="571" customFormat="1" ht="13.5" customHeight="1">
      <c r="A431" s="538"/>
      <c r="B431" s="524"/>
      <c r="C431" s="524"/>
      <c r="D431" s="524"/>
      <c r="E431" s="524"/>
      <c r="F431" s="524"/>
      <c r="G431" s="524"/>
      <c r="H431" s="532" t="s">
        <v>1015</v>
      </c>
      <c r="I431" s="538"/>
      <c r="J431" s="524"/>
      <c r="K431" s="524"/>
      <c r="L431" s="524"/>
      <c r="M431" s="524"/>
      <c r="N431" s="524"/>
      <c r="O431" s="524"/>
      <c r="P431" s="524"/>
      <c r="Q431" s="510">
        <f t="shared" si="50"/>
        <v>0</v>
      </c>
      <c r="R431" s="554"/>
    </row>
    <row r="432" spans="1:41" ht="18">
      <c r="A432" s="472" t="s">
        <v>960</v>
      </c>
      <c r="B432" s="473"/>
      <c r="C432" s="473"/>
      <c r="D432" s="473"/>
      <c r="E432" s="473"/>
      <c r="F432" s="473"/>
      <c r="G432" s="473"/>
      <c r="H432" s="474"/>
      <c r="I432" s="550"/>
      <c r="J432" s="512"/>
      <c r="K432" s="512"/>
      <c r="L432" s="512"/>
      <c r="M432" s="512"/>
      <c r="N432" s="512"/>
      <c r="O432" s="512"/>
      <c r="P432" s="512"/>
      <c r="Q432" s="510">
        <f t="shared" si="50"/>
        <v>0</v>
      </c>
    </row>
    <row r="433" spans="1:41">
      <c r="A433" s="479"/>
      <c r="B433" s="475"/>
      <c r="C433" s="475"/>
      <c r="D433" s="475"/>
      <c r="E433" s="475"/>
      <c r="F433" s="475"/>
      <c r="G433" s="475"/>
      <c r="H433" s="480"/>
      <c r="I433" s="550"/>
      <c r="J433" s="512"/>
      <c r="K433" s="512"/>
      <c r="L433" s="512"/>
      <c r="M433" s="512"/>
      <c r="N433" s="512"/>
      <c r="O433" s="512"/>
      <c r="P433" s="512"/>
      <c r="Q433" s="510">
        <f t="shared" si="50"/>
        <v>0</v>
      </c>
    </row>
    <row r="434" spans="1:41" ht="15.75">
      <c r="A434" s="481" t="s">
        <v>917</v>
      </c>
      <c r="B434" s="475"/>
      <c r="C434" s="475"/>
      <c r="D434" s="475"/>
      <c r="E434" s="475"/>
      <c r="F434" s="475"/>
      <c r="G434" s="475"/>
      <c r="H434" s="480"/>
      <c r="I434" s="550"/>
      <c r="J434" s="512"/>
      <c r="K434" s="512"/>
      <c r="L434" s="512"/>
      <c r="M434" s="512"/>
      <c r="N434" s="512"/>
      <c r="O434" s="512"/>
      <c r="P434" s="512"/>
      <c r="Q434" s="510">
        <f t="shared" si="50"/>
        <v>0</v>
      </c>
    </row>
    <row r="435" spans="1:41" ht="15.75">
      <c r="A435" s="481" t="s">
        <v>1014</v>
      </c>
      <c r="B435" s="475"/>
      <c r="C435" s="475"/>
      <c r="D435" s="475"/>
      <c r="E435" s="475"/>
      <c r="F435" s="475"/>
      <c r="G435" s="475"/>
      <c r="H435" s="480"/>
      <c r="I435" s="550"/>
      <c r="J435" s="512"/>
      <c r="K435" s="512"/>
      <c r="L435" s="512"/>
      <c r="M435" s="512"/>
      <c r="N435" s="512"/>
      <c r="O435" s="512"/>
      <c r="P435" s="512"/>
      <c r="Q435" s="510">
        <f t="shared" si="50"/>
        <v>0</v>
      </c>
    </row>
    <row r="436" spans="1:41">
      <c r="A436" s="484"/>
      <c r="B436" s="485"/>
      <c r="C436" s="485"/>
      <c r="D436" s="485"/>
      <c r="E436" s="485"/>
      <c r="F436" s="485"/>
      <c r="G436" s="485"/>
      <c r="H436" s="485"/>
      <c r="I436" s="550"/>
      <c r="J436" s="512"/>
      <c r="K436" s="512"/>
      <c r="L436" s="512"/>
      <c r="M436" s="512"/>
      <c r="N436" s="512"/>
      <c r="O436" s="512"/>
      <c r="P436" s="512"/>
      <c r="Q436" s="510">
        <f t="shared" si="50"/>
        <v>0</v>
      </c>
    </row>
    <row r="437" spans="1:41">
      <c r="A437" s="489"/>
      <c r="B437" s="490" t="s">
        <v>919</v>
      </c>
      <c r="C437" s="490"/>
      <c r="D437" s="490"/>
      <c r="E437" s="490"/>
      <c r="F437" s="490"/>
      <c r="G437" s="490"/>
      <c r="H437" s="491"/>
      <c r="I437" s="550"/>
      <c r="J437" s="512"/>
      <c r="K437" s="512"/>
      <c r="L437" s="512"/>
      <c r="M437" s="512"/>
      <c r="N437" s="512"/>
      <c r="O437" s="512"/>
      <c r="P437" s="512"/>
      <c r="Q437" s="510">
        <f t="shared" si="50"/>
        <v>0</v>
      </c>
    </row>
    <row r="438" spans="1:41">
      <c r="A438" s="489"/>
      <c r="B438" s="490" t="s">
        <v>920</v>
      </c>
      <c r="C438" s="490"/>
      <c r="D438" s="659" t="s">
        <v>921</v>
      </c>
      <c r="E438" s="657"/>
      <c r="F438" s="657"/>
      <c r="G438" s="657"/>
      <c r="H438" s="495" t="s">
        <v>320</v>
      </c>
      <c r="I438" s="550"/>
      <c r="J438" s="512"/>
      <c r="K438" s="512"/>
      <c r="L438" s="512"/>
      <c r="M438" s="512"/>
      <c r="N438" s="512"/>
      <c r="O438" s="512"/>
      <c r="P438" s="512"/>
      <c r="Q438" s="510">
        <f t="shared" si="50"/>
        <v>0</v>
      </c>
    </row>
    <row r="439" spans="1:41" ht="36">
      <c r="A439" s="489"/>
      <c r="B439" s="496" t="s">
        <v>922</v>
      </c>
      <c r="C439" s="497" t="s">
        <v>923</v>
      </c>
      <c r="D439" s="498" t="s">
        <v>924</v>
      </c>
      <c r="E439" s="499" t="s">
        <v>10</v>
      </c>
      <c r="F439" s="496" t="s">
        <v>925</v>
      </c>
      <c r="G439" s="500" t="s">
        <v>935</v>
      </c>
      <c r="H439" s="501" t="s">
        <v>927</v>
      </c>
      <c r="I439" s="550"/>
      <c r="J439" s="512"/>
      <c r="K439" s="512"/>
      <c r="L439" s="512"/>
      <c r="M439" s="512"/>
      <c r="N439" s="512"/>
      <c r="O439" s="512"/>
      <c r="P439" s="512"/>
      <c r="Q439" s="510">
        <f t="shared" si="50"/>
        <v>0</v>
      </c>
    </row>
    <row r="440" spans="1:41" ht="15.75" customHeight="1">
      <c r="A440" s="534" t="s">
        <v>894</v>
      </c>
      <c r="B440" s="567">
        <f>('Pivot Table for Data Exchange'!$Q$7)*100</f>
        <v>86.65038422588907</v>
      </c>
      <c r="C440" s="505">
        <f>('Pivot Table for Data Exchange'!$Q$10)*100</f>
        <v>4.7993487023688965</v>
      </c>
      <c r="D440" s="506">
        <f>SUM(E440:G440)</f>
        <v>8.5502670717420219</v>
      </c>
      <c r="E440" s="505">
        <f>('Pivot Table for Data Exchange'!$Q$13)*100</f>
        <v>7.8493278529020465</v>
      </c>
      <c r="F440" s="505">
        <f>('Pivot Table for Data Exchange'!$Q$16)*100</f>
        <v>0</v>
      </c>
      <c r="G440" s="509">
        <f>('Pivot Table for Data Exchange'!$Q$19)*100</f>
        <v>0.70093921883997534</v>
      </c>
      <c r="H440" s="505">
        <f>('Pivot Table for Data Exchange'!$Q$22)*100</f>
        <v>0</v>
      </c>
      <c r="I440" s="512"/>
      <c r="J440" s="552"/>
      <c r="K440" s="552"/>
      <c r="L440" s="552"/>
      <c r="M440" s="552"/>
      <c r="N440" s="552"/>
      <c r="O440" s="552"/>
      <c r="P440" s="552"/>
      <c r="Q440" s="510">
        <f t="shared" si="50"/>
        <v>100</v>
      </c>
      <c r="R440" s="510"/>
      <c r="S440" s="568"/>
      <c r="T440" s="568"/>
      <c r="U440" s="568"/>
      <c r="V440" s="568"/>
      <c r="W440" s="568"/>
      <c r="X440" s="568"/>
      <c r="Y440" s="568"/>
      <c r="Z440" s="568"/>
      <c r="AA440" s="568"/>
      <c r="AB440" s="568"/>
      <c r="AC440" s="568"/>
      <c r="AD440" s="568"/>
      <c r="AE440" s="568"/>
      <c r="AF440" s="568"/>
      <c r="AG440" s="568"/>
      <c r="AH440" s="568"/>
      <c r="AI440" s="568"/>
      <c r="AJ440" s="568"/>
      <c r="AK440" s="568"/>
      <c r="AL440" s="568"/>
      <c r="AM440" s="568"/>
      <c r="AN440" s="568"/>
      <c r="AO440" s="568"/>
    </row>
    <row r="441" spans="1:41" ht="15.75" customHeight="1">
      <c r="A441" s="512" t="s">
        <v>895</v>
      </c>
      <c r="B441" s="505">
        <f>('Pivot Table for Data Exchange'!$Q$43)*100</f>
        <v>0</v>
      </c>
      <c r="C441" s="505">
        <f>('Pivot Table for Data Exchange'!$Q$46)*100</f>
        <v>0</v>
      </c>
      <c r="D441" s="506">
        <f t="shared" ref="D441:D443" si="52">SUM(E441:G441)</f>
        <v>0</v>
      </c>
      <c r="E441" s="505">
        <f>('Pivot Table for Data Exchange'!$Q$49)*100</f>
        <v>0</v>
      </c>
      <c r="F441" s="505">
        <f>('Pivot Table for Data Exchange'!$Q$52)*100</f>
        <v>0</v>
      </c>
      <c r="G441" s="515">
        <f>('Pivot Table for Data Exchange'!$Q$55)*100</f>
        <v>0</v>
      </c>
      <c r="H441" s="505">
        <f>('Pivot Table for Data Exchange'!$Q$58)*100</f>
        <v>0</v>
      </c>
      <c r="I441" s="512"/>
      <c r="J441" s="552"/>
      <c r="K441" s="552"/>
      <c r="L441" s="552"/>
      <c r="M441" s="552"/>
      <c r="N441" s="552"/>
      <c r="O441" s="552"/>
      <c r="P441" s="552"/>
      <c r="Q441" s="510">
        <f t="shared" si="50"/>
        <v>0</v>
      </c>
      <c r="R441" s="510"/>
      <c r="S441" s="568"/>
      <c r="T441" s="568"/>
      <c r="U441" s="568"/>
      <c r="V441" s="568"/>
      <c r="W441" s="568"/>
      <c r="X441" s="568"/>
      <c r="Y441" s="568"/>
      <c r="Z441" s="568"/>
      <c r="AA441" s="568"/>
      <c r="AB441" s="568"/>
      <c r="AC441" s="568"/>
      <c r="AD441" s="568"/>
      <c r="AE441" s="568"/>
      <c r="AF441" s="568"/>
      <c r="AG441" s="568"/>
      <c r="AH441" s="568"/>
      <c r="AI441" s="568"/>
      <c r="AJ441" s="568"/>
      <c r="AK441" s="568"/>
      <c r="AL441" s="568"/>
      <c r="AM441" s="568"/>
      <c r="AN441" s="568"/>
      <c r="AO441" s="568"/>
    </row>
    <row r="442" spans="1:41" ht="15.75" customHeight="1">
      <c r="A442" s="512" t="s">
        <v>896</v>
      </c>
      <c r="B442" s="505">
        <f>('Pivot Table for Data Exchange'!$Q$79)*100</f>
        <v>0</v>
      </c>
      <c r="C442" s="505">
        <f>('Pivot Table for Data Exchange'!$Q$82)*100</f>
        <v>0</v>
      </c>
      <c r="D442" s="506">
        <f t="shared" si="52"/>
        <v>0</v>
      </c>
      <c r="E442" s="505">
        <f>('Pivot Table for Data Exchange'!$Q$85)*100</f>
        <v>0</v>
      </c>
      <c r="F442" s="505">
        <f>('Pivot Table for Data Exchange'!$Q$88)*100</f>
        <v>0</v>
      </c>
      <c r="G442" s="515">
        <f>('Pivot Table for Data Exchange'!$Q$91)*100</f>
        <v>0</v>
      </c>
      <c r="H442" s="505">
        <f>('Pivot Table for Data Exchange'!$Q$94)*100</f>
        <v>0</v>
      </c>
      <c r="I442" s="512"/>
      <c r="J442" s="552"/>
      <c r="K442" s="552"/>
      <c r="L442" s="552"/>
      <c r="M442" s="552"/>
      <c r="N442" s="552"/>
      <c r="O442" s="552"/>
      <c r="P442" s="552"/>
      <c r="Q442" s="510">
        <f t="shared" si="50"/>
        <v>0</v>
      </c>
      <c r="R442" s="510"/>
      <c r="S442" s="568"/>
      <c r="T442" s="573"/>
      <c r="U442" s="568"/>
      <c r="V442" s="568"/>
      <c r="W442" s="568"/>
      <c r="X442" s="568"/>
      <c r="Y442" s="568"/>
      <c r="Z442" s="568"/>
      <c r="AA442" s="568"/>
      <c r="AB442" s="568"/>
      <c r="AC442" s="568"/>
      <c r="AD442" s="568"/>
      <c r="AE442" s="568"/>
      <c r="AF442" s="568"/>
      <c r="AG442" s="568"/>
      <c r="AH442" s="568"/>
      <c r="AI442" s="568"/>
      <c r="AJ442" s="568"/>
      <c r="AK442" s="568"/>
      <c r="AL442" s="568"/>
      <c r="AM442" s="568"/>
      <c r="AN442" s="568"/>
      <c r="AO442" s="568"/>
    </row>
    <row r="443" spans="1:41" ht="15.75" customHeight="1">
      <c r="A443" s="512" t="s">
        <v>897</v>
      </c>
      <c r="B443" s="505">
        <f>('Pivot Table for Data Exchange'!$Q$115)*100</f>
        <v>0</v>
      </c>
      <c r="C443" s="505">
        <f>('Pivot Table for Data Exchange'!$Q$118)*100</f>
        <v>0</v>
      </c>
      <c r="D443" s="506">
        <f t="shared" si="52"/>
        <v>0</v>
      </c>
      <c r="E443" s="505">
        <f>('Pivot Table for Data Exchange'!$Q$121)*100</f>
        <v>0</v>
      </c>
      <c r="F443" s="505">
        <f>('Pivot Table for Data Exchange'!$Q$124)*100</f>
        <v>0</v>
      </c>
      <c r="G443" s="515">
        <f>('Pivot Table for Data Exchange'!$Q$127)*100</f>
        <v>0</v>
      </c>
      <c r="H443" s="505">
        <f>('Pivot Table for Data Exchange'!$Q$130)*100</f>
        <v>0</v>
      </c>
      <c r="I443" s="512"/>
      <c r="J443" s="552"/>
      <c r="K443" s="552"/>
      <c r="L443" s="552"/>
      <c r="M443" s="552"/>
      <c r="N443" s="552"/>
      <c r="O443" s="552"/>
      <c r="P443" s="552"/>
      <c r="Q443" s="510">
        <f t="shared" si="50"/>
        <v>0</v>
      </c>
      <c r="R443" s="510"/>
      <c r="S443" s="568"/>
      <c r="U443" s="568"/>
      <c r="V443" s="568"/>
      <c r="W443" s="568"/>
      <c r="X443" s="568"/>
      <c r="Y443" s="568"/>
      <c r="Z443" s="568"/>
      <c r="AA443" s="568"/>
      <c r="AB443" s="568"/>
      <c r="AC443" s="568"/>
      <c r="AD443" s="568"/>
      <c r="AE443" s="568"/>
      <c r="AF443" s="568"/>
      <c r="AG443" s="568"/>
      <c r="AH443" s="568"/>
      <c r="AI443" s="568"/>
      <c r="AJ443" s="568"/>
      <c r="AK443" s="568"/>
      <c r="AL443" s="568"/>
      <c r="AM443" s="568"/>
      <c r="AN443" s="568"/>
      <c r="AO443" s="568"/>
    </row>
    <row r="444" spans="1:41" ht="15.75" customHeight="1">
      <c r="A444" s="512"/>
      <c r="B444" s="505"/>
      <c r="C444" s="505"/>
      <c r="D444" s="506"/>
      <c r="E444" s="505"/>
      <c r="F444" s="505"/>
      <c r="G444" s="515"/>
      <c r="H444" s="505"/>
      <c r="I444" s="512"/>
      <c r="J444" s="552"/>
      <c r="K444" s="552"/>
      <c r="L444" s="552"/>
      <c r="M444" s="552"/>
      <c r="N444" s="552"/>
      <c r="O444" s="552"/>
      <c r="P444" s="552"/>
      <c r="Q444" s="510">
        <f t="shared" si="50"/>
        <v>0</v>
      </c>
      <c r="R444" s="510"/>
      <c r="S444" s="568"/>
      <c r="U444" s="568"/>
      <c r="V444" s="568"/>
      <c r="W444" s="568"/>
      <c r="X444" s="568"/>
      <c r="Y444" s="568"/>
      <c r="Z444" s="568"/>
      <c r="AA444" s="568"/>
      <c r="AB444" s="568"/>
      <c r="AC444" s="568"/>
      <c r="AD444" s="568"/>
      <c r="AE444" s="568"/>
      <c r="AF444" s="568"/>
      <c r="AG444" s="568"/>
      <c r="AH444" s="568"/>
      <c r="AI444" s="568"/>
      <c r="AJ444" s="568"/>
      <c r="AK444" s="568"/>
      <c r="AL444" s="568"/>
      <c r="AM444" s="568"/>
      <c r="AN444" s="568"/>
      <c r="AO444" s="568"/>
    </row>
    <row r="445" spans="1:41" ht="15.75" customHeight="1">
      <c r="A445" s="512" t="s">
        <v>898</v>
      </c>
      <c r="B445" s="505">
        <f>('Pivot Table for Data Exchange'!$Q$151)*100</f>
        <v>0</v>
      </c>
      <c r="C445" s="505">
        <f>('Pivot Table for Data Exchange'!$Q$154)*100</f>
        <v>0</v>
      </c>
      <c r="D445" s="506">
        <f t="shared" ref="D445:D446" si="53">SUM(E445:G445)</f>
        <v>0</v>
      </c>
      <c r="E445" s="505">
        <f>('Pivot Table for Data Exchange'!$Q$157)*100</f>
        <v>0</v>
      </c>
      <c r="F445" s="505">
        <f>('Pivot Table for Data Exchange'!$Q$160)*100</f>
        <v>0</v>
      </c>
      <c r="G445" s="515">
        <f>('Pivot Table for Data Exchange'!$Q$163)*100</f>
        <v>0</v>
      </c>
      <c r="H445" s="505">
        <f>('Pivot Table for Data Exchange'!$Q$166)*100</f>
        <v>0</v>
      </c>
      <c r="I445" s="512"/>
      <c r="J445" s="552"/>
      <c r="K445" s="552"/>
      <c r="L445" s="552"/>
      <c r="M445" s="552"/>
      <c r="N445" s="552"/>
      <c r="O445" s="552"/>
      <c r="P445" s="552"/>
      <c r="Q445" s="510">
        <f t="shared" si="50"/>
        <v>0</v>
      </c>
      <c r="R445" s="510"/>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row>
    <row r="446" spans="1:41" ht="15.75" customHeight="1">
      <c r="A446" s="512" t="s">
        <v>899</v>
      </c>
      <c r="B446" s="505">
        <f>('Pivot Table for Data Exchange'!$Q$187)*100</f>
        <v>0</v>
      </c>
      <c r="C446" s="505">
        <f>('Pivot Table for Data Exchange'!$Q$190)*100</f>
        <v>0</v>
      </c>
      <c r="D446" s="506">
        <f t="shared" si="53"/>
        <v>0</v>
      </c>
      <c r="E446" s="505">
        <f>('Pivot Table for Data Exchange'!$Q$193)*100</f>
        <v>0</v>
      </c>
      <c r="F446" s="505">
        <f>('Pivot Table for Data Exchange'!$Q$196)*100</f>
        <v>0</v>
      </c>
      <c r="G446" s="515">
        <f>('Pivot Table for Data Exchange'!$Q$199)*100</f>
        <v>0</v>
      </c>
      <c r="H446" s="505">
        <f>('Pivot Table for Data Exchange'!$Q$202)*100</f>
        <v>0</v>
      </c>
      <c r="I446" s="512"/>
      <c r="J446" s="552"/>
      <c r="K446" s="552"/>
      <c r="L446" s="552"/>
      <c r="M446" s="552"/>
      <c r="N446" s="552"/>
      <c r="O446" s="552"/>
      <c r="P446" s="552"/>
      <c r="Q446" s="510">
        <f t="shared" si="50"/>
        <v>0</v>
      </c>
      <c r="R446" s="510"/>
      <c r="S446" s="568"/>
      <c r="T446" s="568"/>
      <c r="U446" s="568"/>
      <c r="V446" s="568"/>
      <c r="W446" s="568"/>
      <c r="X446" s="568"/>
      <c r="Y446" s="568"/>
      <c r="Z446" s="568"/>
      <c r="AA446" s="568"/>
      <c r="AB446" s="568"/>
      <c r="AC446" s="568"/>
      <c r="AD446" s="568"/>
      <c r="AE446" s="568"/>
      <c r="AF446" s="568"/>
      <c r="AG446" s="568"/>
      <c r="AH446" s="568"/>
      <c r="AI446" s="568"/>
      <c r="AJ446" s="568"/>
      <c r="AK446" s="568"/>
      <c r="AL446" s="568"/>
      <c r="AM446" s="568"/>
      <c r="AN446" s="568"/>
      <c r="AO446" s="568"/>
    </row>
    <row r="447" spans="1:41" ht="15.75" customHeight="1">
      <c r="A447" s="512" t="s">
        <v>900</v>
      </c>
      <c r="B447" s="505">
        <f>('Pivot Table for Data Exchange'!$Q$223)*100</f>
        <v>0</v>
      </c>
      <c r="C447" s="505">
        <f>('Pivot Table for Data Exchange'!$Q$226)*100</f>
        <v>0</v>
      </c>
      <c r="D447" s="506">
        <f>SUM(E447:G447)</f>
        <v>0</v>
      </c>
      <c r="E447" s="505">
        <f>('Pivot Table for Data Exchange'!$Q$229)*100</f>
        <v>0</v>
      </c>
      <c r="F447" s="505">
        <f>('Pivot Table for Data Exchange'!$Q$232)*100</f>
        <v>0</v>
      </c>
      <c r="G447" s="515">
        <f>('Pivot Table for Data Exchange'!$Q$235)*100</f>
        <v>0</v>
      </c>
      <c r="H447" s="505">
        <f>('Pivot Table for Data Exchange'!$Q$238)*100</f>
        <v>0</v>
      </c>
      <c r="I447" s="559"/>
      <c r="J447" s="552"/>
      <c r="K447" s="552"/>
      <c r="L447" s="552"/>
      <c r="M447" s="552"/>
      <c r="N447" s="552"/>
      <c r="O447" s="552"/>
      <c r="P447" s="552"/>
      <c r="Q447" s="510">
        <f t="shared" si="50"/>
        <v>0</v>
      </c>
      <c r="R447" s="510"/>
      <c r="S447" s="568"/>
      <c r="T447" s="573"/>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row>
    <row r="448" spans="1:41" ht="15.75" customHeight="1">
      <c r="A448" s="512" t="s">
        <v>901</v>
      </c>
      <c r="B448" s="505">
        <f>('Pivot Table for Data Exchange'!$Q$259)*100</f>
        <v>0</v>
      </c>
      <c r="C448" s="505">
        <f>('Pivot Table for Data Exchange'!$Q$262)*100</f>
        <v>0</v>
      </c>
      <c r="D448" s="506">
        <f>SUM(E448:G448)</f>
        <v>0</v>
      </c>
      <c r="E448" s="505">
        <f>('Pivot Table for Data Exchange'!$Q$265)*100</f>
        <v>0</v>
      </c>
      <c r="F448" s="505">
        <f>('Pivot Table for Data Exchange'!$Q$268)*100</f>
        <v>0</v>
      </c>
      <c r="G448" s="515">
        <f>('Pivot Table for Data Exchange'!$Q$271)*100</f>
        <v>0</v>
      </c>
      <c r="H448" s="505">
        <f>('Pivot Table for Data Exchange'!$Q$274)*100</f>
        <v>0</v>
      </c>
      <c r="I448" s="512"/>
      <c r="J448" s="552"/>
      <c r="K448" s="552"/>
      <c r="L448" s="552"/>
      <c r="M448" s="552"/>
      <c r="N448" s="552"/>
      <c r="O448" s="552"/>
      <c r="P448" s="552"/>
      <c r="Q448" s="510">
        <f t="shared" si="50"/>
        <v>0</v>
      </c>
      <c r="R448" s="510"/>
      <c r="S448" s="568"/>
      <c r="U448" s="568"/>
      <c r="V448" s="568"/>
      <c r="W448" s="568"/>
      <c r="X448" s="568"/>
      <c r="Y448" s="568"/>
      <c r="Z448" s="568"/>
      <c r="AA448" s="568"/>
      <c r="AB448" s="568"/>
      <c r="AC448" s="568"/>
      <c r="AD448" s="568"/>
      <c r="AE448" s="568"/>
      <c r="AF448" s="568"/>
      <c r="AG448" s="568"/>
      <c r="AH448" s="568"/>
      <c r="AI448" s="568"/>
      <c r="AJ448" s="568"/>
      <c r="AK448" s="568"/>
      <c r="AL448" s="568"/>
      <c r="AM448" s="568"/>
      <c r="AN448" s="568"/>
      <c r="AO448" s="568"/>
    </row>
    <row r="449" spans="1:41" ht="15.75" customHeight="1">
      <c r="A449" s="512"/>
      <c r="B449" s="505"/>
      <c r="C449" s="505"/>
      <c r="D449" s="506"/>
      <c r="E449" s="505"/>
      <c r="F449" s="505"/>
      <c r="G449" s="515"/>
      <c r="H449" s="505"/>
      <c r="I449" s="512"/>
      <c r="J449" s="552"/>
      <c r="K449" s="552"/>
      <c r="L449" s="552"/>
      <c r="M449" s="552"/>
      <c r="N449" s="552"/>
      <c r="O449" s="552"/>
      <c r="P449" s="552"/>
      <c r="Q449" s="510">
        <f t="shared" si="50"/>
        <v>0</v>
      </c>
      <c r="R449" s="510"/>
      <c r="S449" s="568"/>
      <c r="U449" s="568"/>
      <c r="V449" s="568"/>
      <c r="W449" s="568"/>
      <c r="X449" s="568"/>
      <c r="Y449" s="568"/>
      <c r="Z449" s="568"/>
      <c r="AA449" s="568"/>
      <c r="AB449" s="568"/>
      <c r="AC449" s="568"/>
      <c r="AD449" s="568"/>
      <c r="AE449" s="568"/>
      <c r="AF449" s="568"/>
      <c r="AG449" s="568"/>
      <c r="AH449" s="568"/>
      <c r="AI449" s="568"/>
      <c r="AJ449" s="568"/>
      <c r="AK449" s="568"/>
      <c r="AL449" s="568"/>
      <c r="AM449" s="568"/>
      <c r="AN449" s="568"/>
      <c r="AO449" s="568"/>
    </row>
    <row r="450" spans="1:41" ht="15.75" customHeight="1">
      <c r="A450" s="512" t="s">
        <v>902</v>
      </c>
      <c r="B450" s="505">
        <f>('Pivot Table for Data Exchange'!$Q$295)*100</f>
        <v>0</v>
      </c>
      <c r="C450" s="505">
        <f>('Pivot Table for Data Exchange'!$Q$298)*100</f>
        <v>0</v>
      </c>
      <c r="D450" s="506">
        <f>SUM(E450:G450)</f>
        <v>0</v>
      </c>
      <c r="E450" s="505">
        <f>('Pivot Table for Data Exchange'!$Q$301)*100</f>
        <v>0</v>
      </c>
      <c r="F450" s="505">
        <f>('Pivot Table for Data Exchange'!$Q$304)*100</f>
        <v>0</v>
      </c>
      <c r="G450" s="515">
        <f>('Pivot Table for Data Exchange'!$Q$307)*100</f>
        <v>0</v>
      </c>
      <c r="H450" s="505">
        <f>('Pivot Table for Data Exchange'!$Q$310)*100</f>
        <v>0</v>
      </c>
      <c r="I450" s="512"/>
      <c r="J450" s="552"/>
      <c r="K450" s="552"/>
      <c r="L450" s="552"/>
      <c r="M450" s="552"/>
      <c r="N450" s="552"/>
      <c r="O450" s="552"/>
      <c r="P450" s="552"/>
      <c r="Q450" s="510">
        <f t="shared" si="50"/>
        <v>0</v>
      </c>
      <c r="R450" s="510"/>
      <c r="S450" s="568"/>
      <c r="T450" s="568"/>
      <c r="U450" s="568"/>
      <c r="V450" s="568"/>
      <c r="W450" s="568"/>
      <c r="X450" s="568"/>
      <c r="Y450" s="568"/>
      <c r="Z450" s="568"/>
      <c r="AA450" s="568"/>
      <c r="AB450" s="568"/>
      <c r="AC450" s="568"/>
      <c r="AD450" s="568"/>
      <c r="AE450" s="568"/>
      <c r="AF450" s="568"/>
      <c r="AG450" s="568"/>
      <c r="AH450" s="568"/>
      <c r="AI450" s="568"/>
      <c r="AJ450" s="568"/>
      <c r="AK450" s="568"/>
      <c r="AL450" s="568"/>
      <c r="AM450" s="568"/>
      <c r="AN450" s="568"/>
      <c r="AO450" s="568"/>
    </row>
    <row r="451" spans="1:41" ht="15.75" customHeight="1">
      <c r="A451" s="512" t="s">
        <v>903</v>
      </c>
      <c r="B451" s="505">
        <f>('Pivot Table for Data Exchange'!$Q$331)*100</f>
        <v>0</v>
      </c>
      <c r="C451" s="505">
        <f>('Pivot Table for Data Exchange'!$Q$334)*100</f>
        <v>0</v>
      </c>
      <c r="D451" s="506">
        <f>SUM(E451:G451)</f>
        <v>0</v>
      </c>
      <c r="E451" s="505">
        <f>('Pivot Table for Data Exchange'!$Q$337)*100</f>
        <v>0</v>
      </c>
      <c r="F451" s="505">
        <f>('Pivot Table for Data Exchange'!$Q$340)*100</f>
        <v>0</v>
      </c>
      <c r="G451" s="515">
        <f>('Pivot Table for Data Exchange'!$Q$343)*100</f>
        <v>0</v>
      </c>
      <c r="H451" s="505">
        <f>('Pivot Table for Data Exchange'!$Q$346)*100</f>
        <v>0</v>
      </c>
      <c r="I451" s="512"/>
      <c r="J451" s="552"/>
      <c r="K451" s="552"/>
      <c r="L451" s="552"/>
      <c r="M451" s="552"/>
      <c r="N451" s="552"/>
      <c r="O451" s="552"/>
      <c r="P451" s="552"/>
      <c r="Q451" s="510">
        <f t="shared" si="50"/>
        <v>0</v>
      </c>
      <c r="R451" s="510"/>
      <c r="S451" s="568"/>
      <c r="T451" s="568"/>
      <c r="U451" s="568"/>
      <c r="V451" s="568"/>
      <c r="W451" s="568"/>
      <c r="X451" s="568"/>
      <c r="Y451" s="568"/>
      <c r="Z451" s="568"/>
      <c r="AA451" s="568"/>
      <c r="AB451" s="568"/>
      <c r="AC451" s="568"/>
      <c r="AD451" s="568"/>
      <c r="AE451" s="568"/>
      <c r="AF451" s="568"/>
      <c r="AG451" s="568"/>
      <c r="AH451" s="568"/>
      <c r="AI451" s="568"/>
      <c r="AJ451" s="568"/>
      <c r="AK451" s="568"/>
      <c r="AL451" s="568"/>
      <c r="AM451" s="568"/>
      <c r="AN451" s="568"/>
      <c r="AO451" s="568"/>
    </row>
    <row r="452" spans="1:41" ht="15.75" customHeight="1">
      <c r="A452" s="512" t="s">
        <v>904</v>
      </c>
      <c r="B452" s="505">
        <f>('Pivot Table for Data Exchange'!$Q$367)*100</f>
        <v>0</v>
      </c>
      <c r="C452" s="505">
        <f>('Pivot Table for Data Exchange'!$Q$370)*100</f>
        <v>0</v>
      </c>
      <c r="D452" s="506">
        <f>SUM(E452:G452)</f>
        <v>0</v>
      </c>
      <c r="E452" s="505">
        <f>('Pivot Table for Data Exchange'!$Q$373)*100</f>
        <v>0</v>
      </c>
      <c r="F452" s="505">
        <f>('Pivot Table for Data Exchange'!$Q$376)*100</f>
        <v>0</v>
      </c>
      <c r="G452" s="515">
        <f>('Pivot Table for Data Exchange'!$Q$379)*100</f>
        <v>0</v>
      </c>
      <c r="H452" s="505">
        <f>('Pivot Table for Data Exchange'!$Q$382)*100</f>
        <v>0</v>
      </c>
      <c r="I452" s="512"/>
      <c r="J452" s="552"/>
      <c r="K452" s="552"/>
      <c r="L452" s="552"/>
      <c r="M452" s="552"/>
      <c r="N452" s="552"/>
      <c r="O452" s="552"/>
      <c r="P452" s="552"/>
      <c r="Q452" s="510">
        <f t="shared" si="50"/>
        <v>0</v>
      </c>
      <c r="R452" s="510"/>
      <c r="S452" s="568"/>
      <c r="T452" s="573"/>
      <c r="U452" s="568"/>
      <c r="V452" s="568"/>
      <c r="W452" s="568"/>
      <c r="X452" s="568"/>
      <c r="Y452" s="568"/>
      <c r="Z452" s="568"/>
      <c r="AA452" s="568"/>
      <c r="AB452" s="568"/>
      <c r="AC452" s="568"/>
      <c r="AD452" s="568"/>
      <c r="AE452" s="568"/>
      <c r="AF452" s="568"/>
      <c r="AG452" s="568"/>
      <c r="AH452" s="568"/>
      <c r="AI452" s="568"/>
      <c r="AJ452" s="568"/>
      <c r="AK452" s="568"/>
      <c r="AL452" s="568"/>
      <c r="AM452" s="568"/>
      <c r="AN452" s="568"/>
      <c r="AO452" s="568"/>
    </row>
    <row r="453" spans="1:41" ht="15.75" customHeight="1">
      <c r="A453" s="512" t="s">
        <v>905</v>
      </c>
      <c r="B453" s="505">
        <f>('Pivot Table for Data Exchange'!$Q$403)*100</f>
        <v>0</v>
      </c>
      <c r="C453" s="505">
        <f>('Pivot Table for Data Exchange'!$Q$406)*100</f>
        <v>0</v>
      </c>
      <c r="D453" s="506">
        <f>SUM(E453:G453)</f>
        <v>0</v>
      </c>
      <c r="E453" s="505">
        <f>('Pivot Table for Data Exchange'!$Q$409)*100</f>
        <v>0</v>
      </c>
      <c r="F453" s="505">
        <f>('Pivot Table for Data Exchange'!$Q$412)*100</f>
        <v>0</v>
      </c>
      <c r="G453" s="515">
        <f>('Pivot Table for Data Exchange'!$Q$415)*100</f>
        <v>0</v>
      </c>
      <c r="H453" s="505">
        <f>('Pivot Table for Data Exchange'!$Q$418)*100</f>
        <v>0</v>
      </c>
      <c r="I453" s="512"/>
      <c r="J453" s="552"/>
      <c r="K453" s="552"/>
      <c r="L453" s="552"/>
      <c r="M453" s="552"/>
      <c r="N453" s="552"/>
      <c r="O453" s="552"/>
      <c r="P453" s="552"/>
      <c r="Q453" s="510">
        <f t="shared" si="50"/>
        <v>0</v>
      </c>
      <c r="R453" s="510"/>
      <c r="S453" s="568"/>
      <c r="T453" s="568"/>
      <c r="U453" s="568"/>
      <c r="V453" s="568"/>
      <c r="W453" s="568"/>
      <c r="X453" s="568"/>
      <c r="Y453" s="568"/>
      <c r="Z453" s="568"/>
      <c r="AA453" s="568"/>
      <c r="AB453" s="568"/>
      <c r="AC453" s="568"/>
      <c r="AD453" s="568"/>
      <c r="AE453" s="568"/>
      <c r="AF453" s="568"/>
      <c r="AG453" s="568"/>
      <c r="AH453" s="568"/>
      <c r="AI453" s="568"/>
      <c r="AJ453" s="568"/>
      <c r="AK453" s="568"/>
      <c r="AL453" s="568"/>
      <c r="AM453" s="568"/>
      <c r="AN453" s="568"/>
      <c r="AO453" s="568"/>
    </row>
    <row r="454" spans="1:41" ht="15.75" customHeight="1">
      <c r="A454" s="512"/>
      <c r="B454" s="505"/>
      <c r="C454" s="505"/>
      <c r="D454" s="506"/>
      <c r="E454" s="505"/>
      <c r="F454" s="505"/>
      <c r="G454" s="515"/>
      <c r="H454" s="505"/>
      <c r="I454" s="512"/>
      <c r="J454" s="552"/>
      <c r="K454" s="552"/>
      <c r="L454" s="552"/>
      <c r="M454" s="552"/>
      <c r="N454" s="552"/>
      <c r="O454" s="552"/>
      <c r="P454" s="552"/>
      <c r="Q454" s="510">
        <f t="shared" si="50"/>
        <v>0</v>
      </c>
      <c r="R454" s="510"/>
      <c r="S454" s="568"/>
      <c r="T454" s="568"/>
      <c r="U454" s="568"/>
      <c r="V454" s="568"/>
      <c r="W454" s="568"/>
      <c r="X454" s="568"/>
      <c r="Y454" s="568"/>
      <c r="Z454" s="568"/>
      <c r="AA454" s="568"/>
      <c r="AB454" s="568"/>
      <c r="AC454" s="568"/>
      <c r="AD454" s="568"/>
      <c r="AE454" s="568"/>
      <c r="AF454" s="568"/>
      <c r="AG454" s="568"/>
      <c r="AH454" s="568"/>
      <c r="AI454" s="568"/>
      <c r="AJ454" s="568"/>
      <c r="AK454" s="568"/>
      <c r="AL454" s="568"/>
      <c r="AM454" s="568"/>
      <c r="AN454" s="568"/>
      <c r="AO454" s="568"/>
    </row>
    <row r="455" spans="1:41" ht="15.75" customHeight="1">
      <c r="A455" s="512" t="s">
        <v>906</v>
      </c>
      <c r="B455" s="505">
        <f>('Pivot Table for Data Exchange'!$Q$439)*100</f>
        <v>0</v>
      </c>
      <c r="C455" s="505">
        <f>('Pivot Table for Data Exchange'!$Q$442)*100</f>
        <v>0</v>
      </c>
      <c r="D455" s="506">
        <f>SUM(E455:G455)</f>
        <v>0</v>
      </c>
      <c r="E455" s="505">
        <f>('Pivot Table for Data Exchange'!$Q$445)*100</f>
        <v>0</v>
      </c>
      <c r="F455" s="505">
        <f>('Pivot Table for Data Exchange'!$Q$448)*100</f>
        <v>0</v>
      </c>
      <c r="G455" s="515">
        <f>('Pivot Table for Data Exchange'!$Q$451)*100</f>
        <v>0</v>
      </c>
      <c r="H455" s="505">
        <f>('Pivot Table for Data Exchange'!$Q$454)*100</f>
        <v>0</v>
      </c>
      <c r="I455" s="512"/>
      <c r="J455" s="552"/>
      <c r="K455" s="552"/>
      <c r="L455" s="552"/>
      <c r="M455" s="552"/>
      <c r="N455" s="552"/>
      <c r="O455" s="552"/>
      <c r="P455" s="552"/>
      <c r="Q455" s="510">
        <f t="shared" si="50"/>
        <v>0</v>
      </c>
      <c r="R455" s="510"/>
      <c r="S455" s="568"/>
      <c r="T455" s="568"/>
      <c r="U455" s="568"/>
      <c r="V455" s="568"/>
      <c r="W455" s="568"/>
      <c r="X455" s="568"/>
      <c r="Y455" s="568"/>
      <c r="Z455" s="568"/>
      <c r="AA455" s="568"/>
      <c r="AB455" s="568"/>
      <c r="AC455" s="568"/>
      <c r="AD455" s="568"/>
      <c r="AE455" s="568"/>
      <c r="AF455" s="568"/>
      <c r="AG455" s="568"/>
      <c r="AH455" s="568"/>
      <c r="AI455" s="568"/>
      <c r="AJ455" s="568"/>
      <c r="AK455" s="568"/>
      <c r="AL455" s="568"/>
      <c r="AM455" s="568"/>
      <c r="AN455" s="568"/>
      <c r="AO455" s="568"/>
    </row>
    <row r="456" spans="1:41" ht="15.75" customHeight="1">
      <c r="A456" s="512" t="s">
        <v>907</v>
      </c>
      <c r="B456" s="505">
        <f>('Pivot Table for Data Exchange'!$Q$475)*100</f>
        <v>0</v>
      </c>
      <c r="C456" s="505">
        <f>('Pivot Table for Data Exchange'!$Q$478)*100</f>
        <v>0</v>
      </c>
      <c r="D456" s="506">
        <f>SUM(E456:G456)</f>
        <v>0</v>
      </c>
      <c r="E456" s="505">
        <f>('Pivot Table for Data Exchange'!$Q$481)*100</f>
        <v>0</v>
      </c>
      <c r="F456" s="505">
        <f>('Pivot Table for Data Exchange'!$Q$484)*100</f>
        <v>0</v>
      </c>
      <c r="G456" s="515">
        <f>('Pivot Table for Data Exchange'!$Q$487)*100</f>
        <v>0</v>
      </c>
      <c r="H456" s="505">
        <f>('Pivot Table for Data Exchange'!$Q$490)*100</f>
        <v>0</v>
      </c>
      <c r="I456" s="512"/>
      <c r="J456" s="552"/>
      <c r="K456" s="552"/>
      <c r="L456" s="552"/>
      <c r="M456" s="552"/>
      <c r="N456" s="552"/>
      <c r="O456" s="552"/>
      <c r="P456" s="552"/>
      <c r="Q456" s="510">
        <f t="shared" si="50"/>
        <v>0</v>
      </c>
      <c r="R456" s="510"/>
      <c r="S456" s="568"/>
      <c r="T456" s="568"/>
      <c r="U456" s="568"/>
      <c r="V456" s="568"/>
      <c r="W456" s="568"/>
      <c r="X456" s="568"/>
      <c r="Y456" s="568"/>
      <c r="Z456" s="568"/>
      <c r="AA456" s="568"/>
      <c r="AB456" s="568"/>
      <c r="AC456" s="568"/>
      <c r="AD456" s="568"/>
      <c r="AE456" s="568"/>
      <c r="AF456" s="568"/>
      <c r="AG456" s="568"/>
      <c r="AH456" s="568"/>
      <c r="AI456" s="568"/>
      <c r="AJ456" s="568"/>
      <c r="AK456" s="568"/>
      <c r="AL456" s="568"/>
      <c r="AM456" s="568"/>
      <c r="AN456" s="568"/>
      <c r="AO456" s="568"/>
    </row>
    <row r="457" spans="1:41" ht="15.75" customHeight="1">
      <c r="A457" s="512" t="s">
        <v>908</v>
      </c>
      <c r="B457" s="505">
        <f>('Pivot Table for Data Exchange'!$Q$511)*100</f>
        <v>0</v>
      </c>
      <c r="C457" s="505">
        <f>('Pivot Table for Data Exchange'!$Q$514)*100</f>
        <v>0</v>
      </c>
      <c r="D457" s="506">
        <f>SUM(E457:G457)</f>
        <v>0</v>
      </c>
      <c r="E457" s="505">
        <f>('Pivot Table for Data Exchange'!$Q$517)*100</f>
        <v>0</v>
      </c>
      <c r="F457" s="505">
        <f>('Pivot Table for Data Exchange'!$Q$520)*100</f>
        <v>0</v>
      </c>
      <c r="G457" s="515">
        <f>('Pivot Table for Data Exchange'!$Q$523)*100</f>
        <v>0</v>
      </c>
      <c r="H457" s="505">
        <f>('Pivot Table for Data Exchange'!$Q$526)*100</f>
        <v>0</v>
      </c>
      <c r="I457" s="512"/>
      <c r="J457" s="552"/>
      <c r="K457" s="552"/>
      <c r="L457" s="552"/>
      <c r="M457" s="552"/>
      <c r="N457" s="552"/>
      <c r="O457" s="552"/>
      <c r="P457" s="552"/>
      <c r="Q457" s="510">
        <f t="shared" si="50"/>
        <v>0</v>
      </c>
      <c r="R457" s="510"/>
      <c r="S457" s="568"/>
      <c r="T457" s="568"/>
      <c r="U457" s="568"/>
      <c r="V457" s="568"/>
      <c r="W457" s="568"/>
      <c r="X457" s="568"/>
      <c r="Y457" s="568"/>
      <c r="Z457" s="568"/>
      <c r="AA457" s="568"/>
      <c r="AB457" s="568"/>
      <c r="AC457" s="568"/>
      <c r="AD457" s="568"/>
      <c r="AE457" s="568"/>
      <c r="AF457" s="568"/>
      <c r="AG457" s="568"/>
      <c r="AH457" s="568"/>
      <c r="AI457" s="568"/>
      <c r="AJ457" s="568"/>
      <c r="AK457" s="568"/>
      <c r="AL457" s="568"/>
      <c r="AM457" s="568"/>
      <c r="AN457" s="568"/>
      <c r="AO457" s="568"/>
    </row>
    <row r="458" spans="1:41" ht="15.75" customHeight="1">
      <c r="A458" s="484" t="s">
        <v>909</v>
      </c>
      <c r="B458" s="520">
        <f>('Pivot Table for Data Exchange'!$Q$547)*100</f>
        <v>0</v>
      </c>
      <c r="C458" s="520">
        <f>('Pivot Table for Data Exchange'!$Q$550)*100</f>
        <v>0</v>
      </c>
      <c r="D458" s="521">
        <f>SUM(E458:G458)</f>
        <v>0</v>
      </c>
      <c r="E458" s="520">
        <f>('Pivot Table for Data Exchange'!$Q$553)*100</f>
        <v>0</v>
      </c>
      <c r="F458" s="520">
        <f>('Pivot Table for Data Exchange'!$Q$556)*100</f>
        <v>0</v>
      </c>
      <c r="G458" s="522">
        <f>('Pivot Table for Data Exchange'!$Q$559)*100</f>
        <v>0</v>
      </c>
      <c r="H458" s="520">
        <f>('Pivot Table for Data Exchange'!$Q$562)*100</f>
        <v>0</v>
      </c>
      <c r="I458" s="512"/>
      <c r="J458" s="552"/>
      <c r="K458" s="552"/>
      <c r="L458" s="552"/>
      <c r="M458" s="552"/>
      <c r="N458" s="552"/>
      <c r="O458" s="552"/>
      <c r="P458" s="552"/>
      <c r="Q458" s="510">
        <f t="shared" si="50"/>
        <v>0</v>
      </c>
      <c r="R458" s="510"/>
      <c r="S458" s="568"/>
      <c r="T458" s="568"/>
      <c r="U458" s="568"/>
      <c r="V458" s="568"/>
      <c r="W458" s="568"/>
      <c r="X458" s="568"/>
      <c r="Y458" s="568"/>
      <c r="Z458" s="568"/>
      <c r="AA458" s="568"/>
      <c r="AB458" s="568"/>
      <c r="AC458" s="568"/>
      <c r="AD458" s="568"/>
      <c r="AE458" s="568"/>
      <c r="AF458" s="568"/>
      <c r="AG458" s="568"/>
      <c r="AH458" s="568"/>
      <c r="AI458" s="568"/>
      <c r="AJ458" s="568"/>
      <c r="AK458" s="568"/>
      <c r="AL458" s="568"/>
      <c r="AM458" s="568"/>
      <c r="AN458" s="568"/>
      <c r="AO458" s="568"/>
    </row>
    <row r="459" spans="1:41" s="571" customFormat="1" ht="13.5" customHeight="1">
      <c r="A459" s="525" t="s">
        <v>937</v>
      </c>
      <c r="B459" s="526"/>
      <c r="C459" s="526"/>
      <c r="D459" s="527"/>
      <c r="E459" s="526"/>
      <c r="F459" s="527"/>
      <c r="G459" s="527"/>
      <c r="H459" s="526"/>
      <c r="I459" s="546"/>
      <c r="J459" s="526"/>
      <c r="K459" s="526"/>
      <c r="L459" s="527"/>
      <c r="M459" s="526"/>
      <c r="N459" s="527"/>
      <c r="O459" s="527"/>
      <c r="P459" s="526"/>
      <c r="Q459" s="553"/>
      <c r="R459" s="553"/>
      <c r="S459" s="572"/>
      <c r="T459" s="572"/>
      <c r="U459" s="572"/>
      <c r="V459" s="572"/>
      <c r="W459" s="572"/>
      <c r="X459" s="572"/>
      <c r="Y459" s="572"/>
      <c r="Z459" s="572"/>
      <c r="AA459" s="572"/>
      <c r="AB459" s="572"/>
      <c r="AC459" s="572"/>
      <c r="AD459" s="572"/>
      <c r="AE459" s="572"/>
      <c r="AF459" s="572"/>
      <c r="AG459" s="572"/>
      <c r="AH459" s="572"/>
      <c r="AI459" s="572"/>
      <c r="AJ459" s="572"/>
      <c r="AK459" s="572"/>
      <c r="AL459" s="572"/>
      <c r="AM459" s="572"/>
      <c r="AN459" s="572"/>
      <c r="AO459" s="572"/>
    </row>
    <row r="460" spans="1:41" s="571" customFormat="1" ht="18" customHeight="1">
      <c r="A460" s="546"/>
      <c r="B460" s="526"/>
      <c r="C460" s="526"/>
      <c r="D460" s="527"/>
      <c r="E460" s="526"/>
      <c r="F460" s="527"/>
      <c r="G460" s="527"/>
      <c r="H460" s="526"/>
      <c r="I460" s="546"/>
      <c r="J460" s="526"/>
      <c r="K460" s="526"/>
      <c r="L460" s="527"/>
      <c r="M460" s="526"/>
      <c r="N460" s="527"/>
      <c r="O460" s="527"/>
      <c r="P460" s="526"/>
      <c r="Q460" s="553"/>
      <c r="R460" s="553"/>
      <c r="S460" s="572"/>
      <c r="T460" s="572"/>
      <c r="U460" s="572"/>
      <c r="V460" s="572"/>
      <c r="W460" s="572"/>
      <c r="X460" s="572"/>
      <c r="Y460" s="572"/>
      <c r="Z460" s="572"/>
      <c r="AA460" s="572"/>
      <c r="AB460" s="572"/>
      <c r="AC460" s="572"/>
      <c r="AD460" s="572"/>
      <c r="AE460" s="572"/>
      <c r="AF460" s="572"/>
      <c r="AG460" s="572"/>
      <c r="AH460" s="572"/>
      <c r="AI460" s="572"/>
      <c r="AJ460" s="572"/>
      <c r="AK460" s="572"/>
      <c r="AL460" s="572"/>
      <c r="AM460" s="572"/>
      <c r="AN460" s="572"/>
      <c r="AO460" s="572"/>
    </row>
    <row r="461" spans="1:41" s="571" customFormat="1" ht="13.5" customHeight="1">
      <c r="A461" s="546"/>
      <c r="B461" s="539"/>
      <c r="C461" s="524"/>
      <c r="D461" s="524"/>
      <c r="E461" s="524"/>
      <c r="F461" s="524"/>
      <c r="G461" s="524"/>
      <c r="H461" s="532" t="s">
        <v>1015</v>
      </c>
      <c r="I461" s="546"/>
      <c r="J461" s="524"/>
      <c r="K461" s="524"/>
      <c r="L461" s="524"/>
      <c r="M461" s="524"/>
      <c r="N461" s="524"/>
      <c r="O461" s="524"/>
      <c r="P461" s="541"/>
      <c r="Q461" s="561"/>
      <c r="R461" s="554"/>
    </row>
    <row r="462" spans="1:41" s="571" customFormat="1" ht="13.5" customHeight="1">
      <c r="A462" s="538"/>
      <c r="B462" s="524"/>
      <c r="C462" s="524"/>
      <c r="D462" s="524"/>
      <c r="E462" s="524"/>
      <c r="F462" s="524"/>
      <c r="G462" s="524"/>
      <c r="H462" s="540"/>
      <c r="I462" s="538"/>
      <c r="J462" s="524"/>
      <c r="K462" s="524"/>
      <c r="L462" s="524"/>
      <c r="M462" s="524"/>
      <c r="N462" s="524"/>
      <c r="O462" s="524"/>
      <c r="P462" s="524"/>
      <c r="Q462" s="561"/>
      <c r="R462" s="554"/>
    </row>
    <row r="463" spans="1:41" s="571" customFormat="1" ht="13.5" customHeight="1">
      <c r="A463" s="538"/>
      <c r="B463" s="524"/>
      <c r="C463" s="524"/>
      <c r="D463" s="524"/>
      <c r="E463" s="524"/>
      <c r="F463" s="524"/>
      <c r="G463" s="524"/>
      <c r="H463" s="540"/>
      <c r="I463" s="538"/>
      <c r="J463" s="524"/>
      <c r="K463" s="524"/>
      <c r="L463" s="524"/>
      <c r="M463" s="524"/>
      <c r="N463" s="524"/>
      <c r="O463" s="524"/>
      <c r="P463" s="524"/>
      <c r="Q463" s="561"/>
      <c r="R463" s="554"/>
    </row>
    <row r="464" spans="1:41">
      <c r="I464" s="550"/>
      <c r="J464" s="512"/>
      <c r="K464" s="512"/>
      <c r="L464" s="512"/>
      <c r="M464" s="512"/>
      <c r="N464" s="512"/>
      <c r="O464" s="512"/>
      <c r="P464" s="512"/>
    </row>
    <row r="465" spans="9:16">
      <c r="I465" s="550"/>
      <c r="J465" s="512"/>
      <c r="K465" s="512"/>
      <c r="L465" s="512"/>
      <c r="M465" s="512"/>
      <c r="N465" s="512"/>
      <c r="O465" s="512"/>
      <c r="P465" s="512"/>
    </row>
    <row r="466" spans="9:16">
      <c r="I466" s="550"/>
      <c r="J466" s="512"/>
      <c r="K466" s="512"/>
      <c r="L466" s="512"/>
      <c r="M466" s="512"/>
      <c r="N466" s="512"/>
      <c r="O466" s="512"/>
      <c r="P466" s="512"/>
    </row>
    <row r="467" spans="9:16">
      <c r="I467" s="550"/>
      <c r="J467" s="512"/>
      <c r="K467" s="512"/>
      <c r="L467" s="512"/>
      <c r="M467" s="512"/>
      <c r="N467" s="512"/>
      <c r="O467" s="512"/>
      <c r="P467" s="512"/>
    </row>
    <row r="468" spans="9:16">
      <c r="I468" s="550"/>
      <c r="J468" s="512"/>
      <c r="K468" s="512"/>
      <c r="L468" s="512"/>
      <c r="M468" s="512"/>
      <c r="N468" s="512"/>
      <c r="O468" s="512"/>
      <c r="P468" s="512"/>
    </row>
    <row r="469" spans="9:16">
      <c r="I469" s="550"/>
      <c r="J469" s="512"/>
      <c r="K469" s="512"/>
      <c r="L469" s="512"/>
      <c r="M469" s="512"/>
      <c r="N469" s="512"/>
      <c r="O469" s="512"/>
      <c r="P469" s="512"/>
    </row>
    <row r="470" spans="9:16">
      <c r="I470" s="550"/>
      <c r="J470" s="512"/>
      <c r="K470" s="512"/>
      <c r="L470" s="512"/>
      <c r="M470" s="512"/>
      <c r="N470" s="512"/>
      <c r="O470" s="512"/>
      <c r="P470" s="512"/>
    </row>
    <row r="471" spans="9:16">
      <c r="I471" s="550"/>
      <c r="J471" s="512"/>
      <c r="K471" s="512"/>
      <c r="L471" s="512"/>
      <c r="M471" s="512"/>
      <c r="N471" s="512"/>
      <c r="O471" s="512"/>
      <c r="P471" s="512"/>
    </row>
    <row r="472" spans="9:16">
      <c r="I472" s="550"/>
      <c r="J472" s="512"/>
      <c r="K472" s="512"/>
      <c r="L472" s="512"/>
      <c r="M472" s="512"/>
      <c r="N472" s="512"/>
      <c r="O472" s="512"/>
      <c r="P472" s="512"/>
    </row>
    <row r="473" spans="9:16">
      <c r="I473" s="550"/>
      <c r="J473" s="512"/>
      <c r="K473" s="512"/>
      <c r="L473" s="512"/>
      <c r="M473" s="512"/>
      <c r="N473" s="512"/>
      <c r="O473" s="512"/>
      <c r="P473" s="512"/>
    </row>
    <row r="474" spans="9:16">
      <c r="I474" s="550"/>
      <c r="J474" s="512"/>
      <c r="K474" s="512"/>
      <c r="L474" s="512"/>
      <c r="M474" s="512"/>
      <c r="N474" s="512"/>
      <c r="O474" s="512"/>
      <c r="P474" s="512"/>
    </row>
    <row r="475" spans="9:16">
      <c r="I475" s="550"/>
      <c r="J475" s="512"/>
      <c r="K475" s="512"/>
      <c r="L475" s="512"/>
      <c r="M475" s="512"/>
      <c r="N475" s="512"/>
      <c r="O475" s="512"/>
      <c r="P475" s="512"/>
    </row>
    <row r="476" spans="9:16">
      <c r="I476" s="550"/>
      <c r="J476" s="512"/>
      <c r="K476" s="512"/>
      <c r="L476" s="512"/>
      <c r="M476" s="512"/>
      <c r="N476" s="512"/>
      <c r="O476" s="512"/>
      <c r="P476" s="512"/>
    </row>
    <row r="477" spans="9:16">
      <c r="I477" s="550"/>
      <c r="J477" s="512"/>
      <c r="K477" s="512"/>
      <c r="L477" s="512"/>
      <c r="M477" s="512"/>
      <c r="N477" s="512"/>
      <c r="O477" s="512"/>
      <c r="P477" s="512"/>
    </row>
    <row r="478" spans="9:16">
      <c r="I478" s="550"/>
      <c r="J478" s="512"/>
      <c r="K478" s="512"/>
      <c r="L478" s="512"/>
      <c r="M478" s="512"/>
      <c r="N478" s="512"/>
      <c r="O478" s="512"/>
      <c r="P478" s="512"/>
    </row>
    <row r="479" spans="9:16">
      <c r="I479" s="550"/>
      <c r="J479" s="512"/>
      <c r="K479" s="512"/>
      <c r="L479" s="512"/>
      <c r="M479" s="512"/>
      <c r="N479" s="512"/>
      <c r="O479" s="512"/>
      <c r="P479" s="512"/>
    </row>
    <row r="480" spans="9:16">
      <c r="I480" s="550"/>
      <c r="J480" s="512"/>
      <c r="K480" s="512"/>
      <c r="L480" s="512"/>
      <c r="M480" s="512"/>
      <c r="N480" s="512"/>
      <c r="O480" s="512"/>
      <c r="P480" s="512"/>
    </row>
    <row r="481" spans="9:16">
      <c r="I481" s="550"/>
      <c r="J481" s="512"/>
      <c r="K481" s="512"/>
      <c r="L481" s="512"/>
      <c r="M481" s="512"/>
      <c r="N481" s="512"/>
      <c r="O481" s="512"/>
      <c r="P481" s="512"/>
    </row>
    <row r="482" spans="9:16">
      <c r="I482" s="550"/>
      <c r="J482" s="512"/>
      <c r="K482" s="512"/>
      <c r="L482" s="512"/>
      <c r="M482" s="512"/>
      <c r="N482" s="512"/>
      <c r="O482" s="512"/>
      <c r="P482" s="512"/>
    </row>
    <row r="483" spans="9:16">
      <c r="I483" s="550"/>
      <c r="J483" s="512"/>
      <c r="K483" s="512"/>
      <c r="L483" s="512"/>
      <c r="M483" s="512"/>
      <c r="N483" s="512"/>
      <c r="O483" s="512"/>
      <c r="P483" s="512"/>
    </row>
    <row r="484" spans="9:16">
      <c r="I484" s="550"/>
      <c r="J484" s="512"/>
      <c r="K484" s="512"/>
      <c r="L484" s="512"/>
      <c r="M484" s="512"/>
      <c r="N484" s="512"/>
      <c r="O484" s="512"/>
      <c r="P484" s="512"/>
    </row>
    <row r="485" spans="9:16">
      <c r="I485" s="550"/>
      <c r="J485" s="512"/>
      <c r="K485" s="512"/>
      <c r="L485" s="512"/>
      <c r="M485" s="512"/>
      <c r="N485" s="512"/>
      <c r="O485" s="512"/>
      <c r="P485" s="512"/>
    </row>
    <row r="486" spans="9:16">
      <c r="I486" s="550"/>
      <c r="J486" s="512"/>
      <c r="K486" s="512"/>
      <c r="L486" s="512"/>
      <c r="M486" s="512"/>
      <c r="N486" s="512"/>
      <c r="O486" s="512"/>
      <c r="P486" s="512"/>
    </row>
    <row r="487" spans="9:16">
      <c r="I487" s="550"/>
      <c r="J487" s="512"/>
      <c r="K487" s="512"/>
      <c r="L487" s="512"/>
      <c r="M487" s="512"/>
      <c r="N487" s="512"/>
      <c r="O487" s="512"/>
      <c r="P487" s="512"/>
    </row>
    <row r="488" spans="9:16">
      <c r="I488" s="550"/>
      <c r="J488" s="512"/>
      <c r="K488" s="512"/>
      <c r="L488" s="512"/>
      <c r="M488" s="512"/>
      <c r="N488" s="512"/>
      <c r="O488" s="512"/>
      <c r="P488" s="512"/>
    </row>
    <row r="489" spans="9:16">
      <c r="I489" s="550"/>
      <c r="J489" s="512"/>
      <c r="K489" s="512"/>
      <c r="L489" s="512"/>
      <c r="M489" s="512"/>
      <c r="N489" s="512"/>
      <c r="O489" s="512"/>
      <c r="P489" s="512"/>
    </row>
    <row r="490" spans="9:16">
      <c r="I490" s="550"/>
      <c r="J490" s="512"/>
      <c r="K490" s="512"/>
      <c r="L490" s="512"/>
      <c r="M490" s="512"/>
      <c r="N490" s="512"/>
      <c r="O490" s="512"/>
      <c r="P490" s="512"/>
    </row>
    <row r="491" spans="9:16">
      <c r="I491" s="550"/>
      <c r="J491" s="512"/>
      <c r="K491" s="512"/>
      <c r="L491" s="512"/>
      <c r="M491" s="512"/>
      <c r="N491" s="512"/>
      <c r="O491" s="512"/>
      <c r="P491" s="512"/>
    </row>
    <row r="492" spans="9:16">
      <c r="I492" s="550"/>
      <c r="J492" s="512"/>
      <c r="K492" s="512"/>
      <c r="L492" s="512"/>
      <c r="M492" s="512"/>
      <c r="N492" s="512"/>
      <c r="O492" s="512"/>
      <c r="P492" s="512"/>
    </row>
    <row r="493" spans="9:16">
      <c r="I493" s="550"/>
      <c r="J493" s="512"/>
      <c r="K493" s="512"/>
      <c r="L493" s="512"/>
      <c r="M493" s="512"/>
      <c r="N493" s="512"/>
      <c r="O493" s="512"/>
      <c r="P493" s="512"/>
    </row>
    <row r="494" spans="9:16">
      <c r="I494" s="550"/>
      <c r="J494" s="512"/>
      <c r="K494" s="512"/>
      <c r="L494" s="512"/>
      <c r="M494" s="512"/>
      <c r="N494" s="512"/>
      <c r="O494" s="512"/>
      <c r="P494" s="512"/>
    </row>
    <row r="495" spans="9:16">
      <c r="I495" s="550"/>
      <c r="J495" s="512"/>
      <c r="K495" s="512"/>
      <c r="L495" s="512"/>
      <c r="M495" s="512"/>
      <c r="N495" s="512"/>
      <c r="O495" s="512"/>
      <c r="P495" s="512"/>
    </row>
    <row r="496" spans="9:16">
      <c r="I496" s="550"/>
      <c r="J496" s="512"/>
      <c r="K496" s="512"/>
      <c r="L496" s="512"/>
      <c r="M496" s="512"/>
      <c r="N496" s="512"/>
      <c r="O496" s="512"/>
      <c r="P496" s="512"/>
    </row>
    <row r="497" spans="9:16">
      <c r="I497" s="550"/>
      <c r="J497" s="512"/>
      <c r="K497" s="512"/>
      <c r="L497" s="512"/>
      <c r="M497" s="512"/>
      <c r="N497" s="512"/>
      <c r="O497" s="512"/>
      <c r="P497" s="512"/>
    </row>
    <row r="498" spans="9:16">
      <c r="I498" s="550"/>
      <c r="J498" s="512"/>
      <c r="K498" s="512"/>
      <c r="L498" s="512"/>
      <c r="M498" s="512"/>
      <c r="N498" s="512"/>
      <c r="O498" s="512"/>
      <c r="P498" s="512"/>
    </row>
    <row r="499" spans="9:16">
      <c r="I499" s="550"/>
      <c r="J499" s="512"/>
      <c r="K499" s="512"/>
      <c r="L499" s="512"/>
      <c r="M499" s="512"/>
      <c r="N499" s="512"/>
      <c r="O499" s="512"/>
      <c r="P499" s="512"/>
    </row>
    <row r="500" spans="9:16">
      <c r="I500" s="550"/>
      <c r="J500" s="512"/>
      <c r="K500" s="512"/>
      <c r="L500" s="512"/>
      <c r="M500" s="512"/>
      <c r="N500" s="512"/>
      <c r="O500" s="512"/>
      <c r="P500" s="512"/>
    </row>
    <row r="501" spans="9:16">
      <c r="I501" s="550"/>
      <c r="J501" s="512"/>
      <c r="K501" s="512"/>
      <c r="L501" s="512"/>
      <c r="M501" s="512"/>
      <c r="N501" s="512"/>
      <c r="O501" s="512"/>
      <c r="P501" s="512"/>
    </row>
    <row r="502" spans="9:16">
      <c r="I502" s="550"/>
      <c r="J502" s="512"/>
      <c r="K502" s="512"/>
      <c r="L502" s="512"/>
      <c r="M502" s="512"/>
      <c r="N502" s="512"/>
      <c r="O502" s="512"/>
      <c r="P502" s="512"/>
    </row>
    <row r="503" spans="9:16">
      <c r="I503" s="550"/>
      <c r="J503" s="512"/>
      <c r="K503" s="512"/>
      <c r="L503" s="512"/>
      <c r="M503" s="512"/>
      <c r="N503" s="512"/>
      <c r="O503" s="512"/>
      <c r="P503" s="512"/>
    </row>
    <row r="504" spans="9:16">
      <c r="I504" s="550"/>
      <c r="J504" s="512"/>
      <c r="K504" s="512"/>
      <c r="L504" s="512"/>
      <c r="M504" s="512"/>
      <c r="N504" s="512"/>
      <c r="O504" s="512"/>
      <c r="P504" s="512"/>
    </row>
    <row r="505" spans="9:16">
      <c r="I505" s="550"/>
      <c r="J505" s="512"/>
      <c r="K505" s="512"/>
      <c r="L505" s="512"/>
      <c r="M505" s="512"/>
      <c r="N505" s="512"/>
      <c r="O505" s="512"/>
      <c r="P505" s="512"/>
    </row>
    <row r="506" spans="9:16">
      <c r="I506" s="550"/>
      <c r="J506" s="512"/>
      <c r="K506" s="512"/>
      <c r="L506" s="512"/>
      <c r="M506" s="512"/>
      <c r="N506" s="512"/>
      <c r="O506" s="512"/>
      <c r="P506" s="512"/>
    </row>
    <row r="507" spans="9:16">
      <c r="I507" s="550"/>
      <c r="J507" s="512"/>
      <c r="K507" s="512"/>
      <c r="L507" s="512"/>
      <c r="M507" s="512"/>
      <c r="N507" s="512"/>
      <c r="O507" s="512"/>
      <c r="P507" s="512"/>
    </row>
    <row r="508" spans="9:16">
      <c r="I508" s="550"/>
      <c r="J508" s="512"/>
      <c r="K508" s="512"/>
      <c r="L508" s="512"/>
      <c r="M508" s="512"/>
      <c r="N508" s="512"/>
      <c r="O508" s="512"/>
      <c r="P508" s="512"/>
    </row>
    <row r="509" spans="9:16">
      <c r="I509" s="550"/>
      <c r="J509" s="512"/>
      <c r="K509" s="512"/>
      <c r="L509" s="512"/>
      <c r="M509" s="512"/>
      <c r="N509" s="512"/>
      <c r="O509" s="512"/>
      <c r="P509" s="512"/>
    </row>
    <row r="510" spans="9:16">
      <c r="I510" s="550"/>
      <c r="J510" s="512"/>
      <c r="K510" s="512"/>
      <c r="L510" s="512"/>
      <c r="M510" s="512"/>
      <c r="N510" s="512"/>
      <c r="O510" s="512"/>
      <c r="P510" s="512"/>
    </row>
    <row r="511" spans="9:16">
      <c r="I511" s="550"/>
      <c r="J511" s="512"/>
      <c r="K511" s="512"/>
      <c r="L511" s="512"/>
      <c r="M511" s="512"/>
      <c r="N511" s="512"/>
      <c r="O511" s="512"/>
      <c r="P511" s="512"/>
    </row>
    <row r="512" spans="9:16">
      <c r="I512" s="550"/>
      <c r="J512" s="512"/>
      <c r="K512" s="512"/>
      <c r="L512" s="512"/>
      <c r="M512" s="512"/>
      <c r="N512" s="512"/>
      <c r="O512" s="512"/>
      <c r="P512" s="512"/>
    </row>
    <row r="513" spans="9:16">
      <c r="I513" s="550"/>
      <c r="J513" s="512"/>
      <c r="K513" s="512"/>
      <c r="L513" s="512"/>
      <c r="M513" s="512"/>
      <c r="N513" s="512"/>
      <c r="O513" s="512"/>
      <c r="P513" s="512"/>
    </row>
    <row r="514" spans="9:16">
      <c r="I514" s="550"/>
      <c r="J514" s="512"/>
      <c r="K514" s="512"/>
      <c r="L514" s="512"/>
      <c r="M514" s="512"/>
      <c r="N514" s="512"/>
      <c r="O514" s="512"/>
      <c r="P514" s="512"/>
    </row>
    <row r="515" spans="9:16">
      <c r="I515" s="550"/>
      <c r="J515" s="512"/>
      <c r="K515" s="512"/>
      <c r="L515" s="512"/>
      <c r="M515" s="512"/>
      <c r="N515" s="512"/>
      <c r="O515" s="512"/>
      <c r="P515" s="512"/>
    </row>
    <row r="516" spans="9:16">
      <c r="I516" s="550"/>
      <c r="J516" s="512"/>
      <c r="K516" s="512"/>
      <c r="L516" s="512"/>
      <c r="M516" s="512"/>
      <c r="N516" s="512"/>
      <c r="O516" s="512"/>
      <c r="P516" s="512"/>
    </row>
    <row r="517" spans="9:16">
      <c r="I517" s="550"/>
      <c r="J517" s="512"/>
      <c r="K517" s="512"/>
      <c r="L517" s="512"/>
      <c r="M517" s="512"/>
      <c r="N517" s="512"/>
      <c r="O517" s="512"/>
      <c r="P517" s="512"/>
    </row>
    <row r="518" spans="9:16">
      <c r="I518" s="550"/>
      <c r="J518" s="512"/>
      <c r="K518" s="512"/>
      <c r="L518" s="512"/>
      <c r="M518" s="512"/>
      <c r="N518" s="512"/>
      <c r="O518" s="512"/>
      <c r="P518" s="512"/>
    </row>
    <row r="519" spans="9:16">
      <c r="I519" s="550"/>
      <c r="J519" s="512"/>
      <c r="K519" s="512"/>
      <c r="L519" s="512"/>
      <c r="M519" s="512"/>
      <c r="N519" s="512"/>
      <c r="O519" s="512"/>
      <c r="P519" s="512"/>
    </row>
    <row r="520" spans="9:16">
      <c r="I520" s="550"/>
      <c r="J520" s="512"/>
      <c r="K520" s="512"/>
      <c r="L520" s="512"/>
      <c r="M520" s="512"/>
      <c r="N520" s="512"/>
      <c r="O520" s="512"/>
      <c r="P520" s="512"/>
    </row>
    <row r="521" spans="9:16">
      <c r="I521" s="550"/>
      <c r="J521" s="512"/>
      <c r="K521" s="512"/>
      <c r="L521" s="512"/>
      <c r="M521" s="512"/>
      <c r="N521" s="512"/>
      <c r="O521" s="512"/>
      <c r="P521" s="512"/>
    </row>
    <row r="522" spans="9:16">
      <c r="I522" s="550"/>
      <c r="J522" s="512"/>
      <c r="K522" s="512"/>
      <c r="L522" s="512"/>
      <c r="M522" s="512"/>
      <c r="N522" s="512"/>
      <c r="O522" s="512"/>
      <c r="P522" s="512"/>
    </row>
    <row r="523" spans="9:16">
      <c r="I523" s="550"/>
      <c r="J523" s="512"/>
      <c r="K523" s="512"/>
      <c r="L523" s="512"/>
      <c r="M523" s="512"/>
      <c r="N523" s="512"/>
      <c r="O523" s="512"/>
      <c r="P523" s="512"/>
    </row>
    <row r="524" spans="9:16">
      <c r="I524" s="550"/>
      <c r="J524" s="512"/>
      <c r="K524" s="512"/>
      <c r="L524" s="512"/>
      <c r="M524" s="512"/>
      <c r="N524" s="512"/>
      <c r="O524" s="512"/>
      <c r="P524" s="512"/>
    </row>
    <row r="525" spans="9:16">
      <c r="I525" s="550"/>
      <c r="J525" s="512"/>
      <c r="K525" s="512"/>
      <c r="L525" s="512"/>
      <c r="M525" s="512"/>
      <c r="N525" s="512"/>
      <c r="O525" s="512"/>
      <c r="P525" s="512"/>
    </row>
    <row r="526" spans="9:16">
      <c r="I526" s="550"/>
      <c r="J526" s="512"/>
      <c r="K526" s="512"/>
      <c r="L526" s="512"/>
      <c r="M526" s="512"/>
      <c r="N526" s="512"/>
      <c r="O526" s="512"/>
      <c r="P526" s="512"/>
    </row>
    <row r="527" spans="9:16">
      <c r="I527" s="550"/>
      <c r="J527" s="512"/>
      <c r="K527" s="512"/>
      <c r="L527" s="512"/>
      <c r="M527" s="512"/>
      <c r="N527" s="512"/>
      <c r="O527" s="512"/>
      <c r="P527" s="512"/>
    </row>
    <row r="528" spans="9:16">
      <c r="I528" s="550"/>
      <c r="J528" s="512"/>
      <c r="K528" s="512"/>
      <c r="L528" s="512"/>
      <c r="M528" s="512"/>
      <c r="N528" s="512"/>
      <c r="O528" s="512"/>
      <c r="P528" s="512"/>
    </row>
    <row r="529" spans="9:16">
      <c r="I529" s="550"/>
      <c r="J529" s="512"/>
      <c r="K529" s="512"/>
      <c r="L529" s="512"/>
      <c r="M529" s="512"/>
      <c r="N529" s="512"/>
      <c r="O529" s="512"/>
      <c r="P529" s="512"/>
    </row>
    <row r="530" spans="9:16">
      <c r="I530" s="550"/>
      <c r="J530" s="512"/>
      <c r="K530" s="512"/>
      <c r="L530" s="512"/>
      <c r="M530" s="512"/>
      <c r="N530" s="512"/>
      <c r="O530" s="512"/>
      <c r="P530" s="512"/>
    </row>
    <row r="531" spans="9:16">
      <c r="I531" s="550"/>
      <c r="J531" s="512"/>
      <c r="K531" s="512"/>
      <c r="L531" s="512"/>
      <c r="M531" s="512"/>
      <c r="N531" s="512"/>
      <c r="O531" s="512"/>
      <c r="P531" s="512"/>
    </row>
    <row r="532" spans="9:16">
      <c r="I532" s="550"/>
      <c r="J532" s="512"/>
      <c r="K532" s="512"/>
      <c r="L532" s="512"/>
      <c r="M532" s="512"/>
      <c r="N532" s="512"/>
      <c r="O532" s="512"/>
      <c r="P532" s="512"/>
    </row>
  </sheetData>
  <mergeCells count="42">
    <mergeCell ref="A30:H30"/>
    <mergeCell ref="I30:P30"/>
    <mergeCell ref="Q2:X2"/>
    <mergeCell ref="D7:G7"/>
    <mergeCell ref="L7:O7"/>
    <mergeCell ref="A28:H28"/>
    <mergeCell ref="I28:P28"/>
    <mergeCell ref="D39:G39"/>
    <mergeCell ref="L39:O39"/>
    <mergeCell ref="A61:H61"/>
    <mergeCell ref="I61:P61"/>
    <mergeCell ref="A62:H62"/>
    <mergeCell ref="I62:P62"/>
    <mergeCell ref="D70:G70"/>
    <mergeCell ref="L70:O70"/>
    <mergeCell ref="D100:G100"/>
    <mergeCell ref="L100:O100"/>
    <mergeCell ref="A122:H122"/>
    <mergeCell ref="I122:P122"/>
    <mergeCell ref="D131:G131"/>
    <mergeCell ref="L131:O131"/>
    <mergeCell ref="A153:H153"/>
    <mergeCell ref="I153:P153"/>
    <mergeCell ref="D162:G162"/>
    <mergeCell ref="L162:O162"/>
    <mergeCell ref="A338:H338"/>
    <mergeCell ref="D192:G192"/>
    <mergeCell ref="L192:O192"/>
    <mergeCell ref="A214:H214"/>
    <mergeCell ref="I214:P214"/>
    <mergeCell ref="D223:G223"/>
    <mergeCell ref="A245:H245"/>
    <mergeCell ref="D254:G254"/>
    <mergeCell ref="A276:H276"/>
    <mergeCell ref="D285:G285"/>
    <mergeCell ref="A307:H307"/>
    <mergeCell ref="D316:G316"/>
    <mergeCell ref="D347:G347"/>
    <mergeCell ref="A369:H369"/>
    <mergeCell ref="D378:G378"/>
    <mergeCell ref="D408:G408"/>
    <mergeCell ref="D438:G438"/>
  </mergeCells>
  <conditionalFormatting sqref="Q1:R7 Q9:R1048576">
    <cfRule type="cellIs" dxfId="3524" priority="1" stopIfTrue="1" operator="notEqual">
      <formula>100</formula>
    </cfRule>
  </conditionalFormatting>
  <pageMargins left="0.7" right="0.7" top="0.75" bottom="0.75" header="0.3" footer="0.3"/>
  <pageSetup scale="97" firstPageNumber="100" orientation="landscape" useFirstPageNumber="1" r:id="rId1"/>
  <headerFooter>
    <oddHeader>&amp;R&amp;"Arial,Regular"&amp;8SREB-State Data Exchange</oddHeader>
    <oddFooter>&amp;C&amp;"Arial,Regular"&amp;10&amp;P</oddFooter>
  </headerFooter>
  <rowBreaks count="14" manualBreakCount="14">
    <brk id="32" max="15" man="1"/>
    <brk id="63" max="15" man="1"/>
    <brk id="93" max="15" man="1"/>
    <brk id="124" max="15" man="1"/>
    <brk id="155" max="15" man="1"/>
    <brk id="185" max="15" man="1"/>
    <brk id="216" max="15" man="1"/>
    <brk id="247" max="15" man="1"/>
    <brk id="278" max="15" man="1"/>
    <brk id="309" max="15" man="1"/>
    <brk id="340" max="15" man="1"/>
    <brk id="371" max="15" man="1"/>
    <brk id="401" max="15" man="1"/>
    <brk id="431" max="15" man="1"/>
  </rowBreaks>
  <colBreaks count="1" manualBreakCount="1">
    <brk id="8" max="460"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2563-0AF2-4F02-9020-5866AE3495C6}">
  <sheetPr>
    <tabColor theme="5" tint="0.59999389629810485"/>
  </sheetPr>
  <dimension ref="A1:AO532"/>
  <sheetViews>
    <sheetView showZeros="0" view="pageBreakPreview" topLeftCell="A16" zoomScaleNormal="100" zoomScaleSheetLayoutView="100" workbookViewId="0">
      <selection activeCell="I186" sqref="I186"/>
    </sheetView>
  </sheetViews>
  <sheetFormatPr defaultRowHeight="12.75"/>
  <cols>
    <col min="1" max="1" width="13.42578125" style="478" customWidth="1"/>
    <col min="2" max="3" width="9.42578125" style="478" bestFit="1" customWidth="1"/>
    <col min="4" max="4" width="9.85546875" style="478" bestFit="1" customWidth="1"/>
    <col min="5" max="5" width="5.7109375" style="478" bestFit="1" customWidth="1"/>
    <col min="6" max="6" width="11.42578125" style="478" customWidth="1"/>
    <col min="7" max="7" width="7.85546875" style="478" bestFit="1" customWidth="1"/>
    <col min="8" max="8" width="12.28515625" style="512" bestFit="1" customWidth="1"/>
    <col min="9" max="9" width="13" style="563" customWidth="1"/>
    <col min="10" max="11" width="9" style="478" customWidth="1"/>
    <col min="12" max="12" width="10" style="478" bestFit="1" customWidth="1"/>
    <col min="13" max="13" width="6.42578125" style="478" bestFit="1" customWidth="1"/>
    <col min="14" max="14" width="11.28515625" style="478" customWidth="1"/>
    <col min="15" max="15" width="7.85546875" style="478" bestFit="1" customWidth="1"/>
    <col min="16" max="16" width="12.28515625" style="478" bestFit="1" customWidth="1"/>
    <col min="17" max="17" width="11.5703125" style="482" bestFit="1" customWidth="1"/>
    <col min="18" max="18" width="11.5703125" style="488" bestFit="1" customWidth="1"/>
    <col min="19" max="16384" width="9.140625" style="478"/>
  </cols>
  <sheetData>
    <row r="1" spans="1:41" ht="18">
      <c r="A1" s="472" t="s">
        <v>915</v>
      </c>
      <c r="B1" s="473"/>
      <c r="C1" s="473"/>
      <c r="D1" s="473"/>
      <c r="E1" s="473"/>
      <c r="F1" s="473"/>
      <c r="G1" s="473"/>
      <c r="H1" s="474"/>
      <c r="I1" s="472" t="s">
        <v>916</v>
      </c>
      <c r="J1" s="475"/>
      <c r="K1" s="475"/>
      <c r="L1" s="473"/>
      <c r="M1" s="475"/>
      <c r="N1" s="475"/>
      <c r="O1" s="475"/>
      <c r="P1" s="475"/>
      <c r="Q1" s="476"/>
      <c r="R1" s="477"/>
    </row>
    <row r="2" spans="1:41" ht="15">
      <c r="A2" s="479"/>
      <c r="B2" s="475"/>
      <c r="C2" s="475"/>
      <c r="D2" s="475"/>
      <c r="E2" s="475"/>
      <c r="F2" s="475"/>
      <c r="G2" s="475"/>
      <c r="H2" s="480"/>
      <c r="I2" s="479"/>
      <c r="J2" s="475"/>
      <c r="K2" s="475"/>
      <c r="L2" s="475"/>
      <c r="M2" s="475"/>
      <c r="N2" s="475"/>
      <c r="O2" s="475"/>
      <c r="P2" s="475"/>
      <c r="Q2" s="675"/>
      <c r="R2" s="674"/>
      <c r="S2" s="674"/>
      <c r="T2" s="674"/>
      <c r="U2" s="674"/>
      <c r="V2" s="674"/>
      <c r="W2" s="674"/>
      <c r="X2" s="674"/>
    </row>
    <row r="3" spans="1:41" ht="15.75">
      <c r="A3" s="481" t="s">
        <v>917</v>
      </c>
      <c r="B3" s="475"/>
      <c r="C3" s="475"/>
      <c r="D3" s="475"/>
      <c r="E3" s="475"/>
      <c r="F3" s="475"/>
      <c r="G3" s="475"/>
      <c r="H3" s="480"/>
      <c r="I3" s="481" t="s">
        <v>918</v>
      </c>
      <c r="J3" s="475"/>
      <c r="K3" s="475"/>
      <c r="L3" s="475"/>
      <c r="M3" s="475"/>
      <c r="N3" s="475"/>
      <c r="O3" s="475"/>
      <c r="P3" s="475"/>
      <c r="R3" s="483" t="s">
        <v>320</v>
      </c>
    </row>
    <row r="4" spans="1:41" ht="15.75">
      <c r="A4" s="481" t="s">
        <v>961</v>
      </c>
      <c r="B4" s="475"/>
      <c r="C4" s="475"/>
      <c r="D4" s="475"/>
      <c r="E4" s="475"/>
      <c r="F4" s="475"/>
      <c r="G4" s="475"/>
      <c r="H4" s="480"/>
      <c r="I4" s="481" t="s">
        <v>961</v>
      </c>
      <c r="J4" s="475"/>
      <c r="K4" s="475"/>
      <c r="L4" s="475"/>
      <c r="M4" s="475"/>
      <c r="N4" s="475"/>
      <c r="O4" s="475"/>
      <c r="P4" s="475"/>
      <c r="R4" s="483" t="s">
        <v>320</v>
      </c>
    </row>
    <row r="5" spans="1:41">
      <c r="A5" s="484"/>
      <c r="B5" s="485"/>
      <c r="C5" s="485"/>
      <c r="D5" s="485"/>
      <c r="E5" s="485"/>
      <c r="F5" s="485"/>
      <c r="G5" s="485"/>
      <c r="H5" s="485"/>
      <c r="I5" s="486"/>
      <c r="L5" s="487"/>
      <c r="P5" s="484"/>
    </row>
    <row r="6" spans="1:41" s="494" customFormat="1" ht="12">
      <c r="A6" s="489"/>
      <c r="B6" s="490" t="s">
        <v>919</v>
      </c>
      <c r="C6" s="490"/>
      <c r="D6" s="490"/>
      <c r="E6" s="490"/>
      <c r="F6" s="490"/>
      <c r="G6" s="490"/>
      <c r="H6" s="491"/>
      <c r="I6" s="489"/>
      <c r="J6" s="490" t="s">
        <v>919</v>
      </c>
      <c r="K6" s="490"/>
      <c r="L6" s="490"/>
      <c r="M6" s="490"/>
      <c r="N6" s="490"/>
      <c r="O6" s="490"/>
      <c r="P6" s="491"/>
      <c r="Q6" s="492"/>
      <c r="R6" s="493"/>
    </row>
    <row r="7" spans="1:41" s="494" customFormat="1" ht="12">
      <c r="A7" s="489"/>
      <c r="B7" s="490" t="s">
        <v>920</v>
      </c>
      <c r="C7" s="490"/>
      <c r="D7" s="659" t="s">
        <v>921</v>
      </c>
      <c r="E7" s="657"/>
      <c r="F7" s="657"/>
      <c r="G7" s="657"/>
      <c r="H7" s="495" t="s">
        <v>320</v>
      </c>
      <c r="I7" s="489"/>
      <c r="J7" s="490" t="s">
        <v>920</v>
      </c>
      <c r="K7" s="490"/>
      <c r="L7" s="659" t="s">
        <v>921</v>
      </c>
      <c r="M7" s="657"/>
      <c r="N7" s="657"/>
      <c r="O7" s="657"/>
      <c r="P7" s="495" t="s">
        <v>320</v>
      </c>
      <c r="Q7" s="492"/>
      <c r="R7" s="493"/>
    </row>
    <row r="8" spans="1:41" s="494" customFormat="1" ht="40.5" customHeight="1">
      <c r="A8" s="489"/>
      <c r="B8" s="496" t="s">
        <v>922</v>
      </c>
      <c r="C8" s="497" t="s">
        <v>923</v>
      </c>
      <c r="D8" s="498" t="s">
        <v>924</v>
      </c>
      <c r="E8" s="499" t="s">
        <v>10</v>
      </c>
      <c r="F8" s="496" t="s">
        <v>925</v>
      </c>
      <c r="G8" s="500" t="s">
        <v>926</v>
      </c>
      <c r="H8" s="501" t="s">
        <v>927</v>
      </c>
      <c r="I8" s="489"/>
      <c r="J8" s="496" t="s">
        <v>922</v>
      </c>
      <c r="K8" s="497" t="s">
        <v>923</v>
      </c>
      <c r="L8" s="498" t="s">
        <v>924</v>
      </c>
      <c r="M8" s="499" t="s">
        <v>10</v>
      </c>
      <c r="N8" s="496" t="s">
        <v>925</v>
      </c>
      <c r="O8" s="500" t="s">
        <v>926</v>
      </c>
      <c r="P8" s="501" t="s">
        <v>927</v>
      </c>
      <c r="Q8" s="502" t="s">
        <v>928</v>
      </c>
      <c r="R8" s="502" t="s">
        <v>928</v>
      </c>
      <c r="S8" s="503"/>
    </row>
    <row r="9" spans="1:41" ht="15.75" customHeight="1">
      <c r="A9" s="504" t="s">
        <v>894</v>
      </c>
      <c r="B9" s="505">
        <f>('Pivot Table for Data Exchange'!$J$6)*100</f>
        <v>87.173367143945768</v>
      </c>
      <c r="C9" s="505">
        <f>('Pivot Table for Data Exchange'!$J$9)*100</f>
        <v>0.24705332214515877</v>
      </c>
      <c r="D9" s="506">
        <f>SUM(E9:G9)</f>
        <v>12.579579533909074</v>
      </c>
      <c r="E9" s="505">
        <f>('Pivot Table for Data Exchange'!$J$12)*100</f>
        <v>12.439574776523202</v>
      </c>
      <c r="F9" s="505">
        <f>('Pivot Table for Data Exchange'!$J$15)*100</f>
        <v>7.382659638571562E-2</v>
      </c>
      <c r="G9" s="507">
        <f>('Pivot Table for Data Exchange'!$J$18)*100</f>
        <v>6.6178161000155472E-2</v>
      </c>
      <c r="H9" s="505">
        <f>('Pivot Table for Data Exchange'!$J$21)*100</f>
        <v>0</v>
      </c>
      <c r="I9" s="508" t="s">
        <v>894</v>
      </c>
      <c r="J9" s="505">
        <f>('Pivot Table for Data Exchange'!$J$24)*100</f>
        <v>68.16745261630544</v>
      </c>
      <c r="K9" s="505">
        <f>('Pivot Table for Data Exchange'!$J$27)*100</f>
        <v>1.2723315498322298</v>
      </c>
      <c r="L9" s="506">
        <f>SUM(M9:O9)</f>
        <v>30.560215833862337</v>
      </c>
      <c r="M9" s="505">
        <f>('Pivot Table for Data Exchange'!$J$30)*100</f>
        <v>30.380656570236692</v>
      </c>
      <c r="N9" s="505">
        <f>('Pivot Table for Data Exchange'!$J$33)*100</f>
        <v>0.10066201142649858</v>
      </c>
      <c r="O9" s="509">
        <f>('Pivot Table for Data Exchange'!$J$36)*100</f>
        <v>7.8897252199147547E-2</v>
      </c>
      <c r="P9" s="505">
        <f>('Pivot Table for Data Exchange'!$J$39)*100</f>
        <v>0</v>
      </c>
      <c r="Q9" s="510">
        <f>SUM(B9,C9,D9,H9)</f>
        <v>100</v>
      </c>
      <c r="R9" s="510">
        <f>SUM(J9,K9,L9,P9)</f>
        <v>100</v>
      </c>
      <c r="S9" s="511"/>
      <c r="T9" s="494"/>
      <c r="U9" s="494"/>
      <c r="V9" s="494"/>
      <c r="W9" s="494"/>
      <c r="X9" s="494"/>
      <c r="Y9" s="494"/>
      <c r="Z9" s="494"/>
      <c r="AA9" s="494"/>
      <c r="AB9" s="494"/>
      <c r="AC9" s="494"/>
      <c r="AD9" s="494"/>
      <c r="AE9" s="494"/>
      <c r="AF9" s="494"/>
      <c r="AG9" s="511"/>
      <c r="AH9" s="511"/>
      <c r="AI9" s="511"/>
      <c r="AJ9" s="511"/>
      <c r="AK9" s="511"/>
      <c r="AL9" s="511"/>
      <c r="AM9" s="511"/>
      <c r="AN9" s="511"/>
      <c r="AO9" s="511"/>
    </row>
    <row r="10" spans="1:41" ht="15.75" customHeight="1">
      <c r="A10" s="512" t="s">
        <v>895</v>
      </c>
      <c r="B10" s="505">
        <f>('Pivot Table for Data Exchange'!$J$42)*100</f>
        <v>80.14185001787925</v>
      </c>
      <c r="C10" s="505">
        <f>('Pivot Table for Data Exchange'!$J$45)*100</f>
        <v>3.6212722928314824</v>
      </c>
      <c r="D10" s="506">
        <f t="shared" ref="D10:D26" si="0">SUM(E10:G10)</f>
        <v>16.069783578077896</v>
      </c>
      <c r="E10" s="505">
        <f>('Pivot Table for Data Exchange'!$J$48)*100</f>
        <v>15.911025227516534</v>
      </c>
      <c r="F10" s="505">
        <f>('Pivot Table for Data Exchange'!$J$51)*100</f>
        <v>0.10296558893806672</v>
      </c>
      <c r="G10" s="513">
        <f>('Pivot Table for Data Exchange'!$J$54)*100</f>
        <v>5.5792761623294669E-2</v>
      </c>
      <c r="H10" s="505">
        <f>('Pivot Table for Data Exchange'!$J$57)*100</f>
        <v>0.16709411121136128</v>
      </c>
      <c r="I10" s="514" t="s">
        <v>895</v>
      </c>
      <c r="J10" s="505">
        <f>('Pivot Table for Data Exchange'!$J$60)*100</f>
        <v>57.779840066609999</v>
      </c>
      <c r="K10" s="505">
        <f>('Pivot Table for Data Exchange'!$J$63)*100</f>
        <v>4.3151948284734631</v>
      </c>
      <c r="L10" s="506">
        <f t="shared" ref="L10:L26" si="1">SUM(M10:O10)</f>
        <v>37.904965104916535</v>
      </c>
      <c r="M10" s="505">
        <f>('Pivot Table for Data Exchange'!$J$66)*100</f>
        <v>36.39149566052027</v>
      </c>
      <c r="N10" s="505">
        <f>('Pivot Table for Data Exchange'!$J$69)*100</f>
        <v>1.3729639716213637</v>
      </c>
      <c r="O10" s="515">
        <f>('Pivot Table for Data Exchange'!$J$72)*100</f>
        <v>0.14050547277489636</v>
      </c>
      <c r="P10" s="516">
        <f>('Pivot Table for Data Exchange'!$J$75)*100</f>
        <v>0</v>
      </c>
      <c r="Q10" s="510">
        <f>SUM(B10,C10,D10,H10)</f>
        <v>99.999999999999972</v>
      </c>
      <c r="R10" s="510">
        <f t="shared" ref="R10:R74" si="2">SUM(J10,K10,L10,P10)</f>
        <v>100</v>
      </c>
      <c r="S10" s="511"/>
      <c r="T10" s="494"/>
      <c r="U10" s="494"/>
      <c r="V10" s="494"/>
      <c r="W10" s="494"/>
      <c r="X10" s="494"/>
      <c r="Y10" s="494"/>
      <c r="Z10" s="494"/>
      <c r="AA10" s="494"/>
      <c r="AB10" s="494"/>
      <c r="AC10" s="494"/>
      <c r="AD10" s="494"/>
      <c r="AE10" s="494"/>
      <c r="AF10" s="494"/>
      <c r="AG10" s="511"/>
      <c r="AH10" s="511"/>
      <c r="AI10" s="511"/>
      <c r="AJ10" s="511"/>
      <c r="AK10" s="511"/>
      <c r="AL10" s="511"/>
      <c r="AM10" s="511"/>
      <c r="AN10" s="511"/>
      <c r="AO10" s="511"/>
    </row>
    <row r="11" spans="1:41" ht="15.75" customHeight="1">
      <c r="A11" s="512" t="s">
        <v>896</v>
      </c>
      <c r="B11" s="505">
        <f>('Pivot Table for Data Exchange'!$J$78)*100</f>
        <v>96.91129213605403</v>
      </c>
      <c r="C11" s="505">
        <f>('Pivot Table for Data Exchange'!$J$81)*100</f>
        <v>0</v>
      </c>
      <c r="D11" s="506">
        <f t="shared" si="0"/>
        <v>3.0887078639459729</v>
      </c>
      <c r="E11" s="505">
        <f>('Pivot Table for Data Exchange'!$J$84)*100</f>
        <v>3.0887078639459729</v>
      </c>
      <c r="F11" s="505">
        <f>('Pivot Table for Data Exchange'!$J$87)*100</f>
        <v>0</v>
      </c>
      <c r="G11" s="515">
        <f>('Pivot Table for Data Exchange'!$J$90)*100</f>
        <v>0</v>
      </c>
      <c r="H11" s="505">
        <f>('Pivot Table for Data Exchange'!$J$93)*100</f>
        <v>0</v>
      </c>
      <c r="I11" s="514" t="s">
        <v>896</v>
      </c>
      <c r="J11" s="505">
        <f>('Pivot Table for Data Exchange'!$J$96)*100</f>
        <v>91.923360848265219</v>
      </c>
      <c r="K11" s="505">
        <f>('Pivot Table for Data Exchange'!$J$99)*100</f>
        <v>0</v>
      </c>
      <c r="L11" s="506">
        <f t="shared" si="1"/>
        <v>8.0766391517347831</v>
      </c>
      <c r="M11" s="505">
        <f>('Pivot Table for Data Exchange'!$J$102)*100</f>
        <v>8.0766391517347831</v>
      </c>
      <c r="N11" s="505">
        <f>('Pivot Table for Data Exchange'!$J$105)*100</f>
        <v>0</v>
      </c>
      <c r="O11" s="515">
        <f>('Pivot Table for Data Exchange'!$J$108)*100</f>
        <v>0</v>
      </c>
      <c r="P11" s="505">
        <f>('Pivot Table for Data Exchange'!$J$111)*100</f>
        <v>0</v>
      </c>
      <c r="Q11" s="510">
        <f t="shared" ref="Q11:Q74" si="3">SUM(B11,C11,D11,H11)</f>
        <v>100</v>
      </c>
      <c r="R11" s="510">
        <f t="shared" si="2"/>
        <v>100</v>
      </c>
      <c r="S11" s="511"/>
      <c r="T11" s="494"/>
      <c r="U11" s="494"/>
      <c r="V11" s="494"/>
      <c r="W11" s="494"/>
      <c r="X11" s="494"/>
      <c r="Y11" s="494"/>
      <c r="Z11" s="494"/>
      <c r="AA11" s="494"/>
      <c r="AB11" s="494"/>
      <c r="AC11" s="494"/>
      <c r="AD11" s="494"/>
      <c r="AE11" s="494"/>
      <c r="AF11" s="494"/>
      <c r="AG11" s="511"/>
      <c r="AH11" s="511"/>
      <c r="AI11" s="511"/>
      <c r="AJ11" s="511"/>
      <c r="AK11" s="511"/>
      <c r="AL11" s="511"/>
      <c r="AM11" s="511"/>
      <c r="AN11" s="511"/>
      <c r="AO11" s="511"/>
    </row>
    <row r="12" spans="1:41" ht="15.75" customHeight="1">
      <c r="A12" s="512" t="s">
        <v>929</v>
      </c>
      <c r="B12" s="505">
        <f>('Pivot Table for Data Exchange'!$J$114)*100</f>
        <v>75.347506268163642</v>
      </c>
      <c r="C12" s="505">
        <f>('Pivot Table for Data Exchange'!$J$117)*100</f>
        <v>5.6083053281427802</v>
      </c>
      <c r="D12" s="506">
        <f t="shared" si="0"/>
        <v>18.926082289846406</v>
      </c>
      <c r="E12" s="505">
        <f>('Pivot Table for Data Exchange'!$J$120)*100</f>
        <v>18.751684158783622</v>
      </c>
      <c r="F12" s="505">
        <f>('Pivot Table for Data Exchange'!$J$123)*100</f>
        <v>6.8090558481385913E-2</v>
      </c>
      <c r="G12" s="517">
        <f>('Pivot Table for Data Exchange'!$J$126)*100</f>
        <v>0.10630757258139711</v>
      </c>
      <c r="H12" s="505">
        <f>('Pivot Table for Data Exchange'!$J$129)*100</f>
        <v>0.11810611384717239</v>
      </c>
      <c r="I12" s="514" t="s">
        <v>929</v>
      </c>
      <c r="J12" s="505">
        <f>('Pivot Table for Data Exchange'!$J$132)*100</f>
        <v>71.038870759963714</v>
      </c>
      <c r="K12" s="505">
        <f>('Pivot Table for Data Exchange'!$J$135)*100</f>
        <v>7.9215905622874452</v>
      </c>
      <c r="L12" s="506">
        <f t="shared" si="1"/>
        <v>21.005885897035853</v>
      </c>
      <c r="M12" s="505">
        <f>('Pivot Table for Data Exchange'!$J$138)*100</f>
        <v>20.92094045564324</v>
      </c>
      <c r="N12" s="505">
        <f>('Pivot Table for Data Exchange'!$J$141)*100</f>
        <v>7.5868609953482102E-2</v>
      </c>
      <c r="O12" s="513">
        <f>('Pivot Table for Data Exchange'!$J$144)*100</f>
        <v>9.0768314391299117E-3</v>
      </c>
      <c r="P12" s="505">
        <f>('Pivot Table for Data Exchange'!$J$147)*100</f>
        <v>3.365278071300052E-2</v>
      </c>
      <c r="Q12" s="510">
        <f t="shared" si="3"/>
        <v>100</v>
      </c>
      <c r="R12" s="510">
        <f t="shared" si="2"/>
        <v>100.00000000000001</v>
      </c>
      <c r="S12" s="511"/>
      <c r="T12" s="494"/>
      <c r="U12" s="494"/>
      <c r="V12" s="494"/>
      <c r="W12" s="494"/>
      <c r="X12" s="494"/>
      <c r="Y12" s="494"/>
      <c r="Z12" s="494"/>
      <c r="AA12" s="494"/>
      <c r="AB12" s="494"/>
      <c r="AC12" s="494"/>
      <c r="AD12" s="494"/>
      <c r="AE12" s="494"/>
      <c r="AF12" s="494"/>
      <c r="AG12" s="511"/>
      <c r="AH12" s="511"/>
      <c r="AI12" s="511"/>
      <c r="AJ12" s="511"/>
      <c r="AK12" s="511"/>
      <c r="AL12" s="511"/>
      <c r="AM12" s="511"/>
      <c r="AN12" s="511"/>
      <c r="AO12" s="511"/>
    </row>
    <row r="13" spans="1:41" ht="9.75" customHeight="1">
      <c r="A13" s="512"/>
      <c r="B13" s="505"/>
      <c r="C13" s="505"/>
      <c r="D13" s="506"/>
      <c r="E13" s="505"/>
      <c r="F13" s="505"/>
      <c r="G13" s="515"/>
      <c r="H13" s="505"/>
      <c r="I13" s="514"/>
      <c r="J13" s="505"/>
      <c r="K13" s="505"/>
      <c r="L13" s="506"/>
      <c r="M13" s="505"/>
      <c r="N13" s="505"/>
      <c r="O13" s="515"/>
      <c r="P13" s="505"/>
      <c r="Q13" s="510">
        <f t="shared" si="3"/>
        <v>0</v>
      </c>
      <c r="R13" s="510">
        <f t="shared" si="2"/>
        <v>0</v>
      </c>
      <c r="S13" s="511"/>
      <c r="T13" s="494"/>
      <c r="U13" s="494"/>
      <c r="V13" s="494"/>
      <c r="W13" s="494"/>
      <c r="X13" s="494"/>
      <c r="Y13" s="494"/>
      <c r="Z13" s="494"/>
      <c r="AA13" s="494"/>
      <c r="AB13" s="494"/>
      <c r="AC13" s="494"/>
      <c r="AD13" s="494"/>
      <c r="AE13" s="494"/>
      <c r="AF13" s="494"/>
      <c r="AG13" s="511"/>
      <c r="AH13" s="511"/>
      <c r="AI13" s="511"/>
      <c r="AJ13" s="511"/>
      <c r="AK13" s="511"/>
      <c r="AL13" s="511"/>
      <c r="AM13" s="511"/>
      <c r="AN13" s="511"/>
      <c r="AO13" s="511"/>
    </row>
    <row r="14" spans="1:41" ht="15.75" customHeight="1">
      <c r="A14" s="512" t="s">
        <v>898</v>
      </c>
      <c r="B14" s="505">
        <f>('Pivot Table for Data Exchange'!$J$150)*100</f>
        <v>86.534828148906712</v>
      </c>
      <c r="C14" s="505">
        <f>('Pivot Table for Data Exchange'!$J$153)*100</f>
        <v>2.0935350765807019</v>
      </c>
      <c r="D14" s="506">
        <f t="shared" si="0"/>
        <v>11.328203345975153</v>
      </c>
      <c r="E14" s="505">
        <f>('Pivot Table for Data Exchange'!$J$156)*100</f>
        <v>11.243392708644787</v>
      </c>
      <c r="F14" s="505">
        <f>('Pivot Table for Data Exchange'!$J$159)*100</f>
        <v>1.301148887500847E-2</v>
      </c>
      <c r="G14" s="515">
        <f>('Pivot Table for Data Exchange'!$J$162)*100</f>
        <v>7.179914845535762E-2</v>
      </c>
      <c r="H14" s="505">
        <f>('Pivot Table for Data Exchange'!$J$165)*100</f>
        <v>4.3433428537431117E-2</v>
      </c>
      <c r="I14" s="514" t="s">
        <v>898</v>
      </c>
      <c r="J14" s="505">
        <f>('Pivot Table for Data Exchange'!$J$168)*100</f>
        <v>76.000229584070183</v>
      </c>
      <c r="K14" s="505">
        <f>('Pivot Table for Data Exchange'!$J$171)*100</f>
        <v>7.290126054963757</v>
      </c>
      <c r="L14" s="506">
        <f t="shared" si="1"/>
        <v>16.689680528775369</v>
      </c>
      <c r="M14" s="505">
        <f>('Pivot Table for Data Exchange'!$J$174)*100</f>
        <v>16.602921041380032</v>
      </c>
      <c r="N14" s="505">
        <f>('Pivot Table for Data Exchange'!$J$177)*100</f>
        <v>1.4972874143010912E-3</v>
      </c>
      <c r="O14" s="515">
        <f>('Pivot Table for Data Exchange'!$J$180)*100</f>
        <v>8.5262199981034362E-2</v>
      </c>
      <c r="P14" s="505">
        <f>('Pivot Table for Data Exchange'!$J$183)*100</f>
        <v>1.9963832190681215E-2</v>
      </c>
      <c r="Q14" s="510">
        <f t="shared" si="3"/>
        <v>100</v>
      </c>
      <c r="R14" s="510">
        <f t="shared" si="2"/>
        <v>100</v>
      </c>
      <c r="S14" s="511"/>
      <c r="T14" s="494"/>
      <c r="U14" s="494"/>
      <c r="V14" s="494"/>
      <c r="W14" s="494"/>
      <c r="X14" s="494"/>
      <c r="Y14" s="494"/>
      <c r="Z14" s="494"/>
      <c r="AA14" s="494"/>
      <c r="AB14" s="494"/>
      <c r="AC14" s="494"/>
      <c r="AD14" s="494"/>
      <c r="AE14" s="494"/>
      <c r="AF14" s="494"/>
      <c r="AG14" s="511"/>
      <c r="AH14" s="511"/>
      <c r="AI14" s="511"/>
      <c r="AJ14" s="511"/>
      <c r="AK14" s="511"/>
      <c r="AL14" s="511"/>
      <c r="AM14" s="511"/>
      <c r="AN14" s="511"/>
      <c r="AO14" s="511"/>
    </row>
    <row r="15" spans="1:41" ht="15.75" customHeight="1">
      <c r="A15" s="512" t="s">
        <v>899</v>
      </c>
      <c r="B15" s="505">
        <f>('Pivot Table for Data Exchange'!$J$186)*100</f>
        <v>82.125997563334749</v>
      </c>
      <c r="C15" s="505">
        <f>('Pivot Table for Data Exchange'!$J$189)*100</f>
        <v>3.8510153247412826</v>
      </c>
      <c r="D15" s="506">
        <f t="shared" si="0"/>
        <v>14.022987111923968</v>
      </c>
      <c r="E15" s="505">
        <f>('Pivot Table for Data Exchange'!$J$192)*100</f>
        <v>12.753331868671161</v>
      </c>
      <c r="F15" s="505">
        <f>('Pivot Table for Data Exchange'!$J$195)*100</f>
        <v>1.1851280675875016</v>
      </c>
      <c r="G15" s="513">
        <f>('Pivot Table for Data Exchange'!$J$198)*100</f>
        <v>8.4527175665303766E-2</v>
      </c>
      <c r="H15" s="505">
        <f>('Pivot Table for Data Exchange'!$J$201)*100</f>
        <v>0</v>
      </c>
      <c r="I15" s="514" t="s">
        <v>899</v>
      </c>
      <c r="J15" s="505">
        <f>('Pivot Table for Data Exchange'!$J$204)*100</f>
        <v>62.732225171113285</v>
      </c>
      <c r="K15" s="505">
        <f>('Pivot Table for Data Exchange'!$J$207)*100</f>
        <v>4.2181626046873202</v>
      </c>
      <c r="L15" s="506">
        <f t="shared" si="1"/>
        <v>33.049612224199393</v>
      </c>
      <c r="M15" s="505">
        <f>('Pivot Table for Data Exchange'!$J$210)*100</f>
        <v>32.316573240129479</v>
      </c>
      <c r="N15" s="505">
        <f>('Pivot Table for Data Exchange'!$J$213)*100</f>
        <v>0.55327134588872617</v>
      </c>
      <c r="O15" s="513">
        <f>('Pivot Table for Data Exchange'!$J$216)*100</f>
        <v>0.17976763818118877</v>
      </c>
      <c r="P15" s="505">
        <f>('Pivot Table for Data Exchange'!$J$219)*100</f>
        <v>0</v>
      </c>
      <c r="Q15" s="510">
        <f t="shared" si="3"/>
        <v>100</v>
      </c>
      <c r="R15" s="510">
        <f t="shared" si="2"/>
        <v>100</v>
      </c>
      <c r="S15" s="511"/>
      <c r="T15" s="494"/>
      <c r="U15" s="494"/>
      <c r="V15" s="494"/>
      <c r="W15" s="494"/>
      <c r="X15" s="494"/>
      <c r="Y15" s="494"/>
      <c r="Z15" s="494"/>
      <c r="AA15" s="494"/>
      <c r="AB15" s="494"/>
      <c r="AC15" s="494"/>
      <c r="AD15" s="494"/>
      <c r="AE15" s="494"/>
      <c r="AF15" s="494"/>
      <c r="AG15" s="511"/>
      <c r="AH15" s="511"/>
      <c r="AI15" s="511"/>
      <c r="AJ15" s="511"/>
      <c r="AK15" s="511"/>
      <c r="AL15" s="511"/>
      <c r="AM15" s="511"/>
      <c r="AN15" s="511"/>
      <c r="AO15" s="511"/>
    </row>
    <row r="16" spans="1:41" ht="15.75" customHeight="1">
      <c r="A16" s="512" t="s">
        <v>900</v>
      </c>
      <c r="B16" s="505">
        <f>('Pivot Table for Data Exchange'!$J$222)*100</f>
        <v>89.100255853984095</v>
      </c>
      <c r="C16" s="505">
        <f>('Pivot Table for Data Exchange'!$J$225)*100</f>
        <v>0</v>
      </c>
      <c r="D16" s="506">
        <f t="shared" si="0"/>
        <v>10.899744146015895</v>
      </c>
      <c r="E16" s="505">
        <f>('Pivot Table for Data Exchange'!$J$228)*100</f>
        <v>10.899744146015895</v>
      </c>
      <c r="F16" s="505">
        <f>('Pivot Table for Data Exchange'!$J$231)*100</f>
        <v>0</v>
      </c>
      <c r="G16" s="515">
        <f>('Pivot Table for Data Exchange'!$J$234)*100</f>
        <v>0</v>
      </c>
      <c r="H16" s="505">
        <f>('Pivot Table for Data Exchange'!$J$237)*100</f>
        <v>0</v>
      </c>
      <c r="I16" s="514" t="s">
        <v>900</v>
      </c>
      <c r="J16" s="505">
        <f>('Pivot Table for Data Exchange'!$J$240)*100</f>
        <v>81.084700312736601</v>
      </c>
      <c r="K16" s="505">
        <f>('Pivot Table for Data Exchange'!$J$243)*100</f>
        <v>0</v>
      </c>
      <c r="L16" s="506">
        <f t="shared" si="1"/>
        <v>18.915299687263389</v>
      </c>
      <c r="M16" s="505">
        <f>('Pivot Table for Data Exchange'!$J$246)*100</f>
        <v>18.915299687263389</v>
      </c>
      <c r="N16" s="505">
        <f>('Pivot Table for Data Exchange'!$J$249)*100</f>
        <v>0</v>
      </c>
      <c r="O16" s="515">
        <f>('Pivot Table for Data Exchange'!$J$252)*100</f>
        <v>0</v>
      </c>
      <c r="P16" s="505">
        <f>('Pivot Table for Data Exchange'!$J$255)*100</f>
        <v>0</v>
      </c>
      <c r="Q16" s="510">
        <f t="shared" si="3"/>
        <v>99.999999999999986</v>
      </c>
      <c r="R16" s="510">
        <f t="shared" si="2"/>
        <v>99.999999999999986</v>
      </c>
      <c r="S16" s="511"/>
      <c r="T16" s="494"/>
      <c r="U16" s="494"/>
      <c r="V16" s="494"/>
      <c r="W16" s="494"/>
      <c r="X16" s="494"/>
      <c r="Y16" s="494"/>
      <c r="Z16" s="494"/>
      <c r="AA16" s="494"/>
      <c r="AB16" s="494"/>
      <c r="AC16" s="494"/>
      <c r="AD16" s="494"/>
      <c r="AE16" s="494"/>
      <c r="AF16" s="494"/>
      <c r="AG16" s="511"/>
      <c r="AH16" s="511"/>
      <c r="AI16" s="511"/>
      <c r="AJ16" s="511"/>
      <c r="AK16" s="511"/>
      <c r="AL16" s="511"/>
      <c r="AM16" s="511"/>
      <c r="AN16" s="511"/>
      <c r="AO16" s="511"/>
    </row>
    <row r="17" spans="1:41" ht="15.75" customHeight="1">
      <c r="A17" s="512" t="s">
        <v>901</v>
      </c>
      <c r="B17" s="505">
        <f>('Pivot Table for Data Exchange'!$J$258)*100</f>
        <v>71.439289820277395</v>
      </c>
      <c r="C17" s="505">
        <f>('Pivot Table for Data Exchange'!$J$261)*100</f>
        <v>1.7760215851455743</v>
      </c>
      <c r="D17" s="506">
        <f t="shared" si="0"/>
        <v>26.784688594577027</v>
      </c>
      <c r="E17" s="505">
        <f>('Pivot Table for Data Exchange'!$J$264)*100</f>
        <v>26.740502659439088</v>
      </c>
      <c r="F17" s="505">
        <f>('Pivot Table for Data Exchange'!$J$267)*100</f>
        <v>4.4185935137938732E-2</v>
      </c>
      <c r="G17" s="515">
        <f>('Pivot Table for Data Exchange'!$J$270)*100</f>
        <v>0</v>
      </c>
      <c r="H17" s="505">
        <f>('Pivot Table for Data Exchange'!$J$273)*100</f>
        <v>0</v>
      </c>
      <c r="I17" s="514" t="s">
        <v>901</v>
      </c>
      <c r="J17" s="505">
        <f>('Pivot Table for Data Exchange'!$J$276)*100</f>
        <v>50.643810111091788</v>
      </c>
      <c r="K17" s="505">
        <f>('Pivot Table for Data Exchange'!$J$279)*100</f>
        <v>8.2102753615894706</v>
      </c>
      <c r="L17" s="506">
        <f t="shared" si="1"/>
        <v>41.145914527318745</v>
      </c>
      <c r="M17" s="505">
        <f>('Pivot Table for Data Exchange'!$J$282)*100</f>
        <v>40.780786282492855</v>
      </c>
      <c r="N17" s="505">
        <f>('Pivot Table for Data Exchange'!$J$285)*100</f>
        <v>0.36512824482588968</v>
      </c>
      <c r="O17" s="515">
        <f>('Pivot Table for Data Exchange'!$J$288)*100</f>
        <v>0</v>
      </c>
      <c r="P17" s="505">
        <f>('Pivot Table for Data Exchange'!$J$291)*100</f>
        <v>0</v>
      </c>
      <c r="Q17" s="510">
        <f t="shared" si="3"/>
        <v>100</v>
      </c>
      <c r="R17" s="510">
        <f>SUM(J17,K17,L17,P17)</f>
        <v>100</v>
      </c>
      <c r="S17" s="511"/>
      <c r="T17" s="494"/>
      <c r="U17" s="494"/>
      <c r="V17" s="494"/>
      <c r="W17" s="494"/>
      <c r="X17" s="494"/>
      <c r="Y17" s="494"/>
      <c r="Z17" s="494"/>
      <c r="AA17" s="494"/>
      <c r="AB17" s="494"/>
      <c r="AC17" s="494"/>
      <c r="AD17" s="494"/>
      <c r="AE17" s="494"/>
      <c r="AF17" s="494"/>
      <c r="AG17" s="511"/>
      <c r="AH17" s="511"/>
      <c r="AI17" s="511"/>
      <c r="AJ17" s="511"/>
      <c r="AK17" s="511"/>
      <c r="AL17" s="511"/>
      <c r="AM17" s="511"/>
      <c r="AN17" s="511"/>
      <c r="AO17" s="511"/>
    </row>
    <row r="18" spans="1:41" ht="11.25" customHeight="1">
      <c r="A18" s="512"/>
      <c r="B18" s="505"/>
      <c r="C18" s="505"/>
      <c r="D18" s="506"/>
      <c r="E18" s="505"/>
      <c r="F18" s="505"/>
      <c r="G18" s="515"/>
      <c r="H18" s="505"/>
      <c r="I18" s="514"/>
      <c r="J18" s="505"/>
      <c r="K18" s="505"/>
      <c r="L18" s="506"/>
      <c r="M18" s="505"/>
      <c r="N18" s="505"/>
      <c r="O18" s="515"/>
      <c r="P18" s="505"/>
      <c r="Q18" s="510">
        <f t="shared" si="3"/>
        <v>0</v>
      </c>
      <c r="R18" s="510">
        <f t="shared" si="2"/>
        <v>0</v>
      </c>
      <c r="S18" s="511"/>
      <c r="T18" s="494"/>
      <c r="U18" s="494"/>
      <c r="V18" s="494"/>
      <c r="W18" s="494"/>
      <c r="X18" s="494"/>
      <c r="Y18" s="494"/>
      <c r="Z18" s="494"/>
      <c r="AA18" s="494"/>
      <c r="AB18" s="494"/>
      <c r="AC18" s="494"/>
      <c r="AD18" s="494"/>
      <c r="AE18" s="494"/>
      <c r="AF18" s="494"/>
      <c r="AG18" s="511"/>
      <c r="AH18" s="511"/>
      <c r="AI18" s="511"/>
      <c r="AJ18" s="511"/>
      <c r="AK18" s="511"/>
      <c r="AL18" s="511"/>
      <c r="AM18" s="511"/>
      <c r="AN18" s="511"/>
      <c r="AO18" s="511"/>
    </row>
    <row r="19" spans="1:41" ht="15.75" customHeight="1">
      <c r="A19" s="512" t="s">
        <v>902</v>
      </c>
      <c r="B19" s="505">
        <f>('Pivot Table for Data Exchange'!$J$294)*100</f>
        <v>81.22016946766756</v>
      </c>
      <c r="C19" s="505">
        <f>('Pivot Table for Data Exchange'!$J$297)*100</f>
        <v>5.6923566565721719</v>
      </c>
      <c r="D19" s="506">
        <f t="shared" si="0"/>
        <v>12.971303331748592</v>
      </c>
      <c r="E19" s="505">
        <f>('Pivot Table for Data Exchange'!$J$300)*100</f>
        <v>12.032498356370528</v>
      </c>
      <c r="F19" s="505">
        <f>('Pivot Table for Data Exchange'!$J$303)*100</f>
        <v>0.93202129397592126</v>
      </c>
      <c r="G19" s="518">
        <f>('Pivot Table for Data Exchange'!$J$306)*100</f>
        <v>6.7836814021417216E-3</v>
      </c>
      <c r="H19" s="505">
        <f>('Pivot Table for Data Exchange'!$J$309)*100</f>
        <v>0.11617054401167697</v>
      </c>
      <c r="I19" s="514" t="s">
        <v>902</v>
      </c>
      <c r="J19" s="505">
        <f>('Pivot Table for Data Exchange'!$J$312)*100</f>
        <v>61.672568782348137</v>
      </c>
      <c r="K19" s="505">
        <f>('Pivot Table for Data Exchange'!$J$315)*100</f>
        <v>6.9627605877545777</v>
      </c>
      <c r="L19" s="506">
        <f t="shared" si="1"/>
        <v>31.143140993798767</v>
      </c>
      <c r="M19" s="505">
        <f>('Pivot Table for Data Exchange'!$J$318)*100</f>
        <v>30.01786658547919</v>
      </c>
      <c r="N19" s="505">
        <f>('Pivot Table for Data Exchange'!$J$321)*100</f>
        <v>1.0904225487525439</v>
      </c>
      <c r="O19" s="513">
        <f>('Pivot Table for Data Exchange'!$J$324)*100</f>
        <v>3.4851859567035744E-2</v>
      </c>
      <c r="P19" s="505">
        <f>('Pivot Table for Data Exchange'!$J$327)*100</f>
        <v>0.22152963609851456</v>
      </c>
      <c r="Q19" s="510">
        <f t="shared" si="3"/>
        <v>100</v>
      </c>
      <c r="R19" s="510">
        <f t="shared" si="2"/>
        <v>99.999999999999986</v>
      </c>
      <c r="S19" s="511"/>
      <c r="T19" s="494"/>
      <c r="U19" s="494"/>
      <c r="V19" s="494"/>
      <c r="W19" s="494"/>
      <c r="X19" s="494"/>
      <c r="Y19" s="494"/>
      <c r="Z19" s="494"/>
      <c r="AA19" s="494"/>
      <c r="AB19" s="494"/>
      <c r="AC19" s="494"/>
      <c r="AD19" s="494"/>
      <c r="AE19" s="494"/>
      <c r="AF19" s="494"/>
      <c r="AG19" s="511"/>
      <c r="AH19" s="511"/>
      <c r="AI19" s="511"/>
      <c r="AJ19" s="511"/>
      <c r="AK19" s="511"/>
      <c r="AL19" s="511"/>
      <c r="AM19" s="511"/>
      <c r="AN19" s="511"/>
      <c r="AO19" s="511"/>
    </row>
    <row r="20" spans="1:41" ht="15.75" customHeight="1">
      <c r="A20" s="512" t="s">
        <v>903</v>
      </c>
      <c r="B20" s="505">
        <f>('Pivot Table for Data Exchange'!$J$330)*100</f>
        <v>86.121097283010755</v>
      </c>
      <c r="C20" s="505">
        <f>('Pivot Table for Data Exchange'!$J$333)*100</f>
        <v>0.65357857550804921</v>
      </c>
      <c r="D20" s="506">
        <f t="shared" si="0"/>
        <v>13.225324141481199</v>
      </c>
      <c r="E20" s="505">
        <f>('Pivot Table for Data Exchange'!$J$336)*100</f>
        <v>13.162955807409144</v>
      </c>
      <c r="F20" s="519">
        <f>('Pivot Table for Data Exchange'!$J$339)*100</f>
        <v>4.5602223118368743E-2</v>
      </c>
      <c r="G20" s="513">
        <f>('Pivot Table for Data Exchange'!$J$342)*100</f>
        <v>1.6766110953685968E-2</v>
      </c>
      <c r="H20" s="505">
        <f>('Pivot Table for Data Exchange'!$J$345)*100</f>
        <v>0</v>
      </c>
      <c r="I20" s="514" t="s">
        <v>903</v>
      </c>
      <c r="J20" s="505">
        <f>('Pivot Table for Data Exchange'!$J$348)*100</f>
        <v>72.858532315972468</v>
      </c>
      <c r="K20" s="505">
        <f>('Pivot Table for Data Exchange'!$J$351)*100</f>
        <v>4.8909903791888425</v>
      </c>
      <c r="L20" s="506">
        <f t="shared" si="1"/>
        <v>22.250477304838689</v>
      </c>
      <c r="M20" s="505">
        <f>('Pivot Table for Data Exchange'!$J$354)*100</f>
        <v>21.956155998297579</v>
      </c>
      <c r="N20" s="519">
        <f>('Pivot Table for Data Exchange'!$J$357)*100</f>
        <v>0.12221138567164895</v>
      </c>
      <c r="O20" s="515">
        <f>('Pivot Table for Data Exchange'!$J$360)*100</f>
        <v>0.17210992086946195</v>
      </c>
      <c r="P20" s="505">
        <f>('Pivot Table for Data Exchange'!$J$363)*100</f>
        <v>0</v>
      </c>
      <c r="Q20" s="510">
        <f t="shared" si="3"/>
        <v>100</v>
      </c>
      <c r="R20" s="510">
        <f t="shared" si="2"/>
        <v>100</v>
      </c>
      <c r="S20" s="511"/>
      <c r="T20" s="494"/>
      <c r="U20" s="494"/>
      <c r="V20" s="494"/>
      <c r="W20" s="494"/>
      <c r="X20" s="494"/>
      <c r="Y20" s="494"/>
      <c r="Z20" s="494"/>
      <c r="AA20" s="494"/>
      <c r="AB20" s="494"/>
      <c r="AC20" s="494"/>
      <c r="AD20" s="494"/>
      <c r="AE20" s="494"/>
      <c r="AF20" s="494"/>
      <c r="AG20" s="511"/>
      <c r="AH20" s="511"/>
      <c r="AI20" s="511"/>
      <c r="AJ20" s="511"/>
      <c r="AK20" s="511"/>
      <c r="AL20" s="511"/>
      <c r="AM20" s="511"/>
      <c r="AN20" s="511"/>
      <c r="AO20" s="511"/>
    </row>
    <row r="21" spans="1:41" ht="15.75" customHeight="1">
      <c r="A21" s="512" t="s">
        <v>904</v>
      </c>
      <c r="B21" s="505">
        <f>('Pivot Table for Data Exchange'!$J$366)*100</f>
        <v>76.73422836342074</v>
      </c>
      <c r="C21" s="505">
        <f>('Pivot Table for Data Exchange'!$J$369)*100</f>
        <v>6.4493133207692672</v>
      </c>
      <c r="D21" s="506">
        <f t="shared" si="0"/>
        <v>16.775276716198398</v>
      </c>
      <c r="E21" s="505">
        <f>('Pivot Table for Data Exchange'!$J$372)*100</f>
        <v>15.108483742637072</v>
      </c>
      <c r="F21" s="505">
        <f>('Pivot Table for Data Exchange'!$J$375)*100</f>
        <v>1.1237704856597259</v>
      </c>
      <c r="G21" s="515">
        <f>('Pivot Table for Data Exchange'!$J$378)*100</f>
        <v>0.5430224879016039</v>
      </c>
      <c r="H21" s="505">
        <f>('Pivot Table for Data Exchange'!$J$381)*100</f>
        <v>4.1181599611585476E-2</v>
      </c>
      <c r="I21" s="514" t="s">
        <v>904</v>
      </c>
      <c r="J21" s="505">
        <f>('Pivot Table for Data Exchange'!$J$384)*100</f>
        <v>70.219731214400099</v>
      </c>
      <c r="K21" s="505">
        <f>('Pivot Table for Data Exchange'!$J$387)*100</f>
        <v>7.1546936127946807</v>
      </c>
      <c r="L21" s="506">
        <f t="shared" si="1"/>
        <v>22.529037358360526</v>
      </c>
      <c r="M21" s="505">
        <f>('Pivot Table for Data Exchange'!$J$390)*100</f>
        <v>16.375195102669611</v>
      </c>
      <c r="N21" s="505">
        <f>('Pivot Table for Data Exchange'!$J$393)*100</f>
        <v>2.9571990351286157</v>
      </c>
      <c r="O21" s="515">
        <f>('Pivot Table for Data Exchange'!$J$396)*100</f>
        <v>3.1966432205623008</v>
      </c>
      <c r="P21" s="505">
        <f>('Pivot Table for Data Exchange'!$J$399)*100</f>
        <v>9.6537814444692185E-2</v>
      </c>
      <c r="Q21" s="510">
        <f t="shared" si="3"/>
        <v>99.999999999999986</v>
      </c>
      <c r="R21" s="510">
        <f t="shared" si="2"/>
        <v>100</v>
      </c>
      <c r="S21" s="511"/>
      <c r="T21" s="494"/>
      <c r="U21" s="494"/>
      <c r="V21" s="494"/>
      <c r="W21" s="494"/>
      <c r="X21" s="494"/>
      <c r="Y21" s="494"/>
      <c r="Z21" s="494"/>
      <c r="AA21" s="494"/>
      <c r="AB21" s="494"/>
      <c r="AC21" s="494"/>
      <c r="AD21" s="494"/>
      <c r="AE21" s="494"/>
      <c r="AF21" s="494"/>
      <c r="AG21" s="511"/>
      <c r="AH21" s="511"/>
      <c r="AI21" s="511"/>
      <c r="AJ21" s="511"/>
      <c r="AK21" s="511"/>
      <c r="AL21" s="511"/>
      <c r="AM21" s="511"/>
      <c r="AN21" s="511"/>
      <c r="AO21" s="511"/>
    </row>
    <row r="22" spans="1:41" ht="15.75" customHeight="1">
      <c r="A22" s="512" t="s">
        <v>905</v>
      </c>
      <c r="B22" s="505">
        <f>('Pivot Table for Data Exchange'!$J$402)*100</f>
        <v>91.776424207213395</v>
      </c>
      <c r="C22" s="505">
        <f>('Pivot Table for Data Exchange'!$J$405)*100</f>
        <v>1.8464405720698536</v>
      </c>
      <c r="D22" s="506">
        <f>SUM(E22:G22)</f>
        <v>6.3771352207167542</v>
      </c>
      <c r="E22" s="505">
        <f>('Pivot Table for Data Exchange'!$J$408)*100</f>
        <v>6.3704205935976033</v>
      </c>
      <c r="F22" s="505">
        <f>('Pivot Table for Data Exchange'!$J$411)*100</f>
        <v>0</v>
      </c>
      <c r="G22" s="513">
        <f>('Pivot Table for Data Exchange'!$J$414)*100</f>
        <v>6.7146271191506493E-3</v>
      </c>
      <c r="H22" s="505">
        <f>('Pivot Table for Data Exchange'!$J$417)*100</f>
        <v>0</v>
      </c>
      <c r="I22" s="514" t="s">
        <v>905</v>
      </c>
      <c r="J22" s="505">
        <f>('Pivot Table for Data Exchange'!$J$420)*100</f>
        <v>74.475851447767695</v>
      </c>
      <c r="K22" s="505">
        <f>('Pivot Table for Data Exchange'!$J$423)*100</f>
        <v>8.6267392944296937</v>
      </c>
      <c r="L22" s="506">
        <f>SUM(M22:O22)</f>
        <v>16.897409257802607</v>
      </c>
      <c r="M22" s="505">
        <f>('Pivot Table for Data Exchange'!$J$426)*100</f>
        <v>14.393559073593329</v>
      </c>
      <c r="N22" s="505">
        <f>('Pivot Table for Data Exchange'!$J$429)*100</f>
        <v>2.2341359434942403</v>
      </c>
      <c r="O22" s="515">
        <f>('Pivot Table for Data Exchange'!$J$432)*100</f>
        <v>0.26971424071503802</v>
      </c>
      <c r="P22" s="505">
        <f>('Pivot Table for Data Exchange'!$J$435)*100</f>
        <v>0</v>
      </c>
      <c r="Q22" s="510">
        <f t="shared" si="3"/>
        <v>100</v>
      </c>
      <c r="R22" s="510">
        <f t="shared" si="2"/>
        <v>100</v>
      </c>
      <c r="S22" s="511"/>
      <c r="T22" s="494"/>
      <c r="U22" s="494"/>
      <c r="V22" s="494"/>
      <c r="W22" s="494"/>
      <c r="X22" s="494"/>
      <c r="Y22" s="494"/>
      <c r="Z22" s="494"/>
      <c r="AA22" s="494"/>
      <c r="AB22" s="494"/>
      <c r="AC22" s="494"/>
      <c r="AD22" s="494"/>
      <c r="AE22" s="494"/>
      <c r="AF22" s="494"/>
      <c r="AG22" s="511"/>
      <c r="AH22" s="511"/>
      <c r="AI22" s="511"/>
      <c r="AJ22" s="511"/>
      <c r="AK22" s="511"/>
      <c r="AL22" s="511"/>
      <c r="AM22" s="511"/>
      <c r="AN22" s="511"/>
      <c r="AO22" s="511"/>
    </row>
    <row r="23" spans="1:41" ht="9.75" customHeight="1">
      <c r="A23" s="512"/>
      <c r="B23" s="505"/>
      <c r="C23" s="505"/>
      <c r="D23" s="506"/>
      <c r="E23" s="505"/>
      <c r="F23" s="505"/>
      <c r="G23" s="515"/>
      <c r="H23" s="505"/>
      <c r="I23" s="514"/>
      <c r="J23" s="505"/>
      <c r="K23" s="505"/>
      <c r="L23" s="506"/>
      <c r="M23" s="505"/>
      <c r="N23" s="505"/>
      <c r="O23" s="515"/>
      <c r="P23" s="505"/>
      <c r="Q23" s="510">
        <f t="shared" si="3"/>
        <v>0</v>
      </c>
      <c r="R23" s="510">
        <f t="shared" si="2"/>
        <v>0</v>
      </c>
      <c r="S23" s="511"/>
      <c r="T23" s="494"/>
      <c r="U23" s="494"/>
      <c r="V23" s="494"/>
      <c r="W23" s="494"/>
      <c r="X23" s="494"/>
      <c r="Y23" s="494"/>
      <c r="Z23" s="494"/>
      <c r="AA23" s="494"/>
      <c r="AB23" s="494"/>
      <c r="AC23" s="494"/>
      <c r="AD23" s="494"/>
      <c r="AE23" s="494"/>
      <c r="AF23" s="494"/>
      <c r="AG23" s="511"/>
      <c r="AH23" s="511"/>
      <c r="AI23" s="511"/>
      <c r="AJ23" s="511"/>
      <c r="AK23" s="511"/>
      <c r="AL23" s="511"/>
      <c r="AM23" s="511"/>
      <c r="AN23" s="511"/>
      <c r="AO23" s="511"/>
    </row>
    <row r="24" spans="1:41" ht="15.75" customHeight="1">
      <c r="A24" s="512" t="s">
        <v>906</v>
      </c>
      <c r="B24" s="505">
        <f>('Pivot Table for Data Exchange'!$J$438)*100</f>
        <v>79.668741640536169</v>
      </c>
      <c r="C24" s="505">
        <f>('Pivot Table for Data Exchange'!$J$441)*100</f>
        <v>2.5115208457877718</v>
      </c>
      <c r="D24" s="506">
        <f>SUM(E24:G24)</f>
        <v>17.215031803788211</v>
      </c>
      <c r="E24" s="505">
        <f>('Pivot Table for Data Exchange'!$J$444)*100</f>
        <v>12.109916904659917</v>
      </c>
      <c r="F24" s="505">
        <f>('Pivot Table for Data Exchange'!$J$447)*100</f>
        <v>0.3398926895332956</v>
      </c>
      <c r="G24" s="515">
        <f>('Pivot Table for Data Exchange'!$J$450)*100</f>
        <v>4.7652222095949996</v>
      </c>
      <c r="H24" s="505">
        <f>('Pivot Table for Data Exchange'!$J$453)*100</f>
        <v>0.60470570988785455</v>
      </c>
      <c r="I24" s="514" t="s">
        <v>906</v>
      </c>
      <c r="J24" s="505">
        <f>('Pivot Table for Data Exchange'!$J$456)*100</f>
        <v>59.335458199874644</v>
      </c>
      <c r="K24" s="505">
        <f>('Pivot Table for Data Exchange'!$J$459)*100</f>
        <v>3.6739560375689808</v>
      </c>
      <c r="L24" s="506">
        <f>SUM(M24:O24)</f>
        <v>32.903176146618932</v>
      </c>
      <c r="M24" s="505">
        <f>('Pivot Table for Data Exchange'!$J$462)*100</f>
        <v>29.641102815160174</v>
      </c>
      <c r="N24" s="505">
        <f>('Pivot Table for Data Exchange'!$J$465)*100</f>
        <v>0.18787632208536434</v>
      </c>
      <c r="O24" s="515">
        <f>('Pivot Table for Data Exchange'!$J$468)*100</f>
        <v>3.0741970093733948</v>
      </c>
      <c r="P24" s="505">
        <f>('Pivot Table for Data Exchange'!$J$471)*100</f>
        <v>4.0874096159374416</v>
      </c>
      <c r="Q24" s="510">
        <f t="shared" si="3"/>
        <v>100</v>
      </c>
      <c r="R24" s="510">
        <f t="shared" si="2"/>
        <v>100</v>
      </c>
      <c r="S24" s="511"/>
      <c r="T24" s="494"/>
      <c r="U24" s="494"/>
      <c r="V24" s="494"/>
      <c r="W24" s="494"/>
      <c r="X24" s="494"/>
      <c r="Y24" s="494"/>
      <c r="Z24" s="494"/>
      <c r="AA24" s="494"/>
      <c r="AB24" s="494"/>
      <c r="AC24" s="494"/>
      <c r="AD24" s="494"/>
      <c r="AE24" s="494"/>
      <c r="AF24" s="494"/>
      <c r="AG24" s="511"/>
      <c r="AH24" s="511"/>
      <c r="AI24" s="511"/>
      <c r="AJ24" s="511"/>
      <c r="AK24" s="511"/>
      <c r="AL24" s="511"/>
      <c r="AM24" s="511"/>
      <c r="AN24" s="511"/>
      <c r="AO24" s="511"/>
    </row>
    <row r="25" spans="1:41" ht="15.75" customHeight="1">
      <c r="A25" s="512" t="s">
        <v>907</v>
      </c>
      <c r="B25" s="505">
        <f>('Pivot Table for Data Exchange'!$J$474)*100</f>
        <v>83.252004511933407</v>
      </c>
      <c r="C25" s="505">
        <f>('Pivot Table for Data Exchange'!$J$477)*100</f>
        <v>1.4829112558078927</v>
      </c>
      <c r="D25" s="506">
        <f>SUM(E25:G25)</f>
        <v>15.265084232258694</v>
      </c>
      <c r="E25" s="505">
        <f>('Pivot Table for Data Exchange'!$J$480)*100</f>
        <v>14.772159579103395</v>
      </c>
      <c r="F25" s="505">
        <f>('Pivot Table for Data Exchange'!$J$483)*100</f>
        <v>0.25600742758713363</v>
      </c>
      <c r="G25" s="515">
        <f>('Pivot Table for Data Exchange'!$J$486)*100</f>
        <v>0.23691722556816561</v>
      </c>
      <c r="H25" s="505">
        <f>('Pivot Table for Data Exchange'!$J$489)*100</f>
        <v>0</v>
      </c>
      <c r="I25" s="514" t="s">
        <v>907</v>
      </c>
      <c r="J25" s="505">
        <f>('Pivot Table for Data Exchange'!$J$492)*100</f>
        <v>67.671979121686434</v>
      </c>
      <c r="K25" s="505">
        <f>('Pivot Table for Data Exchange'!$J$495)*100</f>
        <v>2.7503806401092334</v>
      </c>
      <c r="L25" s="506">
        <f>SUM(M25:O25)</f>
        <v>29.577640238204339</v>
      </c>
      <c r="M25" s="505">
        <f>('Pivot Table for Data Exchange'!$J$498)*100</f>
        <v>28.66551253152193</v>
      </c>
      <c r="N25" s="505">
        <f>('Pivot Table for Data Exchange'!$J$501)*100</f>
        <v>0.31872969424222136</v>
      </c>
      <c r="O25" s="515">
        <f>('Pivot Table for Data Exchange'!$J$504)*100</f>
        <v>0.59339801244018586</v>
      </c>
      <c r="P25" s="505">
        <f>('Pivot Table for Data Exchange'!$J$507)*100</f>
        <v>0</v>
      </c>
      <c r="Q25" s="510">
        <f t="shared" si="3"/>
        <v>100</v>
      </c>
      <c r="R25" s="510">
        <f t="shared" si="2"/>
        <v>100</v>
      </c>
      <c r="S25" s="511"/>
      <c r="T25" s="494"/>
      <c r="U25" s="494"/>
      <c r="V25" s="494"/>
      <c r="W25" s="494"/>
      <c r="X25" s="494"/>
      <c r="Y25" s="494"/>
      <c r="Z25" s="494"/>
      <c r="AA25" s="494"/>
      <c r="AB25" s="494"/>
      <c r="AC25" s="494"/>
      <c r="AD25" s="494"/>
      <c r="AE25" s="494"/>
      <c r="AF25" s="494"/>
      <c r="AG25" s="511"/>
      <c r="AH25" s="511"/>
      <c r="AI25" s="511"/>
      <c r="AJ25" s="511"/>
      <c r="AK25" s="511"/>
      <c r="AL25" s="511"/>
      <c r="AM25" s="511"/>
      <c r="AN25" s="511"/>
      <c r="AO25" s="511"/>
    </row>
    <row r="26" spans="1:41" ht="15.75" customHeight="1">
      <c r="A26" s="512" t="s">
        <v>908</v>
      </c>
      <c r="B26" s="505">
        <f>('Pivot Table for Data Exchange'!$J$510)*100</f>
        <v>91.199315471985358</v>
      </c>
      <c r="C26" s="505">
        <f>('Pivot Table for Data Exchange'!$J$513)*100</f>
        <v>1.7832647717186574</v>
      </c>
      <c r="D26" s="506">
        <f t="shared" si="0"/>
        <v>7.0174197562959844</v>
      </c>
      <c r="E26" s="505">
        <f>('Pivot Table for Data Exchange'!$J$516)*100</f>
        <v>6.3663987776250055</v>
      </c>
      <c r="F26" s="505">
        <f>('Pivot Table for Data Exchange'!$J$519)*100</f>
        <v>0.64187406165381333</v>
      </c>
      <c r="G26" s="515">
        <f>('Pivot Table for Data Exchange'!$J$522)*100</f>
        <v>9.1469170171659953E-3</v>
      </c>
      <c r="H26" s="505">
        <f>('Pivot Table for Data Exchange'!$J$525)*100</f>
        <v>0</v>
      </c>
      <c r="I26" s="514" t="s">
        <v>908</v>
      </c>
      <c r="J26" s="505">
        <f>('Pivot Table for Data Exchange'!$J$528)*100</f>
        <v>80.442890835962316</v>
      </c>
      <c r="K26" s="505">
        <f>('Pivot Table for Data Exchange'!$J$531)*100</f>
        <v>7.7999939963707936</v>
      </c>
      <c r="L26" s="506">
        <f t="shared" si="1"/>
        <v>11.757115167666891</v>
      </c>
      <c r="M26" s="505">
        <f>('Pivot Table for Data Exchange'!$J$534)*100</f>
        <v>8.6003064721155926</v>
      </c>
      <c r="N26" s="505">
        <f>('Pivot Table for Data Exchange'!$J$537)*100</f>
        <v>2.835100277948897</v>
      </c>
      <c r="O26" s="515">
        <f>('Pivot Table for Data Exchange'!$J$540)*100</f>
        <v>0.32170841760240165</v>
      </c>
      <c r="P26" s="505">
        <f>('Pivot Table for Data Exchange'!$J$543)*100</f>
        <v>0</v>
      </c>
      <c r="Q26" s="510">
        <f t="shared" si="3"/>
        <v>100</v>
      </c>
      <c r="R26" s="510">
        <f t="shared" si="2"/>
        <v>100</v>
      </c>
      <c r="S26" s="511"/>
      <c r="T26" s="494"/>
      <c r="U26" s="494"/>
      <c r="V26" s="494"/>
      <c r="W26" s="494"/>
      <c r="X26" s="494"/>
      <c r="Y26" s="494"/>
      <c r="Z26" s="494"/>
      <c r="AA26" s="494"/>
      <c r="AB26" s="494"/>
      <c r="AC26" s="494"/>
      <c r="AD26" s="494"/>
      <c r="AE26" s="494"/>
      <c r="AF26" s="494"/>
      <c r="AG26" s="511"/>
      <c r="AH26" s="511"/>
      <c r="AI26" s="511"/>
      <c r="AJ26" s="511"/>
      <c r="AK26" s="511"/>
      <c r="AL26" s="511"/>
      <c r="AM26" s="511"/>
      <c r="AN26" s="511"/>
      <c r="AO26" s="511"/>
    </row>
    <row r="27" spans="1:41" ht="15.75" customHeight="1">
      <c r="A27" s="484" t="s">
        <v>909</v>
      </c>
      <c r="B27" s="520">
        <f>('Pivot Table for Data Exchange'!$J$546)*100</f>
        <v>82.778026402613648</v>
      </c>
      <c r="C27" s="520">
        <f>('Pivot Table for Data Exchange'!$J$549)*100</f>
        <v>4.0230186280478382</v>
      </c>
      <c r="D27" s="521">
        <f>SUM(E27:G27)</f>
        <v>13.19895496933851</v>
      </c>
      <c r="E27" s="520">
        <f>('Pivot Table for Data Exchange'!$J$552)*100</f>
        <v>12.21050325698535</v>
      </c>
      <c r="F27" s="520">
        <f>('Pivot Table for Data Exchange'!$J$555)*100</f>
        <v>0.37932086446183477</v>
      </c>
      <c r="G27" s="522">
        <f>('Pivot Table for Data Exchange'!$J$558)*100</f>
        <v>0.60913084789132543</v>
      </c>
      <c r="H27" s="520">
        <f>('Pivot Table for Data Exchange'!$J$561)*100</f>
        <v>0</v>
      </c>
      <c r="I27" s="523" t="s">
        <v>909</v>
      </c>
      <c r="J27" s="520">
        <f>('Pivot Table for Data Exchange'!$J$564)*100</f>
        <v>56.574400104329683</v>
      </c>
      <c r="K27" s="520">
        <f>('Pivot Table for Data Exchange'!$J$567)*100</f>
        <v>13.073813249869588</v>
      </c>
      <c r="L27" s="521">
        <f>SUM(M27:O27)</f>
        <v>30.351786645800729</v>
      </c>
      <c r="M27" s="520">
        <f>('Pivot Table for Data Exchange'!$J$570)*100</f>
        <v>29.777973395931141</v>
      </c>
      <c r="N27" s="520">
        <f>('Pivot Table for Data Exchange'!$J$573)*100</f>
        <v>0.34939575725960703</v>
      </c>
      <c r="O27" s="522">
        <f>('Pivot Table for Data Exchange'!$J$576)*100</f>
        <v>0.22441749260998087</v>
      </c>
      <c r="P27" s="520">
        <f>('Pivot Table for Data Exchange'!$J$579)*100</f>
        <v>0</v>
      </c>
      <c r="Q27" s="510">
        <f t="shared" si="3"/>
        <v>100</v>
      </c>
      <c r="R27" s="510">
        <f t="shared" si="2"/>
        <v>100</v>
      </c>
      <c r="S27" s="511"/>
      <c r="T27" s="494"/>
      <c r="U27" s="494"/>
      <c r="V27" s="494"/>
      <c r="W27" s="494"/>
      <c r="X27" s="494"/>
      <c r="Y27" s="494"/>
      <c r="Z27" s="494"/>
      <c r="AA27" s="494"/>
      <c r="AB27" s="494"/>
      <c r="AC27" s="494"/>
      <c r="AD27" s="494"/>
      <c r="AE27" s="494"/>
      <c r="AF27" s="494"/>
      <c r="AG27" s="511"/>
      <c r="AH27" s="511"/>
      <c r="AI27" s="511"/>
      <c r="AJ27" s="511"/>
      <c r="AK27" s="511"/>
      <c r="AL27" s="511"/>
      <c r="AM27" s="511"/>
      <c r="AN27" s="511"/>
      <c r="AO27" s="511"/>
    </row>
    <row r="28" spans="1:41" s="524" customFormat="1" ht="24" customHeight="1">
      <c r="A28" s="669" t="s">
        <v>930</v>
      </c>
      <c r="B28" s="670"/>
      <c r="C28" s="670"/>
      <c r="D28" s="670"/>
      <c r="E28" s="670"/>
      <c r="F28" s="670"/>
      <c r="G28" s="670"/>
      <c r="H28" s="670"/>
      <c r="I28" s="669" t="s">
        <v>930</v>
      </c>
      <c r="J28" s="670"/>
      <c r="K28" s="670"/>
      <c r="L28" s="670"/>
      <c r="M28" s="670"/>
      <c r="N28" s="670"/>
      <c r="O28" s="670"/>
      <c r="P28" s="670"/>
      <c r="Q28" s="510"/>
      <c r="R28" s="510"/>
    </row>
    <row r="29" spans="1:41" s="524" customFormat="1" ht="13.5" customHeight="1">
      <c r="A29" s="525" t="s">
        <v>931</v>
      </c>
      <c r="B29" s="526"/>
      <c r="C29" s="526"/>
      <c r="D29" s="527"/>
      <c r="E29" s="526"/>
      <c r="F29" s="527"/>
      <c r="G29" s="527"/>
      <c r="H29" s="526"/>
      <c r="I29" s="525" t="s">
        <v>931</v>
      </c>
      <c r="J29" s="526"/>
      <c r="K29" s="526"/>
      <c r="L29" s="527"/>
      <c r="M29" s="526"/>
      <c r="N29" s="527"/>
      <c r="O29" s="527"/>
      <c r="P29" s="526"/>
      <c r="Q29" s="510"/>
      <c r="R29" s="510"/>
      <c r="S29" s="528"/>
      <c r="T29" s="494"/>
      <c r="U29" s="494"/>
      <c r="V29" s="494"/>
      <c r="W29" s="494"/>
      <c r="X29" s="494"/>
      <c r="Y29" s="494"/>
      <c r="Z29" s="494"/>
      <c r="AA29" s="494"/>
      <c r="AB29" s="494"/>
      <c r="AC29" s="494"/>
      <c r="AD29" s="494"/>
      <c r="AE29" s="494"/>
      <c r="AF29" s="494"/>
      <c r="AG29" s="528"/>
      <c r="AH29" s="528"/>
      <c r="AI29" s="528"/>
      <c r="AJ29" s="528"/>
      <c r="AK29" s="528"/>
      <c r="AL29" s="528"/>
      <c r="AM29" s="528"/>
      <c r="AN29" s="528"/>
      <c r="AO29" s="528"/>
    </row>
    <row r="30" spans="1:41" s="524" customFormat="1" ht="23.25" customHeight="1">
      <c r="A30" s="655" t="s">
        <v>932</v>
      </c>
      <c r="B30" s="674"/>
      <c r="C30" s="674"/>
      <c r="D30" s="674"/>
      <c r="E30" s="674"/>
      <c r="F30" s="674"/>
      <c r="G30" s="674"/>
      <c r="H30" s="674"/>
      <c r="I30" s="655" t="s">
        <v>932</v>
      </c>
      <c r="J30" s="674"/>
      <c r="K30" s="674"/>
      <c r="L30" s="674"/>
      <c r="M30" s="674"/>
      <c r="N30" s="674"/>
      <c r="O30" s="674"/>
      <c r="P30" s="674"/>
      <c r="Q30" s="510"/>
      <c r="R30" s="510"/>
      <c r="S30" s="528"/>
      <c r="T30" s="528"/>
      <c r="U30" s="528"/>
      <c r="V30" s="528"/>
      <c r="W30" s="528"/>
      <c r="X30" s="528"/>
      <c r="Y30" s="528"/>
      <c r="Z30" s="528"/>
      <c r="AA30" s="528"/>
      <c r="AB30" s="528"/>
      <c r="AC30" s="528"/>
      <c r="AD30" s="528"/>
      <c r="AE30" s="528"/>
      <c r="AF30" s="528"/>
      <c r="AG30" s="528"/>
      <c r="AH30" s="528"/>
      <c r="AI30" s="528"/>
      <c r="AJ30" s="528"/>
      <c r="AK30" s="528"/>
      <c r="AL30" s="528"/>
      <c r="AM30" s="528"/>
      <c r="AN30" s="528"/>
      <c r="AO30" s="528"/>
    </row>
    <row r="31" spans="1:41" s="524" customFormat="1" ht="13.5" customHeight="1">
      <c r="A31" s="529"/>
      <c r="B31" s="530"/>
      <c r="C31" s="530"/>
      <c r="D31" s="531"/>
      <c r="E31" s="530"/>
      <c r="F31" s="530"/>
      <c r="G31" s="530"/>
      <c r="H31" s="530"/>
      <c r="I31" s="529"/>
      <c r="J31" s="530"/>
      <c r="K31" s="530"/>
      <c r="L31" s="531"/>
      <c r="M31" s="530"/>
      <c r="N31" s="530"/>
      <c r="O31" s="530"/>
      <c r="P31" s="530"/>
      <c r="Q31" s="510"/>
      <c r="R31" s="510"/>
    </row>
    <row r="32" spans="1:41">
      <c r="H32" s="532" t="s">
        <v>1015</v>
      </c>
      <c r="I32" s="478"/>
      <c r="P32" s="532" t="s">
        <v>1015</v>
      </c>
      <c r="Q32" s="510"/>
      <c r="R32" s="510"/>
    </row>
    <row r="33" spans="1:41" ht="18">
      <c r="A33" s="472" t="s">
        <v>933</v>
      </c>
      <c r="B33" s="473"/>
      <c r="C33" s="473"/>
      <c r="D33" s="473"/>
      <c r="E33" s="473"/>
      <c r="F33" s="473"/>
      <c r="G33" s="473"/>
      <c r="H33" s="474"/>
      <c r="I33" s="472" t="s">
        <v>934</v>
      </c>
      <c r="J33" s="475"/>
      <c r="K33" s="475"/>
      <c r="L33" s="473"/>
      <c r="M33" s="475"/>
      <c r="N33" s="475"/>
      <c r="O33" s="475"/>
      <c r="P33" s="475"/>
      <c r="Q33" s="510"/>
      <c r="R33" s="510"/>
    </row>
    <row r="34" spans="1:41">
      <c r="A34" s="479"/>
      <c r="B34" s="475"/>
      <c r="C34" s="475"/>
      <c r="D34" s="475"/>
      <c r="E34" s="475"/>
      <c r="F34" s="475"/>
      <c r="G34" s="475"/>
      <c r="H34" s="480"/>
      <c r="I34" s="479"/>
      <c r="J34" s="475"/>
      <c r="K34" s="475"/>
      <c r="L34" s="475"/>
      <c r="M34" s="475"/>
      <c r="N34" s="475"/>
      <c r="O34" s="475"/>
      <c r="P34" s="475"/>
      <c r="Q34" s="510"/>
      <c r="R34" s="510"/>
    </row>
    <row r="35" spans="1:41" ht="15.75">
      <c r="A35" s="481" t="s">
        <v>917</v>
      </c>
      <c r="B35" s="475"/>
      <c r="C35" s="475"/>
      <c r="D35" s="475"/>
      <c r="E35" s="475"/>
      <c r="F35" s="475"/>
      <c r="G35" s="475"/>
      <c r="H35" s="480"/>
      <c r="I35" s="481" t="s">
        <v>918</v>
      </c>
      <c r="J35" s="475"/>
      <c r="K35" s="475"/>
      <c r="L35" s="475"/>
      <c r="M35" s="475"/>
      <c r="N35" s="475"/>
      <c r="O35" s="475"/>
      <c r="P35" s="475"/>
      <c r="Q35" s="510"/>
      <c r="R35" s="510"/>
    </row>
    <row r="36" spans="1:41" ht="15.75">
      <c r="A36" s="481" t="s">
        <v>963</v>
      </c>
      <c r="B36" s="475"/>
      <c r="C36" s="475"/>
      <c r="D36" s="475"/>
      <c r="E36" s="475"/>
      <c r="F36" s="475"/>
      <c r="G36" s="475"/>
      <c r="H36" s="480"/>
      <c r="I36" s="481" t="s">
        <v>963</v>
      </c>
      <c r="J36" s="475"/>
      <c r="K36" s="475"/>
      <c r="L36" s="475"/>
      <c r="M36" s="475"/>
      <c r="N36" s="475"/>
      <c r="O36" s="475"/>
      <c r="P36" s="475"/>
      <c r="Q36" s="510"/>
      <c r="R36" s="510"/>
    </row>
    <row r="37" spans="1:41">
      <c r="A37" s="484"/>
      <c r="B37" s="485"/>
      <c r="C37" s="485"/>
      <c r="D37" s="485"/>
      <c r="E37" s="485"/>
      <c r="F37" s="485"/>
      <c r="G37" s="485"/>
      <c r="H37" s="485"/>
      <c r="I37" s="486"/>
      <c r="L37" s="487"/>
      <c r="P37" s="484"/>
      <c r="Q37" s="510"/>
      <c r="R37" s="510"/>
    </row>
    <row r="38" spans="1:41" s="494" customFormat="1">
      <c r="A38" s="489"/>
      <c r="B38" s="490" t="s">
        <v>919</v>
      </c>
      <c r="C38" s="490"/>
      <c r="D38" s="490"/>
      <c r="E38" s="490"/>
      <c r="F38" s="490"/>
      <c r="G38" s="490"/>
      <c r="H38" s="491"/>
      <c r="I38" s="489"/>
      <c r="J38" s="490" t="s">
        <v>919</v>
      </c>
      <c r="K38" s="490"/>
      <c r="L38" s="490"/>
      <c r="M38" s="490"/>
      <c r="N38" s="490"/>
      <c r="O38" s="490"/>
      <c r="P38" s="491"/>
      <c r="Q38" s="510"/>
      <c r="R38" s="510"/>
    </row>
    <row r="39" spans="1:41" s="494" customFormat="1">
      <c r="A39" s="489"/>
      <c r="B39" s="490" t="s">
        <v>920</v>
      </c>
      <c r="C39" s="490"/>
      <c r="D39" s="659" t="s">
        <v>921</v>
      </c>
      <c r="E39" s="657"/>
      <c r="F39" s="657"/>
      <c r="G39" s="657"/>
      <c r="H39" s="495" t="s">
        <v>320</v>
      </c>
      <c r="I39" s="489"/>
      <c r="J39" s="490" t="s">
        <v>920</v>
      </c>
      <c r="K39" s="490"/>
      <c r="L39" s="659" t="s">
        <v>921</v>
      </c>
      <c r="M39" s="657"/>
      <c r="N39" s="657"/>
      <c r="O39" s="657"/>
      <c r="P39" s="495" t="s">
        <v>320</v>
      </c>
      <c r="Q39" s="510"/>
      <c r="R39" s="510"/>
    </row>
    <row r="40" spans="1:41" s="494" customFormat="1" ht="40.5" customHeight="1">
      <c r="A40" s="489"/>
      <c r="B40" s="496" t="s">
        <v>922</v>
      </c>
      <c r="C40" s="497" t="s">
        <v>923</v>
      </c>
      <c r="D40" s="498" t="s">
        <v>924</v>
      </c>
      <c r="E40" s="499" t="s">
        <v>10</v>
      </c>
      <c r="F40" s="496" t="s">
        <v>925</v>
      </c>
      <c r="G40" s="500" t="s">
        <v>935</v>
      </c>
      <c r="H40" s="501" t="s">
        <v>927</v>
      </c>
      <c r="I40" s="489"/>
      <c r="J40" s="496" t="s">
        <v>922</v>
      </c>
      <c r="K40" s="497" t="s">
        <v>923</v>
      </c>
      <c r="L40" s="498" t="s">
        <v>924</v>
      </c>
      <c r="M40" s="499" t="s">
        <v>10</v>
      </c>
      <c r="N40" s="496" t="s">
        <v>925</v>
      </c>
      <c r="O40" s="500" t="s">
        <v>935</v>
      </c>
      <c r="P40" s="501" t="s">
        <v>927</v>
      </c>
      <c r="Q40" s="510"/>
      <c r="R40" s="510"/>
      <c r="T40" s="533"/>
    </row>
    <row r="41" spans="1:41" ht="15.75" customHeight="1">
      <c r="A41" s="534" t="s">
        <v>894</v>
      </c>
      <c r="B41" s="505">
        <f>('Pivot Table for Data Exchange'!$C$6)*100</f>
        <v>92.957352109835099</v>
      </c>
      <c r="C41" s="519">
        <f>('Pivot Table for Data Exchange'!$C$9)*100</f>
        <v>2.4350886319181066E-2</v>
      </c>
      <c r="D41" s="506">
        <f>SUM(E41:G41)</f>
        <v>7.0182970038457153</v>
      </c>
      <c r="E41" s="505">
        <f>('Pivot Table for Data Exchange'!$C$12)*100</f>
        <v>6.9648842967968303</v>
      </c>
      <c r="F41" s="519">
        <f>('Pivot Table for Data Exchange'!$C$15)*100</f>
        <v>5.3412707048884907E-2</v>
      </c>
      <c r="G41" s="509">
        <f>('Pivot Table for Data Exchange'!$C$18)*100</f>
        <v>0</v>
      </c>
      <c r="H41" s="505">
        <f>('Pivot Table for Data Exchange'!$C$21)*100</f>
        <v>0</v>
      </c>
      <c r="I41" s="508" t="s">
        <v>894</v>
      </c>
      <c r="J41" s="505">
        <f>('Pivot Table for Data Exchange'!$C$24)*100</f>
        <v>78.905892009204848</v>
      </c>
      <c r="K41" s="505">
        <f>('Pivot Table for Data Exchange'!$C$27)*100</f>
        <v>2.6889436077163618</v>
      </c>
      <c r="L41" s="506">
        <f>SUM(M41:O41)</f>
        <v>18.405164383078791</v>
      </c>
      <c r="M41" s="505">
        <f>('Pivot Table for Data Exchange'!$C$30)*100</f>
        <v>18.255610777930521</v>
      </c>
      <c r="N41" s="505">
        <f>('Pivot Table for Data Exchange'!$C$33)*100</f>
        <v>0.14955360514826954</v>
      </c>
      <c r="O41" s="509">
        <f>('Pivot Table for Data Exchange'!$C$36)*100</f>
        <v>0</v>
      </c>
      <c r="P41" s="505">
        <f>('Pivot Table for Data Exchange'!$C$39)*100</f>
        <v>0</v>
      </c>
      <c r="Q41" s="510">
        <f t="shared" si="3"/>
        <v>100</v>
      </c>
      <c r="R41" s="510">
        <f t="shared" si="2"/>
        <v>100</v>
      </c>
      <c r="S41" s="511"/>
      <c r="T41" s="511"/>
      <c r="U41" s="511"/>
      <c r="V41" s="511"/>
      <c r="W41" s="511"/>
      <c r="X41" s="511"/>
      <c r="Y41" s="511"/>
      <c r="Z41" s="511"/>
      <c r="AA41" s="511"/>
      <c r="AB41" s="511"/>
      <c r="AC41" s="511"/>
      <c r="AD41" s="511"/>
      <c r="AE41" s="511"/>
      <c r="AF41" s="511"/>
      <c r="AG41" s="511"/>
      <c r="AH41" s="511"/>
      <c r="AI41" s="511"/>
      <c r="AJ41" s="511"/>
      <c r="AK41" s="511"/>
      <c r="AL41" s="511"/>
      <c r="AM41" s="511"/>
      <c r="AN41" s="511"/>
      <c r="AO41" s="511"/>
    </row>
    <row r="42" spans="1:41" ht="15.75" customHeight="1">
      <c r="A42" s="512" t="s">
        <v>895</v>
      </c>
      <c r="B42" s="505">
        <f>('Pivot Table for Data Exchange'!$C$42)*100</f>
        <v>89.819440757525427</v>
      </c>
      <c r="C42" s="505">
        <f>('Pivot Table for Data Exchange'!$C$45)*100</f>
        <v>1.4021595896366403</v>
      </c>
      <c r="D42" s="506">
        <f t="shared" ref="D42:D44" si="4">SUM(E42:G42)</f>
        <v>8.2175993997784129</v>
      </c>
      <c r="E42" s="505">
        <f>('Pivot Table for Data Exchange'!$C$48)*100</f>
        <v>8.1357365510466515</v>
      </c>
      <c r="F42" s="505">
        <f>('Pivot Table for Data Exchange'!$C$51)*100</f>
        <v>8.1862848731761681E-2</v>
      </c>
      <c r="G42" s="518">
        <f>('Pivot Table for Data Exchange'!$C$54)*100</f>
        <v>0</v>
      </c>
      <c r="H42" s="505">
        <f>('Pivot Table for Data Exchange'!$C$57)*100</f>
        <v>0.56080025305952463</v>
      </c>
      <c r="I42" s="514" t="s">
        <v>895</v>
      </c>
      <c r="J42" s="505">
        <f>('Pivot Table for Data Exchange'!$C$60)*100</f>
        <v>71.494983486009843</v>
      </c>
      <c r="K42" s="505">
        <f>('Pivot Table for Data Exchange'!$C$63)*100</f>
        <v>2.4677509814918679</v>
      </c>
      <c r="L42" s="506">
        <f t="shared" ref="L42:L44" si="5">SUM(M42:O42)</f>
        <v>26.037265532498289</v>
      </c>
      <c r="M42" s="505">
        <f>('Pivot Table for Data Exchange'!$C$66)*100</f>
        <v>26.037265532498289</v>
      </c>
      <c r="N42" s="505">
        <f>('Pivot Table for Data Exchange'!$C$69)*100</f>
        <v>0</v>
      </c>
      <c r="O42" s="515">
        <f>('Pivot Table for Data Exchange'!$C$72)*100</f>
        <v>0</v>
      </c>
      <c r="P42" s="519">
        <f>('Pivot Table for Data Exchange'!$C$75)*100</f>
        <v>0</v>
      </c>
      <c r="Q42" s="510">
        <f t="shared" si="3"/>
        <v>100</v>
      </c>
      <c r="R42" s="510">
        <f t="shared" si="2"/>
        <v>100</v>
      </c>
      <c r="S42" s="511"/>
      <c r="T42" s="511"/>
      <c r="U42" s="511"/>
      <c r="V42" s="511"/>
      <c r="W42" s="511"/>
      <c r="X42" s="511"/>
      <c r="Y42" s="511"/>
      <c r="Z42" s="511"/>
      <c r="AA42" s="511"/>
      <c r="AB42" s="511"/>
      <c r="AC42" s="511"/>
      <c r="AD42" s="511"/>
      <c r="AE42" s="511"/>
      <c r="AF42" s="511"/>
      <c r="AG42" s="511"/>
      <c r="AH42" s="511"/>
      <c r="AI42" s="511"/>
      <c r="AJ42" s="511"/>
      <c r="AK42" s="511"/>
      <c r="AL42" s="511"/>
      <c r="AM42" s="511"/>
      <c r="AN42" s="511"/>
      <c r="AO42" s="511"/>
    </row>
    <row r="43" spans="1:41" ht="15.75" customHeight="1">
      <c r="A43" s="512" t="s">
        <v>896</v>
      </c>
      <c r="B43" s="505">
        <f>('Pivot Table for Data Exchange'!$C$78)*100</f>
        <v>96.921737321819819</v>
      </c>
      <c r="C43" s="505">
        <f>('Pivot Table for Data Exchange'!$C$81)*100</f>
        <v>0</v>
      </c>
      <c r="D43" s="506">
        <f t="shared" si="4"/>
        <v>3.0782626781801872</v>
      </c>
      <c r="E43" s="505">
        <f>('Pivot Table for Data Exchange'!$C$84)*100</f>
        <v>3.0782626781801872</v>
      </c>
      <c r="F43" s="505">
        <f>('Pivot Table for Data Exchange'!$C$87)*100</f>
        <v>0</v>
      </c>
      <c r="G43" s="515">
        <f>('Pivot Table for Data Exchange'!$C$90)*100</f>
        <v>0</v>
      </c>
      <c r="H43" s="505">
        <f>('Pivot Table for Data Exchange'!$C$93)*100</f>
        <v>0</v>
      </c>
      <c r="I43" s="514" t="s">
        <v>896</v>
      </c>
      <c r="J43" s="505">
        <f>('Pivot Table for Data Exchange'!$C$96)*100</f>
        <v>91.579647735043523</v>
      </c>
      <c r="K43" s="505">
        <f>('Pivot Table for Data Exchange'!$C$99)*100</f>
        <v>0</v>
      </c>
      <c r="L43" s="506">
        <f t="shared" si="5"/>
        <v>8.4203522649564757</v>
      </c>
      <c r="M43" s="505">
        <f>('Pivot Table for Data Exchange'!$C$102)*100</f>
        <v>8.4203522649564757</v>
      </c>
      <c r="N43" s="505">
        <f>('Pivot Table for Data Exchange'!$C$105)*100</f>
        <v>0</v>
      </c>
      <c r="O43" s="515">
        <f>('Pivot Table for Data Exchange'!$C$108)*100</f>
        <v>0</v>
      </c>
      <c r="P43" s="505">
        <f>('Pivot Table for Data Exchange'!$C$111)*100</f>
        <v>0</v>
      </c>
      <c r="Q43" s="510">
        <f t="shared" si="3"/>
        <v>100</v>
      </c>
      <c r="R43" s="510">
        <f t="shared" si="2"/>
        <v>100</v>
      </c>
      <c r="S43" s="511"/>
      <c r="T43" s="535"/>
      <c r="U43" s="511"/>
      <c r="V43" s="511"/>
      <c r="W43" s="511"/>
      <c r="X43" s="511"/>
      <c r="Y43" s="511"/>
      <c r="Z43" s="511"/>
      <c r="AA43" s="511"/>
      <c r="AB43" s="511"/>
      <c r="AC43" s="511"/>
      <c r="AD43" s="511"/>
      <c r="AE43" s="511"/>
      <c r="AF43" s="511"/>
      <c r="AG43" s="511"/>
      <c r="AH43" s="511"/>
      <c r="AI43" s="511"/>
      <c r="AJ43" s="511"/>
      <c r="AK43" s="511"/>
      <c r="AL43" s="511"/>
      <c r="AM43" s="511"/>
      <c r="AN43" s="511"/>
      <c r="AO43" s="511"/>
    </row>
    <row r="44" spans="1:41" ht="15.75" customHeight="1">
      <c r="A44" s="512" t="s">
        <v>936</v>
      </c>
      <c r="B44" s="505">
        <f>('Pivot Table for Data Exchange'!$C$114)*100</f>
        <v>73.467258166074117</v>
      </c>
      <c r="C44" s="505">
        <f>('Pivot Table for Data Exchange'!$C$117)*100</f>
        <v>6.4988712560174129</v>
      </c>
      <c r="D44" s="506">
        <f t="shared" si="4"/>
        <v>19.89021058448219</v>
      </c>
      <c r="E44" s="505">
        <f>('Pivot Table for Data Exchange'!$C$120)*100</f>
        <v>19.678079022906502</v>
      </c>
      <c r="F44" s="505">
        <f>('Pivot Table for Data Exchange'!$C$123)*100</f>
        <v>8.2822885837103011E-2</v>
      </c>
      <c r="G44" s="518">
        <f>('Pivot Table for Data Exchange'!$C$126)*100</f>
        <v>0.12930867573858359</v>
      </c>
      <c r="H44" s="505">
        <f>('Pivot Table for Data Exchange'!$C$129)*100</f>
        <v>0.14365999342628902</v>
      </c>
      <c r="I44" s="514" t="s">
        <v>936</v>
      </c>
      <c r="J44" s="505">
        <f>('Pivot Table for Data Exchange'!$C$132)*100</f>
        <v>73.005657897749217</v>
      </c>
      <c r="K44" s="505">
        <f>('Pivot Table for Data Exchange'!$C$135)*100</f>
        <v>7.207571875155713</v>
      </c>
      <c r="L44" s="506">
        <f t="shared" si="5"/>
        <v>19.748966258659561</v>
      </c>
      <c r="M44" s="505">
        <f>('Pivot Table for Data Exchange'!$C$138)*100</f>
        <v>19.653542501183658</v>
      </c>
      <c r="N44" s="505">
        <f>('Pivot Table for Data Exchange'!$C$141)*100</f>
        <v>8.5227267261744094E-2</v>
      </c>
      <c r="O44" s="513">
        <f>('Pivot Table for Data Exchange'!$C$144)*100</f>
        <v>1.0196490214159E-2</v>
      </c>
      <c r="P44" s="505">
        <f>('Pivot Table for Data Exchange'!$C$147)*100</f>
        <v>3.7803968435514028E-2</v>
      </c>
      <c r="Q44" s="510">
        <f t="shared" si="3"/>
        <v>100</v>
      </c>
      <c r="R44" s="510">
        <f t="shared" si="2"/>
        <v>100</v>
      </c>
      <c r="S44" s="511"/>
      <c r="U44" s="511"/>
      <c r="V44" s="511"/>
      <c r="W44" s="511"/>
      <c r="X44" s="511"/>
      <c r="Y44" s="511"/>
      <c r="Z44" s="511"/>
      <c r="AA44" s="511"/>
      <c r="AB44" s="511"/>
      <c r="AC44" s="511"/>
      <c r="AD44" s="511"/>
      <c r="AE44" s="511"/>
      <c r="AF44" s="511"/>
      <c r="AG44" s="511"/>
      <c r="AH44" s="511"/>
      <c r="AI44" s="511"/>
      <c r="AJ44" s="511"/>
      <c r="AK44" s="511"/>
      <c r="AL44" s="511"/>
      <c r="AM44" s="511"/>
      <c r="AN44" s="511"/>
      <c r="AO44" s="511"/>
    </row>
    <row r="45" spans="1:41" ht="10.5" customHeight="1">
      <c r="A45" s="512"/>
      <c r="B45" s="505"/>
      <c r="C45" s="505"/>
      <c r="D45" s="506"/>
      <c r="E45" s="505"/>
      <c r="F45" s="505"/>
      <c r="G45" s="515"/>
      <c r="H45" s="505"/>
      <c r="I45" s="514"/>
      <c r="J45" s="505"/>
      <c r="K45" s="505"/>
      <c r="L45" s="506"/>
      <c r="M45" s="505"/>
      <c r="N45" s="505"/>
      <c r="O45" s="515"/>
      <c r="P45" s="505"/>
      <c r="Q45" s="510">
        <f t="shared" si="3"/>
        <v>0</v>
      </c>
      <c r="R45" s="510">
        <f t="shared" si="2"/>
        <v>0</v>
      </c>
      <c r="S45" s="511"/>
      <c r="U45" s="511"/>
      <c r="V45" s="511"/>
      <c r="W45" s="511"/>
      <c r="X45" s="511"/>
      <c r="Y45" s="511"/>
      <c r="Z45" s="511"/>
      <c r="AA45" s="511"/>
      <c r="AB45" s="511"/>
      <c r="AC45" s="511"/>
      <c r="AD45" s="511"/>
      <c r="AE45" s="511"/>
      <c r="AF45" s="511"/>
      <c r="AG45" s="511"/>
      <c r="AH45" s="511"/>
      <c r="AI45" s="511"/>
      <c r="AJ45" s="511"/>
      <c r="AK45" s="511"/>
      <c r="AL45" s="511"/>
      <c r="AM45" s="511"/>
      <c r="AN45" s="511"/>
      <c r="AO45" s="511"/>
    </row>
    <row r="46" spans="1:41" ht="15.75" customHeight="1">
      <c r="A46" s="512" t="s">
        <v>898</v>
      </c>
      <c r="B46" s="505">
        <f>('Pivot Table for Data Exchange'!$C$150)*100</f>
        <v>93.509101812651181</v>
      </c>
      <c r="C46" s="505">
        <f>('Pivot Table for Data Exchange'!$C$153)*100</f>
        <v>1.8543751286660797</v>
      </c>
      <c r="D46" s="506">
        <f t="shared" ref="D46:D49" si="6">SUM(E46:G46)</f>
        <v>4.6365230586827479</v>
      </c>
      <c r="E46" s="505">
        <f>('Pivot Table for Data Exchange'!$C$156)*100</f>
        <v>4.6352837332338197</v>
      </c>
      <c r="F46" s="505">
        <f>('Pivot Table for Data Exchange'!$C$159)*100</f>
        <v>0</v>
      </c>
      <c r="G46" s="515">
        <f>('Pivot Table for Data Exchange'!$C$162)*100</f>
        <v>1.239325448928431E-3</v>
      </c>
      <c r="H46" s="505">
        <f>('Pivot Table for Data Exchange'!$C$165)*100</f>
        <v>0</v>
      </c>
      <c r="I46" s="514" t="s">
        <v>898</v>
      </c>
      <c r="J46" s="505">
        <f>('Pivot Table for Data Exchange'!$C$168)*100</f>
        <v>84.088898901905807</v>
      </c>
      <c r="K46" s="505">
        <f>('Pivot Table for Data Exchange'!$C$171)*100</f>
        <v>11.882113414105003</v>
      </c>
      <c r="L46" s="506">
        <f t="shared" ref="L46:L49" si="7">SUM(M46:O46)</f>
        <v>4.0289876839891861</v>
      </c>
      <c r="M46" s="505">
        <f>('Pivot Table for Data Exchange'!$C$174)*100</f>
        <v>4.0269016387971028</v>
      </c>
      <c r="N46" s="505">
        <f>('Pivot Table for Data Exchange'!$C$177)*100</f>
        <v>0</v>
      </c>
      <c r="O46" s="515">
        <f>('Pivot Table for Data Exchange'!$C$180)*100</f>
        <v>2.0860451920830412E-3</v>
      </c>
      <c r="P46" s="505">
        <f>('Pivot Table for Data Exchange'!$C$183)*100</f>
        <v>0</v>
      </c>
      <c r="Q46" s="510">
        <f t="shared" si="3"/>
        <v>100</v>
      </c>
      <c r="R46" s="510">
        <f t="shared" si="2"/>
        <v>100</v>
      </c>
      <c r="S46" s="511"/>
      <c r="T46" s="511"/>
      <c r="U46" s="511"/>
      <c r="V46" s="511"/>
      <c r="W46" s="511"/>
      <c r="X46" s="511"/>
      <c r="Y46" s="511"/>
      <c r="Z46" s="511"/>
      <c r="AA46" s="511"/>
      <c r="AB46" s="511"/>
      <c r="AC46" s="511"/>
      <c r="AD46" s="511"/>
      <c r="AE46" s="511"/>
      <c r="AF46" s="511"/>
      <c r="AG46" s="511"/>
      <c r="AH46" s="511"/>
      <c r="AI46" s="511"/>
      <c r="AJ46" s="511"/>
      <c r="AK46" s="511"/>
      <c r="AL46" s="511"/>
      <c r="AM46" s="511"/>
      <c r="AN46" s="511"/>
      <c r="AO46" s="511"/>
    </row>
    <row r="47" spans="1:41" ht="15.75" customHeight="1">
      <c r="A47" s="512" t="s">
        <v>899</v>
      </c>
      <c r="B47" s="505">
        <f>('Pivot Table for Data Exchange'!$C$186)*100</f>
        <v>90.065075451174422</v>
      </c>
      <c r="C47" s="505">
        <f>('Pivot Table for Data Exchange'!$C$189)*100</f>
        <v>1.8120217334103714</v>
      </c>
      <c r="D47" s="506">
        <f t="shared" si="6"/>
        <v>8.1229028154152036</v>
      </c>
      <c r="E47" s="505">
        <f>('Pivot Table for Data Exchange'!$C$192)*100</f>
        <v>7.8706303285781321</v>
      </c>
      <c r="F47" s="505">
        <f>('Pivot Table for Data Exchange'!$C$195)*100</f>
        <v>0.24684727206638291</v>
      </c>
      <c r="G47" s="517">
        <f>('Pivot Table for Data Exchange'!$C$198)*100</f>
        <v>5.4252147706897345E-3</v>
      </c>
      <c r="H47" s="505">
        <f>('Pivot Table for Data Exchange'!$C$201)*100</f>
        <v>0</v>
      </c>
      <c r="I47" s="514" t="s">
        <v>899</v>
      </c>
      <c r="J47" s="505">
        <f>('Pivot Table for Data Exchange'!$C$204)*100</f>
        <v>77.195780711646648</v>
      </c>
      <c r="K47" s="505">
        <f>('Pivot Table for Data Exchange'!$C$207)*100</f>
        <v>5.8759758506177535</v>
      </c>
      <c r="L47" s="506">
        <f t="shared" si="7"/>
        <v>16.928243437735588</v>
      </c>
      <c r="M47" s="505">
        <f>('Pivot Table for Data Exchange'!$C$210)*100</f>
        <v>16.556906187500388</v>
      </c>
      <c r="N47" s="505">
        <f>('Pivot Table for Data Exchange'!$C$213)*100</f>
        <v>0.37133725023520103</v>
      </c>
      <c r="O47" s="518">
        <f>('Pivot Table for Data Exchange'!$C$216)*100</f>
        <v>0</v>
      </c>
      <c r="P47" s="505">
        <f>('Pivot Table for Data Exchange'!$C$219)*100</f>
        <v>0</v>
      </c>
      <c r="Q47" s="510">
        <f t="shared" si="3"/>
        <v>100</v>
      </c>
      <c r="R47" s="510">
        <f t="shared" si="2"/>
        <v>99.999999999999986</v>
      </c>
      <c r="S47" s="511"/>
      <c r="T47" s="511"/>
      <c r="U47" s="511"/>
      <c r="V47" s="511"/>
      <c r="W47" s="511"/>
      <c r="X47" s="511"/>
      <c r="Y47" s="511"/>
      <c r="Z47" s="511"/>
      <c r="AA47" s="511"/>
      <c r="AB47" s="511"/>
      <c r="AC47" s="511"/>
      <c r="AD47" s="511"/>
      <c r="AE47" s="511"/>
      <c r="AF47" s="511"/>
      <c r="AG47" s="511"/>
      <c r="AH47" s="511"/>
      <c r="AI47" s="511"/>
      <c r="AJ47" s="511"/>
      <c r="AK47" s="511"/>
      <c r="AL47" s="511"/>
      <c r="AM47" s="511"/>
      <c r="AN47" s="511"/>
      <c r="AO47" s="511"/>
    </row>
    <row r="48" spans="1:41" ht="15.75" customHeight="1">
      <c r="A48" s="512" t="s">
        <v>900</v>
      </c>
      <c r="B48" s="505">
        <f>('Pivot Table for Data Exchange'!$C$222)*100</f>
        <v>98.653789874158619</v>
      </c>
      <c r="C48" s="505">
        <f>('Pivot Table for Data Exchange'!$C$225)*100</f>
        <v>0</v>
      </c>
      <c r="D48" s="506">
        <f t="shared" si="6"/>
        <v>1.3462101258413817</v>
      </c>
      <c r="E48" s="505">
        <f>('Pivot Table for Data Exchange'!$C$228)*100</f>
        <v>1.3462101258413817</v>
      </c>
      <c r="F48" s="505">
        <f>('Pivot Table for Data Exchange'!$C$231)*100</f>
        <v>0</v>
      </c>
      <c r="G48" s="515">
        <f>('Pivot Table for Data Exchange'!$C$234)*100</f>
        <v>0</v>
      </c>
      <c r="H48" s="505">
        <f>('Pivot Table for Data Exchange'!$C$237)*100</f>
        <v>0</v>
      </c>
      <c r="I48" s="514" t="s">
        <v>900</v>
      </c>
      <c r="J48" s="505">
        <f>('Pivot Table for Data Exchange'!$C$240)*100</f>
        <v>97.387695312499986</v>
      </c>
      <c r="K48" s="505">
        <f>('Pivot Table for Data Exchange'!$C$243)*100</f>
        <v>0</v>
      </c>
      <c r="L48" s="506">
        <f t="shared" si="7"/>
        <v>2.612304687500008</v>
      </c>
      <c r="M48" s="505">
        <f>('Pivot Table for Data Exchange'!$C$246)*100</f>
        <v>2.612304687500008</v>
      </c>
      <c r="N48" s="505">
        <f>('Pivot Table for Data Exchange'!$C$249)*100</f>
        <v>0</v>
      </c>
      <c r="O48" s="515">
        <f>('Pivot Table for Data Exchange'!$C$252)*100</f>
        <v>0</v>
      </c>
      <c r="P48" s="505">
        <f>('Pivot Table for Data Exchange'!$C$255)*100</f>
        <v>0</v>
      </c>
      <c r="Q48" s="510">
        <f t="shared" si="3"/>
        <v>100</v>
      </c>
      <c r="R48" s="510">
        <f t="shared" si="2"/>
        <v>100</v>
      </c>
      <c r="S48" s="511"/>
      <c r="T48" s="535"/>
      <c r="U48" s="511"/>
      <c r="V48" s="511"/>
      <c r="W48" s="511"/>
      <c r="X48" s="511"/>
      <c r="Y48" s="511"/>
      <c r="Z48" s="511"/>
      <c r="AA48" s="511"/>
      <c r="AB48" s="511"/>
      <c r="AC48" s="511"/>
      <c r="AD48" s="511"/>
      <c r="AE48" s="511"/>
      <c r="AF48" s="511"/>
      <c r="AG48" s="511"/>
      <c r="AH48" s="511"/>
      <c r="AI48" s="511"/>
      <c r="AJ48" s="511"/>
      <c r="AK48" s="511"/>
      <c r="AL48" s="511"/>
      <c r="AM48" s="511"/>
      <c r="AN48" s="511"/>
      <c r="AO48" s="511"/>
    </row>
    <row r="49" spans="1:41" ht="15.75" customHeight="1">
      <c r="A49" s="512" t="s">
        <v>901</v>
      </c>
      <c r="B49" s="505">
        <f>('Pivot Table for Data Exchange'!$C$258)*100</f>
        <v>94.436396314993416</v>
      </c>
      <c r="C49" s="505">
        <f>('Pivot Table for Data Exchange'!$C$261)*100</f>
        <v>2.4483637470781199</v>
      </c>
      <c r="D49" s="506">
        <f t="shared" si="6"/>
        <v>3.1152399379284605</v>
      </c>
      <c r="E49" s="505">
        <f>('Pivot Table for Data Exchange'!$C$264)*100</f>
        <v>3.0067129584159971</v>
      </c>
      <c r="F49" s="505">
        <f>('Pivot Table for Data Exchange'!$C$267)*100</f>
        <v>0.10852697951246341</v>
      </c>
      <c r="G49" s="515">
        <f>('Pivot Table for Data Exchange'!$C$270)*100</f>
        <v>0</v>
      </c>
      <c r="H49" s="505">
        <f>('Pivot Table for Data Exchange'!$C$273)*100</f>
        <v>0</v>
      </c>
      <c r="I49" s="514" t="s">
        <v>901</v>
      </c>
      <c r="J49" s="505">
        <f>('Pivot Table for Data Exchange'!$C$276)*100</f>
        <v>75.281981571727883</v>
      </c>
      <c r="K49" s="505">
        <f>('Pivot Table for Data Exchange'!$C$279)*100</f>
        <v>18.458499682832848</v>
      </c>
      <c r="L49" s="506">
        <f t="shared" si="7"/>
        <v>6.2595187454392738</v>
      </c>
      <c r="M49" s="505">
        <f>('Pivot Table for Data Exchange'!$C$282)*100</f>
        <v>5.7807039809002445</v>
      </c>
      <c r="N49" s="505">
        <f>('Pivot Table for Data Exchange'!$C$285)*100</f>
        <v>0.47881476453902938</v>
      </c>
      <c r="O49" s="515">
        <f>('Pivot Table for Data Exchange'!$C$288)*100</f>
        <v>0</v>
      </c>
      <c r="P49" s="505">
        <f>('Pivot Table for Data Exchange'!$C$291)*100</f>
        <v>0</v>
      </c>
      <c r="Q49" s="510">
        <f t="shared" si="3"/>
        <v>100</v>
      </c>
      <c r="R49" s="510">
        <f t="shared" si="2"/>
        <v>100.00000000000001</v>
      </c>
      <c r="S49" s="511"/>
      <c r="U49" s="511"/>
      <c r="V49" s="511"/>
      <c r="W49" s="511"/>
      <c r="X49" s="511"/>
      <c r="Y49" s="511"/>
      <c r="Z49" s="511"/>
      <c r="AA49" s="511"/>
      <c r="AB49" s="511"/>
      <c r="AC49" s="511"/>
      <c r="AD49" s="511"/>
      <c r="AE49" s="511"/>
      <c r="AF49" s="511"/>
      <c r="AG49" s="511"/>
      <c r="AH49" s="511"/>
      <c r="AI49" s="511"/>
      <c r="AJ49" s="511"/>
      <c r="AK49" s="511"/>
      <c r="AL49" s="511"/>
      <c r="AM49" s="511"/>
      <c r="AN49" s="511"/>
      <c r="AO49" s="511"/>
    </row>
    <row r="50" spans="1:41" ht="12" customHeight="1">
      <c r="A50" s="512"/>
      <c r="B50" s="505"/>
      <c r="C50" s="505"/>
      <c r="D50" s="506"/>
      <c r="E50" s="505"/>
      <c r="F50" s="505"/>
      <c r="G50" s="515"/>
      <c r="H50" s="505"/>
      <c r="I50" s="514"/>
      <c r="J50" s="505"/>
      <c r="K50" s="505"/>
      <c r="L50" s="506"/>
      <c r="M50" s="505"/>
      <c r="N50" s="505"/>
      <c r="O50" s="515"/>
      <c r="P50" s="505"/>
      <c r="Q50" s="510">
        <f t="shared" si="3"/>
        <v>0</v>
      </c>
      <c r="R50" s="510">
        <f t="shared" si="2"/>
        <v>0</v>
      </c>
      <c r="S50" s="511"/>
      <c r="U50" s="511"/>
      <c r="V50" s="511"/>
      <c r="W50" s="511"/>
      <c r="X50" s="511"/>
      <c r="Y50" s="511"/>
      <c r="Z50" s="511"/>
      <c r="AA50" s="511"/>
      <c r="AB50" s="511"/>
      <c r="AC50" s="511"/>
      <c r="AD50" s="511"/>
      <c r="AE50" s="511"/>
      <c r="AF50" s="511"/>
      <c r="AG50" s="511"/>
      <c r="AH50" s="511"/>
      <c r="AI50" s="511"/>
      <c r="AJ50" s="511"/>
      <c r="AK50" s="511"/>
      <c r="AL50" s="511"/>
      <c r="AM50" s="511"/>
      <c r="AN50" s="511"/>
      <c r="AO50" s="511"/>
    </row>
    <row r="51" spans="1:41" ht="15.75" customHeight="1">
      <c r="A51" s="512" t="s">
        <v>902</v>
      </c>
      <c r="B51" s="505">
        <f>('Pivot Table for Data Exchange'!$C$294)*100</f>
        <v>82.767528046889154</v>
      </c>
      <c r="C51" s="505">
        <f>('Pivot Table for Data Exchange'!$C$297)*100</f>
        <v>5.7463393018993338</v>
      </c>
      <c r="D51" s="506">
        <f t="shared" ref="D51:D53" si="8">SUM(E51:G51)</f>
        <v>11.486132651211504</v>
      </c>
      <c r="E51" s="505">
        <f>('Pivot Table for Data Exchange'!$C$300)*100</f>
        <v>10.743796451086627</v>
      </c>
      <c r="F51" s="505">
        <f>('Pivot Table for Data Exchange'!$C$303)*100</f>
        <v>0.74233620012487656</v>
      </c>
      <c r="G51" s="518">
        <f>('Pivot Table for Data Exchange'!$C$306)*100</f>
        <v>0</v>
      </c>
      <c r="H51" s="536">
        <f>('Pivot Table for Data Exchange'!$C$309)*100</f>
        <v>0</v>
      </c>
      <c r="I51" s="514" t="s">
        <v>902</v>
      </c>
      <c r="J51" s="505">
        <f>('Pivot Table for Data Exchange'!$C$312)*100</f>
        <v>66.506554778200737</v>
      </c>
      <c r="K51" s="505">
        <f>('Pivot Table for Data Exchange'!$C$315)*100</f>
        <v>5.376721756547659</v>
      </c>
      <c r="L51" s="506">
        <f t="shared" ref="L51:L53" si="9">SUM(M51:O51)</f>
        <v>27.682902518439764</v>
      </c>
      <c r="M51" s="505">
        <f>('Pivot Table for Data Exchange'!$C$318)*100</f>
        <v>26.34346847915856</v>
      </c>
      <c r="N51" s="505">
        <f>('Pivot Table for Data Exchange'!$C$321)*100</f>
        <v>1.3394340392812052</v>
      </c>
      <c r="O51" s="513">
        <f>('Pivot Table for Data Exchange'!$C$324)*100</f>
        <v>0</v>
      </c>
      <c r="P51" s="519">
        <f>('Pivot Table for Data Exchange'!$C$327)*100</f>
        <v>0.43382094681184319</v>
      </c>
      <c r="Q51" s="510">
        <f t="shared" si="3"/>
        <v>100</v>
      </c>
      <c r="R51" s="510">
        <f t="shared" si="2"/>
        <v>100</v>
      </c>
      <c r="S51" s="511"/>
      <c r="T51" s="511"/>
      <c r="U51" s="511"/>
      <c r="V51" s="511"/>
      <c r="W51" s="511"/>
      <c r="X51" s="511"/>
      <c r="Y51" s="511"/>
      <c r="Z51" s="511"/>
      <c r="AA51" s="511"/>
      <c r="AB51" s="511"/>
      <c r="AC51" s="511"/>
      <c r="AD51" s="511"/>
      <c r="AE51" s="511"/>
      <c r="AF51" s="511"/>
      <c r="AG51" s="511"/>
      <c r="AH51" s="511"/>
      <c r="AI51" s="511"/>
      <c r="AJ51" s="511"/>
      <c r="AK51" s="511"/>
      <c r="AL51" s="511"/>
      <c r="AM51" s="511"/>
      <c r="AN51" s="511"/>
      <c r="AO51" s="511"/>
    </row>
    <row r="52" spans="1:41" ht="15.75" customHeight="1">
      <c r="A52" s="512" t="s">
        <v>903</v>
      </c>
      <c r="B52" s="505">
        <f>('Pivot Table for Data Exchange'!$C$330)*100</f>
        <v>87.975523264062943</v>
      </c>
      <c r="C52" s="505">
        <f>('Pivot Table for Data Exchange'!$C$333)*100</f>
        <v>0.41577359997758345</v>
      </c>
      <c r="D52" s="506">
        <f t="shared" si="8"/>
        <v>11.608703135959479</v>
      </c>
      <c r="E52" s="505">
        <f>('Pivot Table for Data Exchange'!$C$336)*100</f>
        <v>11.567606130570168</v>
      </c>
      <c r="F52" s="519">
        <f>('Pivot Table for Data Exchange'!$C$339)*100</f>
        <v>9.1178421047715674E-3</v>
      </c>
      <c r="G52" s="513">
        <f>('Pivot Table for Data Exchange'!$C$342)*100</f>
        <v>3.1979163284540278E-2</v>
      </c>
      <c r="H52" s="505">
        <f>('Pivot Table for Data Exchange'!$C$345)*100</f>
        <v>0</v>
      </c>
      <c r="I52" s="514" t="s">
        <v>903</v>
      </c>
      <c r="J52" s="505">
        <f>('Pivot Table for Data Exchange'!$C$348)*100</f>
        <v>80.058661433760591</v>
      </c>
      <c r="K52" s="505">
        <f>('Pivot Table for Data Exchange'!$C$351)*100</f>
        <v>4.4171433343075446</v>
      </c>
      <c r="L52" s="506">
        <f t="shared" si="9"/>
        <v>15.524195231931861</v>
      </c>
      <c r="M52" s="505">
        <f>('Pivot Table for Data Exchange'!$C$354)*100</f>
        <v>15.2262953530124</v>
      </c>
      <c r="N52" s="516">
        <f>('Pivot Table for Data Exchange'!$C$357)*100</f>
        <v>2.8600058452674208E-2</v>
      </c>
      <c r="O52" s="515">
        <f>('Pivot Table for Data Exchange'!$C$360)*100</f>
        <v>0.26929982046678635</v>
      </c>
      <c r="P52" s="505">
        <f>('Pivot Table for Data Exchange'!$C$363)*100</f>
        <v>0</v>
      </c>
      <c r="Q52" s="510">
        <f t="shared" si="3"/>
        <v>100</v>
      </c>
      <c r="R52" s="510">
        <f t="shared" si="2"/>
        <v>99.999999999999986</v>
      </c>
      <c r="S52" s="511"/>
      <c r="T52" s="511"/>
      <c r="U52" s="511"/>
      <c r="V52" s="511"/>
      <c r="W52" s="511"/>
      <c r="X52" s="511"/>
      <c r="Y52" s="511"/>
      <c r="Z52" s="511"/>
      <c r="AA52" s="511"/>
      <c r="AB52" s="511"/>
      <c r="AC52" s="511"/>
      <c r="AD52" s="511"/>
      <c r="AE52" s="511"/>
      <c r="AF52" s="511"/>
      <c r="AG52" s="511"/>
      <c r="AH52" s="511"/>
      <c r="AI52" s="511"/>
      <c r="AJ52" s="511"/>
      <c r="AK52" s="511"/>
      <c r="AL52" s="511"/>
      <c r="AM52" s="511"/>
      <c r="AN52" s="511"/>
      <c r="AO52" s="511"/>
    </row>
    <row r="53" spans="1:41" ht="15.75" customHeight="1">
      <c r="A53" s="512" t="s">
        <v>904</v>
      </c>
      <c r="B53" s="505">
        <f>('Pivot Table for Data Exchange'!$C$366)*100</f>
        <v>86.494253114380413</v>
      </c>
      <c r="C53" s="505">
        <f>('Pivot Table for Data Exchange'!$C$369)*100</f>
        <v>0.93785485918768419</v>
      </c>
      <c r="D53" s="506">
        <f t="shared" si="8"/>
        <v>12.485009490846465</v>
      </c>
      <c r="E53" s="505">
        <f>('Pivot Table for Data Exchange'!$C$372)*100</f>
        <v>12.007659720679989</v>
      </c>
      <c r="F53" s="505">
        <f>('Pivot Table for Data Exchange'!$C$375)*100</f>
        <v>0.12922635983088274</v>
      </c>
      <c r="G53" s="515">
        <f>('Pivot Table for Data Exchange'!$C$378)*100</f>
        <v>0.34812341033559463</v>
      </c>
      <c r="H53" s="505">
        <f>('Pivot Table for Data Exchange'!$C$381)*100</f>
        <v>8.2882535585436484E-2</v>
      </c>
      <c r="I53" s="514" t="s">
        <v>904</v>
      </c>
      <c r="J53" s="505">
        <f>('Pivot Table for Data Exchange'!$C$384)*100</f>
        <v>75.287422318292357</v>
      </c>
      <c r="K53" s="505">
        <f>('Pivot Table for Data Exchange'!$C$387)*100</f>
        <v>5.6491488786814381</v>
      </c>
      <c r="L53" s="506">
        <f t="shared" si="9"/>
        <v>18.934747365576872</v>
      </c>
      <c r="M53" s="505">
        <f>('Pivot Table for Data Exchange'!$C$390)*100</f>
        <v>13.028235611996758</v>
      </c>
      <c r="N53" s="505">
        <f>('Pivot Table for Data Exchange'!$C$393)*100</f>
        <v>2.4682518238313969</v>
      </c>
      <c r="O53" s="515">
        <f>('Pivot Table for Data Exchange'!$C$396)*100</f>
        <v>3.4382599297487166</v>
      </c>
      <c r="P53" s="505">
        <f>('Pivot Table for Data Exchange'!$C$399)*100</f>
        <v>0.12868143744933802</v>
      </c>
      <c r="Q53" s="510">
        <f t="shared" si="3"/>
        <v>100</v>
      </c>
      <c r="R53" s="510">
        <f t="shared" si="2"/>
        <v>100.00000000000001</v>
      </c>
      <c r="S53" s="511"/>
      <c r="T53" s="535"/>
      <c r="U53" s="511"/>
      <c r="V53" s="511"/>
      <c r="W53" s="511"/>
      <c r="X53" s="511"/>
      <c r="Y53" s="511"/>
      <c r="Z53" s="511"/>
      <c r="AA53" s="511"/>
      <c r="AB53" s="511"/>
      <c r="AC53" s="511"/>
      <c r="AD53" s="511"/>
      <c r="AE53" s="511"/>
      <c r="AF53" s="511"/>
      <c r="AG53" s="511"/>
      <c r="AH53" s="511"/>
      <c r="AI53" s="511"/>
      <c r="AJ53" s="511"/>
      <c r="AK53" s="511"/>
      <c r="AL53" s="511"/>
      <c r="AM53" s="511"/>
      <c r="AN53" s="511"/>
      <c r="AO53" s="511"/>
    </row>
    <row r="54" spans="1:41" ht="15.75" customHeight="1">
      <c r="A54" s="512" t="s">
        <v>905</v>
      </c>
      <c r="B54" s="505">
        <f>('Pivot Table for Data Exchange'!$C$402)*100</f>
        <v>91.300006780033129</v>
      </c>
      <c r="C54" s="505">
        <f>('Pivot Table for Data Exchange'!$C$405)*100</f>
        <v>2.3576758046446455</v>
      </c>
      <c r="D54" s="506">
        <f>SUM(E54:G54)</f>
        <v>6.3423174153222295</v>
      </c>
      <c r="E54" s="505">
        <f>('Pivot Table for Data Exchange'!$C$408)*100</f>
        <v>6.3423174153222295</v>
      </c>
      <c r="F54" s="505">
        <f>('Pivot Table for Data Exchange'!$C$411)*100</f>
        <v>0</v>
      </c>
      <c r="G54" s="515">
        <f>('Pivot Table for Data Exchange'!$C$414)*100</f>
        <v>0</v>
      </c>
      <c r="H54" s="505">
        <f>('Pivot Table for Data Exchange'!$C$417)*100</f>
        <v>0</v>
      </c>
      <c r="I54" s="514" t="s">
        <v>905</v>
      </c>
      <c r="J54" s="505">
        <f>('Pivot Table for Data Exchange'!$C$420)*100</f>
        <v>70.276253640993431</v>
      </c>
      <c r="K54" s="505">
        <f>('Pivot Table for Data Exchange'!$C$423)*100</f>
        <v>9.8465394397334762</v>
      </c>
      <c r="L54" s="506">
        <f>SUM(M54:O54)</f>
        <v>19.877206919273092</v>
      </c>
      <c r="M54" s="505">
        <f>('Pivot Table for Data Exchange'!$C$426)*100</f>
        <v>15.599155104780554</v>
      </c>
      <c r="N54" s="505">
        <f>('Pivot Table for Data Exchange'!$C$429)*100</f>
        <v>3.8435958543479467</v>
      </c>
      <c r="O54" s="515">
        <f>('Pivot Table for Data Exchange'!$C$432)*100</f>
        <v>0.43445596014459281</v>
      </c>
      <c r="P54" s="505">
        <f>('Pivot Table for Data Exchange'!$C$435)*100</f>
        <v>0</v>
      </c>
      <c r="Q54" s="510">
        <f t="shared" si="3"/>
        <v>100</v>
      </c>
      <c r="R54" s="510">
        <f t="shared" si="2"/>
        <v>100</v>
      </c>
      <c r="S54" s="511"/>
      <c r="T54" s="511"/>
      <c r="U54" s="511"/>
      <c r="V54" s="511"/>
      <c r="W54" s="511"/>
      <c r="X54" s="511"/>
      <c r="Y54" s="511"/>
      <c r="Z54" s="511"/>
      <c r="AA54" s="511"/>
      <c r="AB54" s="511"/>
      <c r="AC54" s="511"/>
      <c r="AD54" s="511"/>
      <c r="AE54" s="511"/>
      <c r="AF54" s="511"/>
      <c r="AG54" s="511"/>
      <c r="AH54" s="511"/>
      <c r="AI54" s="511"/>
      <c r="AJ54" s="511"/>
      <c r="AK54" s="511"/>
      <c r="AL54" s="511"/>
      <c r="AM54" s="511"/>
      <c r="AN54" s="511"/>
      <c r="AO54" s="511"/>
    </row>
    <row r="55" spans="1:41" ht="14.25" customHeight="1">
      <c r="A55" s="512"/>
      <c r="B55" s="505"/>
      <c r="C55" s="505"/>
      <c r="D55" s="506"/>
      <c r="E55" s="505"/>
      <c r="F55" s="505"/>
      <c r="G55" s="515"/>
      <c r="H55" s="505"/>
      <c r="I55" s="514"/>
      <c r="J55" s="505"/>
      <c r="K55" s="505"/>
      <c r="L55" s="506"/>
      <c r="M55" s="505"/>
      <c r="N55" s="505"/>
      <c r="O55" s="515"/>
      <c r="P55" s="505"/>
      <c r="Q55" s="510">
        <f t="shared" si="3"/>
        <v>0</v>
      </c>
      <c r="R55" s="510">
        <f t="shared" si="2"/>
        <v>0</v>
      </c>
      <c r="S55" s="511"/>
      <c r="T55" s="511"/>
      <c r="U55" s="511"/>
      <c r="V55" s="511"/>
      <c r="W55" s="511"/>
      <c r="X55" s="511"/>
      <c r="Y55" s="511"/>
      <c r="Z55" s="511"/>
      <c r="AA55" s="511"/>
      <c r="AB55" s="511"/>
      <c r="AC55" s="511"/>
      <c r="AD55" s="511"/>
      <c r="AE55" s="511"/>
      <c r="AF55" s="511"/>
      <c r="AG55" s="511"/>
      <c r="AH55" s="511"/>
      <c r="AI55" s="511"/>
      <c r="AJ55" s="511"/>
      <c r="AK55" s="511"/>
      <c r="AL55" s="511"/>
      <c r="AM55" s="511"/>
      <c r="AN55" s="511"/>
      <c r="AO55" s="511"/>
    </row>
    <row r="56" spans="1:41" ht="15.75" customHeight="1">
      <c r="A56" s="512" t="s">
        <v>906</v>
      </c>
      <c r="B56" s="505">
        <f>('Pivot Table for Data Exchange'!$C$438)*100</f>
        <v>86.595366976302714</v>
      </c>
      <c r="C56" s="505">
        <f>('Pivot Table for Data Exchange'!$C$441)*100</f>
        <v>1.8759854011699713</v>
      </c>
      <c r="D56" s="506">
        <f>SUM(E56:G56)</f>
        <v>10.952994626709188</v>
      </c>
      <c r="E56" s="505">
        <f>('Pivot Table for Data Exchange'!$C$444)*100</f>
        <v>8.2402373302727145</v>
      </c>
      <c r="F56" s="536">
        <f>('Pivot Table for Data Exchange'!$C$447)*100</f>
        <v>3.3856100650910839E-2</v>
      </c>
      <c r="G56" s="515">
        <f>('Pivot Table for Data Exchange'!$C$450)*100</f>
        <v>2.6789011957855609</v>
      </c>
      <c r="H56" s="505">
        <f>('Pivot Table for Data Exchange'!$C$453)*100</f>
        <v>0.57565299581812623</v>
      </c>
      <c r="I56" s="514" t="s">
        <v>906</v>
      </c>
      <c r="J56" s="505">
        <f>('Pivot Table for Data Exchange'!$C$456)*100</f>
        <v>71.382149551691185</v>
      </c>
      <c r="K56" s="505">
        <f>('Pivot Table for Data Exchange'!$C$459)*100</f>
        <v>2.1008753092215442</v>
      </c>
      <c r="L56" s="506">
        <f>SUM(M56:O56)</f>
        <v>22.235983898838359</v>
      </c>
      <c r="M56" s="505">
        <f>('Pivot Table for Data Exchange'!$C$462)*100</f>
        <v>19.657667196047292</v>
      </c>
      <c r="N56" s="505">
        <f>('Pivot Table for Data Exchange'!$C$465)*100</f>
        <v>0.10987145040302845</v>
      </c>
      <c r="O56" s="515">
        <f>('Pivot Table for Data Exchange'!$C$468)*100</f>
        <v>2.4684452523880394</v>
      </c>
      <c r="P56" s="505">
        <f>('Pivot Table for Data Exchange'!$C$471)*100</f>
        <v>4.280991240248909</v>
      </c>
      <c r="Q56" s="510">
        <f t="shared" si="3"/>
        <v>100</v>
      </c>
      <c r="R56" s="510">
        <f t="shared" si="2"/>
        <v>100</v>
      </c>
      <c r="S56" s="511"/>
      <c r="T56" s="511"/>
      <c r="U56" s="511"/>
      <c r="V56" s="511"/>
      <c r="W56" s="511"/>
      <c r="X56" s="511"/>
      <c r="Y56" s="511"/>
      <c r="Z56" s="511"/>
      <c r="AA56" s="511"/>
      <c r="AB56" s="511"/>
      <c r="AC56" s="511"/>
      <c r="AD56" s="511"/>
      <c r="AE56" s="511"/>
      <c r="AF56" s="511"/>
      <c r="AG56" s="511"/>
      <c r="AH56" s="511"/>
      <c r="AI56" s="511"/>
      <c r="AJ56" s="511"/>
      <c r="AK56" s="511"/>
      <c r="AL56" s="511"/>
      <c r="AM56" s="511"/>
      <c r="AN56" s="511"/>
      <c r="AO56" s="511"/>
    </row>
    <row r="57" spans="1:41" ht="15.75" customHeight="1">
      <c r="A57" s="512" t="s">
        <v>907</v>
      </c>
      <c r="B57" s="505">
        <f>('Pivot Table for Data Exchange'!$C$474)*100</f>
        <v>86.579962348325452</v>
      </c>
      <c r="C57" s="505">
        <f>('Pivot Table for Data Exchange'!$C$477)*100</f>
        <v>0.6533198335732705</v>
      </c>
      <c r="D57" s="506">
        <f>SUM(E57:G57)</f>
        <v>12.766717818101279</v>
      </c>
      <c r="E57" s="505">
        <f>('Pivot Table for Data Exchange'!$C$480)*100</f>
        <v>12.236430368132128</v>
      </c>
      <c r="F57" s="505">
        <f>('Pivot Table for Data Exchange'!$C$483)*100</f>
        <v>0.30091281580737533</v>
      </c>
      <c r="G57" s="515">
        <f>('Pivot Table for Data Exchange'!$C$486)*100</f>
        <v>0.22937463416177564</v>
      </c>
      <c r="H57" s="505">
        <f>('Pivot Table for Data Exchange'!$C$489)*100</f>
        <v>0</v>
      </c>
      <c r="I57" s="514" t="s">
        <v>907</v>
      </c>
      <c r="J57" s="505">
        <f>('Pivot Table for Data Exchange'!$C$492)*100</f>
        <v>83.092362552959642</v>
      </c>
      <c r="K57" s="505">
        <f>('Pivot Table for Data Exchange'!$C$495)*100</f>
        <v>2.0274457097280387</v>
      </c>
      <c r="L57" s="506">
        <f>SUM(M57:O57)</f>
        <v>14.880191737312323</v>
      </c>
      <c r="M57" s="505">
        <f>('Pivot Table for Data Exchange'!$C$498)*100</f>
        <v>14.264714334867893</v>
      </c>
      <c r="N57" s="505">
        <f>('Pivot Table for Data Exchange'!$C$501)*100</f>
        <v>0.20219342068278073</v>
      </c>
      <c r="O57" s="515">
        <f>('Pivot Table for Data Exchange'!$C$504)*100</f>
        <v>0.41328398176164954</v>
      </c>
      <c r="P57" s="505">
        <f>('Pivot Table for Data Exchange'!$C$507)*100</f>
        <v>0</v>
      </c>
      <c r="Q57" s="510">
        <f t="shared" si="3"/>
        <v>100</v>
      </c>
      <c r="R57" s="510">
        <f t="shared" si="2"/>
        <v>100</v>
      </c>
      <c r="S57" s="511"/>
      <c r="T57" s="511"/>
      <c r="U57" s="511"/>
      <c r="V57" s="511"/>
      <c r="W57" s="511"/>
      <c r="X57" s="511"/>
      <c r="Y57" s="511"/>
      <c r="Z57" s="511"/>
      <c r="AA57" s="511"/>
      <c r="AB57" s="511"/>
      <c r="AC57" s="511"/>
      <c r="AD57" s="511"/>
      <c r="AE57" s="511"/>
      <c r="AF57" s="511"/>
      <c r="AG57" s="511"/>
      <c r="AH57" s="511"/>
      <c r="AI57" s="511"/>
      <c r="AJ57" s="511"/>
      <c r="AK57" s="511"/>
      <c r="AL57" s="511"/>
      <c r="AM57" s="511"/>
      <c r="AN57" s="511"/>
      <c r="AO57" s="511"/>
    </row>
    <row r="58" spans="1:41" ht="15.75" customHeight="1">
      <c r="A58" s="512" t="s">
        <v>908</v>
      </c>
      <c r="B58" s="505">
        <f>('Pivot Table for Data Exchange'!$C$510)*100</f>
        <v>90.648323002692592</v>
      </c>
      <c r="C58" s="505">
        <f>('Pivot Table for Data Exchange'!$C$513)*100</f>
        <v>1.7734033545109318</v>
      </c>
      <c r="D58" s="506">
        <f t="shared" ref="D58" si="10">SUM(E58:G58)</f>
        <v>7.5782736427964759</v>
      </c>
      <c r="E58" s="505">
        <f>('Pivot Table for Data Exchange'!$C$516)*100</f>
        <v>6.6407066829478598</v>
      </c>
      <c r="F58" s="505">
        <f>('Pivot Table for Data Exchange'!$C$519)*100</f>
        <v>0.92327143554170688</v>
      </c>
      <c r="G58" s="515">
        <f>('Pivot Table for Data Exchange'!$C$522)*100</f>
        <v>1.4295524306909096E-2</v>
      </c>
      <c r="H58" s="505">
        <f>('Pivot Table for Data Exchange'!$C$525)*100</f>
        <v>0</v>
      </c>
      <c r="I58" s="514" t="s">
        <v>908</v>
      </c>
      <c r="J58" s="505">
        <f>('Pivot Table for Data Exchange'!$C$528)*100</f>
        <v>80.618043196147212</v>
      </c>
      <c r="K58" s="505">
        <f>('Pivot Table for Data Exchange'!$C$531)*100</f>
        <v>7.6297849456917852</v>
      </c>
      <c r="L58" s="506">
        <f t="shared" ref="L58" si="11">SUM(M58:O58)</f>
        <v>11.752171858160999</v>
      </c>
      <c r="M58" s="505">
        <f>('Pivot Table for Data Exchange'!$C$534)*100</f>
        <v>8.2560646646656792</v>
      </c>
      <c r="N58" s="505">
        <f>('Pivot Table for Data Exchange'!$C$537)*100</f>
        <v>3.1067179772605384</v>
      </c>
      <c r="O58" s="515">
        <f>('Pivot Table for Data Exchange'!$C$540)*100</f>
        <v>0.38938921623477996</v>
      </c>
      <c r="P58" s="505">
        <f>('Pivot Table for Data Exchange'!$C$543)*100</f>
        <v>0</v>
      </c>
      <c r="Q58" s="510">
        <f t="shared" si="3"/>
        <v>100</v>
      </c>
      <c r="R58" s="510">
        <f t="shared" si="2"/>
        <v>100</v>
      </c>
      <c r="S58" s="511"/>
      <c r="T58" s="511"/>
      <c r="U58" s="511"/>
      <c r="V58" s="511"/>
      <c r="W58" s="511"/>
      <c r="X58" s="511"/>
      <c r="Y58" s="511"/>
      <c r="Z58" s="511"/>
      <c r="AA58" s="511"/>
      <c r="AB58" s="511"/>
      <c r="AC58" s="511"/>
      <c r="AD58" s="511"/>
      <c r="AE58" s="511"/>
      <c r="AF58" s="511"/>
      <c r="AG58" s="511"/>
      <c r="AH58" s="511"/>
      <c r="AI58" s="511"/>
      <c r="AJ58" s="511"/>
      <c r="AK58" s="511"/>
      <c r="AL58" s="511"/>
      <c r="AM58" s="511"/>
      <c r="AN58" s="511"/>
      <c r="AO58" s="511"/>
    </row>
    <row r="59" spans="1:41" ht="15.75" customHeight="1">
      <c r="A59" s="484" t="s">
        <v>909</v>
      </c>
      <c r="B59" s="520">
        <f>('Pivot Table for Data Exchange'!$C$546)*100</f>
        <v>89.988638316706542</v>
      </c>
      <c r="C59" s="520">
        <f>('Pivot Table for Data Exchange'!$C$549)*100</f>
        <v>0.15483525559224484</v>
      </c>
      <c r="D59" s="521">
        <f>SUM(E59:G59)</f>
        <v>9.8565264277012137</v>
      </c>
      <c r="E59" s="520">
        <f>('Pivot Table for Data Exchange'!$C$552)*100</f>
        <v>9.441300251112974</v>
      </c>
      <c r="F59" s="537">
        <f>('Pivot Table for Data Exchange'!$C$555)*100</f>
        <v>6.0839000232709175E-4</v>
      </c>
      <c r="G59" s="522">
        <f>('Pivot Table for Data Exchange'!$C$558)*100</f>
        <v>0.41461778658591303</v>
      </c>
      <c r="H59" s="520">
        <f>('Pivot Table for Data Exchange'!$C$561)*100</f>
        <v>0</v>
      </c>
      <c r="I59" s="523" t="s">
        <v>909</v>
      </c>
      <c r="J59" s="520">
        <f>('Pivot Table for Data Exchange'!$C$564)*100</f>
        <v>67.051167693804743</v>
      </c>
      <c r="K59" s="520">
        <f>('Pivot Table for Data Exchange'!$C$567)*100</f>
        <v>3.7372283490107039</v>
      </c>
      <c r="L59" s="521">
        <f>SUM(M59:O59)</f>
        <v>29.211603957184558</v>
      </c>
      <c r="M59" s="520">
        <f>('Pivot Table for Data Exchange'!$C$570)*100</f>
        <v>28.572007784625363</v>
      </c>
      <c r="N59" s="520">
        <f>('Pivot Table for Data Exchange'!$C$573)*100</f>
        <v>0.22096983457671099</v>
      </c>
      <c r="O59" s="522">
        <f>('Pivot Table for Data Exchange'!$C$576)*100</f>
        <v>0.41862633798248461</v>
      </c>
      <c r="P59" s="520">
        <f>('Pivot Table for Data Exchange'!$C$579)*100</f>
        <v>0</v>
      </c>
      <c r="Q59" s="510">
        <f t="shared" si="3"/>
        <v>100</v>
      </c>
      <c r="R59" s="510">
        <f t="shared" si="2"/>
        <v>100</v>
      </c>
      <c r="S59" s="511"/>
      <c r="T59" s="511"/>
      <c r="U59" s="511"/>
      <c r="V59" s="511"/>
      <c r="W59" s="511"/>
      <c r="X59" s="511"/>
      <c r="Y59" s="511"/>
      <c r="Z59" s="511"/>
      <c r="AA59" s="511"/>
      <c r="AB59" s="511"/>
      <c r="AC59" s="511"/>
      <c r="AD59" s="511"/>
      <c r="AE59" s="511"/>
      <c r="AF59" s="511"/>
      <c r="AG59" s="511"/>
      <c r="AH59" s="511"/>
      <c r="AI59" s="511"/>
      <c r="AJ59" s="511"/>
      <c r="AK59" s="511"/>
      <c r="AL59" s="511"/>
      <c r="AM59" s="511"/>
      <c r="AN59" s="511"/>
      <c r="AO59" s="511"/>
    </row>
    <row r="60" spans="1:41" s="524" customFormat="1" ht="13.5" customHeight="1">
      <c r="A60" s="525" t="s">
        <v>937</v>
      </c>
      <c r="B60" s="526"/>
      <c r="C60" s="526"/>
      <c r="D60" s="527"/>
      <c r="E60" s="526"/>
      <c r="F60" s="527"/>
      <c r="G60" s="527"/>
      <c r="H60" s="526"/>
      <c r="I60" s="525" t="s">
        <v>937</v>
      </c>
      <c r="J60" s="526"/>
      <c r="K60" s="526"/>
      <c r="L60" s="527"/>
      <c r="M60" s="526"/>
      <c r="N60" s="527"/>
      <c r="O60" s="527"/>
      <c r="P60" s="526"/>
      <c r="Q60" s="510"/>
      <c r="R60" s="510"/>
      <c r="S60" s="528"/>
      <c r="T60" s="528"/>
      <c r="U60" s="528"/>
      <c r="V60" s="528"/>
      <c r="W60" s="528"/>
      <c r="X60" s="528"/>
      <c r="Y60" s="528"/>
      <c r="Z60" s="528"/>
      <c r="AA60" s="528"/>
      <c r="AB60" s="528"/>
      <c r="AC60" s="528"/>
      <c r="AD60" s="528"/>
      <c r="AE60" s="528"/>
      <c r="AF60" s="528"/>
      <c r="AG60" s="528"/>
      <c r="AH60" s="528"/>
      <c r="AI60" s="528"/>
      <c r="AJ60" s="528"/>
      <c r="AK60" s="528"/>
      <c r="AL60" s="528"/>
      <c r="AM60" s="528"/>
      <c r="AN60" s="528"/>
      <c r="AO60" s="528"/>
    </row>
    <row r="61" spans="1:41" s="524" customFormat="1" ht="24" customHeight="1">
      <c r="A61" s="655" t="s">
        <v>938</v>
      </c>
      <c r="B61" s="674"/>
      <c r="C61" s="674"/>
      <c r="D61" s="674"/>
      <c r="E61" s="674"/>
      <c r="F61" s="674"/>
      <c r="G61" s="674"/>
      <c r="H61" s="674"/>
      <c r="I61" s="655" t="s">
        <v>938</v>
      </c>
      <c r="J61" s="674"/>
      <c r="K61" s="674"/>
      <c r="L61" s="674"/>
      <c r="M61" s="674"/>
      <c r="N61" s="674"/>
      <c r="O61" s="674"/>
      <c r="P61" s="674"/>
      <c r="Q61" s="510"/>
      <c r="R61" s="510"/>
    </row>
    <row r="62" spans="1:41" s="524" customFormat="1" ht="13.5" customHeight="1">
      <c r="A62" s="538"/>
      <c r="B62" s="539"/>
      <c r="H62" s="540"/>
      <c r="I62" s="538"/>
      <c r="P62" s="541"/>
      <c r="Q62" s="510"/>
      <c r="R62" s="510"/>
    </row>
    <row r="63" spans="1:41" s="524" customFormat="1" ht="13.5" customHeight="1">
      <c r="H63" s="532" t="s">
        <v>1015</v>
      </c>
      <c r="P63" s="532" t="s">
        <v>1015</v>
      </c>
      <c r="Q63" s="510"/>
      <c r="R63" s="510"/>
    </row>
    <row r="64" spans="1:41" ht="18">
      <c r="A64" s="472" t="s">
        <v>939</v>
      </c>
      <c r="B64" s="473"/>
      <c r="C64" s="473"/>
      <c r="D64" s="473"/>
      <c r="E64" s="473"/>
      <c r="F64" s="473"/>
      <c r="G64" s="473"/>
      <c r="H64" s="474"/>
      <c r="I64" s="472" t="s">
        <v>940</v>
      </c>
      <c r="J64" s="475"/>
      <c r="K64" s="475"/>
      <c r="L64" s="473"/>
      <c r="M64" s="475"/>
      <c r="N64" s="475"/>
      <c r="O64" s="475"/>
      <c r="P64" s="475"/>
      <c r="Q64" s="510"/>
      <c r="R64" s="510"/>
    </row>
    <row r="65" spans="1:41">
      <c r="A65" s="479"/>
      <c r="B65" s="475"/>
      <c r="C65" s="475"/>
      <c r="D65" s="475"/>
      <c r="E65" s="475"/>
      <c r="F65" s="475"/>
      <c r="G65" s="475"/>
      <c r="H65" s="480"/>
      <c r="I65" s="479"/>
      <c r="J65" s="475"/>
      <c r="K65" s="475"/>
      <c r="L65" s="475"/>
      <c r="M65" s="475"/>
      <c r="N65" s="475"/>
      <c r="O65" s="475"/>
      <c r="P65" s="475"/>
      <c r="Q65" s="510"/>
      <c r="R65" s="510"/>
    </row>
    <row r="66" spans="1:41" ht="15.75">
      <c r="A66" s="481" t="s">
        <v>917</v>
      </c>
      <c r="B66" s="475"/>
      <c r="C66" s="475"/>
      <c r="D66" s="475"/>
      <c r="E66" s="475"/>
      <c r="F66" s="475"/>
      <c r="G66" s="475"/>
      <c r="H66" s="480"/>
      <c r="I66" s="481" t="s">
        <v>918</v>
      </c>
      <c r="J66" s="475"/>
      <c r="K66" s="475"/>
      <c r="L66" s="475"/>
      <c r="M66" s="475"/>
      <c r="N66" s="475"/>
      <c r="O66" s="475"/>
      <c r="P66" s="475"/>
      <c r="Q66" s="510"/>
      <c r="R66" s="510"/>
    </row>
    <row r="67" spans="1:41" ht="15.75">
      <c r="A67" s="481" t="s">
        <v>964</v>
      </c>
      <c r="B67" s="475"/>
      <c r="C67" s="475"/>
      <c r="D67" s="475"/>
      <c r="E67" s="475"/>
      <c r="F67" s="475"/>
      <c r="G67" s="475"/>
      <c r="H67" s="480"/>
      <c r="I67" s="481" t="s">
        <v>964</v>
      </c>
      <c r="J67" s="475"/>
      <c r="K67" s="475"/>
      <c r="L67" s="475"/>
      <c r="M67" s="475"/>
      <c r="N67" s="475"/>
      <c r="O67" s="475"/>
      <c r="P67" s="475"/>
      <c r="Q67" s="510"/>
      <c r="R67" s="510"/>
    </row>
    <row r="68" spans="1:41">
      <c r="A68" s="484"/>
      <c r="B68" s="485"/>
      <c r="C68" s="485"/>
      <c r="D68" s="485"/>
      <c r="E68" s="485"/>
      <c r="F68" s="485"/>
      <c r="G68" s="485"/>
      <c r="H68" s="485"/>
      <c r="I68" s="486"/>
      <c r="L68" s="487"/>
      <c r="P68" s="484"/>
      <c r="Q68" s="510"/>
      <c r="R68" s="510"/>
    </row>
    <row r="69" spans="1:41" s="494" customFormat="1">
      <c r="A69" s="489"/>
      <c r="B69" s="490" t="s">
        <v>919</v>
      </c>
      <c r="C69" s="490"/>
      <c r="D69" s="490"/>
      <c r="E69" s="490"/>
      <c r="F69" s="490"/>
      <c r="G69" s="490"/>
      <c r="H69" s="491"/>
      <c r="I69" s="489"/>
      <c r="J69" s="490" t="s">
        <v>919</v>
      </c>
      <c r="K69" s="490"/>
      <c r="L69" s="490"/>
      <c r="M69" s="490"/>
      <c r="N69" s="490"/>
      <c r="O69" s="490"/>
      <c r="P69" s="491"/>
      <c r="Q69" s="510"/>
      <c r="R69" s="510"/>
    </row>
    <row r="70" spans="1:41" s="494" customFormat="1">
      <c r="A70" s="489"/>
      <c r="B70" s="490" t="s">
        <v>920</v>
      </c>
      <c r="C70" s="490"/>
      <c r="D70" s="659" t="s">
        <v>921</v>
      </c>
      <c r="E70" s="657"/>
      <c r="F70" s="657"/>
      <c r="G70" s="657"/>
      <c r="H70" s="495" t="s">
        <v>320</v>
      </c>
      <c r="I70" s="489"/>
      <c r="J70" s="490" t="s">
        <v>920</v>
      </c>
      <c r="K70" s="490"/>
      <c r="L70" s="659" t="s">
        <v>921</v>
      </c>
      <c r="M70" s="657"/>
      <c r="N70" s="657"/>
      <c r="O70" s="657"/>
      <c r="P70" s="495" t="s">
        <v>320</v>
      </c>
      <c r="Q70" s="510"/>
      <c r="R70" s="510"/>
    </row>
    <row r="71" spans="1:41" s="494" customFormat="1" ht="40.5" customHeight="1">
      <c r="A71" s="489"/>
      <c r="B71" s="496" t="s">
        <v>922</v>
      </c>
      <c r="C71" s="497" t="s">
        <v>923</v>
      </c>
      <c r="D71" s="498" t="s">
        <v>924</v>
      </c>
      <c r="E71" s="499" t="s">
        <v>10</v>
      </c>
      <c r="F71" s="496" t="s">
        <v>925</v>
      </c>
      <c r="G71" s="500" t="s">
        <v>935</v>
      </c>
      <c r="H71" s="501" t="s">
        <v>927</v>
      </c>
      <c r="I71" s="489"/>
      <c r="J71" s="496" t="s">
        <v>922</v>
      </c>
      <c r="K71" s="497" t="s">
        <v>923</v>
      </c>
      <c r="L71" s="498" t="s">
        <v>924</v>
      </c>
      <c r="M71" s="499" t="s">
        <v>10</v>
      </c>
      <c r="N71" s="496" t="s">
        <v>925</v>
      </c>
      <c r="O71" s="500" t="s">
        <v>935</v>
      </c>
      <c r="P71" s="501" t="s">
        <v>927</v>
      </c>
      <c r="Q71" s="510"/>
      <c r="R71" s="510"/>
      <c r="T71" s="533"/>
    </row>
    <row r="72" spans="1:41" ht="15.75" customHeight="1">
      <c r="A72" s="534" t="s">
        <v>894</v>
      </c>
      <c r="B72" s="505">
        <f>('Pivot Table for Data Exchange'!$D$6)*100</f>
        <v>84.665446117803342</v>
      </c>
      <c r="C72" s="519">
        <f>('Pivot Table for Data Exchange'!$D$9)*100</f>
        <v>3.8606751865293609E-2</v>
      </c>
      <c r="D72" s="506">
        <f>SUM(E72:G72)</f>
        <v>15.295947130331358</v>
      </c>
      <c r="E72" s="505">
        <f>('Pivot Table for Data Exchange'!$D$12)*100</f>
        <v>15.278681999062407</v>
      </c>
      <c r="F72" s="505">
        <f>('Pivot Table for Data Exchange'!$D$15)*100</f>
        <v>1.726513126895118E-2</v>
      </c>
      <c r="G72" s="509">
        <f>('Pivot Table for Data Exchange'!$D$18)*100</f>
        <v>0</v>
      </c>
      <c r="H72" s="505">
        <f>('Pivot Table for Data Exchange'!$D$21)*100</f>
        <v>0</v>
      </c>
      <c r="I72" s="508" t="s">
        <v>894</v>
      </c>
      <c r="J72" s="505">
        <f>('Pivot Table for Data Exchange'!$D$24)*100</f>
        <v>71.690947225213989</v>
      </c>
      <c r="K72" s="505">
        <f>('Pivot Table for Data Exchange'!$D$27)*100</f>
        <v>0.33019670086729774</v>
      </c>
      <c r="L72" s="506">
        <f>SUM(M72:O72)</f>
        <v>27.978856073918713</v>
      </c>
      <c r="M72" s="505">
        <f>('Pivot Table for Data Exchange'!$D$30)*100</f>
        <v>27.796043308202485</v>
      </c>
      <c r="N72" s="505">
        <f>('Pivot Table for Data Exchange'!$D$33)*100</f>
        <v>0.18281276571622923</v>
      </c>
      <c r="O72" s="509">
        <f>('Pivot Table for Data Exchange'!$D$36)*100</f>
        <v>0</v>
      </c>
      <c r="P72" s="505">
        <f>('Pivot Table for Data Exchange'!$D$39)*100</f>
        <v>0</v>
      </c>
      <c r="Q72" s="510">
        <f t="shared" si="3"/>
        <v>99.999999999999986</v>
      </c>
      <c r="R72" s="510">
        <f t="shared" si="2"/>
        <v>100</v>
      </c>
      <c r="S72" s="511"/>
      <c r="T72" s="511"/>
      <c r="U72" s="511"/>
      <c r="V72" s="511"/>
      <c r="W72" s="511"/>
      <c r="X72" s="511"/>
      <c r="Y72" s="511"/>
      <c r="Z72" s="511"/>
      <c r="AA72" s="511"/>
      <c r="AB72" s="511"/>
      <c r="AC72" s="511"/>
      <c r="AD72" s="511"/>
      <c r="AE72" s="511"/>
      <c r="AF72" s="511"/>
      <c r="AG72" s="511"/>
      <c r="AH72" s="511"/>
      <c r="AI72" s="511"/>
      <c r="AJ72" s="511"/>
      <c r="AK72" s="511"/>
      <c r="AL72" s="511"/>
      <c r="AM72" s="511"/>
      <c r="AN72" s="511"/>
      <c r="AO72" s="511"/>
    </row>
    <row r="73" spans="1:41" ht="15.75" customHeight="1">
      <c r="A73" s="512" t="s">
        <v>895</v>
      </c>
      <c r="B73" s="505">
        <f>('Pivot Table for Data Exchange'!$D$42)*100</f>
        <v>59.573227502280567</v>
      </c>
      <c r="C73" s="505">
        <f>('Pivot Table for Data Exchange'!$D$45)*100</f>
        <v>9.3550450001410663</v>
      </c>
      <c r="D73" s="506">
        <f t="shared" ref="D73:D75" si="12">SUM(E73:G73)</f>
        <v>31.071727497578362</v>
      </c>
      <c r="E73" s="505">
        <f>('Pivot Table for Data Exchange'!$D$48)*100</f>
        <v>31.071727497578362</v>
      </c>
      <c r="F73" s="505">
        <f>('Pivot Table for Data Exchange'!$D$51)*100</f>
        <v>0</v>
      </c>
      <c r="G73" s="515">
        <f>('Pivot Table for Data Exchange'!$D$54)*100</f>
        <v>0</v>
      </c>
      <c r="H73" s="505">
        <f>('Pivot Table for Data Exchange'!$D$57)*100</f>
        <v>0</v>
      </c>
      <c r="I73" s="514" t="s">
        <v>895</v>
      </c>
      <c r="J73" s="505">
        <f>('Pivot Table for Data Exchange'!$D$60)*100</f>
        <v>48.29821717990275</v>
      </c>
      <c r="K73" s="505">
        <f>('Pivot Table for Data Exchange'!$D$63)*100</f>
        <v>26.543181291965734</v>
      </c>
      <c r="L73" s="506">
        <f t="shared" ref="L73:L75" si="13">SUM(M73:O73)</f>
        <v>25.158601528131513</v>
      </c>
      <c r="M73" s="505">
        <f>('Pivot Table for Data Exchange'!$D$66)*100</f>
        <v>25.158601528131513</v>
      </c>
      <c r="N73" s="505">
        <f>('Pivot Table for Data Exchange'!$D$69)*100</f>
        <v>0</v>
      </c>
      <c r="O73" s="515">
        <f>('Pivot Table for Data Exchange'!$D$72)*100</f>
        <v>0</v>
      </c>
      <c r="P73" s="505">
        <f>('Pivot Table for Data Exchange'!$D$75)*100</f>
        <v>0</v>
      </c>
      <c r="Q73" s="510">
        <f t="shared" si="3"/>
        <v>100</v>
      </c>
      <c r="R73" s="510">
        <f t="shared" si="2"/>
        <v>100</v>
      </c>
      <c r="S73" s="511"/>
      <c r="T73" s="511"/>
      <c r="U73" s="511"/>
      <c r="V73" s="511"/>
      <c r="W73" s="511"/>
      <c r="X73" s="511"/>
      <c r="Y73" s="511"/>
      <c r="Z73" s="511"/>
      <c r="AA73" s="511"/>
      <c r="AB73" s="511"/>
      <c r="AC73" s="511"/>
      <c r="AD73" s="511"/>
      <c r="AE73" s="511"/>
      <c r="AF73" s="511"/>
      <c r="AG73" s="511"/>
      <c r="AH73" s="511"/>
      <c r="AI73" s="511"/>
      <c r="AJ73" s="511"/>
      <c r="AK73" s="511"/>
      <c r="AL73" s="511"/>
      <c r="AM73" s="511"/>
      <c r="AN73" s="511"/>
      <c r="AO73" s="511"/>
    </row>
    <row r="74" spans="1:41" ht="15.75" customHeight="1">
      <c r="A74" s="512" t="s">
        <v>896</v>
      </c>
      <c r="B74" s="505">
        <f>('Pivot Table for Data Exchange'!$D$78)*100</f>
        <v>0</v>
      </c>
      <c r="C74" s="505">
        <f>('Pivot Table for Data Exchange'!$D$81)*100</f>
        <v>0</v>
      </c>
      <c r="D74" s="506">
        <f t="shared" si="12"/>
        <v>0</v>
      </c>
      <c r="E74" s="505">
        <f>('Pivot Table for Data Exchange'!$D$84)*100</f>
        <v>0</v>
      </c>
      <c r="F74" s="505">
        <f>('Pivot Table for Data Exchange'!$D$87)*100</f>
        <v>0</v>
      </c>
      <c r="G74" s="515">
        <f>('Pivot Table for Data Exchange'!$D$90)*100</f>
        <v>0</v>
      </c>
      <c r="H74" s="505">
        <f>('Pivot Table for Data Exchange'!$D$93)*100</f>
        <v>0</v>
      </c>
      <c r="I74" s="514" t="s">
        <v>896</v>
      </c>
      <c r="J74" s="505">
        <f>('Pivot Table for Data Exchange'!$D$96)*100</f>
        <v>0</v>
      </c>
      <c r="K74" s="505">
        <f>('Pivot Table for Data Exchange'!$D$99)*100</f>
        <v>0</v>
      </c>
      <c r="L74" s="506">
        <f t="shared" si="13"/>
        <v>0</v>
      </c>
      <c r="M74" s="505">
        <f>('Pivot Table for Data Exchange'!$D$102)*100</f>
        <v>0</v>
      </c>
      <c r="N74" s="505">
        <f>('Pivot Table for Data Exchange'!$D$105)*100</f>
        <v>0</v>
      </c>
      <c r="O74" s="515">
        <f>('Pivot Table for Data Exchange'!$D$108)*100</f>
        <v>0</v>
      </c>
      <c r="P74" s="505">
        <f>('Pivot Table for Data Exchange'!$D$111)*100</f>
        <v>0</v>
      </c>
      <c r="Q74" s="510">
        <f t="shared" si="3"/>
        <v>0</v>
      </c>
      <c r="R74" s="510">
        <f t="shared" si="2"/>
        <v>0</v>
      </c>
      <c r="S74" s="511"/>
      <c r="T74" s="535"/>
      <c r="U74" s="511"/>
      <c r="V74" s="511"/>
      <c r="W74" s="511"/>
      <c r="X74" s="511"/>
      <c r="Y74" s="511"/>
      <c r="Z74" s="511"/>
      <c r="AA74" s="511"/>
      <c r="AB74" s="511"/>
      <c r="AC74" s="511"/>
      <c r="AD74" s="511"/>
      <c r="AE74" s="511"/>
      <c r="AF74" s="511"/>
      <c r="AG74" s="511"/>
      <c r="AH74" s="511"/>
      <c r="AI74" s="511"/>
      <c r="AJ74" s="511"/>
      <c r="AK74" s="511"/>
      <c r="AL74" s="511"/>
      <c r="AM74" s="511"/>
      <c r="AN74" s="511"/>
      <c r="AO74" s="511"/>
    </row>
    <row r="75" spans="1:41" ht="15.75" customHeight="1">
      <c r="A75" s="512" t="s">
        <v>897</v>
      </c>
      <c r="B75" s="505">
        <f>('Pivot Table for Data Exchange'!$D$114)*100</f>
        <v>0</v>
      </c>
      <c r="C75" s="505">
        <f>('Pivot Table for Data Exchange'!$D$117)*100</f>
        <v>0</v>
      </c>
      <c r="D75" s="506">
        <f t="shared" si="12"/>
        <v>0</v>
      </c>
      <c r="E75" s="505">
        <f>('Pivot Table for Data Exchange'!$D$120)*100</f>
        <v>0</v>
      </c>
      <c r="F75" s="505">
        <f>('Pivot Table for Data Exchange'!$D$123)*100</f>
        <v>0</v>
      </c>
      <c r="G75" s="515">
        <f>('Pivot Table for Data Exchange'!$D$126)*100</f>
        <v>0</v>
      </c>
      <c r="H75" s="505">
        <f>('Pivot Table for Data Exchange'!$D$129)*100</f>
        <v>0</v>
      </c>
      <c r="I75" s="514" t="s">
        <v>897</v>
      </c>
      <c r="J75" s="505">
        <f>('Pivot Table for Data Exchange'!$D$132)*100</f>
        <v>0</v>
      </c>
      <c r="K75" s="505">
        <f>('Pivot Table for Data Exchange'!$D$135)*100</f>
        <v>0</v>
      </c>
      <c r="L75" s="506">
        <f t="shared" si="13"/>
        <v>0</v>
      </c>
      <c r="M75" s="505">
        <f>('Pivot Table for Data Exchange'!$D$138)*100</f>
        <v>0</v>
      </c>
      <c r="N75" s="505">
        <f>('Pivot Table for Data Exchange'!$D$141)*100</f>
        <v>0</v>
      </c>
      <c r="O75" s="515">
        <f>('Pivot Table for Data Exchange'!$D$144)*100</f>
        <v>0</v>
      </c>
      <c r="P75" s="505">
        <f>('Pivot Table for Data Exchange'!$D$147)*100</f>
        <v>0</v>
      </c>
      <c r="Q75" s="510">
        <f t="shared" ref="Q75:Q138" si="14">SUM(B75,C75,D75,H75)</f>
        <v>0</v>
      </c>
      <c r="R75" s="510">
        <f t="shared" ref="R75:R138" si="15">SUM(J75,K75,L75,P75)</f>
        <v>0</v>
      </c>
      <c r="S75" s="511"/>
      <c r="U75" s="511"/>
      <c r="V75" s="511"/>
      <c r="W75" s="511"/>
      <c r="X75" s="511"/>
      <c r="Y75" s="511"/>
      <c r="Z75" s="511"/>
      <c r="AA75" s="511"/>
      <c r="AB75" s="511"/>
      <c r="AC75" s="511"/>
      <c r="AD75" s="511"/>
      <c r="AE75" s="511"/>
      <c r="AF75" s="511"/>
      <c r="AG75" s="511"/>
      <c r="AH75" s="511"/>
      <c r="AI75" s="511"/>
      <c r="AJ75" s="511"/>
      <c r="AK75" s="511"/>
      <c r="AL75" s="511"/>
      <c r="AM75" s="511"/>
      <c r="AN75" s="511"/>
      <c r="AO75" s="511"/>
    </row>
    <row r="76" spans="1:41" ht="9" customHeight="1">
      <c r="A76" s="512"/>
      <c r="B76" s="505"/>
      <c r="C76" s="505"/>
      <c r="D76" s="506"/>
      <c r="E76" s="505"/>
      <c r="F76" s="505"/>
      <c r="G76" s="515"/>
      <c r="H76" s="505"/>
      <c r="I76" s="514"/>
      <c r="J76" s="505"/>
      <c r="K76" s="505"/>
      <c r="L76" s="506"/>
      <c r="M76" s="505"/>
      <c r="N76" s="505"/>
      <c r="O76" s="515"/>
      <c r="P76" s="505"/>
      <c r="Q76" s="510">
        <f t="shared" si="14"/>
        <v>0</v>
      </c>
      <c r="R76" s="510">
        <f t="shared" si="15"/>
        <v>0</v>
      </c>
      <c r="S76" s="511"/>
      <c r="U76" s="511"/>
      <c r="V76" s="511"/>
      <c r="W76" s="511"/>
      <c r="X76" s="511"/>
      <c r="Y76" s="511"/>
      <c r="Z76" s="511"/>
      <c r="AA76" s="511"/>
      <c r="AB76" s="511"/>
      <c r="AC76" s="511"/>
      <c r="AD76" s="511"/>
      <c r="AE76" s="511"/>
      <c r="AF76" s="511"/>
      <c r="AG76" s="511"/>
      <c r="AH76" s="511"/>
      <c r="AI76" s="511"/>
      <c r="AJ76" s="511"/>
      <c r="AK76" s="511"/>
      <c r="AL76" s="511"/>
      <c r="AM76" s="511"/>
      <c r="AN76" s="511"/>
      <c r="AO76" s="511"/>
    </row>
    <row r="77" spans="1:41" ht="15.75" customHeight="1">
      <c r="A77" s="512" t="s">
        <v>898</v>
      </c>
      <c r="B77" s="505">
        <f>('Pivot Table for Data Exchange'!$D$150)*100</f>
        <v>95.812683484810407</v>
      </c>
      <c r="C77" s="505">
        <f>('Pivot Table for Data Exchange'!$D$153)*100</f>
        <v>3.2357899446288099</v>
      </c>
      <c r="D77" s="506">
        <f t="shared" ref="D77:D80" si="16">SUM(E77:G77)</f>
        <v>0.95152657056079182</v>
      </c>
      <c r="E77" s="505">
        <f>('Pivot Table for Data Exchange'!$D$156)*100</f>
        <v>0.95152657056079182</v>
      </c>
      <c r="F77" s="505">
        <f>('Pivot Table for Data Exchange'!$D$159)*100</f>
        <v>0</v>
      </c>
      <c r="G77" s="515">
        <f>('Pivot Table for Data Exchange'!$D$162)*100</f>
        <v>0</v>
      </c>
      <c r="H77" s="505">
        <f>('Pivot Table for Data Exchange'!$D$165)*100</f>
        <v>0</v>
      </c>
      <c r="I77" s="514" t="s">
        <v>898</v>
      </c>
      <c r="J77" s="505">
        <f>('Pivot Table for Data Exchange'!$D$168)*100</f>
        <v>88.579724724495861</v>
      </c>
      <c r="K77" s="505">
        <f>('Pivot Table for Data Exchange'!$D$171)*100</f>
        <v>1.2696815888548478</v>
      </c>
      <c r="L77" s="506">
        <f t="shared" ref="L77:L80" si="17">SUM(M77:O77)</f>
        <v>10.150593686649291</v>
      </c>
      <c r="M77" s="505">
        <f>('Pivot Table for Data Exchange'!$D$174)*100</f>
        <v>10.140305150365053</v>
      </c>
      <c r="N77" s="505">
        <f>('Pivot Table for Data Exchange'!$D$177)*100</f>
        <v>0</v>
      </c>
      <c r="O77" s="515">
        <f>('Pivot Table for Data Exchange'!$D$180)*100</f>
        <v>1.0288536284237962E-2</v>
      </c>
      <c r="P77" s="505">
        <f>('Pivot Table for Data Exchange'!$D$183)*100</f>
        <v>0</v>
      </c>
      <c r="Q77" s="510">
        <f t="shared" si="14"/>
        <v>100</v>
      </c>
      <c r="R77" s="510">
        <f t="shared" si="15"/>
        <v>100</v>
      </c>
      <c r="S77" s="511"/>
      <c r="T77" s="511"/>
      <c r="U77" s="511"/>
      <c r="V77" s="511"/>
      <c r="W77" s="511"/>
      <c r="X77" s="511"/>
      <c r="Y77" s="511"/>
      <c r="Z77" s="511"/>
      <c r="AA77" s="511"/>
      <c r="AB77" s="511"/>
      <c r="AC77" s="511"/>
      <c r="AD77" s="511"/>
      <c r="AE77" s="511"/>
      <c r="AF77" s="511"/>
      <c r="AG77" s="511"/>
      <c r="AH77" s="511"/>
      <c r="AI77" s="511"/>
      <c r="AJ77" s="511"/>
      <c r="AK77" s="511"/>
      <c r="AL77" s="511"/>
      <c r="AM77" s="511"/>
      <c r="AN77" s="511"/>
      <c r="AO77" s="511"/>
    </row>
    <row r="78" spans="1:41" ht="15.75" customHeight="1">
      <c r="A78" s="512" t="s">
        <v>899</v>
      </c>
      <c r="B78" s="505">
        <f>('Pivot Table for Data Exchange'!$D$186)*100</f>
        <v>0</v>
      </c>
      <c r="C78" s="505">
        <f>('Pivot Table for Data Exchange'!$D$189)*100</f>
        <v>0</v>
      </c>
      <c r="D78" s="506">
        <f t="shared" si="16"/>
        <v>0</v>
      </c>
      <c r="E78" s="505">
        <f>('Pivot Table for Data Exchange'!$D$192)*100</f>
        <v>0</v>
      </c>
      <c r="F78" s="505">
        <f>('Pivot Table for Data Exchange'!$D$195)*100</f>
        <v>0</v>
      </c>
      <c r="G78" s="515">
        <f>('Pivot Table for Data Exchange'!$D$198)*100</f>
        <v>0</v>
      </c>
      <c r="H78" s="505">
        <f>('Pivot Table for Data Exchange'!$D$201)*100</f>
        <v>0</v>
      </c>
      <c r="I78" s="514" t="s">
        <v>899</v>
      </c>
      <c r="J78" s="505">
        <f>('Pivot Table for Data Exchange'!$D$204)*100</f>
        <v>0</v>
      </c>
      <c r="K78" s="505">
        <f>('Pivot Table for Data Exchange'!$D$207)*100</f>
        <v>0</v>
      </c>
      <c r="L78" s="506">
        <f t="shared" si="17"/>
        <v>0</v>
      </c>
      <c r="M78" s="505">
        <f>('Pivot Table for Data Exchange'!$D$210)*100</f>
        <v>0</v>
      </c>
      <c r="N78" s="505">
        <f>('Pivot Table for Data Exchange'!$D$213)*100</f>
        <v>0</v>
      </c>
      <c r="O78" s="515">
        <f>('Pivot Table for Data Exchange'!$D$216)*100</f>
        <v>0</v>
      </c>
      <c r="P78" s="505">
        <f>('Pivot Table for Data Exchange'!$D$219)*100</f>
        <v>0</v>
      </c>
      <c r="Q78" s="510">
        <f t="shared" si="14"/>
        <v>0</v>
      </c>
      <c r="R78" s="510">
        <f t="shared" si="15"/>
        <v>0</v>
      </c>
      <c r="S78" s="511"/>
      <c r="T78" s="511"/>
      <c r="U78" s="511"/>
      <c r="V78" s="511"/>
      <c r="W78" s="511"/>
      <c r="X78" s="511"/>
      <c r="Y78" s="511"/>
      <c r="Z78" s="511"/>
      <c r="AA78" s="511"/>
      <c r="AB78" s="511"/>
      <c r="AC78" s="511"/>
      <c r="AD78" s="511"/>
      <c r="AE78" s="511"/>
      <c r="AF78" s="511"/>
      <c r="AG78" s="511"/>
      <c r="AH78" s="511"/>
      <c r="AI78" s="511"/>
      <c r="AJ78" s="511"/>
      <c r="AK78" s="511"/>
      <c r="AL78" s="511"/>
      <c r="AM78" s="511"/>
      <c r="AN78" s="511"/>
      <c r="AO78" s="511"/>
    </row>
    <row r="79" spans="1:41" ht="15.75" customHeight="1">
      <c r="A79" s="512" t="s">
        <v>900</v>
      </c>
      <c r="B79" s="505">
        <f>('Pivot Table for Data Exchange'!$D$222)*100</f>
        <v>90.95497057161657</v>
      </c>
      <c r="C79" s="505">
        <f>('Pivot Table for Data Exchange'!$D$225)*100</f>
        <v>0</v>
      </c>
      <c r="D79" s="506">
        <f t="shared" si="16"/>
        <v>9.0450294283834261</v>
      </c>
      <c r="E79" s="505">
        <f>('Pivot Table for Data Exchange'!$D$228)*100</f>
        <v>9.0450294283834261</v>
      </c>
      <c r="F79" s="505">
        <f>('Pivot Table for Data Exchange'!$D$231)*100</f>
        <v>0</v>
      </c>
      <c r="G79" s="515">
        <f>('Pivot Table for Data Exchange'!$D$234)*100</f>
        <v>0</v>
      </c>
      <c r="H79" s="505">
        <f>('Pivot Table for Data Exchange'!$D$237)*100</f>
        <v>0</v>
      </c>
      <c r="I79" s="514" t="s">
        <v>900</v>
      </c>
      <c r="J79" s="505">
        <f>('Pivot Table for Data Exchange'!$D$240)*100</f>
        <v>86.9485854200245</v>
      </c>
      <c r="K79" s="505">
        <f>('Pivot Table for Data Exchange'!$D$243)*100</f>
        <v>0</v>
      </c>
      <c r="L79" s="506">
        <f t="shared" si="17"/>
        <v>13.051414579975498</v>
      </c>
      <c r="M79" s="505">
        <f>('Pivot Table for Data Exchange'!$D$246)*100</f>
        <v>13.051414579975498</v>
      </c>
      <c r="N79" s="505">
        <f>('Pivot Table for Data Exchange'!$D$249)*100</f>
        <v>0</v>
      </c>
      <c r="O79" s="515">
        <f>('Pivot Table for Data Exchange'!$D$252)*100</f>
        <v>0</v>
      </c>
      <c r="P79" s="505">
        <f>('Pivot Table for Data Exchange'!$D$255)*100</f>
        <v>0</v>
      </c>
      <c r="Q79" s="510">
        <f t="shared" si="14"/>
        <v>100</v>
      </c>
      <c r="R79" s="510">
        <f t="shared" si="15"/>
        <v>100</v>
      </c>
      <c r="S79" s="511"/>
      <c r="T79" s="535"/>
      <c r="U79" s="511"/>
      <c r="V79" s="511"/>
      <c r="W79" s="511"/>
      <c r="X79" s="511"/>
      <c r="Y79" s="511"/>
      <c r="Z79" s="511"/>
      <c r="AA79" s="511"/>
      <c r="AB79" s="511"/>
      <c r="AC79" s="511"/>
      <c r="AD79" s="511"/>
      <c r="AE79" s="511"/>
      <c r="AF79" s="511"/>
      <c r="AG79" s="511"/>
      <c r="AH79" s="511"/>
      <c r="AI79" s="511"/>
      <c r="AJ79" s="511"/>
      <c r="AK79" s="511"/>
      <c r="AL79" s="511"/>
      <c r="AM79" s="511"/>
      <c r="AN79" s="511"/>
      <c r="AO79" s="511"/>
    </row>
    <row r="80" spans="1:41" ht="15.75" customHeight="1">
      <c r="A80" s="512" t="s">
        <v>901</v>
      </c>
      <c r="B80" s="505">
        <f>('Pivot Table for Data Exchange'!$D$258)*100</f>
        <v>88.679590143986005</v>
      </c>
      <c r="C80" s="505">
        <f>('Pivot Table for Data Exchange'!$D$261)*100</f>
        <v>1.5267782198183164</v>
      </c>
      <c r="D80" s="506">
        <f t="shared" si="16"/>
        <v>9.7936316361956699</v>
      </c>
      <c r="E80" s="505">
        <f>('Pivot Table for Data Exchange'!$D$264)*100</f>
        <v>9.7936316361956699</v>
      </c>
      <c r="F80" s="505">
        <f>('Pivot Table for Data Exchange'!$D$267)*100</f>
        <v>0</v>
      </c>
      <c r="G80" s="515">
        <f>('Pivot Table for Data Exchange'!$D$270)*100</f>
        <v>0</v>
      </c>
      <c r="H80" s="505">
        <f>('Pivot Table for Data Exchange'!$D$273)*100</f>
        <v>0</v>
      </c>
      <c r="I80" s="514" t="s">
        <v>901</v>
      </c>
      <c r="J80" s="505">
        <f>('Pivot Table for Data Exchange'!$D$276)*100</f>
        <v>76.74537395574157</v>
      </c>
      <c r="K80" s="505">
        <f>('Pivot Table for Data Exchange'!$D$279)*100</f>
        <v>5.0173837103923278</v>
      </c>
      <c r="L80" s="506">
        <f t="shared" si="17"/>
        <v>18.237242333866106</v>
      </c>
      <c r="M80" s="505">
        <f>('Pivot Table for Data Exchange'!$D$282)*100</f>
        <v>18.237242333866106</v>
      </c>
      <c r="N80" s="505">
        <f>('Pivot Table for Data Exchange'!$D$285)*100</f>
        <v>0</v>
      </c>
      <c r="O80" s="515">
        <f>('Pivot Table for Data Exchange'!$D$288)*100</f>
        <v>0</v>
      </c>
      <c r="P80" s="505">
        <f>('Pivot Table for Data Exchange'!$D$291)*100</f>
        <v>0</v>
      </c>
      <c r="Q80" s="510">
        <f t="shared" si="14"/>
        <v>99.999999999999986</v>
      </c>
      <c r="R80" s="510">
        <f t="shared" si="15"/>
        <v>100</v>
      </c>
      <c r="S80" s="511"/>
      <c r="U80" s="511"/>
      <c r="V80" s="511"/>
      <c r="W80" s="511"/>
      <c r="X80" s="511"/>
      <c r="Y80" s="511"/>
      <c r="Z80" s="511"/>
      <c r="AA80" s="511"/>
      <c r="AB80" s="511"/>
      <c r="AC80" s="511"/>
      <c r="AD80" s="511"/>
      <c r="AE80" s="511"/>
      <c r="AF80" s="511"/>
      <c r="AG80" s="511"/>
      <c r="AH80" s="511"/>
      <c r="AI80" s="511"/>
      <c r="AJ80" s="511"/>
      <c r="AK80" s="511"/>
      <c r="AL80" s="511"/>
      <c r="AM80" s="511"/>
      <c r="AN80" s="511"/>
      <c r="AO80" s="511"/>
    </row>
    <row r="81" spans="1:41" ht="8.25" customHeight="1">
      <c r="A81" s="512"/>
      <c r="B81" s="505"/>
      <c r="C81" s="505"/>
      <c r="D81" s="506"/>
      <c r="E81" s="505"/>
      <c r="F81" s="505"/>
      <c r="G81" s="515"/>
      <c r="H81" s="505"/>
      <c r="I81" s="514"/>
      <c r="J81" s="505"/>
      <c r="K81" s="505"/>
      <c r="L81" s="506"/>
      <c r="M81" s="505"/>
      <c r="N81" s="505"/>
      <c r="O81" s="515"/>
      <c r="P81" s="505"/>
      <c r="Q81" s="510">
        <f t="shared" si="14"/>
        <v>0</v>
      </c>
      <c r="R81" s="510">
        <f t="shared" si="15"/>
        <v>0</v>
      </c>
      <c r="S81" s="511"/>
      <c r="U81" s="511"/>
      <c r="V81" s="511"/>
      <c r="W81" s="511"/>
      <c r="X81" s="511"/>
      <c r="Y81" s="511"/>
      <c r="Z81" s="511"/>
      <c r="AA81" s="511"/>
      <c r="AB81" s="511"/>
      <c r="AC81" s="511"/>
      <c r="AD81" s="511"/>
      <c r="AE81" s="511"/>
      <c r="AF81" s="511"/>
      <c r="AG81" s="511"/>
      <c r="AH81" s="511"/>
      <c r="AI81" s="511"/>
      <c r="AJ81" s="511"/>
      <c r="AK81" s="511"/>
      <c r="AL81" s="511"/>
      <c r="AM81" s="511"/>
      <c r="AN81" s="511"/>
      <c r="AO81" s="511"/>
    </row>
    <row r="82" spans="1:41" ht="15.75" customHeight="1">
      <c r="A82" s="512" t="s">
        <v>902</v>
      </c>
      <c r="B82" s="505">
        <f>('Pivot Table for Data Exchange'!$D$294)*100</f>
        <v>82.948330002854703</v>
      </c>
      <c r="C82" s="505">
        <f>('Pivot Table for Data Exchange'!$D$297)*100</f>
        <v>6.8899514701684277</v>
      </c>
      <c r="D82" s="506">
        <f t="shared" ref="D82:D84" si="18">SUM(E82:G82)</f>
        <v>10.034541821296031</v>
      </c>
      <c r="E82" s="505">
        <f>('Pivot Table for Data Exchange'!$D$300)*100</f>
        <v>8.5229803025977731</v>
      </c>
      <c r="F82" s="505">
        <f>('Pivot Table for Data Exchange'!$D$303)*100</f>
        <v>1.5115615186982587</v>
      </c>
      <c r="G82" s="515">
        <f>('Pivot Table for Data Exchange'!$D$306)*100</f>
        <v>0</v>
      </c>
      <c r="H82" s="505">
        <f>('Pivot Table for Data Exchange'!$D$309)*100</f>
        <v>0.12717670568084499</v>
      </c>
      <c r="I82" s="514" t="s">
        <v>902</v>
      </c>
      <c r="J82" s="505">
        <f>('Pivot Table for Data Exchange'!$D$312)*100</f>
        <v>71.376087851199017</v>
      </c>
      <c r="K82" s="505">
        <f>('Pivot Table for Data Exchange'!$D$315)*100</f>
        <v>10.493560723929212</v>
      </c>
      <c r="L82" s="506">
        <f t="shared" ref="L82:L84" si="19">SUM(M82:O82)</f>
        <v>18.118306013671543</v>
      </c>
      <c r="M82" s="505">
        <f>('Pivot Table for Data Exchange'!$D$318)*100</f>
        <v>16.802344840046977</v>
      </c>
      <c r="N82" s="505">
        <f>('Pivot Table for Data Exchange'!$D$321)*100</f>
        <v>1.3159611736245647</v>
      </c>
      <c r="O82" s="515">
        <f>('Pivot Table for Data Exchange'!$D$324)*100</f>
        <v>0</v>
      </c>
      <c r="P82" s="516">
        <f>('Pivot Table for Data Exchange'!$D$327)*100</f>
        <v>1.2045411200224848E-2</v>
      </c>
      <c r="Q82" s="510">
        <f t="shared" si="14"/>
        <v>100</v>
      </c>
      <c r="R82" s="510">
        <f t="shared" si="15"/>
        <v>99.999999999999986</v>
      </c>
      <c r="S82" s="511"/>
      <c r="T82" s="511"/>
      <c r="U82" s="511"/>
      <c r="V82" s="511"/>
      <c r="W82" s="511"/>
      <c r="X82" s="511"/>
      <c r="Y82" s="511"/>
      <c r="Z82" s="511"/>
      <c r="AA82" s="511"/>
      <c r="AB82" s="511"/>
      <c r="AC82" s="511"/>
      <c r="AD82" s="511"/>
      <c r="AE82" s="511"/>
      <c r="AF82" s="511"/>
      <c r="AG82" s="511"/>
      <c r="AH82" s="511"/>
      <c r="AI82" s="511"/>
      <c r="AJ82" s="511"/>
      <c r="AK82" s="511"/>
      <c r="AL82" s="511"/>
      <c r="AM82" s="511"/>
      <c r="AN82" s="511"/>
      <c r="AO82" s="511"/>
    </row>
    <row r="83" spans="1:41" ht="15.75" customHeight="1">
      <c r="A83" s="512" t="s">
        <v>903</v>
      </c>
      <c r="B83" s="505">
        <f>('Pivot Table for Data Exchange'!$D$330)*100</f>
        <v>79.856630707875723</v>
      </c>
      <c r="C83" s="505">
        <f>('Pivot Table for Data Exchange'!$D$333)*100</f>
        <v>7.4268608593056784E-2</v>
      </c>
      <c r="D83" s="506">
        <f t="shared" si="18"/>
        <v>20.069100683531218</v>
      </c>
      <c r="E83" s="505">
        <f>('Pivot Table for Data Exchange'!$D$336)*100</f>
        <v>20.065687902830007</v>
      </c>
      <c r="F83" s="519">
        <f>('Pivot Table for Data Exchange'!$D$339)*100</f>
        <v>3.412780701212675E-3</v>
      </c>
      <c r="G83" s="515">
        <f>('Pivot Table for Data Exchange'!$D$342)*100</f>
        <v>0</v>
      </c>
      <c r="H83" s="505">
        <f>('Pivot Table for Data Exchange'!$D$345)*100</f>
        <v>0</v>
      </c>
      <c r="I83" s="514" t="s">
        <v>903</v>
      </c>
      <c r="J83" s="505">
        <f>('Pivot Table for Data Exchange'!$D$348)*100</f>
        <v>45.795100388641245</v>
      </c>
      <c r="K83" s="505">
        <f>('Pivot Table for Data Exchange'!$D$351)*100</f>
        <v>5.9090852651576293</v>
      </c>
      <c r="L83" s="506">
        <f t="shared" si="19"/>
        <v>48.295814346201126</v>
      </c>
      <c r="M83" s="505">
        <f>('Pivot Table for Data Exchange'!$D$354)*100</f>
        <v>48.295814346201126</v>
      </c>
      <c r="N83" s="519">
        <f>('Pivot Table for Data Exchange'!$D$357)*100</f>
        <v>0</v>
      </c>
      <c r="O83" s="515">
        <f>('Pivot Table for Data Exchange'!$D$360)*100</f>
        <v>0</v>
      </c>
      <c r="P83" s="505">
        <f>('Pivot Table for Data Exchange'!$D$363)*100</f>
        <v>0</v>
      </c>
      <c r="Q83" s="510">
        <f t="shared" si="14"/>
        <v>100</v>
      </c>
      <c r="R83" s="510">
        <f t="shared" si="15"/>
        <v>100</v>
      </c>
      <c r="S83" s="511"/>
      <c r="T83" s="511"/>
      <c r="U83" s="511"/>
      <c r="V83" s="511"/>
      <c r="W83" s="511"/>
      <c r="X83" s="511"/>
      <c r="Y83" s="511"/>
      <c r="Z83" s="511"/>
      <c r="AA83" s="511"/>
      <c r="AB83" s="511"/>
      <c r="AC83" s="511"/>
      <c r="AD83" s="511"/>
      <c r="AE83" s="511"/>
      <c r="AF83" s="511"/>
      <c r="AG83" s="511"/>
      <c r="AH83" s="511"/>
      <c r="AI83" s="511"/>
      <c r="AJ83" s="511"/>
      <c r="AK83" s="511"/>
      <c r="AL83" s="511"/>
      <c r="AM83" s="511"/>
      <c r="AN83" s="511"/>
      <c r="AO83" s="511"/>
    </row>
    <row r="84" spans="1:41" ht="15.75" customHeight="1">
      <c r="A84" s="512" t="s">
        <v>904</v>
      </c>
      <c r="B84" s="505">
        <f>('Pivot Table for Data Exchange'!$D$366)*100</f>
        <v>0</v>
      </c>
      <c r="C84" s="505">
        <f>('Pivot Table for Data Exchange'!$D$369)*100</f>
        <v>0</v>
      </c>
      <c r="D84" s="506">
        <f t="shared" si="18"/>
        <v>0</v>
      </c>
      <c r="E84" s="505">
        <f>('Pivot Table for Data Exchange'!$D$372)*100</f>
        <v>0</v>
      </c>
      <c r="F84" s="505">
        <f>('Pivot Table for Data Exchange'!$D$375)*100</f>
        <v>0</v>
      </c>
      <c r="G84" s="515">
        <f>('Pivot Table for Data Exchange'!$D$378)*100</f>
        <v>0</v>
      </c>
      <c r="H84" s="505">
        <f>('Pivot Table for Data Exchange'!$D$381)*100</f>
        <v>0</v>
      </c>
      <c r="I84" s="514" t="s">
        <v>904</v>
      </c>
      <c r="J84" s="505">
        <f>('Pivot Table for Data Exchange'!$D$384)*100</f>
        <v>0</v>
      </c>
      <c r="K84" s="505">
        <f>('Pivot Table for Data Exchange'!$D$387)*100</f>
        <v>0</v>
      </c>
      <c r="L84" s="506">
        <f t="shared" si="19"/>
        <v>0</v>
      </c>
      <c r="M84" s="505">
        <f>('Pivot Table for Data Exchange'!$D$390)*100</f>
        <v>0</v>
      </c>
      <c r="N84" s="505">
        <f>('Pivot Table for Data Exchange'!$D$393)*100</f>
        <v>0</v>
      </c>
      <c r="O84" s="515">
        <f>('Pivot Table for Data Exchange'!$D$396)*100</f>
        <v>0</v>
      </c>
      <c r="P84" s="505">
        <f>('Pivot Table for Data Exchange'!$D$399)*100</f>
        <v>0</v>
      </c>
      <c r="Q84" s="510">
        <f t="shared" si="14"/>
        <v>0</v>
      </c>
      <c r="R84" s="510">
        <f t="shared" si="15"/>
        <v>0</v>
      </c>
      <c r="S84" s="511"/>
      <c r="T84" s="535"/>
      <c r="U84" s="511"/>
      <c r="V84" s="511"/>
      <c r="W84" s="511"/>
      <c r="X84" s="511"/>
      <c r="Y84" s="511"/>
      <c r="Z84" s="511"/>
      <c r="AA84" s="511"/>
      <c r="AB84" s="511"/>
      <c r="AC84" s="511"/>
      <c r="AD84" s="511"/>
      <c r="AE84" s="511"/>
      <c r="AF84" s="511"/>
      <c r="AG84" s="511"/>
      <c r="AH84" s="511"/>
      <c r="AI84" s="511"/>
      <c r="AJ84" s="511"/>
      <c r="AK84" s="511"/>
      <c r="AL84" s="511"/>
      <c r="AM84" s="511"/>
      <c r="AN84" s="511"/>
      <c r="AO84" s="511"/>
    </row>
    <row r="85" spans="1:41" ht="15.75" customHeight="1">
      <c r="A85" s="512" t="s">
        <v>905</v>
      </c>
      <c r="B85" s="505">
        <f>('Pivot Table for Data Exchange'!$D$402)*100</f>
        <v>0</v>
      </c>
      <c r="C85" s="505">
        <f>('Pivot Table for Data Exchange'!$D$405)*100</f>
        <v>0</v>
      </c>
      <c r="D85" s="506">
        <f>SUM(E85:G85)</f>
        <v>0</v>
      </c>
      <c r="E85" s="505">
        <f>('Pivot Table for Data Exchange'!$D$408)*100</f>
        <v>0</v>
      </c>
      <c r="F85" s="505">
        <f>('Pivot Table for Data Exchange'!$D$411)*100</f>
        <v>0</v>
      </c>
      <c r="G85" s="515">
        <f>('Pivot Table for Data Exchange'!$D$414)*100</f>
        <v>0</v>
      </c>
      <c r="H85" s="505">
        <f>('Pivot Table for Data Exchange'!$D$417)*100</f>
        <v>0</v>
      </c>
      <c r="I85" s="514" t="s">
        <v>905</v>
      </c>
      <c r="J85" s="505">
        <f>('Pivot Table for Data Exchange'!$D$420)*100</f>
        <v>0</v>
      </c>
      <c r="K85" s="505">
        <f>('Pivot Table for Data Exchange'!$D$423)*100</f>
        <v>0</v>
      </c>
      <c r="L85" s="506">
        <f>SUM(M85:O85)</f>
        <v>0</v>
      </c>
      <c r="M85" s="505">
        <f>('Pivot Table for Data Exchange'!$D$426)*100</f>
        <v>0</v>
      </c>
      <c r="N85" s="505">
        <f>('Pivot Table for Data Exchange'!$D$429)*100</f>
        <v>0</v>
      </c>
      <c r="O85" s="515">
        <f>('Pivot Table for Data Exchange'!$D$432)*100</f>
        <v>0</v>
      </c>
      <c r="P85" s="505">
        <f>('Pivot Table for Data Exchange'!$D$435)*100</f>
        <v>0</v>
      </c>
      <c r="Q85" s="510">
        <f t="shared" si="14"/>
        <v>0</v>
      </c>
      <c r="R85" s="510">
        <f t="shared" si="15"/>
        <v>0</v>
      </c>
      <c r="S85" s="511"/>
      <c r="T85" s="511"/>
      <c r="U85" s="511"/>
      <c r="V85" s="511"/>
      <c r="W85" s="511"/>
      <c r="X85" s="511"/>
      <c r="Y85" s="511"/>
      <c r="Z85" s="511"/>
      <c r="AA85" s="511"/>
      <c r="AB85" s="511"/>
      <c r="AC85" s="511"/>
      <c r="AD85" s="511"/>
      <c r="AE85" s="511"/>
      <c r="AF85" s="511"/>
      <c r="AG85" s="511"/>
      <c r="AH85" s="511"/>
      <c r="AI85" s="511"/>
      <c r="AJ85" s="511"/>
      <c r="AK85" s="511"/>
      <c r="AL85" s="511"/>
      <c r="AM85" s="511"/>
      <c r="AN85" s="511"/>
      <c r="AO85" s="511"/>
    </row>
    <row r="86" spans="1:41" ht="8.25" customHeight="1">
      <c r="A86" s="512"/>
      <c r="B86" s="505"/>
      <c r="C86" s="505"/>
      <c r="D86" s="506"/>
      <c r="E86" s="505"/>
      <c r="F86" s="505"/>
      <c r="G86" s="515"/>
      <c r="H86" s="505"/>
      <c r="I86" s="514"/>
      <c r="J86" s="505"/>
      <c r="K86" s="505"/>
      <c r="L86" s="506"/>
      <c r="M86" s="505"/>
      <c r="N86" s="505"/>
      <c r="O86" s="515"/>
      <c r="P86" s="505"/>
      <c r="Q86" s="510">
        <f t="shared" si="14"/>
        <v>0</v>
      </c>
      <c r="R86" s="510">
        <f t="shared" si="15"/>
        <v>0</v>
      </c>
      <c r="S86" s="511"/>
      <c r="T86" s="511"/>
      <c r="U86" s="511"/>
      <c r="V86" s="511"/>
      <c r="W86" s="511"/>
      <c r="X86" s="511"/>
      <c r="Y86" s="511"/>
      <c r="Z86" s="511"/>
      <c r="AA86" s="511"/>
      <c r="AB86" s="511"/>
      <c r="AC86" s="511"/>
      <c r="AD86" s="511"/>
      <c r="AE86" s="511"/>
      <c r="AF86" s="511"/>
      <c r="AG86" s="511"/>
      <c r="AH86" s="511"/>
      <c r="AI86" s="511"/>
      <c r="AJ86" s="511"/>
      <c r="AK86" s="511"/>
      <c r="AL86" s="511"/>
      <c r="AM86" s="511"/>
      <c r="AN86" s="511"/>
      <c r="AO86" s="511"/>
    </row>
    <row r="87" spans="1:41" ht="15.75" customHeight="1">
      <c r="A87" s="512" t="s">
        <v>906</v>
      </c>
      <c r="B87" s="505">
        <f>('Pivot Table for Data Exchange'!$D$438)*100</f>
        <v>72.421345187255952</v>
      </c>
      <c r="C87" s="505">
        <f>('Pivot Table for Data Exchange'!$D$441)*100</f>
        <v>5.8395332111642499</v>
      </c>
      <c r="D87" s="506">
        <f>SUM(E87:G87)</f>
        <v>21.253154115892681</v>
      </c>
      <c r="E87" s="505">
        <f>('Pivot Table for Data Exchange'!$D$444)*100</f>
        <v>16.06029084910222</v>
      </c>
      <c r="F87" s="505">
        <f>('Pivot Table for Data Exchange'!$D$447)*100</f>
        <v>1.3567269520980711</v>
      </c>
      <c r="G87" s="515">
        <f>('Pivot Table for Data Exchange'!$D$450)*100</f>
        <v>3.8361363146923901</v>
      </c>
      <c r="H87" s="505">
        <f>('Pivot Table for Data Exchange'!$D$453)*100</f>
        <v>0.48596748568711984</v>
      </c>
      <c r="I87" s="514" t="s">
        <v>906</v>
      </c>
      <c r="J87" s="505">
        <f>('Pivot Table for Data Exchange'!$D$456)*100</f>
        <v>46.489881367759942</v>
      </c>
      <c r="K87" s="505">
        <f>('Pivot Table for Data Exchange'!$D$459)*100</f>
        <v>10.11165387299372</v>
      </c>
      <c r="L87" s="506">
        <f>SUM(M87:O87)</f>
        <v>38.810886252616896</v>
      </c>
      <c r="M87" s="505">
        <f>('Pivot Table for Data Exchange'!$D$462)*100</f>
        <v>35.251919050942085</v>
      </c>
      <c r="N87" s="505">
        <f>('Pivot Table for Data Exchange'!$D$465)*100</f>
        <v>0.57641311933007677</v>
      </c>
      <c r="O87" s="515">
        <f>('Pivot Table for Data Exchange'!$D$468)*100</f>
        <v>2.9825540823447314</v>
      </c>
      <c r="P87" s="505">
        <f>('Pivot Table for Data Exchange'!$D$471)*100</f>
        <v>4.5875785066294483</v>
      </c>
      <c r="Q87" s="510">
        <f t="shared" si="14"/>
        <v>100.00000000000001</v>
      </c>
      <c r="R87" s="510">
        <f t="shared" si="15"/>
        <v>100</v>
      </c>
      <c r="S87" s="511"/>
      <c r="T87" s="511"/>
      <c r="U87" s="511"/>
      <c r="V87" s="511"/>
      <c r="W87" s="511"/>
      <c r="X87" s="511"/>
      <c r="Y87" s="511"/>
      <c r="Z87" s="511"/>
      <c r="AA87" s="511"/>
      <c r="AB87" s="511"/>
      <c r="AC87" s="511"/>
      <c r="AD87" s="511"/>
      <c r="AE87" s="511"/>
      <c r="AF87" s="511"/>
      <c r="AG87" s="511"/>
      <c r="AH87" s="511"/>
      <c r="AI87" s="511"/>
      <c r="AJ87" s="511"/>
      <c r="AK87" s="511"/>
      <c r="AL87" s="511"/>
      <c r="AM87" s="511"/>
      <c r="AN87" s="511"/>
      <c r="AO87" s="511"/>
    </row>
    <row r="88" spans="1:41" ht="15.75" customHeight="1">
      <c r="A88" s="512" t="s">
        <v>907</v>
      </c>
      <c r="B88" s="505">
        <f>('Pivot Table for Data Exchange'!$D$474)*100</f>
        <v>85.535624198498866</v>
      </c>
      <c r="C88" s="505">
        <f>('Pivot Table for Data Exchange'!$D$477)*100</f>
        <v>2.0179536255771771</v>
      </c>
      <c r="D88" s="506">
        <f>SUM(E88:G88)</f>
        <v>12.446422175923963</v>
      </c>
      <c r="E88" s="505">
        <f>('Pivot Table for Data Exchange'!$D$480)*100</f>
        <v>12.395395676803931</v>
      </c>
      <c r="F88" s="505">
        <f>('Pivot Table for Data Exchange'!$D$483)*100</f>
        <v>3.9986803712931972E-2</v>
      </c>
      <c r="G88" s="513">
        <f>('Pivot Table for Data Exchange'!$D$486)*100</f>
        <v>1.1039695407101606E-2</v>
      </c>
      <c r="H88" s="505">
        <f>('Pivot Table for Data Exchange'!$D$489)*100</f>
        <v>0</v>
      </c>
      <c r="I88" s="514" t="s">
        <v>907</v>
      </c>
      <c r="J88" s="505">
        <f>('Pivot Table for Data Exchange'!$D$492)*100</f>
        <v>62.227271495297551</v>
      </c>
      <c r="K88" s="505">
        <f>('Pivot Table for Data Exchange'!$D$495)*100</f>
        <v>4.4264457434025672</v>
      </c>
      <c r="L88" s="506">
        <f>SUM(M88:O88)</f>
        <v>33.346282761299875</v>
      </c>
      <c r="M88" s="505">
        <f>('Pivot Table for Data Exchange'!$D$498)*100</f>
        <v>32.360620488404237</v>
      </c>
      <c r="N88" s="505">
        <f>('Pivot Table for Data Exchange'!$D$501)*100</f>
        <v>0.78645188685211442</v>
      </c>
      <c r="O88" s="513">
        <f>('Pivot Table for Data Exchange'!$D$504)*100</f>
        <v>0.19921038604352814</v>
      </c>
      <c r="P88" s="505">
        <f>('Pivot Table for Data Exchange'!$D$507)*100</f>
        <v>0</v>
      </c>
      <c r="Q88" s="510">
        <f t="shared" si="14"/>
        <v>100</v>
      </c>
      <c r="R88" s="510">
        <f t="shared" si="15"/>
        <v>100</v>
      </c>
      <c r="S88" s="511"/>
      <c r="T88" s="511"/>
      <c r="U88" s="511"/>
      <c r="V88" s="511"/>
      <c r="W88" s="511"/>
      <c r="X88" s="511"/>
      <c r="Y88" s="511"/>
      <c r="Z88" s="511"/>
      <c r="AA88" s="511"/>
      <c r="AB88" s="511"/>
      <c r="AC88" s="511"/>
      <c r="AD88" s="511"/>
      <c r="AE88" s="511"/>
      <c r="AF88" s="511"/>
      <c r="AG88" s="511"/>
      <c r="AH88" s="511"/>
      <c r="AI88" s="511"/>
      <c r="AJ88" s="511"/>
      <c r="AK88" s="511"/>
      <c r="AL88" s="511"/>
      <c r="AM88" s="511"/>
      <c r="AN88" s="511"/>
      <c r="AO88" s="511"/>
    </row>
    <row r="89" spans="1:41" ht="15.75" customHeight="1">
      <c r="A89" s="512" t="s">
        <v>908</v>
      </c>
      <c r="B89" s="505">
        <f>('Pivot Table for Data Exchange'!$D$510)*100</f>
        <v>97.552781383986158</v>
      </c>
      <c r="C89" s="505">
        <f>('Pivot Table for Data Exchange'!$D$513)*100</f>
        <v>2.4128709348311785</v>
      </c>
      <c r="D89" s="506">
        <f t="shared" ref="D89" si="20">SUM(E89:G89)</f>
        <v>3.4347681182676532E-2</v>
      </c>
      <c r="E89" s="505">
        <f>('Pivot Table for Data Exchange'!$D$516)*100</f>
        <v>3.4347681182676532E-2</v>
      </c>
      <c r="F89" s="519">
        <f>('Pivot Table for Data Exchange'!$D$519)*100</f>
        <v>0</v>
      </c>
      <c r="G89" s="515">
        <f>('Pivot Table for Data Exchange'!$D$522)*100</f>
        <v>0</v>
      </c>
      <c r="H89" s="505">
        <f>('Pivot Table for Data Exchange'!$D$525)*100</f>
        <v>0</v>
      </c>
      <c r="I89" s="514" t="s">
        <v>908</v>
      </c>
      <c r="J89" s="505">
        <f>('Pivot Table for Data Exchange'!$D$528)*100</f>
        <v>90.171244768536283</v>
      </c>
      <c r="K89" s="505">
        <f>('Pivot Table for Data Exchange'!$D$531)*100</f>
        <v>8.6481349489189832</v>
      </c>
      <c r="L89" s="506">
        <f t="shared" ref="L89" si="21">SUM(M89:O89)</f>
        <v>1.1806202825447301</v>
      </c>
      <c r="M89" s="505">
        <f>('Pivot Table for Data Exchange'!$D$534)*100</f>
        <v>1.0764479046731363</v>
      </c>
      <c r="N89" s="519">
        <f>('Pivot Table for Data Exchange'!$D$537)*100</f>
        <v>0.10417237787159384</v>
      </c>
      <c r="O89" s="515">
        <f>('Pivot Table for Data Exchange'!$D$540)*100</f>
        <v>0</v>
      </c>
      <c r="P89" s="505">
        <f>('Pivot Table for Data Exchange'!$D$543)*100</f>
        <v>0</v>
      </c>
      <c r="Q89" s="510">
        <f t="shared" si="14"/>
        <v>100.00000000000001</v>
      </c>
      <c r="R89" s="510">
        <f t="shared" si="15"/>
        <v>100</v>
      </c>
      <c r="S89" s="511"/>
      <c r="T89" s="511"/>
      <c r="U89" s="511"/>
      <c r="V89" s="511"/>
      <c r="W89" s="511"/>
      <c r="X89" s="511"/>
      <c r="Y89" s="511"/>
      <c r="Z89" s="511"/>
      <c r="AA89" s="511"/>
      <c r="AB89" s="511"/>
      <c r="AC89" s="511"/>
      <c r="AD89" s="511"/>
      <c r="AE89" s="511"/>
      <c r="AF89" s="511"/>
      <c r="AG89" s="511"/>
      <c r="AH89" s="511"/>
      <c r="AI89" s="511"/>
      <c r="AJ89" s="511"/>
      <c r="AK89" s="511"/>
      <c r="AL89" s="511"/>
      <c r="AM89" s="511"/>
      <c r="AN89" s="511"/>
      <c r="AO89" s="511"/>
    </row>
    <row r="90" spans="1:41" ht="15.75" customHeight="1">
      <c r="A90" s="484" t="s">
        <v>909</v>
      </c>
      <c r="B90" s="520">
        <f>('Pivot Table for Data Exchange'!$D$546)*100</f>
        <v>0</v>
      </c>
      <c r="C90" s="520">
        <f>('Pivot Table for Data Exchange'!$D$549)*100</f>
        <v>0</v>
      </c>
      <c r="D90" s="521">
        <f>SUM(E90:G90)</f>
        <v>0</v>
      </c>
      <c r="E90" s="520">
        <f>('Pivot Table for Data Exchange'!$D$552)*100</f>
        <v>0</v>
      </c>
      <c r="F90" s="520">
        <f>('Pivot Table for Data Exchange'!$D$555)*100</f>
        <v>0</v>
      </c>
      <c r="G90" s="522">
        <f>('Pivot Table for Data Exchange'!$D$558)*100</f>
        <v>0</v>
      </c>
      <c r="H90" s="520">
        <f>('Pivot Table for Data Exchange'!$D$561)*100</f>
        <v>0</v>
      </c>
      <c r="I90" s="523" t="s">
        <v>909</v>
      </c>
      <c r="J90" s="520">
        <f>('Pivot Table for Data Exchange'!$D$564)*100</f>
        <v>0</v>
      </c>
      <c r="K90" s="520">
        <f>('Pivot Table for Data Exchange'!$D$567)*100</f>
        <v>0</v>
      </c>
      <c r="L90" s="521">
        <f>SUM(M90:O90)</f>
        <v>0</v>
      </c>
      <c r="M90" s="520">
        <f>('Pivot Table for Data Exchange'!$D$570)*100</f>
        <v>0</v>
      </c>
      <c r="N90" s="520">
        <f>('Pivot Table for Data Exchange'!$D$573)*100</f>
        <v>0</v>
      </c>
      <c r="O90" s="522">
        <f>('Pivot Table for Data Exchange'!$D$576)*100</f>
        <v>0</v>
      </c>
      <c r="P90" s="520">
        <f>('Pivot Table for Data Exchange'!$D$579)*100</f>
        <v>0</v>
      </c>
      <c r="Q90" s="510">
        <f t="shared" si="14"/>
        <v>0</v>
      </c>
      <c r="R90" s="510">
        <f t="shared" si="15"/>
        <v>0</v>
      </c>
      <c r="S90" s="511"/>
      <c r="T90" s="511"/>
      <c r="U90" s="511"/>
      <c r="V90" s="511"/>
      <c r="W90" s="511"/>
      <c r="X90" s="511"/>
      <c r="Y90" s="511"/>
      <c r="Z90" s="511"/>
      <c r="AA90" s="511"/>
      <c r="AB90" s="511"/>
      <c r="AC90" s="511"/>
      <c r="AD90" s="511"/>
      <c r="AE90" s="511"/>
      <c r="AF90" s="511"/>
      <c r="AG90" s="511"/>
      <c r="AH90" s="511"/>
      <c r="AI90" s="511"/>
      <c r="AJ90" s="511"/>
      <c r="AK90" s="511"/>
      <c r="AL90" s="511"/>
      <c r="AM90" s="511"/>
      <c r="AN90" s="511"/>
      <c r="AO90" s="511"/>
    </row>
    <row r="91" spans="1:41" s="524" customFormat="1" ht="11.25" customHeight="1">
      <c r="A91" s="525" t="s">
        <v>937</v>
      </c>
      <c r="B91" s="526"/>
      <c r="C91" s="526"/>
      <c r="D91" s="527"/>
      <c r="E91" s="526"/>
      <c r="F91" s="527"/>
      <c r="G91" s="527"/>
      <c r="H91" s="526"/>
      <c r="I91" s="525" t="s">
        <v>937</v>
      </c>
      <c r="J91" s="526"/>
      <c r="K91" s="526"/>
      <c r="L91" s="527"/>
      <c r="M91" s="526"/>
      <c r="N91" s="527"/>
      <c r="O91" s="527"/>
      <c r="P91" s="526"/>
      <c r="Q91" s="510"/>
      <c r="R91" s="510"/>
      <c r="S91" s="528"/>
      <c r="T91" s="528"/>
      <c r="U91" s="528"/>
      <c r="V91" s="528"/>
      <c r="W91" s="528"/>
      <c r="X91" s="528"/>
      <c r="Y91" s="528"/>
      <c r="Z91" s="528"/>
      <c r="AA91" s="528"/>
      <c r="AB91" s="528"/>
      <c r="AC91" s="528"/>
      <c r="AD91" s="528"/>
      <c r="AE91" s="528"/>
      <c r="AF91" s="528"/>
      <c r="AG91" s="528"/>
      <c r="AH91" s="528"/>
      <c r="AI91" s="528"/>
      <c r="AJ91" s="528"/>
      <c r="AK91" s="528"/>
      <c r="AL91" s="528"/>
      <c r="AM91" s="528"/>
      <c r="AN91" s="528"/>
      <c r="AO91" s="528"/>
    </row>
    <row r="92" spans="1:41" s="524" customFormat="1" ht="10.5" customHeight="1">
      <c r="A92" s="542"/>
      <c r="B92" s="543"/>
      <c r="C92" s="543"/>
      <c r="D92" s="544"/>
      <c r="E92" s="543"/>
      <c r="F92" s="543"/>
      <c r="G92" s="545"/>
      <c r="H92" s="545"/>
      <c r="I92" s="542"/>
      <c r="J92" s="543"/>
      <c r="K92" s="543"/>
      <c r="L92" s="544"/>
      <c r="M92" s="543"/>
      <c r="N92" s="543"/>
      <c r="O92" s="543"/>
      <c r="P92" s="545"/>
      <c r="Q92" s="510"/>
      <c r="R92" s="510"/>
      <c r="S92" s="528"/>
      <c r="T92" s="528"/>
      <c r="U92" s="528"/>
      <c r="V92" s="528"/>
      <c r="W92" s="528"/>
      <c r="X92" s="528"/>
      <c r="Y92" s="528"/>
      <c r="Z92" s="528"/>
      <c r="AA92" s="528"/>
      <c r="AB92" s="528"/>
      <c r="AC92" s="528"/>
      <c r="AD92" s="528"/>
      <c r="AE92" s="528"/>
      <c r="AF92" s="528"/>
      <c r="AG92" s="528"/>
      <c r="AH92" s="528"/>
      <c r="AI92" s="528"/>
      <c r="AJ92" s="528"/>
      <c r="AK92" s="528"/>
      <c r="AL92" s="528"/>
      <c r="AM92" s="528"/>
      <c r="AN92" s="528"/>
      <c r="AO92" s="528"/>
    </row>
    <row r="93" spans="1:41" s="524" customFormat="1" ht="13.5" customHeight="1">
      <c r="A93" s="546"/>
      <c r="B93" s="539"/>
      <c r="H93" s="532" t="s">
        <v>1015</v>
      </c>
      <c r="I93" s="546"/>
      <c r="P93" s="532" t="s">
        <v>1015</v>
      </c>
      <c r="Q93" s="510"/>
      <c r="R93" s="510"/>
    </row>
    <row r="94" spans="1:41" ht="18">
      <c r="A94" s="472" t="s">
        <v>941</v>
      </c>
      <c r="B94" s="473"/>
      <c r="C94" s="473"/>
      <c r="D94" s="473"/>
      <c r="E94" s="473"/>
      <c r="F94" s="473"/>
      <c r="G94" s="473"/>
      <c r="H94" s="474"/>
      <c r="I94" s="472" t="s">
        <v>942</v>
      </c>
      <c r="J94" s="475"/>
      <c r="K94" s="475"/>
      <c r="L94" s="473"/>
      <c r="M94" s="475"/>
      <c r="N94" s="475"/>
      <c r="O94" s="475"/>
      <c r="P94" s="475"/>
      <c r="Q94" s="510"/>
      <c r="R94" s="510"/>
    </row>
    <row r="95" spans="1:41">
      <c r="A95" s="479"/>
      <c r="B95" s="475"/>
      <c r="C95" s="475"/>
      <c r="D95" s="475"/>
      <c r="E95" s="475"/>
      <c r="F95" s="475"/>
      <c r="G95" s="475"/>
      <c r="H95" s="480"/>
      <c r="I95" s="479"/>
      <c r="J95" s="475"/>
      <c r="K95" s="475"/>
      <c r="L95" s="475"/>
      <c r="M95" s="475"/>
      <c r="N95" s="475"/>
      <c r="O95" s="475"/>
      <c r="P95" s="475"/>
      <c r="Q95" s="510"/>
      <c r="R95" s="510"/>
    </row>
    <row r="96" spans="1:41" ht="15.75">
      <c r="A96" s="481" t="s">
        <v>917</v>
      </c>
      <c r="B96" s="475"/>
      <c r="C96" s="475"/>
      <c r="D96" s="475"/>
      <c r="E96" s="475"/>
      <c r="F96" s="475"/>
      <c r="G96" s="475"/>
      <c r="H96" s="480"/>
      <c r="I96" s="481" t="s">
        <v>918</v>
      </c>
      <c r="J96" s="475"/>
      <c r="K96" s="475"/>
      <c r="L96" s="475"/>
      <c r="M96" s="475"/>
      <c r="N96" s="475"/>
      <c r="O96" s="475"/>
      <c r="P96" s="475"/>
      <c r="Q96" s="510"/>
      <c r="R96" s="510"/>
    </row>
    <row r="97" spans="1:41" ht="15.75">
      <c r="A97" s="481" t="s">
        <v>965</v>
      </c>
      <c r="B97" s="475"/>
      <c r="C97" s="475"/>
      <c r="D97" s="475"/>
      <c r="E97" s="475"/>
      <c r="F97" s="475"/>
      <c r="G97" s="475"/>
      <c r="H97" s="480"/>
      <c r="I97" s="481" t="s">
        <v>965</v>
      </c>
      <c r="J97" s="475"/>
      <c r="K97" s="475"/>
      <c r="L97" s="475"/>
      <c r="M97" s="475"/>
      <c r="N97" s="475"/>
      <c r="O97" s="475"/>
      <c r="P97" s="475"/>
      <c r="Q97" s="510"/>
      <c r="R97" s="510"/>
    </row>
    <row r="98" spans="1:41">
      <c r="A98" s="484"/>
      <c r="B98" s="485"/>
      <c r="C98" s="485"/>
      <c r="D98" s="485"/>
      <c r="E98" s="485"/>
      <c r="F98" s="485"/>
      <c r="G98" s="485"/>
      <c r="H98" s="485"/>
      <c r="I98" s="486"/>
      <c r="L98" s="487"/>
      <c r="P98" s="484"/>
      <c r="Q98" s="510"/>
      <c r="R98" s="510"/>
    </row>
    <row r="99" spans="1:41" s="494" customFormat="1">
      <c r="A99" s="489"/>
      <c r="B99" s="657" t="s">
        <v>919</v>
      </c>
      <c r="C99" s="657"/>
      <c r="D99" s="657"/>
      <c r="E99" s="657"/>
      <c r="F99" s="657"/>
      <c r="G99" s="657"/>
      <c r="H99" s="657"/>
      <c r="I99" s="489"/>
      <c r="J99" s="490" t="s">
        <v>919</v>
      </c>
      <c r="K99" s="490"/>
      <c r="L99" s="490"/>
      <c r="M99" s="490"/>
      <c r="N99" s="490"/>
      <c r="O99" s="490"/>
      <c r="P99" s="491"/>
      <c r="Q99" s="510"/>
      <c r="R99" s="510"/>
    </row>
    <row r="100" spans="1:41" s="494" customFormat="1">
      <c r="A100" s="489"/>
      <c r="B100" s="490" t="s">
        <v>920</v>
      </c>
      <c r="C100" s="490"/>
      <c r="D100" s="659" t="s">
        <v>921</v>
      </c>
      <c r="E100" s="657"/>
      <c r="F100" s="657"/>
      <c r="G100" s="657"/>
      <c r="H100" s="495" t="s">
        <v>320</v>
      </c>
      <c r="I100" s="489"/>
      <c r="J100" s="490" t="s">
        <v>920</v>
      </c>
      <c r="K100" s="490"/>
      <c r="L100" s="659" t="s">
        <v>921</v>
      </c>
      <c r="M100" s="657"/>
      <c r="N100" s="657"/>
      <c r="O100" s="657"/>
      <c r="P100" s="495" t="s">
        <v>320</v>
      </c>
      <c r="Q100" s="510"/>
      <c r="R100" s="510"/>
    </row>
    <row r="101" spans="1:41" s="494" customFormat="1" ht="40.5" customHeight="1">
      <c r="A101" s="489"/>
      <c r="B101" s="496" t="s">
        <v>922</v>
      </c>
      <c r="C101" s="497" t="s">
        <v>923</v>
      </c>
      <c r="D101" s="498" t="s">
        <v>924</v>
      </c>
      <c r="E101" s="499" t="s">
        <v>10</v>
      </c>
      <c r="F101" s="496" t="s">
        <v>925</v>
      </c>
      <c r="G101" s="500" t="s">
        <v>935</v>
      </c>
      <c r="H101" s="501" t="s">
        <v>927</v>
      </c>
      <c r="I101" s="489"/>
      <c r="J101" s="496" t="s">
        <v>922</v>
      </c>
      <c r="K101" s="497" t="s">
        <v>923</v>
      </c>
      <c r="L101" s="498" t="s">
        <v>924</v>
      </c>
      <c r="M101" s="499" t="s">
        <v>10</v>
      </c>
      <c r="N101" s="496" t="s">
        <v>925</v>
      </c>
      <c r="O101" s="500" t="s">
        <v>935</v>
      </c>
      <c r="P101" s="501" t="s">
        <v>927</v>
      </c>
      <c r="Q101" s="510"/>
      <c r="R101" s="510"/>
      <c r="T101" s="533"/>
    </row>
    <row r="102" spans="1:41" ht="15.75" customHeight="1">
      <c r="A102" s="534" t="s">
        <v>894</v>
      </c>
      <c r="B102" s="505">
        <f>('Pivot Table for Data Exchange'!$E$6)*100</f>
        <v>83.116995144301796</v>
      </c>
      <c r="C102" s="505">
        <f>('Pivot Table for Data Exchange'!$E$9)*100</f>
        <v>0.36029059964512578</v>
      </c>
      <c r="D102" s="506">
        <f>SUM(E102:G102)</f>
        <v>16.522714256053071</v>
      </c>
      <c r="E102" s="505">
        <f>('Pivot Table for Data Exchange'!$E$12)*100</f>
        <v>16.135141072025018</v>
      </c>
      <c r="F102" s="505">
        <f>('Pivot Table for Data Exchange'!$E$15)*100</f>
        <v>0.16279277372606882</v>
      </c>
      <c r="G102" s="547">
        <f>('Pivot Table for Data Exchange'!$E$18)*100</f>
        <v>0.22478041030198409</v>
      </c>
      <c r="H102" s="505">
        <f>('Pivot Table for Data Exchange'!$E$21)*100</f>
        <v>0</v>
      </c>
      <c r="I102" s="508" t="s">
        <v>894</v>
      </c>
      <c r="J102" s="505">
        <f>('Pivot Table for Data Exchange'!$E$24)*100</f>
        <v>62.572876939025903</v>
      </c>
      <c r="K102" s="505">
        <f>('Pivot Table for Data Exchange'!$E$27)*100</f>
        <v>3.7092340907145506E-2</v>
      </c>
      <c r="L102" s="506">
        <f>SUM(M102:O102)</f>
        <v>37.390030720066953</v>
      </c>
      <c r="M102" s="505">
        <f>('Pivot Table for Data Exchange'!$E$30)*100</f>
        <v>37.041933366938359</v>
      </c>
      <c r="N102" s="519">
        <f>('Pivot Table for Data Exchange'!$E$33)*100</f>
        <v>1.7119541957144081E-2</v>
      </c>
      <c r="O102" s="509">
        <f>('Pivot Table for Data Exchange'!$E$36)*100</f>
        <v>0.3309778111714522</v>
      </c>
      <c r="P102" s="505">
        <f>('Pivot Table for Data Exchange'!$E$39)*100</f>
        <v>0</v>
      </c>
      <c r="Q102" s="510">
        <f>SUM(B102,C102,D102,H102)</f>
        <v>100</v>
      </c>
      <c r="R102" s="510">
        <f t="shared" si="15"/>
        <v>100</v>
      </c>
      <c r="S102" s="511"/>
      <c r="T102" s="511"/>
      <c r="U102" s="511"/>
      <c r="V102" s="511"/>
      <c r="W102" s="511"/>
      <c r="X102" s="511"/>
      <c r="Y102" s="511"/>
      <c r="Z102" s="511"/>
      <c r="AA102" s="511"/>
      <c r="AB102" s="511"/>
      <c r="AC102" s="511"/>
      <c r="AD102" s="511"/>
      <c r="AE102" s="511"/>
      <c r="AF102" s="511"/>
      <c r="AG102" s="511"/>
      <c r="AH102" s="511"/>
      <c r="AI102" s="511"/>
      <c r="AJ102" s="511"/>
      <c r="AK102" s="511"/>
      <c r="AL102" s="511"/>
      <c r="AM102" s="511"/>
      <c r="AN102" s="511"/>
      <c r="AO102" s="511"/>
    </row>
    <row r="103" spans="1:41" ht="15.75" customHeight="1">
      <c r="A103" s="512" t="s">
        <v>895</v>
      </c>
      <c r="B103" s="505">
        <f>('Pivot Table for Data Exchange'!$E$42)*100</f>
        <v>77.212618414686801</v>
      </c>
      <c r="C103" s="505">
        <f>('Pivot Table for Data Exchange'!$E$45)*100</f>
        <v>4.7038137202370116</v>
      </c>
      <c r="D103" s="506">
        <f t="shared" ref="D103:D105" si="22">SUM(E103:G103)</f>
        <v>18.083567865076184</v>
      </c>
      <c r="E103" s="505">
        <f>('Pivot Table for Data Exchange'!$E$48)*100</f>
        <v>17.714603047438704</v>
      </c>
      <c r="F103" s="505">
        <f>('Pivot Table for Data Exchange'!$E$51)*100</f>
        <v>0.21576053311969703</v>
      </c>
      <c r="G103" s="515">
        <f>('Pivot Table for Data Exchange'!$E$54)*100</f>
        <v>0.15320428451778365</v>
      </c>
      <c r="H103" s="519">
        <f>('Pivot Table for Data Exchange'!$E$57)*100</f>
        <v>0</v>
      </c>
      <c r="I103" s="514" t="s">
        <v>895</v>
      </c>
      <c r="J103" s="505">
        <f>('Pivot Table for Data Exchange'!$E$60)*100</f>
        <v>37.76834934341246</v>
      </c>
      <c r="K103" s="505">
        <f>('Pivot Table for Data Exchange'!$E$63)*100</f>
        <v>0.92997893541688448</v>
      </c>
      <c r="L103" s="506">
        <f t="shared" ref="L103:L105" si="23">SUM(M103:O103)</f>
        <v>61.301671721170656</v>
      </c>
      <c r="M103" s="505">
        <f>('Pivot Table for Data Exchange'!$E$66)*100</f>
        <v>57.424892062685807</v>
      </c>
      <c r="N103" s="505">
        <f>('Pivot Table for Data Exchange'!$E$69)*100</f>
        <v>3.513751736707651</v>
      </c>
      <c r="O103" s="515">
        <f>('Pivot Table for Data Exchange'!$E$72)*100</f>
        <v>0.36302792177719345</v>
      </c>
      <c r="P103" s="505">
        <f>('Pivot Table for Data Exchange'!$E$75)*100</f>
        <v>0</v>
      </c>
      <c r="Q103" s="510">
        <f t="shared" si="14"/>
        <v>100</v>
      </c>
      <c r="R103" s="510">
        <f t="shared" si="15"/>
        <v>100</v>
      </c>
      <c r="S103" s="511"/>
      <c r="T103" s="511"/>
      <c r="U103" s="511"/>
      <c r="V103" s="511"/>
      <c r="W103" s="511"/>
      <c r="X103" s="511"/>
      <c r="Y103" s="511"/>
      <c r="Z103" s="511"/>
      <c r="AA103" s="511"/>
      <c r="AB103" s="511"/>
      <c r="AC103" s="511"/>
      <c r="AD103" s="511"/>
      <c r="AE103" s="511"/>
      <c r="AF103" s="511"/>
      <c r="AG103" s="511"/>
      <c r="AH103" s="511"/>
      <c r="AI103" s="511"/>
      <c r="AJ103" s="511"/>
      <c r="AK103" s="511"/>
      <c r="AL103" s="511"/>
      <c r="AM103" s="511"/>
      <c r="AN103" s="511"/>
      <c r="AO103" s="511"/>
    </row>
    <row r="104" spans="1:41" ht="15.75" customHeight="1">
      <c r="A104" s="512" t="s">
        <v>896</v>
      </c>
      <c r="B104" s="505">
        <f>('Pivot Table for Data Exchange'!$E$78)*100</f>
        <v>96.862700078719499</v>
      </c>
      <c r="C104" s="505">
        <f>('Pivot Table for Data Exchange'!$E$81)*100</f>
        <v>0</v>
      </c>
      <c r="D104" s="506">
        <f t="shared" si="22"/>
        <v>3.1372999212805035</v>
      </c>
      <c r="E104" s="505">
        <f>('Pivot Table for Data Exchange'!$E$84)*100</f>
        <v>3.1372999212805035</v>
      </c>
      <c r="F104" s="505">
        <f>('Pivot Table for Data Exchange'!$E$87)*100</f>
        <v>0</v>
      </c>
      <c r="G104" s="515">
        <f>('Pivot Table for Data Exchange'!$E$90)*100</f>
        <v>0</v>
      </c>
      <c r="H104" s="505">
        <f>('Pivot Table for Data Exchange'!$E$93)*100</f>
        <v>0</v>
      </c>
      <c r="I104" s="514" t="s">
        <v>896</v>
      </c>
      <c r="J104" s="505">
        <f>('Pivot Table for Data Exchange'!$E$96)*100</f>
        <v>95.306530835000913</v>
      </c>
      <c r="K104" s="505">
        <f>('Pivot Table for Data Exchange'!$E$99)*100</f>
        <v>0</v>
      </c>
      <c r="L104" s="506">
        <f t="shared" si="23"/>
        <v>4.6934691649990903</v>
      </c>
      <c r="M104" s="505">
        <f>('Pivot Table for Data Exchange'!$E$102)*100</f>
        <v>4.6934691649990903</v>
      </c>
      <c r="N104" s="505">
        <f>('Pivot Table for Data Exchange'!$E$105)*100</f>
        <v>0</v>
      </c>
      <c r="O104" s="515">
        <f>('Pivot Table for Data Exchange'!$E$108)*100</f>
        <v>0</v>
      </c>
      <c r="P104" s="505">
        <f>('Pivot Table for Data Exchange'!$E$111)*100</f>
        <v>0</v>
      </c>
      <c r="Q104" s="510">
        <f t="shared" si="14"/>
        <v>100</v>
      </c>
      <c r="R104" s="510">
        <f t="shared" si="15"/>
        <v>100</v>
      </c>
      <c r="S104" s="511"/>
      <c r="T104" s="535"/>
      <c r="U104" s="511"/>
      <c r="V104" s="511"/>
      <c r="W104" s="511"/>
      <c r="X104" s="511"/>
      <c r="Y104" s="511"/>
      <c r="Z104" s="511"/>
      <c r="AA104" s="511"/>
      <c r="AB104" s="511"/>
      <c r="AC104" s="511"/>
      <c r="AD104" s="511"/>
      <c r="AE104" s="511"/>
      <c r="AF104" s="511"/>
      <c r="AG104" s="511"/>
      <c r="AH104" s="511"/>
      <c r="AI104" s="511"/>
      <c r="AJ104" s="511"/>
      <c r="AK104" s="511"/>
      <c r="AL104" s="511"/>
      <c r="AM104" s="511"/>
      <c r="AN104" s="511"/>
      <c r="AO104" s="511"/>
    </row>
    <row r="105" spans="1:41" ht="15.75" customHeight="1">
      <c r="A105" s="512" t="s">
        <v>936</v>
      </c>
      <c r="B105" s="505">
        <f>('Pivot Table for Data Exchange'!$E$114)*100</f>
        <v>86.982007206097123</v>
      </c>
      <c r="C105" s="505">
        <f>('Pivot Table for Data Exchange'!$E$117)*100</f>
        <v>1.1140890547890363</v>
      </c>
      <c r="D105" s="506">
        <f t="shared" si="22"/>
        <v>11.903903739113844</v>
      </c>
      <c r="E105" s="505">
        <f>('Pivot Table for Data Exchange'!$E$120)*100</f>
        <v>11.903903739113844</v>
      </c>
      <c r="F105" s="505">
        <f>('Pivot Table for Data Exchange'!$E$123)*100</f>
        <v>0</v>
      </c>
      <c r="G105" s="515">
        <f>('Pivot Table for Data Exchange'!$E$126)*100</f>
        <v>0</v>
      </c>
      <c r="H105" s="505">
        <f>('Pivot Table for Data Exchange'!$E$129)*100</f>
        <v>0</v>
      </c>
      <c r="I105" s="514" t="s">
        <v>936</v>
      </c>
      <c r="J105" s="505">
        <f>('Pivot Table for Data Exchange'!$E$132)*100</f>
        <v>55.831165956504904</v>
      </c>
      <c r="K105" s="505">
        <f>('Pivot Table for Data Exchange'!$E$135)*100</f>
        <v>14.071348200616088</v>
      </c>
      <c r="L105" s="506">
        <f t="shared" si="23"/>
        <v>30.097485842879014</v>
      </c>
      <c r="M105" s="505">
        <f>('Pivot Table for Data Exchange'!$E$138)*100</f>
        <v>30.097485842879014</v>
      </c>
      <c r="N105" s="505">
        <f>('Pivot Table for Data Exchange'!$E$141)*100</f>
        <v>0</v>
      </c>
      <c r="O105" s="515">
        <f>('Pivot Table for Data Exchange'!$E$144)*100</f>
        <v>0</v>
      </c>
      <c r="P105" s="505">
        <f>('Pivot Table for Data Exchange'!$E$147)*100</f>
        <v>0</v>
      </c>
      <c r="Q105" s="510">
        <f t="shared" si="14"/>
        <v>100</v>
      </c>
      <c r="R105" s="510">
        <f t="shared" si="15"/>
        <v>100</v>
      </c>
      <c r="S105" s="511"/>
      <c r="U105" s="511"/>
      <c r="V105" s="511"/>
      <c r="W105" s="511"/>
      <c r="X105" s="511"/>
      <c r="Y105" s="511"/>
      <c r="Z105" s="511"/>
      <c r="AA105" s="511"/>
      <c r="AB105" s="511"/>
      <c r="AC105" s="511"/>
      <c r="AD105" s="511"/>
      <c r="AE105" s="511"/>
      <c r="AF105" s="511"/>
      <c r="AG105" s="511"/>
      <c r="AH105" s="511"/>
      <c r="AI105" s="511"/>
      <c r="AJ105" s="511"/>
      <c r="AK105" s="511"/>
      <c r="AL105" s="511"/>
      <c r="AM105" s="511"/>
      <c r="AN105" s="511"/>
      <c r="AO105" s="511"/>
    </row>
    <row r="106" spans="1:41" ht="11.25" customHeight="1">
      <c r="A106" s="512"/>
      <c r="B106" s="505"/>
      <c r="C106" s="505"/>
      <c r="D106" s="506"/>
      <c r="E106" s="505"/>
      <c r="F106" s="505"/>
      <c r="G106" s="515"/>
      <c r="H106" s="505"/>
      <c r="I106" s="514"/>
      <c r="J106" s="505"/>
      <c r="K106" s="505"/>
      <c r="L106" s="506"/>
      <c r="M106" s="505"/>
      <c r="N106" s="505"/>
      <c r="O106" s="515"/>
      <c r="P106" s="505"/>
      <c r="Q106" s="510">
        <f t="shared" si="14"/>
        <v>0</v>
      </c>
      <c r="R106" s="510">
        <f t="shared" si="15"/>
        <v>0</v>
      </c>
      <c r="S106" s="511"/>
      <c r="U106" s="511"/>
      <c r="V106" s="511"/>
      <c r="W106" s="511"/>
      <c r="X106" s="511"/>
      <c r="Y106" s="511"/>
      <c r="Z106" s="511"/>
      <c r="AA106" s="511"/>
      <c r="AB106" s="511"/>
      <c r="AC106" s="511"/>
      <c r="AD106" s="511"/>
      <c r="AE106" s="511"/>
      <c r="AF106" s="511"/>
      <c r="AG106" s="511"/>
      <c r="AH106" s="511"/>
      <c r="AI106" s="511"/>
      <c r="AJ106" s="511"/>
      <c r="AK106" s="511"/>
      <c r="AL106" s="511"/>
      <c r="AM106" s="511"/>
      <c r="AN106" s="511"/>
      <c r="AO106" s="511"/>
    </row>
    <row r="107" spans="1:41" ht="15.75" customHeight="1">
      <c r="A107" s="512" t="s">
        <v>898</v>
      </c>
      <c r="B107" s="505">
        <f>('Pivot Table for Data Exchange'!$E$150)*100</f>
        <v>80.503381592469722</v>
      </c>
      <c r="C107" s="505">
        <f>('Pivot Table for Data Exchange'!$E$153)*100</f>
        <v>1.1704317152756387</v>
      </c>
      <c r="D107" s="506">
        <f t="shared" ref="D107:D110" si="24">SUM(E107:G107)</f>
        <v>18.191141072786699</v>
      </c>
      <c r="E107" s="505">
        <f>('Pivot Table for Data Exchange'!$E$156)*100</f>
        <v>18.10794381186297</v>
      </c>
      <c r="F107" s="505">
        <f>('Pivot Table for Data Exchange'!$E$159)*100</f>
        <v>1.864578193703505E-2</v>
      </c>
      <c r="G107" s="515">
        <f>('Pivot Table for Data Exchange'!$E$162)*100</f>
        <v>6.455147898669443E-2</v>
      </c>
      <c r="H107" s="505">
        <f>('Pivot Table for Data Exchange'!$E$165)*100</f>
        <v>0.135045619467941</v>
      </c>
      <c r="I107" s="514" t="s">
        <v>898</v>
      </c>
      <c r="J107" s="505">
        <f>('Pivot Table for Data Exchange'!$E$168)*100</f>
        <v>37.639706766013703</v>
      </c>
      <c r="K107" s="505">
        <f>('Pivot Table for Data Exchange'!$E$171)*100</f>
        <v>1.8993825146931744</v>
      </c>
      <c r="L107" s="506">
        <f t="shared" ref="L107:L110" si="25">SUM(M107:O107)</f>
        <v>60.323564589878735</v>
      </c>
      <c r="M107" s="505">
        <f>('Pivot Table for Data Exchange'!$E$174)*100</f>
        <v>60.277210271201376</v>
      </c>
      <c r="N107" s="505">
        <f>('Pivot Table for Data Exchange'!$E$177)*100</f>
        <v>1.0300959706079284E-2</v>
      </c>
      <c r="O107" s="515">
        <f>('Pivot Table for Data Exchange'!$E$180)*100</f>
        <v>3.605335897127749E-2</v>
      </c>
      <c r="P107" s="505">
        <f>('Pivot Table for Data Exchange'!$E$183)*100</f>
        <v>0.13734612941439045</v>
      </c>
      <c r="Q107" s="510">
        <f t="shared" si="14"/>
        <v>100</v>
      </c>
      <c r="R107" s="510">
        <f t="shared" si="15"/>
        <v>100</v>
      </c>
      <c r="S107" s="511"/>
      <c r="T107" s="511"/>
      <c r="U107" s="511"/>
      <c r="V107" s="511"/>
      <c r="W107" s="511"/>
      <c r="X107" s="511"/>
      <c r="Y107" s="511"/>
      <c r="Z107" s="511"/>
      <c r="AA107" s="511"/>
      <c r="AB107" s="511"/>
      <c r="AC107" s="511"/>
      <c r="AD107" s="511"/>
      <c r="AE107" s="511"/>
      <c r="AF107" s="511"/>
      <c r="AG107" s="511"/>
      <c r="AH107" s="511"/>
      <c r="AI107" s="511"/>
      <c r="AJ107" s="511"/>
      <c r="AK107" s="511"/>
      <c r="AL107" s="511"/>
      <c r="AM107" s="511"/>
      <c r="AN107" s="511"/>
      <c r="AO107" s="511"/>
    </row>
    <row r="108" spans="1:41" ht="15.75" customHeight="1">
      <c r="A108" s="512" t="s">
        <v>899</v>
      </c>
      <c r="B108" s="505">
        <f>('Pivot Table for Data Exchange'!$E$186)*100</f>
        <v>77.000983212820231</v>
      </c>
      <c r="C108" s="505">
        <f>('Pivot Table for Data Exchange'!$E$189)*100</f>
        <v>5.3173310307045387</v>
      </c>
      <c r="D108" s="506">
        <f t="shared" si="24"/>
        <v>17.681685756475236</v>
      </c>
      <c r="E108" s="505">
        <f>('Pivot Table for Data Exchange'!$E$192)*100</f>
        <v>15.697784808213031</v>
      </c>
      <c r="F108" s="505">
        <f>('Pivot Table for Data Exchange'!$E$195)*100</f>
        <v>1.8442194221417592</v>
      </c>
      <c r="G108" s="515">
        <f>('Pivot Table for Data Exchange'!$E$198)*100</f>
        <v>0.1396815261204454</v>
      </c>
      <c r="H108" s="505">
        <f>('Pivot Table for Data Exchange'!$E$201)*100</f>
        <v>0</v>
      </c>
      <c r="I108" s="514" t="s">
        <v>899</v>
      </c>
      <c r="J108" s="505">
        <f>('Pivot Table for Data Exchange'!$E$204)*100</f>
        <v>48.642743087654424</v>
      </c>
      <c r="K108" s="505">
        <f>('Pivot Table for Data Exchange'!$E$207)*100</f>
        <v>2.6772958111726077</v>
      </c>
      <c r="L108" s="506">
        <f t="shared" si="25"/>
        <v>48.679961101172964</v>
      </c>
      <c r="M108" s="505">
        <f>('Pivot Table for Data Exchange'!$E$210)*100</f>
        <v>47.588632898322786</v>
      </c>
      <c r="N108" s="505">
        <f>('Pivot Table for Data Exchange'!$E$213)*100</f>
        <v>0.73595620280215623</v>
      </c>
      <c r="O108" s="513">
        <f>('Pivot Table for Data Exchange'!$E$216)*100</f>
        <v>0.35537200004802322</v>
      </c>
      <c r="P108" s="505">
        <f>('Pivot Table for Data Exchange'!$E$219)*100</f>
        <v>0</v>
      </c>
      <c r="Q108" s="510">
        <f t="shared" si="14"/>
        <v>100</v>
      </c>
      <c r="R108" s="510">
        <f t="shared" si="15"/>
        <v>100</v>
      </c>
      <c r="S108" s="511"/>
      <c r="T108" s="511"/>
      <c r="U108" s="511"/>
      <c r="V108" s="511"/>
      <c r="W108" s="511"/>
      <c r="X108" s="511"/>
      <c r="Y108" s="511"/>
      <c r="Z108" s="511"/>
      <c r="AA108" s="511"/>
      <c r="AB108" s="511"/>
      <c r="AC108" s="511"/>
      <c r="AD108" s="511"/>
      <c r="AE108" s="511"/>
      <c r="AF108" s="511"/>
      <c r="AG108" s="511"/>
      <c r="AH108" s="511"/>
      <c r="AI108" s="511"/>
      <c r="AJ108" s="511"/>
      <c r="AK108" s="511"/>
      <c r="AL108" s="511"/>
      <c r="AM108" s="511"/>
      <c r="AN108" s="511"/>
      <c r="AO108" s="511"/>
    </row>
    <row r="109" spans="1:41" ht="15.75" customHeight="1">
      <c r="A109" s="512" t="s">
        <v>900</v>
      </c>
      <c r="B109" s="505">
        <f>('Pivot Table for Data Exchange'!$E$222)*100</f>
        <v>87.885738962099794</v>
      </c>
      <c r="C109" s="505">
        <f>('Pivot Table for Data Exchange'!$E$225)*100</f>
        <v>0</v>
      </c>
      <c r="D109" s="506">
        <f t="shared" si="24"/>
        <v>12.114261037900215</v>
      </c>
      <c r="E109" s="505">
        <f>('Pivot Table for Data Exchange'!$E$228)*100</f>
        <v>12.114261037900215</v>
      </c>
      <c r="F109" s="505">
        <f>('Pivot Table for Data Exchange'!$E$231)*100</f>
        <v>0</v>
      </c>
      <c r="G109" s="515">
        <f>('Pivot Table for Data Exchange'!$E$234)*100</f>
        <v>0</v>
      </c>
      <c r="H109" s="505">
        <f>('Pivot Table for Data Exchange'!$E$237)*100</f>
        <v>0</v>
      </c>
      <c r="I109" s="514" t="s">
        <v>900</v>
      </c>
      <c r="J109" s="505">
        <f>('Pivot Table for Data Exchange'!$E$240)*100</f>
        <v>74.40559183455791</v>
      </c>
      <c r="K109" s="505">
        <f>('Pivot Table for Data Exchange'!$E$243)*100</f>
        <v>0</v>
      </c>
      <c r="L109" s="506">
        <f t="shared" si="25"/>
        <v>25.594408165442072</v>
      </c>
      <c r="M109" s="505">
        <f>('Pivot Table for Data Exchange'!$E$246)*100</f>
        <v>25.594408165442072</v>
      </c>
      <c r="N109" s="505">
        <f>('Pivot Table for Data Exchange'!$E$249)*100</f>
        <v>0</v>
      </c>
      <c r="O109" s="515">
        <f>('Pivot Table for Data Exchange'!$E$252)*100</f>
        <v>0</v>
      </c>
      <c r="P109" s="505">
        <f>('Pivot Table for Data Exchange'!$E$255)*100</f>
        <v>0</v>
      </c>
      <c r="Q109" s="510">
        <f t="shared" si="14"/>
        <v>100.00000000000001</v>
      </c>
      <c r="R109" s="510">
        <f t="shared" si="15"/>
        <v>99.999999999999986</v>
      </c>
      <c r="S109" s="511"/>
      <c r="T109" s="535"/>
      <c r="U109" s="511"/>
      <c r="V109" s="511"/>
      <c r="W109" s="511"/>
      <c r="X109" s="511"/>
      <c r="Y109" s="511"/>
      <c r="Z109" s="511"/>
      <c r="AA109" s="511"/>
      <c r="AB109" s="511"/>
      <c r="AC109" s="511"/>
      <c r="AD109" s="511"/>
      <c r="AE109" s="511"/>
      <c r="AF109" s="511"/>
      <c r="AG109" s="511"/>
      <c r="AH109" s="511"/>
      <c r="AI109" s="511"/>
      <c r="AJ109" s="511"/>
      <c r="AK109" s="511"/>
      <c r="AL109" s="511"/>
      <c r="AM109" s="511"/>
      <c r="AN109" s="511"/>
      <c r="AO109" s="511"/>
    </row>
    <row r="110" spans="1:41" ht="15.75" customHeight="1">
      <c r="A110" s="512" t="s">
        <v>901</v>
      </c>
      <c r="B110" s="505">
        <f>('Pivot Table for Data Exchange'!$E$258)*100</f>
        <v>86.451400051717158</v>
      </c>
      <c r="C110" s="505">
        <f>('Pivot Table for Data Exchange'!$E$261)*100</f>
        <v>2.3966609194144448</v>
      </c>
      <c r="D110" s="506">
        <f t="shared" si="24"/>
        <v>11.151939028868391</v>
      </c>
      <c r="E110" s="505">
        <f>('Pivot Table for Data Exchange'!$E$264)*100</f>
        <v>11.151939028868391</v>
      </c>
      <c r="F110" s="505">
        <f>('Pivot Table for Data Exchange'!$E$267)*100</f>
        <v>0</v>
      </c>
      <c r="G110" s="515">
        <f>('Pivot Table for Data Exchange'!$E$270)*100</f>
        <v>0</v>
      </c>
      <c r="H110" s="505">
        <f>('Pivot Table for Data Exchange'!$E$273)*100</f>
        <v>0</v>
      </c>
      <c r="I110" s="514" t="s">
        <v>901</v>
      </c>
      <c r="J110" s="505">
        <f>('Pivot Table for Data Exchange'!$E$276)*100</f>
        <v>70.413081434859421</v>
      </c>
      <c r="K110" s="505">
        <f>('Pivot Table for Data Exchange'!$E$279)*100</f>
        <v>8.6631049588591384</v>
      </c>
      <c r="L110" s="506">
        <f t="shared" si="25"/>
        <v>20.923813606281431</v>
      </c>
      <c r="M110" s="505">
        <f>('Pivot Table for Data Exchange'!$E$282)*100</f>
        <v>20.889311740044121</v>
      </c>
      <c r="N110" s="505">
        <f>('Pivot Table for Data Exchange'!$E$285)*100</f>
        <v>3.4501866237310108E-2</v>
      </c>
      <c r="O110" s="515">
        <f>('Pivot Table for Data Exchange'!$E$288)*100</f>
        <v>0</v>
      </c>
      <c r="P110" s="505">
        <f>('Pivot Table for Data Exchange'!$E$291)*100</f>
        <v>0</v>
      </c>
      <c r="Q110" s="510">
        <f t="shared" si="14"/>
        <v>100</v>
      </c>
      <c r="R110" s="510">
        <f t="shared" si="15"/>
        <v>99.999999999999986</v>
      </c>
      <c r="S110" s="511"/>
      <c r="U110" s="511"/>
      <c r="V110" s="511"/>
      <c r="W110" s="511"/>
      <c r="X110" s="511"/>
      <c r="Y110" s="511"/>
      <c r="Z110" s="511"/>
      <c r="AA110" s="511"/>
      <c r="AB110" s="511"/>
      <c r="AC110" s="511"/>
      <c r="AD110" s="511"/>
      <c r="AE110" s="511"/>
      <c r="AF110" s="511"/>
      <c r="AG110" s="511"/>
      <c r="AH110" s="511"/>
      <c r="AI110" s="511"/>
      <c r="AJ110" s="511"/>
      <c r="AK110" s="511"/>
      <c r="AL110" s="511"/>
      <c r="AM110" s="511"/>
      <c r="AN110" s="511"/>
      <c r="AO110" s="511"/>
    </row>
    <row r="111" spans="1:41" ht="11.25" customHeight="1">
      <c r="A111" s="512"/>
      <c r="B111" s="505"/>
      <c r="C111" s="505"/>
      <c r="D111" s="506"/>
      <c r="E111" s="505"/>
      <c r="F111" s="505"/>
      <c r="G111" s="515"/>
      <c r="H111" s="505"/>
      <c r="I111" s="514"/>
      <c r="J111" s="505"/>
      <c r="K111" s="505"/>
      <c r="L111" s="506"/>
      <c r="M111" s="505"/>
      <c r="N111" s="505"/>
      <c r="O111" s="515"/>
      <c r="P111" s="505"/>
      <c r="Q111" s="510">
        <f t="shared" si="14"/>
        <v>0</v>
      </c>
      <c r="R111" s="510">
        <f t="shared" si="15"/>
        <v>0</v>
      </c>
      <c r="S111" s="511"/>
      <c r="U111" s="511"/>
      <c r="V111" s="511"/>
      <c r="W111" s="511"/>
      <c r="X111" s="511"/>
      <c r="Y111" s="511"/>
      <c r="Z111" s="511"/>
      <c r="AA111" s="511"/>
      <c r="AB111" s="511"/>
      <c r="AC111" s="511"/>
      <c r="AD111" s="511"/>
      <c r="AE111" s="511"/>
      <c r="AF111" s="511"/>
      <c r="AG111" s="511"/>
      <c r="AH111" s="511"/>
      <c r="AI111" s="511"/>
      <c r="AJ111" s="511"/>
      <c r="AK111" s="511"/>
      <c r="AL111" s="511"/>
      <c r="AM111" s="511"/>
      <c r="AN111" s="511"/>
      <c r="AO111" s="511"/>
    </row>
    <row r="112" spans="1:41" ht="15.75" customHeight="1">
      <c r="A112" s="512" t="s">
        <v>902</v>
      </c>
      <c r="B112" s="505">
        <f>('Pivot Table for Data Exchange'!$E$294)*100</f>
        <v>0</v>
      </c>
      <c r="C112" s="505">
        <f>('Pivot Table for Data Exchange'!$E$297)*100</f>
        <v>0</v>
      </c>
      <c r="D112" s="506">
        <f t="shared" ref="D112:D114" si="26">SUM(E112:G112)</f>
        <v>0</v>
      </c>
      <c r="E112" s="505">
        <f>('Pivot Table for Data Exchange'!$E$300)*100</f>
        <v>0</v>
      </c>
      <c r="F112" s="505">
        <f>('Pivot Table for Data Exchange'!$E$303)*100</f>
        <v>0</v>
      </c>
      <c r="G112" s="515">
        <f>('Pivot Table for Data Exchange'!$E$306)*100</f>
        <v>0</v>
      </c>
      <c r="H112" s="505">
        <f>('Pivot Table for Data Exchange'!$E$309)*100</f>
        <v>0</v>
      </c>
      <c r="I112" s="514" t="s">
        <v>902</v>
      </c>
      <c r="J112" s="505">
        <f>('Pivot Table for Data Exchange'!$E$312)*100</f>
        <v>0</v>
      </c>
      <c r="K112" s="505">
        <f>('Pivot Table for Data Exchange'!$E$315)*100</f>
        <v>0</v>
      </c>
      <c r="L112" s="506">
        <f t="shared" ref="L112:L114" si="27">SUM(M112:O112)</f>
        <v>0</v>
      </c>
      <c r="M112" s="505">
        <f>('Pivot Table for Data Exchange'!$E$318)*100</f>
        <v>0</v>
      </c>
      <c r="N112" s="505">
        <f>('Pivot Table for Data Exchange'!$E$321)*100</f>
        <v>0</v>
      </c>
      <c r="O112" s="515">
        <f>('Pivot Table for Data Exchange'!$E$324)*100</f>
        <v>0</v>
      </c>
      <c r="P112" s="505">
        <f>('Pivot Table for Data Exchange'!$E$327)*100</f>
        <v>0</v>
      </c>
      <c r="Q112" s="510">
        <f t="shared" si="14"/>
        <v>0</v>
      </c>
      <c r="R112" s="510">
        <f t="shared" si="15"/>
        <v>0</v>
      </c>
      <c r="S112" s="511"/>
      <c r="T112" s="511"/>
      <c r="U112" s="511"/>
      <c r="V112" s="511"/>
      <c r="W112" s="511"/>
      <c r="X112" s="511"/>
      <c r="Y112" s="511"/>
      <c r="Z112" s="511"/>
      <c r="AA112" s="511"/>
      <c r="AB112" s="511"/>
      <c r="AC112" s="511"/>
      <c r="AD112" s="511"/>
      <c r="AE112" s="511"/>
      <c r="AF112" s="511"/>
      <c r="AG112" s="511"/>
      <c r="AH112" s="511"/>
      <c r="AI112" s="511"/>
      <c r="AJ112" s="511"/>
      <c r="AK112" s="511"/>
      <c r="AL112" s="511"/>
      <c r="AM112" s="511"/>
      <c r="AN112" s="511"/>
      <c r="AO112" s="511"/>
    </row>
    <row r="113" spans="1:41" ht="15.75" customHeight="1">
      <c r="A113" s="512" t="s">
        <v>903</v>
      </c>
      <c r="B113" s="505">
        <f>('Pivot Table for Data Exchange'!$E$330)*100</f>
        <v>88.473980377222674</v>
      </c>
      <c r="C113" s="505">
        <f>('Pivot Table for Data Exchange'!$E$333)*100</f>
        <v>0.6174779621363311</v>
      </c>
      <c r="D113" s="506">
        <f t="shared" si="26"/>
        <v>10.908541660641001</v>
      </c>
      <c r="E113" s="505">
        <f>('Pivot Table for Data Exchange'!$E$336)*100</f>
        <v>10.878975733443884</v>
      </c>
      <c r="F113" s="519">
        <f>('Pivot Table for Data Exchange'!$E$339)*100</f>
        <v>2.9565927197117967E-2</v>
      </c>
      <c r="G113" s="513">
        <f>('Pivot Table for Data Exchange'!$E$342)*100</f>
        <v>0</v>
      </c>
      <c r="H113" s="505">
        <f>('Pivot Table for Data Exchange'!$E$345)*100</f>
        <v>0</v>
      </c>
      <c r="I113" s="514" t="s">
        <v>903</v>
      </c>
      <c r="J113" s="505">
        <f>('Pivot Table for Data Exchange'!$E$348)*100</f>
        <v>66.665811911019929</v>
      </c>
      <c r="K113" s="505">
        <f>('Pivot Table for Data Exchange'!$E$351)*100</f>
        <v>5.2189242900185908</v>
      </c>
      <c r="L113" s="506">
        <f t="shared" si="27"/>
        <v>28.115263798961472</v>
      </c>
      <c r="M113" s="505">
        <f>('Pivot Table for Data Exchange'!$E$354)*100</f>
        <v>27.79088403102763</v>
      </c>
      <c r="N113" s="519">
        <f>('Pivot Table for Data Exchange'!$E$357)*100</f>
        <v>0.32437976793384188</v>
      </c>
      <c r="O113" s="515">
        <f>('Pivot Table for Data Exchange'!$E$360)*100</f>
        <v>0</v>
      </c>
      <c r="P113" s="505">
        <f>('Pivot Table for Data Exchange'!$E$363)*100</f>
        <v>0</v>
      </c>
      <c r="Q113" s="510">
        <f t="shared" si="14"/>
        <v>100.00000000000001</v>
      </c>
      <c r="R113" s="510">
        <f t="shared" si="15"/>
        <v>100</v>
      </c>
      <c r="S113" s="511"/>
      <c r="T113" s="511"/>
      <c r="U113" s="511"/>
      <c r="V113" s="511"/>
      <c r="W113" s="511"/>
      <c r="X113" s="511"/>
      <c r="Y113" s="511"/>
      <c r="Z113" s="511"/>
      <c r="AA113" s="511"/>
      <c r="AB113" s="511"/>
      <c r="AC113" s="511"/>
      <c r="AD113" s="511"/>
      <c r="AE113" s="511"/>
      <c r="AF113" s="511"/>
      <c r="AG113" s="511"/>
      <c r="AH113" s="511"/>
      <c r="AI113" s="511"/>
      <c r="AJ113" s="511"/>
      <c r="AK113" s="511"/>
      <c r="AL113" s="511"/>
      <c r="AM113" s="511"/>
      <c r="AN113" s="511"/>
      <c r="AO113" s="511"/>
    </row>
    <row r="114" spans="1:41" ht="15.75" customHeight="1">
      <c r="A114" s="512" t="s">
        <v>904</v>
      </c>
      <c r="B114" s="505">
        <f>('Pivot Table for Data Exchange'!$E$366)*100</f>
        <v>53.684526433962333</v>
      </c>
      <c r="C114" s="505">
        <f>('Pivot Table for Data Exchange'!$E$369)*100</f>
        <v>25.829476952489632</v>
      </c>
      <c r="D114" s="506">
        <f t="shared" si="26"/>
        <v>20.485996613548032</v>
      </c>
      <c r="E114" s="505">
        <f>('Pivot Table for Data Exchange'!$E$372)*100</f>
        <v>19.420783330060505</v>
      </c>
      <c r="F114" s="505">
        <f>('Pivot Table for Data Exchange'!$E$375)*100</f>
        <v>0.31085702429427303</v>
      </c>
      <c r="G114" s="515">
        <f>('Pivot Table for Data Exchange'!$E$378)*100</f>
        <v>0.75435625919325378</v>
      </c>
      <c r="H114" s="505">
        <f>('Pivot Table for Data Exchange'!$E$381)*100</f>
        <v>0</v>
      </c>
      <c r="I114" s="514" t="s">
        <v>904</v>
      </c>
      <c r="J114" s="505">
        <f>('Pivot Table for Data Exchange'!$E$384)*100</f>
        <v>62.333224861698667</v>
      </c>
      <c r="K114" s="505">
        <f>('Pivot Table for Data Exchange'!$E$387)*100</f>
        <v>21.821103156524568</v>
      </c>
      <c r="L114" s="506">
        <f t="shared" si="27"/>
        <v>15.845671981776766</v>
      </c>
      <c r="M114" s="505">
        <f>('Pivot Table for Data Exchange'!$E$390)*100</f>
        <v>11.428164659941425</v>
      </c>
      <c r="N114" s="505">
        <f>('Pivot Table for Data Exchange'!$E$393)*100</f>
        <v>1.2589489098600717</v>
      </c>
      <c r="O114" s="515">
        <f>('Pivot Table for Data Exchange'!$E$396)*100</f>
        <v>3.1585584119752688</v>
      </c>
      <c r="P114" s="505">
        <f>('Pivot Table for Data Exchange'!$E$399)*100</f>
        <v>0</v>
      </c>
      <c r="Q114" s="510">
        <f t="shared" si="14"/>
        <v>100</v>
      </c>
      <c r="R114" s="510">
        <f t="shared" si="15"/>
        <v>100</v>
      </c>
      <c r="S114" s="511"/>
      <c r="T114" s="535"/>
      <c r="U114" s="511"/>
      <c r="V114" s="511"/>
      <c r="W114" s="511"/>
      <c r="X114" s="511"/>
      <c r="Y114" s="511"/>
      <c r="Z114" s="511"/>
      <c r="AA114" s="511"/>
      <c r="AB114" s="511"/>
      <c r="AC114" s="511"/>
      <c r="AD114" s="511"/>
      <c r="AE114" s="511"/>
      <c r="AF114" s="511"/>
      <c r="AG114" s="511"/>
      <c r="AH114" s="511"/>
      <c r="AI114" s="511"/>
      <c r="AJ114" s="511"/>
      <c r="AK114" s="511"/>
      <c r="AL114" s="511"/>
      <c r="AM114" s="511"/>
      <c r="AN114" s="511"/>
      <c r="AO114" s="511"/>
    </row>
    <row r="115" spans="1:41" ht="15.75" customHeight="1">
      <c r="A115" s="512" t="s">
        <v>905</v>
      </c>
      <c r="B115" s="505">
        <f>('Pivot Table for Data Exchange'!$E$402)*100</f>
        <v>95.81900373183376</v>
      </c>
      <c r="C115" s="505">
        <f>('Pivot Table for Data Exchange'!$E$405)*100</f>
        <v>1.0200780673892917</v>
      </c>
      <c r="D115" s="506">
        <f>SUM(E115:G115)</f>
        <v>3.160918200776945</v>
      </c>
      <c r="E115" s="505">
        <f>('Pivot Table for Data Exchange'!$E$408)*100</f>
        <v>3.160918200776945</v>
      </c>
      <c r="F115" s="519">
        <f>('Pivot Table for Data Exchange'!$E$411)*100</f>
        <v>0</v>
      </c>
      <c r="G115" s="515">
        <f>('Pivot Table for Data Exchange'!$E$414)*100</f>
        <v>0</v>
      </c>
      <c r="H115" s="505">
        <f>('Pivot Table for Data Exchange'!$E$417)*100</f>
        <v>0</v>
      </c>
      <c r="I115" s="514" t="s">
        <v>905</v>
      </c>
      <c r="J115" s="505">
        <f>('Pivot Table for Data Exchange'!$E$420)*100</f>
        <v>74.734201183431949</v>
      </c>
      <c r="K115" s="505">
        <f>('Pivot Table for Data Exchange'!$E$423)*100</f>
        <v>13.593372781065089</v>
      </c>
      <c r="L115" s="506">
        <f>SUM(M115:O115)</f>
        <v>11.672426035502959</v>
      </c>
      <c r="M115" s="505">
        <f>('Pivot Table for Data Exchange'!$E$426)*100</f>
        <v>11.672426035502959</v>
      </c>
      <c r="N115" s="505">
        <f>('Pivot Table for Data Exchange'!$E$429)*100</f>
        <v>0</v>
      </c>
      <c r="O115" s="513">
        <f>('Pivot Table for Data Exchange'!$E$432)*100</f>
        <v>0</v>
      </c>
      <c r="P115" s="505">
        <f>('Pivot Table for Data Exchange'!$E$435)*100</f>
        <v>0</v>
      </c>
      <c r="Q115" s="510">
        <f t="shared" si="14"/>
        <v>100</v>
      </c>
      <c r="R115" s="510">
        <f t="shared" si="15"/>
        <v>100</v>
      </c>
      <c r="S115" s="511"/>
      <c r="T115" s="511"/>
      <c r="U115" s="511"/>
      <c r="V115" s="511"/>
      <c r="W115" s="511"/>
      <c r="X115" s="511"/>
      <c r="Y115" s="511"/>
      <c r="Z115" s="511"/>
      <c r="AA115" s="511"/>
      <c r="AB115" s="511"/>
      <c r="AC115" s="511"/>
      <c r="AD115" s="511"/>
      <c r="AE115" s="511"/>
      <c r="AF115" s="511"/>
      <c r="AG115" s="511"/>
      <c r="AH115" s="511"/>
      <c r="AI115" s="511"/>
      <c r="AJ115" s="511"/>
      <c r="AK115" s="511"/>
      <c r="AL115" s="511"/>
      <c r="AM115" s="511"/>
      <c r="AN115" s="511"/>
      <c r="AO115" s="511"/>
    </row>
    <row r="116" spans="1:41" ht="11.25" customHeight="1">
      <c r="A116" s="512"/>
      <c r="B116" s="505"/>
      <c r="C116" s="505"/>
      <c r="D116" s="506"/>
      <c r="E116" s="505"/>
      <c r="F116" s="505"/>
      <c r="G116" s="515"/>
      <c r="H116" s="505"/>
      <c r="I116" s="514"/>
      <c r="J116" s="505"/>
      <c r="K116" s="505"/>
      <c r="L116" s="506"/>
      <c r="M116" s="505"/>
      <c r="N116" s="505"/>
      <c r="O116" s="515"/>
      <c r="P116" s="505"/>
      <c r="Q116" s="510">
        <f t="shared" si="14"/>
        <v>0</v>
      </c>
      <c r="R116" s="510">
        <f t="shared" si="15"/>
        <v>0</v>
      </c>
      <c r="S116" s="511"/>
      <c r="T116" s="511"/>
      <c r="U116" s="511"/>
      <c r="V116" s="511"/>
      <c r="W116" s="511"/>
      <c r="X116" s="511"/>
      <c r="Y116" s="511"/>
      <c r="Z116" s="511"/>
      <c r="AA116" s="511"/>
      <c r="AB116" s="511"/>
      <c r="AC116" s="511"/>
      <c r="AD116" s="511"/>
      <c r="AE116" s="511"/>
      <c r="AF116" s="511"/>
      <c r="AG116" s="511"/>
      <c r="AH116" s="511"/>
      <c r="AI116" s="511"/>
      <c r="AJ116" s="511"/>
      <c r="AK116" s="511"/>
      <c r="AL116" s="511"/>
      <c r="AM116" s="511"/>
      <c r="AN116" s="511"/>
      <c r="AO116" s="511"/>
    </row>
    <row r="117" spans="1:41" ht="15.75" customHeight="1">
      <c r="A117" s="512" t="s">
        <v>906</v>
      </c>
      <c r="B117" s="505">
        <f>('Pivot Table for Data Exchange'!$E$438)*100</f>
        <v>76.925318705210685</v>
      </c>
      <c r="C117" s="505">
        <f>('Pivot Table for Data Exchange'!$E$441)*100</f>
        <v>0.95039108126549199</v>
      </c>
      <c r="D117" s="506">
        <f>SUM(E117:G117)</f>
        <v>21.386073729130445</v>
      </c>
      <c r="E117" s="505">
        <f>('Pivot Table for Data Exchange'!$E$444)*100</f>
        <v>13.987178548161397</v>
      </c>
      <c r="F117" s="505">
        <f>('Pivot Table for Data Exchange'!$E$447)*100</f>
        <v>1.6421943725930865E-2</v>
      </c>
      <c r="G117" s="515">
        <f>('Pivot Table for Data Exchange'!$E$450)*100</f>
        <v>7.3824732372431177</v>
      </c>
      <c r="H117" s="505">
        <f>('Pivot Table for Data Exchange'!$E$453)*100</f>
        <v>0.73821648439337118</v>
      </c>
      <c r="I117" s="514" t="s">
        <v>906</v>
      </c>
      <c r="J117" s="505">
        <f>('Pivot Table for Data Exchange'!$E$456)*100</f>
        <v>52.578081889416183</v>
      </c>
      <c r="K117" s="505">
        <f>('Pivot Table for Data Exchange'!$E$459)*100</f>
        <v>1.418165765368061</v>
      </c>
      <c r="L117" s="506">
        <f>SUM(M117:O117)</f>
        <v>42.37501379538682</v>
      </c>
      <c r="M117" s="505">
        <f>('Pivot Table for Data Exchange'!$E$462)*100</f>
        <v>38.003531619026596</v>
      </c>
      <c r="N117" s="505">
        <f>('Pivot Table for Data Exchange'!$E$465)*100</f>
        <v>2.207261891623441E-2</v>
      </c>
      <c r="O117" s="515">
        <f>('Pivot Table for Data Exchange'!$E$468)*100</f>
        <v>4.349409557443991</v>
      </c>
      <c r="P117" s="505">
        <f>('Pivot Table for Data Exchange'!$E$471)*100</f>
        <v>3.6287385498289373</v>
      </c>
      <c r="Q117" s="510">
        <f t="shared" si="14"/>
        <v>100</v>
      </c>
      <c r="R117" s="510">
        <f t="shared" si="15"/>
        <v>100</v>
      </c>
      <c r="S117" s="511"/>
      <c r="T117" s="511"/>
      <c r="U117" s="511"/>
      <c r="V117" s="511"/>
      <c r="W117" s="511"/>
      <c r="X117" s="511"/>
      <c r="Y117" s="511"/>
      <c r="Z117" s="511"/>
      <c r="AA117" s="511"/>
      <c r="AB117" s="511"/>
      <c r="AC117" s="511"/>
      <c r="AD117" s="511"/>
      <c r="AE117" s="511"/>
      <c r="AF117" s="511"/>
      <c r="AG117" s="511"/>
      <c r="AH117" s="511"/>
      <c r="AI117" s="511"/>
      <c r="AJ117" s="511"/>
      <c r="AK117" s="511"/>
      <c r="AL117" s="511"/>
      <c r="AM117" s="511"/>
      <c r="AN117" s="511"/>
      <c r="AO117" s="511"/>
    </row>
    <row r="118" spans="1:41" ht="15.75" customHeight="1">
      <c r="A118" s="512" t="s">
        <v>907</v>
      </c>
      <c r="B118" s="505">
        <f>('Pivot Table for Data Exchange'!$E$474)*100</f>
        <v>80.557215004055664</v>
      </c>
      <c r="C118" s="505">
        <f>('Pivot Table for Data Exchange'!$E$477)*100</f>
        <v>2.2843568394647784</v>
      </c>
      <c r="D118" s="506">
        <f>SUM(E118:G118)</f>
        <v>17.158428156479566</v>
      </c>
      <c r="E118" s="505">
        <f>('Pivot Table for Data Exchange'!$E$480)*100</f>
        <v>16.69520744322601</v>
      </c>
      <c r="F118" s="505">
        <f>('Pivot Table for Data Exchange'!$E$483)*100</f>
        <v>8.8645827468790198E-2</v>
      </c>
      <c r="G118" s="515">
        <f>('Pivot Table for Data Exchange'!$E$486)*100</f>
        <v>0.3745748857847645</v>
      </c>
      <c r="H118" s="505">
        <f>('Pivot Table for Data Exchange'!$E$489)*100</f>
        <v>0</v>
      </c>
      <c r="I118" s="514" t="s">
        <v>907</v>
      </c>
      <c r="J118" s="505">
        <f>('Pivot Table for Data Exchange'!$E$492)*100</f>
        <v>45.577510414444355</v>
      </c>
      <c r="K118" s="505">
        <f>('Pivot Table for Data Exchange'!$E$495)*100</f>
        <v>3.3042702028992017</v>
      </c>
      <c r="L118" s="506">
        <f>SUM(M118:O118)</f>
        <v>51.118219382656441</v>
      </c>
      <c r="M118" s="505">
        <f>('Pivot Table for Data Exchange'!$E$498)*100</f>
        <v>49.798027150540655</v>
      </c>
      <c r="N118" s="505">
        <f>('Pivot Table for Data Exchange'!$E$501)*100</f>
        <v>0.22751771297679066</v>
      </c>
      <c r="O118" s="515">
        <f>('Pivot Table for Data Exchange'!$E$504)*100</f>
        <v>1.0926745191389977</v>
      </c>
      <c r="P118" s="505">
        <f>('Pivot Table for Data Exchange'!$E$507)*100</f>
        <v>0</v>
      </c>
      <c r="Q118" s="510">
        <f t="shared" si="14"/>
        <v>100</v>
      </c>
      <c r="R118" s="510">
        <f t="shared" si="15"/>
        <v>100</v>
      </c>
      <c r="S118" s="511"/>
      <c r="T118" s="511"/>
      <c r="U118" s="511"/>
      <c r="V118" s="511"/>
      <c r="W118" s="511"/>
      <c r="X118" s="511"/>
      <c r="Y118" s="511"/>
      <c r="Z118" s="511"/>
      <c r="AA118" s="511"/>
      <c r="AB118" s="511"/>
      <c r="AC118" s="511"/>
      <c r="AD118" s="511"/>
      <c r="AE118" s="511"/>
      <c r="AF118" s="511"/>
      <c r="AG118" s="511"/>
      <c r="AH118" s="511"/>
      <c r="AI118" s="511"/>
      <c r="AJ118" s="511"/>
      <c r="AK118" s="511"/>
      <c r="AL118" s="511"/>
      <c r="AM118" s="511"/>
      <c r="AN118" s="511"/>
      <c r="AO118" s="511"/>
    </row>
    <row r="119" spans="1:41" ht="15.75" customHeight="1">
      <c r="A119" s="512" t="s">
        <v>908</v>
      </c>
      <c r="B119" s="505">
        <f>('Pivot Table for Data Exchange'!$E$510)*100</f>
        <v>91.082210731769081</v>
      </c>
      <c r="C119" s="505">
        <f>('Pivot Table for Data Exchange'!$E$513)*100</f>
        <v>1.9356824217418418</v>
      </c>
      <c r="D119" s="506">
        <f t="shared" ref="D119" si="28">SUM(E119:G119)</f>
        <v>6.9821068464890672</v>
      </c>
      <c r="E119" s="505">
        <f>('Pivot Table for Data Exchange'!$E$516)*100</f>
        <v>6.7998106357617161</v>
      </c>
      <c r="F119" s="505">
        <f>('Pivot Table for Data Exchange'!$E$519)*100</f>
        <v>0.18229621072735158</v>
      </c>
      <c r="G119" s="515">
        <f>('Pivot Table for Data Exchange'!$E$522)*100</f>
        <v>0</v>
      </c>
      <c r="H119" s="505">
        <f>('Pivot Table for Data Exchange'!$E$525)*100</f>
        <v>0</v>
      </c>
      <c r="I119" s="514" t="s">
        <v>908</v>
      </c>
      <c r="J119" s="505">
        <f>('Pivot Table for Data Exchange'!$E$528)*100</f>
        <v>72.312346284023619</v>
      </c>
      <c r="K119" s="505">
        <f>('Pivot Table for Data Exchange'!$E$531)*100</f>
        <v>8.8233542944293557</v>
      </c>
      <c r="L119" s="506">
        <f t="shared" ref="L119" si="29">SUM(M119:O119)</f>
        <v>18.864299421547031</v>
      </c>
      <c r="M119" s="505">
        <f>('Pivot Table for Data Exchange'!$E$534)*100</f>
        <v>16.360188878863795</v>
      </c>
      <c r="N119" s="505">
        <f>('Pivot Table for Data Exchange'!$E$537)*100</f>
        <v>2.5041105426832342</v>
      </c>
      <c r="O119" s="515">
        <f>('Pivot Table for Data Exchange'!$E$540)*100</f>
        <v>0</v>
      </c>
      <c r="P119" s="505">
        <f>('Pivot Table for Data Exchange'!$E$543)*100</f>
        <v>0</v>
      </c>
      <c r="Q119" s="510">
        <f t="shared" si="14"/>
        <v>100</v>
      </c>
      <c r="R119" s="510">
        <f t="shared" si="15"/>
        <v>100</v>
      </c>
      <c r="S119" s="511"/>
      <c r="T119" s="511"/>
      <c r="U119" s="511"/>
      <c r="V119" s="511"/>
      <c r="W119" s="511"/>
      <c r="X119" s="511"/>
      <c r="Y119" s="511"/>
      <c r="Z119" s="511"/>
      <c r="AA119" s="511"/>
      <c r="AB119" s="511"/>
      <c r="AC119" s="511"/>
      <c r="AD119" s="511"/>
      <c r="AE119" s="511"/>
      <c r="AF119" s="511"/>
      <c r="AG119" s="511"/>
      <c r="AH119" s="511"/>
      <c r="AI119" s="511"/>
      <c r="AJ119" s="511"/>
      <c r="AK119" s="511"/>
      <c r="AL119" s="511"/>
      <c r="AM119" s="511"/>
      <c r="AN119" s="511"/>
      <c r="AO119" s="511"/>
    </row>
    <row r="120" spans="1:41" ht="15.75" customHeight="1">
      <c r="A120" s="484" t="s">
        <v>909</v>
      </c>
      <c r="B120" s="520">
        <f>('Pivot Table for Data Exchange'!$E$546)*100</f>
        <v>78.993273179674233</v>
      </c>
      <c r="C120" s="520">
        <f>('Pivot Table for Data Exchange'!$E$549)*100</f>
        <v>7.6690268884597579</v>
      </c>
      <c r="D120" s="521">
        <f>SUM(E120:G120)</f>
        <v>13.337699931866005</v>
      </c>
      <c r="E120" s="520">
        <f>('Pivot Table for Data Exchange'!$E$552)*100</f>
        <v>12.6778165501613</v>
      </c>
      <c r="F120" s="548">
        <f>('Pivot Table for Data Exchange'!$E$555)*100</f>
        <v>0.65988338170470495</v>
      </c>
      <c r="G120" s="522">
        <f>('Pivot Table for Data Exchange'!$E$558)*100</f>
        <v>0</v>
      </c>
      <c r="H120" s="520">
        <f>('Pivot Table for Data Exchange'!$E$561)*100</f>
        <v>0</v>
      </c>
      <c r="I120" s="523" t="s">
        <v>909</v>
      </c>
      <c r="J120" s="520">
        <f>('Pivot Table for Data Exchange'!$E$564)*100</f>
        <v>46.946015190333974</v>
      </c>
      <c r="K120" s="520">
        <f>('Pivot Table for Data Exchange'!$E$567)*100</f>
        <v>28.64333035186392</v>
      </c>
      <c r="L120" s="521">
        <f>SUM(M120:O120)</f>
        <v>24.410654457802099</v>
      </c>
      <c r="M120" s="520">
        <f>('Pivot Table for Data Exchange'!$E$570)*100</f>
        <v>23.766353865045556</v>
      </c>
      <c r="N120" s="520">
        <f>('Pivot Table for Data Exchange'!$E$573)*100</f>
        <v>0.64430059275654528</v>
      </c>
      <c r="O120" s="522">
        <f>('Pivot Table for Data Exchange'!$E$576)*100</f>
        <v>0</v>
      </c>
      <c r="P120" s="520">
        <f>('Pivot Table for Data Exchange'!$E$579)*100</f>
        <v>0</v>
      </c>
      <c r="Q120" s="510">
        <f t="shared" si="14"/>
        <v>100</v>
      </c>
      <c r="R120" s="510">
        <f t="shared" si="15"/>
        <v>99.999999999999986</v>
      </c>
      <c r="S120" s="511"/>
      <c r="T120" s="511"/>
      <c r="U120" s="511"/>
      <c r="V120" s="511"/>
      <c r="W120" s="511"/>
      <c r="X120" s="511"/>
      <c r="Y120" s="511"/>
      <c r="Z120" s="511"/>
      <c r="AA120" s="511"/>
      <c r="AB120" s="511"/>
      <c r="AC120" s="511"/>
      <c r="AD120" s="511"/>
      <c r="AE120" s="511"/>
      <c r="AF120" s="511"/>
      <c r="AG120" s="511"/>
      <c r="AH120" s="511"/>
      <c r="AI120" s="511"/>
      <c r="AJ120" s="511"/>
      <c r="AK120" s="511"/>
      <c r="AL120" s="511"/>
      <c r="AM120" s="511"/>
      <c r="AN120" s="511"/>
      <c r="AO120" s="511"/>
    </row>
    <row r="121" spans="1:41" s="524" customFormat="1" ht="12" customHeight="1">
      <c r="A121" s="525" t="s">
        <v>937</v>
      </c>
      <c r="B121" s="526"/>
      <c r="C121" s="526"/>
      <c r="D121" s="527"/>
      <c r="E121" s="526"/>
      <c r="F121" s="527"/>
      <c r="G121" s="527"/>
      <c r="H121" s="526"/>
      <c r="I121" s="525" t="s">
        <v>937</v>
      </c>
      <c r="J121" s="526"/>
      <c r="K121" s="526"/>
      <c r="L121" s="527"/>
      <c r="M121" s="526"/>
      <c r="N121" s="527"/>
      <c r="O121" s="527"/>
      <c r="P121" s="526"/>
      <c r="Q121" s="510"/>
      <c r="R121" s="510"/>
      <c r="S121" s="528"/>
      <c r="T121" s="528"/>
      <c r="U121" s="528"/>
      <c r="V121" s="528"/>
      <c r="W121" s="528"/>
      <c r="X121" s="528"/>
      <c r="Y121" s="528"/>
      <c r="Z121" s="528"/>
      <c r="AA121" s="528"/>
      <c r="AB121" s="528"/>
      <c r="AC121" s="528"/>
      <c r="AD121" s="528"/>
      <c r="AE121" s="528"/>
      <c r="AF121" s="528"/>
      <c r="AG121" s="528"/>
      <c r="AH121" s="528"/>
      <c r="AI121" s="528"/>
      <c r="AJ121" s="528"/>
      <c r="AK121" s="528"/>
      <c r="AL121" s="528"/>
      <c r="AM121" s="528"/>
      <c r="AN121" s="528"/>
      <c r="AO121" s="528"/>
    </row>
    <row r="122" spans="1:41" s="524" customFormat="1" ht="28.5" customHeight="1">
      <c r="A122" s="655" t="s">
        <v>943</v>
      </c>
      <c r="B122" s="674"/>
      <c r="C122" s="674"/>
      <c r="D122" s="674"/>
      <c r="E122" s="674"/>
      <c r="F122" s="674"/>
      <c r="G122" s="674"/>
      <c r="H122" s="674"/>
      <c r="I122" s="655" t="s">
        <v>943</v>
      </c>
      <c r="J122" s="674"/>
      <c r="K122" s="674"/>
      <c r="L122" s="674"/>
      <c r="M122" s="674"/>
      <c r="N122" s="674"/>
      <c r="O122" s="674"/>
      <c r="P122" s="674"/>
      <c r="Q122" s="510"/>
      <c r="R122" s="510"/>
      <c r="S122" s="528"/>
      <c r="T122" s="528"/>
      <c r="U122" s="528"/>
      <c r="V122" s="528"/>
      <c r="W122" s="528"/>
      <c r="X122" s="528"/>
      <c r="Y122" s="528"/>
      <c r="Z122" s="528"/>
      <c r="AA122" s="528"/>
      <c r="AB122" s="528"/>
      <c r="AC122" s="528"/>
      <c r="AD122" s="528"/>
      <c r="AE122" s="528"/>
      <c r="AF122" s="528"/>
      <c r="AG122" s="528"/>
      <c r="AH122" s="528"/>
      <c r="AI122" s="528"/>
      <c r="AJ122" s="528"/>
      <c r="AK122" s="528"/>
      <c r="AL122" s="528"/>
      <c r="AM122" s="528"/>
      <c r="AN122" s="528"/>
      <c r="AO122" s="528"/>
    </row>
    <row r="123" spans="1:41" s="524" customFormat="1" ht="13.5" customHeight="1">
      <c r="A123" s="538"/>
      <c r="B123" s="539"/>
      <c r="H123" s="540"/>
      <c r="I123" s="538"/>
      <c r="P123" s="541"/>
      <c r="Q123" s="510"/>
      <c r="R123" s="510"/>
    </row>
    <row r="124" spans="1:41" s="524" customFormat="1" ht="13.5" customHeight="1">
      <c r="H124" s="532" t="s">
        <v>1015</v>
      </c>
      <c r="I124" s="538"/>
      <c r="P124" s="532" t="s">
        <v>1015</v>
      </c>
      <c r="Q124" s="510"/>
      <c r="R124" s="510"/>
    </row>
    <row r="125" spans="1:41" ht="18">
      <c r="A125" s="472" t="s">
        <v>944</v>
      </c>
      <c r="B125" s="473"/>
      <c r="C125" s="473"/>
      <c r="D125" s="473"/>
      <c r="E125" s="473"/>
      <c r="F125" s="473"/>
      <c r="G125" s="473"/>
      <c r="H125" s="474"/>
      <c r="I125" s="472" t="s">
        <v>945</v>
      </c>
      <c r="J125" s="475"/>
      <c r="K125" s="475"/>
      <c r="L125" s="473"/>
      <c r="M125" s="475"/>
      <c r="N125" s="475"/>
      <c r="O125" s="475"/>
      <c r="P125" s="475"/>
      <c r="Q125" s="510"/>
      <c r="R125" s="510"/>
    </row>
    <row r="126" spans="1:41">
      <c r="A126" s="479"/>
      <c r="B126" s="475"/>
      <c r="C126" s="475"/>
      <c r="D126" s="475"/>
      <c r="E126" s="475"/>
      <c r="F126" s="475"/>
      <c r="G126" s="475"/>
      <c r="H126" s="480"/>
      <c r="I126" s="479"/>
      <c r="J126" s="475"/>
      <c r="K126" s="475"/>
      <c r="L126" s="475"/>
      <c r="M126" s="475"/>
      <c r="N126" s="475"/>
      <c r="O126" s="475"/>
      <c r="P126" s="475"/>
      <c r="Q126" s="510"/>
      <c r="R126" s="510"/>
    </row>
    <row r="127" spans="1:41" ht="15.75">
      <c r="A127" s="481" t="s">
        <v>917</v>
      </c>
      <c r="B127" s="475"/>
      <c r="C127" s="475"/>
      <c r="D127" s="475"/>
      <c r="E127" s="475"/>
      <c r="F127" s="475"/>
      <c r="G127" s="475"/>
      <c r="H127" s="480"/>
      <c r="I127" s="481" t="s">
        <v>918</v>
      </c>
      <c r="J127" s="475"/>
      <c r="K127" s="475"/>
      <c r="L127" s="475"/>
      <c r="M127" s="475"/>
      <c r="N127" s="475"/>
      <c r="O127" s="475"/>
      <c r="P127" s="475"/>
      <c r="Q127" s="510"/>
      <c r="R127" s="510"/>
    </row>
    <row r="128" spans="1:41" ht="15.75">
      <c r="A128" s="481" t="s">
        <v>966</v>
      </c>
      <c r="B128" s="475"/>
      <c r="C128" s="475"/>
      <c r="D128" s="475"/>
      <c r="E128" s="475"/>
      <c r="F128" s="475"/>
      <c r="G128" s="475"/>
      <c r="H128" s="480"/>
      <c r="I128" s="481" t="s">
        <v>966</v>
      </c>
      <c r="J128" s="475"/>
      <c r="K128" s="475"/>
      <c r="L128" s="475"/>
      <c r="M128" s="475"/>
      <c r="N128" s="475"/>
      <c r="O128" s="475"/>
      <c r="P128" s="475"/>
      <c r="Q128" s="510"/>
      <c r="R128" s="510"/>
    </row>
    <row r="129" spans="1:41">
      <c r="A129" s="484"/>
      <c r="B129" s="485"/>
      <c r="C129" s="485"/>
      <c r="D129" s="485"/>
      <c r="E129" s="485"/>
      <c r="F129" s="485"/>
      <c r="G129" s="485"/>
      <c r="H129" s="485"/>
      <c r="I129" s="486"/>
      <c r="L129" s="487"/>
      <c r="P129" s="484"/>
      <c r="Q129" s="510"/>
      <c r="R129" s="510"/>
    </row>
    <row r="130" spans="1:41" s="494" customFormat="1">
      <c r="A130" s="489"/>
      <c r="B130" s="490" t="s">
        <v>919</v>
      </c>
      <c r="C130" s="490"/>
      <c r="D130" s="490"/>
      <c r="E130" s="490"/>
      <c r="F130" s="490"/>
      <c r="G130" s="490"/>
      <c r="H130" s="491"/>
      <c r="I130" s="489"/>
      <c r="J130" s="490" t="s">
        <v>919</v>
      </c>
      <c r="K130" s="490"/>
      <c r="L130" s="490"/>
      <c r="M130" s="490"/>
      <c r="N130" s="490"/>
      <c r="O130" s="490"/>
      <c r="P130" s="491"/>
      <c r="Q130" s="510"/>
      <c r="R130" s="510"/>
    </row>
    <row r="131" spans="1:41" s="494" customFormat="1">
      <c r="A131" s="489"/>
      <c r="B131" s="490" t="s">
        <v>920</v>
      </c>
      <c r="C131" s="490"/>
      <c r="D131" s="659" t="s">
        <v>921</v>
      </c>
      <c r="E131" s="657"/>
      <c r="F131" s="657"/>
      <c r="G131" s="657"/>
      <c r="H131" s="495" t="s">
        <v>320</v>
      </c>
      <c r="I131" s="489"/>
      <c r="J131" s="490" t="s">
        <v>920</v>
      </c>
      <c r="K131" s="490"/>
      <c r="L131" s="659" t="s">
        <v>921</v>
      </c>
      <c r="M131" s="657"/>
      <c r="N131" s="657"/>
      <c r="O131" s="657"/>
      <c r="P131" s="495" t="s">
        <v>320</v>
      </c>
      <c r="Q131" s="510"/>
      <c r="R131" s="510"/>
    </row>
    <row r="132" spans="1:41" s="494" customFormat="1" ht="40.5" customHeight="1">
      <c r="A132" s="489"/>
      <c r="B132" s="496" t="s">
        <v>922</v>
      </c>
      <c r="C132" s="497" t="s">
        <v>923</v>
      </c>
      <c r="D132" s="498" t="s">
        <v>924</v>
      </c>
      <c r="E132" s="499" t="s">
        <v>10</v>
      </c>
      <c r="F132" s="496" t="s">
        <v>925</v>
      </c>
      <c r="G132" s="500" t="s">
        <v>935</v>
      </c>
      <c r="H132" s="501" t="s">
        <v>927</v>
      </c>
      <c r="I132" s="489"/>
      <c r="J132" s="496" t="s">
        <v>922</v>
      </c>
      <c r="K132" s="497" t="s">
        <v>923</v>
      </c>
      <c r="L132" s="498" t="s">
        <v>924</v>
      </c>
      <c r="M132" s="499" t="s">
        <v>10</v>
      </c>
      <c r="N132" s="496" t="s">
        <v>925</v>
      </c>
      <c r="O132" s="500" t="s">
        <v>935</v>
      </c>
      <c r="P132" s="501" t="s">
        <v>927</v>
      </c>
      <c r="Q132" s="510"/>
      <c r="R132" s="510"/>
      <c r="T132" s="533"/>
    </row>
    <row r="133" spans="1:41" ht="15.75" customHeight="1">
      <c r="A133" s="534" t="s">
        <v>894</v>
      </c>
      <c r="B133" s="505">
        <f>('Pivot Table for Data Exchange'!$F$6)*100</f>
        <v>86.541183075309647</v>
      </c>
      <c r="C133" s="505">
        <f>('Pivot Table for Data Exchange'!$F$9)*100</f>
        <v>0.23274763061352588</v>
      </c>
      <c r="D133" s="506">
        <f>SUM(E133:G133)</f>
        <v>13.226069294076826</v>
      </c>
      <c r="E133" s="505">
        <f>('Pivot Table for Data Exchange'!$F$12)*100</f>
        <v>13.226069294076826</v>
      </c>
      <c r="F133" s="505">
        <f>('Pivot Table for Data Exchange'!$F$15)*100</f>
        <v>0</v>
      </c>
      <c r="G133" s="509">
        <f>('Pivot Table for Data Exchange'!$F$18)*100</f>
        <v>0</v>
      </c>
      <c r="H133" s="505">
        <f>('Pivot Table for Data Exchange'!$F$21)*100</f>
        <v>0</v>
      </c>
      <c r="I133" s="508" t="s">
        <v>894</v>
      </c>
      <c r="J133" s="505">
        <f>('Pivot Table for Data Exchange'!$F$24)*100</f>
        <v>68.389600310438496</v>
      </c>
      <c r="K133" s="505">
        <f>('Pivot Table for Data Exchange'!$F$27)*100</f>
        <v>0</v>
      </c>
      <c r="L133" s="506">
        <f>SUM(M133:O133)</f>
        <v>31.610399689561508</v>
      </c>
      <c r="M133" s="505">
        <f>('Pivot Table for Data Exchange'!$F$30)*100</f>
        <v>31.610399689561508</v>
      </c>
      <c r="N133" s="505">
        <f>('Pivot Table for Data Exchange'!$F$33)*100</f>
        <v>0</v>
      </c>
      <c r="O133" s="509">
        <f>('Pivot Table for Data Exchange'!$F$36)*100</f>
        <v>0</v>
      </c>
      <c r="P133" s="505">
        <f>('Pivot Table for Data Exchange'!$F$39)*100</f>
        <v>0</v>
      </c>
      <c r="Q133" s="510">
        <f t="shared" si="14"/>
        <v>100</v>
      </c>
      <c r="R133" s="510">
        <f t="shared" si="15"/>
        <v>100</v>
      </c>
      <c r="S133" s="511"/>
      <c r="T133" s="511"/>
      <c r="U133" s="511"/>
      <c r="V133" s="511"/>
      <c r="W133" s="511"/>
      <c r="X133" s="511"/>
      <c r="Y133" s="511"/>
      <c r="Z133" s="511"/>
      <c r="AA133" s="511"/>
      <c r="AB133" s="511"/>
      <c r="AC133" s="511"/>
      <c r="AD133" s="511"/>
      <c r="AE133" s="511"/>
      <c r="AF133" s="511"/>
      <c r="AG133" s="511"/>
      <c r="AH133" s="511"/>
      <c r="AI133" s="511"/>
      <c r="AJ133" s="511"/>
      <c r="AK133" s="511"/>
      <c r="AL133" s="511"/>
      <c r="AM133" s="511"/>
      <c r="AN133" s="511"/>
      <c r="AO133" s="511"/>
    </row>
    <row r="134" spans="1:41" ht="15.75" customHeight="1">
      <c r="A134" s="512" t="s">
        <v>895</v>
      </c>
      <c r="B134" s="505">
        <f>('Pivot Table for Data Exchange'!$F$42)*100</f>
        <v>82.497833325730966</v>
      </c>
      <c r="C134" s="505">
        <f>('Pivot Table for Data Exchange'!$F$45)*100</f>
        <v>2.1706655111070563</v>
      </c>
      <c r="D134" s="506">
        <f t="shared" ref="D134:D136" si="30">SUM(E134:G134)</f>
        <v>15.331501163161976</v>
      </c>
      <c r="E134" s="505">
        <f>('Pivot Table for Data Exchange'!$F$48)*100</f>
        <v>15.331501163161976</v>
      </c>
      <c r="F134" s="505">
        <f>('Pivot Table for Data Exchange'!$F$51)*100</f>
        <v>0</v>
      </c>
      <c r="G134" s="515">
        <f>('Pivot Table for Data Exchange'!$F$54)*100</f>
        <v>0</v>
      </c>
      <c r="H134" s="505">
        <f>('Pivot Table for Data Exchange'!$F$57)*100</f>
        <v>0</v>
      </c>
      <c r="I134" s="514" t="s">
        <v>895</v>
      </c>
      <c r="J134" s="505">
        <f>('Pivot Table for Data Exchange'!$F$60)*100</f>
        <v>31.051127967687915</v>
      </c>
      <c r="K134" s="505">
        <f>('Pivot Table for Data Exchange'!$F$63)*100</f>
        <v>1.1673726726430893</v>
      </c>
      <c r="L134" s="506">
        <f t="shared" ref="L134:L136" si="31">SUM(M134:O134)</f>
        <v>67.781499359668985</v>
      </c>
      <c r="M134" s="505">
        <f>('Pivot Table for Data Exchange'!$F$66)*100</f>
        <v>67.559846320559544</v>
      </c>
      <c r="N134" s="505">
        <f>('Pivot Table for Data Exchange'!$F$69)*100</f>
        <v>0.22165303910944736</v>
      </c>
      <c r="O134" s="515">
        <f>('Pivot Table for Data Exchange'!$F$72)*100</f>
        <v>0</v>
      </c>
      <c r="P134" s="505">
        <f>('Pivot Table for Data Exchange'!$F$75)*100</f>
        <v>0</v>
      </c>
      <c r="Q134" s="510">
        <f t="shared" si="14"/>
        <v>100</v>
      </c>
      <c r="R134" s="510">
        <f t="shared" si="15"/>
        <v>99.999999999999986</v>
      </c>
      <c r="S134" s="511"/>
      <c r="T134" s="511"/>
      <c r="U134" s="511"/>
      <c r="V134" s="511"/>
      <c r="W134" s="511"/>
      <c r="X134" s="511"/>
      <c r="Y134" s="511"/>
      <c r="Z134" s="511"/>
      <c r="AA134" s="511"/>
      <c r="AB134" s="511"/>
      <c r="AC134" s="511"/>
      <c r="AD134" s="511"/>
      <c r="AE134" s="511"/>
      <c r="AF134" s="511"/>
      <c r="AG134" s="511"/>
      <c r="AH134" s="511"/>
      <c r="AI134" s="511"/>
      <c r="AJ134" s="511"/>
      <c r="AK134" s="511"/>
      <c r="AL134" s="511"/>
      <c r="AM134" s="511"/>
      <c r="AN134" s="511"/>
      <c r="AO134" s="511"/>
    </row>
    <row r="135" spans="1:41" ht="15.75" customHeight="1">
      <c r="A135" s="512" t="s">
        <v>896</v>
      </c>
      <c r="B135" s="505">
        <f>('Pivot Table for Data Exchange'!$F$78)*100</f>
        <v>0</v>
      </c>
      <c r="C135" s="505">
        <f>('Pivot Table for Data Exchange'!$F$81)*100</f>
        <v>0</v>
      </c>
      <c r="D135" s="506">
        <f t="shared" si="30"/>
        <v>0</v>
      </c>
      <c r="E135" s="505">
        <f>('Pivot Table for Data Exchange'!$F$84)*100</f>
        <v>0</v>
      </c>
      <c r="F135" s="505">
        <f>('Pivot Table for Data Exchange'!$F$87)*100</f>
        <v>0</v>
      </c>
      <c r="G135" s="515">
        <f>('Pivot Table for Data Exchange'!$F$90)*100</f>
        <v>0</v>
      </c>
      <c r="H135" s="505">
        <f>('Pivot Table for Data Exchange'!$F$93)*100</f>
        <v>0</v>
      </c>
      <c r="I135" s="514" t="s">
        <v>896</v>
      </c>
      <c r="J135" s="505">
        <f>('Pivot Table for Data Exchange'!$F$96)*100</f>
        <v>0</v>
      </c>
      <c r="K135" s="505">
        <f>('Pivot Table for Data Exchange'!$F$99)*100</f>
        <v>0</v>
      </c>
      <c r="L135" s="506">
        <f t="shared" si="31"/>
        <v>0</v>
      </c>
      <c r="M135" s="505">
        <f>('Pivot Table for Data Exchange'!$F$102)*100</f>
        <v>0</v>
      </c>
      <c r="N135" s="505">
        <f>('Pivot Table for Data Exchange'!$F$105)*100</f>
        <v>0</v>
      </c>
      <c r="O135" s="515">
        <f>('Pivot Table for Data Exchange'!$F$108)*100</f>
        <v>0</v>
      </c>
      <c r="P135" s="505">
        <f>('Pivot Table for Data Exchange'!$F$111)*100</f>
        <v>0</v>
      </c>
      <c r="Q135" s="510">
        <f t="shared" si="14"/>
        <v>0</v>
      </c>
      <c r="R135" s="510">
        <f t="shared" si="15"/>
        <v>0</v>
      </c>
      <c r="S135" s="511"/>
      <c r="T135" s="535"/>
      <c r="U135" s="511"/>
      <c r="V135" s="511"/>
      <c r="W135" s="511"/>
      <c r="X135" s="511"/>
      <c r="Y135" s="511"/>
      <c r="Z135" s="511"/>
      <c r="AA135" s="511"/>
      <c r="AB135" s="511"/>
      <c r="AC135" s="511"/>
      <c r="AD135" s="511"/>
      <c r="AE135" s="511"/>
      <c r="AF135" s="511"/>
      <c r="AG135" s="511"/>
      <c r="AH135" s="511"/>
      <c r="AI135" s="511"/>
      <c r="AJ135" s="511"/>
      <c r="AK135" s="511"/>
      <c r="AL135" s="511"/>
      <c r="AM135" s="511"/>
      <c r="AN135" s="511"/>
      <c r="AO135" s="511"/>
    </row>
    <row r="136" spans="1:41" ht="15.75" customHeight="1">
      <c r="A136" s="512" t="s">
        <v>936</v>
      </c>
      <c r="B136" s="505">
        <f>('Pivot Table for Data Exchange'!$F$114)*100</f>
        <v>75.909765099513635</v>
      </c>
      <c r="C136" s="505">
        <f>('Pivot Table for Data Exchange'!$F$117)*100</f>
        <v>2.4892782817656052</v>
      </c>
      <c r="D136" s="506">
        <f t="shared" si="30"/>
        <v>21.600956618720751</v>
      </c>
      <c r="E136" s="505">
        <f>('Pivot Table for Data Exchange'!$F$120)*100</f>
        <v>21.600956618720751</v>
      </c>
      <c r="F136" s="516">
        <f>('Pivot Table for Data Exchange'!$F$123)*100</f>
        <v>0</v>
      </c>
      <c r="G136" s="518">
        <f>('Pivot Table for Data Exchange'!$F$126)*100</f>
        <v>0</v>
      </c>
      <c r="H136" s="505">
        <f>('Pivot Table for Data Exchange'!$F$129)*100</f>
        <v>0</v>
      </c>
      <c r="I136" s="514" t="s">
        <v>936</v>
      </c>
      <c r="J136" s="505">
        <f>('Pivot Table for Data Exchange'!$F$132)*100</f>
        <v>51.062648291180778</v>
      </c>
      <c r="K136" s="505">
        <f>('Pivot Table for Data Exchange'!$F$135)*100</f>
        <v>11.732040991468525</v>
      </c>
      <c r="L136" s="506">
        <f t="shared" si="31"/>
        <v>37.205310717350699</v>
      </c>
      <c r="M136" s="505">
        <f>('Pivot Table for Data Exchange'!$F$138)*100</f>
        <v>37.205310717350699</v>
      </c>
      <c r="N136" s="505">
        <f>('Pivot Table for Data Exchange'!$F$141)*100</f>
        <v>0</v>
      </c>
      <c r="O136" s="515">
        <f>('Pivot Table for Data Exchange'!$F$144)*100</f>
        <v>0</v>
      </c>
      <c r="P136" s="505">
        <f>('Pivot Table for Data Exchange'!$F$147)*100</f>
        <v>0</v>
      </c>
      <c r="Q136" s="510">
        <f t="shared" si="14"/>
        <v>100</v>
      </c>
      <c r="R136" s="510">
        <f t="shared" si="15"/>
        <v>100</v>
      </c>
      <c r="S136" s="511"/>
      <c r="U136" s="511"/>
      <c r="V136" s="511"/>
      <c r="W136" s="511"/>
      <c r="X136" s="511"/>
      <c r="Y136" s="511"/>
      <c r="Z136" s="511"/>
      <c r="AA136" s="511"/>
      <c r="AB136" s="511"/>
      <c r="AC136" s="511"/>
      <c r="AD136" s="511"/>
      <c r="AE136" s="511"/>
      <c r="AF136" s="511"/>
      <c r="AG136" s="511"/>
      <c r="AH136" s="511"/>
      <c r="AI136" s="511"/>
      <c r="AJ136" s="511"/>
      <c r="AK136" s="511"/>
      <c r="AL136" s="511"/>
      <c r="AM136" s="511"/>
      <c r="AN136" s="511"/>
      <c r="AO136" s="511"/>
    </row>
    <row r="137" spans="1:41" ht="15.75" customHeight="1">
      <c r="A137" s="512"/>
      <c r="B137" s="505"/>
      <c r="C137" s="505"/>
      <c r="D137" s="506"/>
      <c r="E137" s="505"/>
      <c r="F137" s="505"/>
      <c r="G137" s="515"/>
      <c r="H137" s="505"/>
      <c r="I137" s="514"/>
      <c r="J137" s="505"/>
      <c r="K137" s="505"/>
      <c r="L137" s="506"/>
      <c r="M137" s="505"/>
      <c r="N137" s="505"/>
      <c r="O137" s="515"/>
      <c r="P137" s="505"/>
      <c r="Q137" s="510">
        <f t="shared" si="14"/>
        <v>0</v>
      </c>
      <c r="R137" s="510">
        <f t="shared" si="15"/>
        <v>0</v>
      </c>
      <c r="S137" s="511"/>
      <c r="U137" s="511"/>
      <c r="V137" s="511"/>
      <c r="W137" s="511"/>
      <c r="X137" s="511"/>
      <c r="Y137" s="511"/>
      <c r="Z137" s="511"/>
      <c r="AA137" s="511"/>
      <c r="AB137" s="511"/>
      <c r="AC137" s="511"/>
      <c r="AD137" s="511"/>
      <c r="AE137" s="511"/>
      <c r="AF137" s="511"/>
      <c r="AG137" s="511"/>
      <c r="AH137" s="511"/>
      <c r="AI137" s="511"/>
      <c r="AJ137" s="511"/>
      <c r="AK137" s="511"/>
      <c r="AL137" s="511"/>
      <c r="AM137" s="511"/>
      <c r="AN137" s="511"/>
      <c r="AO137" s="511"/>
    </row>
    <row r="138" spans="1:41" ht="15.75" customHeight="1">
      <c r="A138" s="512" t="s">
        <v>898</v>
      </c>
      <c r="B138" s="505">
        <f>('Pivot Table for Data Exchange'!$F$150)*100</f>
        <v>85.155398854378561</v>
      </c>
      <c r="C138" s="505">
        <f>('Pivot Table for Data Exchange'!$F$153)*100</f>
        <v>2.068158187595877</v>
      </c>
      <c r="D138" s="506">
        <f t="shared" ref="D138:D141" si="32">SUM(E138:G138)</f>
        <v>12.769131103022575</v>
      </c>
      <c r="E138" s="505">
        <f>('Pivot Table for Data Exchange'!$F$156)*100</f>
        <v>12.535371098576967</v>
      </c>
      <c r="F138" s="505">
        <f>('Pivot Table for Data Exchange'!$F$159)*100</f>
        <v>1.0163478454156863E-2</v>
      </c>
      <c r="G138" s="515">
        <f>('Pivot Table for Data Exchange'!$F$162)*100</f>
        <v>0.223596525991451</v>
      </c>
      <c r="H138" s="505">
        <f>('Pivot Table for Data Exchange'!$F$165)*100</f>
        <v>7.3118550029905496E-3</v>
      </c>
      <c r="I138" s="514" t="s">
        <v>898</v>
      </c>
      <c r="J138" s="505">
        <f>('Pivot Table for Data Exchange'!$F$168)*100</f>
        <v>74.973025424894814</v>
      </c>
      <c r="K138" s="505">
        <f>('Pivot Table for Data Exchange'!$F$171)*100</f>
        <v>8.2473405603470127</v>
      </c>
      <c r="L138" s="506">
        <f t="shared" ref="L138:L141" si="33">SUM(M138:O138)</f>
        <v>16.77963401475817</v>
      </c>
      <c r="M138" s="505">
        <f>('Pivot Table for Data Exchange'!$F$174)*100</f>
        <v>16.444714793653553</v>
      </c>
      <c r="N138" s="505">
        <f>('Pivot Table for Data Exchange'!$F$177)*100</f>
        <v>0</v>
      </c>
      <c r="O138" s="515">
        <f>('Pivot Table for Data Exchange'!$F$180)*100</f>
        <v>0.33491922110461791</v>
      </c>
      <c r="P138" s="505">
        <f>('Pivot Table for Data Exchange'!$F$183)*100</f>
        <v>0</v>
      </c>
      <c r="Q138" s="510">
        <f t="shared" si="14"/>
        <v>100</v>
      </c>
      <c r="R138" s="510">
        <f t="shared" si="15"/>
        <v>100</v>
      </c>
      <c r="S138" s="511"/>
      <c r="T138" s="511"/>
      <c r="U138" s="511"/>
      <c r="V138" s="511"/>
      <c r="W138" s="511"/>
      <c r="X138" s="511"/>
      <c r="Y138" s="511"/>
      <c r="Z138" s="511"/>
      <c r="AA138" s="511"/>
      <c r="AB138" s="511"/>
      <c r="AC138" s="511"/>
      <c r="AD138" s="511"/>
      <c r="AE138" s="511"/>
      <c r="AF138" s="511"/>
      <c r="AG138" s="511"/>
      <c r="AH138" s="511"/>
      <c r="AI138" s="511"/>
      <c r="AJ138" s="511"/>
      <c r="AK138" s="511"/>
      <c r="AL138" s="511"/>
      <c r="AM138" s="511"/>
      <c r="AN138" s="511"/>
      <c r="AO138" s="511"/>
    </row>
    <row r="139" spans="1:41" ht="15.75" customHeight="1">
      <c r="A139" s="512" t="s">
        <v>899</v>
      </c>
      <c r="B139" s="505">
        <f>('Pivot Table for Data Exchange'!$F$186)*100</f>
        <v>75.221539786505915</v>
      </c>
      <c r="C139" s="505">
        <f>('Pivot Table for Data Exchange'!$F$189)*100</f>
        <v>0</v>
      </c>
      <c r="D139" s="506">
        <f t="shared" si="32"/>
        <v>24.778460213494096</v>
      </c>
      <c r="E139" s="505">
        <f>('Pivot Table for Data Exchange'!$F$192)*100</f>
        <v>24.778460213494096</v>
      </c>
      <c r="F139" s="505">
        <f>('Pivot Table for Data Exchange'!$F$195)*100</f>
        <v>0</v>
      </c>
      <c r="G139" s="518">
        <f>('Pivot Table for Data Exchange'!$F$198)*100</f>
        <v>0</v>
      </c>
      <c r="H139" s="505">
        <f>('Pivot Table for Data Exchange'!$F$201)*100</f>
        <v>0</v>
      </c>
      <c r="I139" s="514" t="s">
        <v>899</v>
      </c>
      <c r="J139" s="505">
        <f>('Pivot Table for Data Exchange'!$F$204)*100</f>
        <v>74.270318814548716</v>
      </c>
      <c r="K139" s="505">
        <f>('Pivot Table for Data Exchange'!$F$207)*100</f>
        <v>0</v>
      </c>
      <c r="L139" s="506">
        <f t="shared" si="33"/>
        <v>25.72968118545128</v>
      </c>
      <c r="M139" s="505">
        <f>('Pivot Table for Data Exchange'!$F$210)*100</f>
        <v>25.72968118545128</v>
      </c>
      <c r="N139" s="505">
        <f>('Pivot Table for Data Exchange'!$F$213)*100</f>
        <v>0</v>
      </c>
      <c r="O139" s="515">
        <f>('Pivot Table for Data Exchange'!$F$216)*100</f>
        <v>0</v>
      </c>
      <c r="P139" s="505">
        <f>('Pivot Table for Data Exchange'!$F$219)*100</f>
        <v>0</v>
      </c>
      <c r="Q139" s="510">
        <f t="shared" ref="Q139:Q202" si="34">SUM(B139,C139,D139,H139)</f>
        <v>100.00000000000001</v>
      </c>
      <c r="R139" s="510">
        <f t="shared" ref="R139:R202" si="35">SUM(J139,K139,L139,P139)</f>
        <v>100</v>
      </c>
      <c r="S139" s="511"/>
      <c r="T139" s="511"/>
      <c r="U139" s="511"/>
      <c r="V139" s="511"/>
      <c r="W139" s="511"/>
      <c r="X139" s="511"/>
      <c r="Y139" s="511"/>
      <c r="Z139" s="511"/>
      <c r="AA139" s="511"/>
      <c r="AB139" s="511"/>
      <c r="AC139" s="511"/>
      <c r="AD139" s="511"/>
      <c r="AE139" s="511"/>
      <c r="AF139" s="511"/>
      <c r="AG139" s="511"/>
      <c r="AH139" s="511"/>
      <c r="AI139" s="511"/>
      <c r="AJ139" s="511"/>
      <c r="AK139" s="511"/>
      <c r="AL139" s="511"/>
      <c r="AM139" s="511"/>
      <c r="AN139" s="511"/>
      <c r="AO139" s="511"/>
    </row>
    <row r="140" spans="1:41" ht="15.75" customHeight="1">
      <c r="A140" s="512" t="s">
        <v>900</v>
      </c>
      <c r="B140" s="505">
        <f>('Pivot Table for Data Exchange'!$F$222)*100</f>
        <v>79.257131948211963</v>
      </c>
      <c r="C140" s="505">
        <f>('Pivot Table for Data Exchange'!$F$225)*100</f>
        <v>0</v>
      </c>
      <c r="D140" s="506">
        <f t="shared" si="32"/>
        <v>20.74286805178804</v>
      </c>
      <c r="E140" s="505">
        <f>('Pivot Table for Data Exchange'!$F$228)*100</f>
        <v>20.74286805178804</v>
      </c>
      <c r="F140" s="505">
        <f>('Pivot Table for Data Exchange'!$F$231)*100</f>
        <v>0</v>
      </c>
      <c r="G140" s="515">
        <f>('Pivot Table for Data Exchange'!$F$234)*100</f>
        <v>0</v>
      </c>
      <c r="H140" s="505">
        <f>('Pivot Table for Data Exchange'!$F$237)*100</f>
        <v>0</v>
      </c>
      <c r="I140" s="514" t="s">
        <v>900</v>
      </c>
      <c r="J140" s="505">
        <f>('Pivot Table for Data Exchange'!$F$240)*100</f>
        <v>56.03768427586283</v>
      </c>
      <c r="K140" s="505">
        <f>('Pivot Table for Data Exchange'!$F$243)*100</f>
        <v>0</v>
      </c>
      <c r="L140" s="506">
        <f t="shared" si="33"/>
        <v>43.96231572413717</v>
      </c>
      <c r="M140" s="505">
        <f>('Pivot Table for Data Exchange'!$F$246)*100</f>
        <v>43.96231572413717</v>
      </c>
      <c r="N140" s="505">
        <f>('Pivot Table for Data Exchange'!$F$249)*100</f>
        <v>0</v>
      </c>
      <c r="O140" s="515">
        <f>('Pivot Table for Data Exchange'!$F$252)*100</f>
        <v>0</v>
      </c>
      <c r="P140" s="505">
        <f>('Pivot Table for Data Exchange'!$F$255)*100</f>
        <v>0</v>
      </c>
      <c r="Q140" s="510">
        <f t="shared" si="34"/>
        <v>100</v>
      </c>
      <c r="R140" s="510">
        <f t="shared" si="35"/>
        <v>100</v>
      </c>
      <c r="S140" s="511"/>
      <c r="T140" s="535"/>
      <c r="U140" s="511"/>
      <c r="V140" s="511"/>
      <c r="W140" s="511"/>
      <c r="X140" s="511"/>
      <c r="Y140" s="511"/>
      <c r="Z140" s="511"/>
      <c r="AA140" s="511"/>
      <c r="AB140" s="511"/>
      <c r="AC140" s="511"/>
      <c r="AD140" s="511"/>
      <c r="AE140" s="511"/>
      <c r="AF140" s="511"/>
      <c r="AG140" s="511"/>
      <c r="AH140" s="511"/>
      <c r="AI140" s="511"/>
      <c r="AJ140" s="511"/>
      <c r="AK140" s="511"/>
      <c r="AL140" s="511"/>
      <c r="AM140" s="511"/>
      <c r="AN140" s="511"/>
      <c r="AO140" s="511"/>
    </row>
    <row r="141" spans="1:41" ht="15.75" customHeight="1">
      <c r="A141" s="512" t="s">
        <v>901</v>
      </c>
      <c r="B141" s="505">
        <f>('Pivot Table for Data Exchange'!$F$258)*100</f>
        <v>84.743156159603984</v>
      </c>
      <c r="C141" s="505">
        <f>('Pivot Table for Data Exchange'!$F$261)*100</f>
        <v>1.700678837430794</v>
      </c>
      <c r="D141" s="506">
        <f t="shared" si="32"/>
        <v>13.556165002965219</v>
      </c>
      <c r="E141" s="505">
        <f>('Pivot Table for Data Exchange'!$F$264)*100</f>
        <v>13.457802328141593</v>
      </c>
      <c r="F141" s="505">
        <f>('Pivot Table for Data Exchange'!$F$267)*100</f>
        <v>9.8362674823626275E-2</v>
      </c>
      <c r="G141" s="515">
        <f>('Pivot Table for Data Exchange'!$F$270)*100</f>
        <v>0</v>
      </c>
      <c r="H141" s="505">
        <f>('Pivot Table for Data Exchange'!$F$273)*100</f>
        <v>0</v>
      </c>
      <c r="I141" s="514" t="s">
        <v>901</v>
      </c>
      <c r="J141" s="505">
        <f>('Pivot Table for Data Exchange'!$F$276)*100</f>
        <v>67.560548315711827</v>
      </c>
      <c r="K141" s="505">
        <f>('Pivot Table for Data Exchange'!$F$279)*100</f>
        <v>2.3466314236537991</v>
      </c>
      <c r="L141" s="506">
        <f t="shared" si="33"/>
        <v>30.092820260634372</v>
      </c>
      <c r="M141" s="505">
        <f>('Pivot Table for Data Exchange'!$F$282)*100</f>
        <v>28.244098844357019</v>
      </c>
      <c r="N141" s="505">
        <f>('Pivot Table for Data Exchange'!$F$285)*100</f>
        <v>1.8487214162773542</v>
      </c>
      <c r="O141" s="515">
        <f>('Pivot Table for Data Exchange'!$F$288)*100</f>
        <v>0</v>
      </c>
      <c r="P141" s="505">
        <f>('Pivot Table for Data Exchange'!$F$291)*100</f>
        <v>0</v>
      </c>
      <c r="Q141" s="510">
        <f t="shared" si="34"/>
        <v>100</v>
      </c>
      <c r="R141" s="510">
        <f t="shared" si="35"/>
        <v>100</v>
      </c>
      <c r="S141" s="511"/>
      <c r="U141" s="511"/>
      <c r="V141" s="511"/>
      <c r="W141" s="511"/>
      <c r="X141" s="511"/>
      <c r="Y141" s="511"/>
      <c r="Z141" s="511"/>
      <c r="AA141" s="511"/>
      <c r="AB141" s="511"/>
      <c r="AC141" s="511"/>
      <c r="AD141" s="511"/>
      <c r="AE141" s="511"/>
      <c r="AF141" s="511"/>
      <c r="AG141" s="511"/>
      <c r="AH141" s="511"/>
      <c r="AI141" s="511"/>
      <c r="AJ141" s="511"/>
      <c r="AK141" s="511"/>
      <c r="AL141" s="511"/>
      <c r="AM141" s="511"/>
      <c r="AN141" s="511"/>
      <c r="AO141" s="511"/>
    </row>
    <row r="142" spans="1:41" ht="15.75" customHeight="1">
      <c r="A142" s="512"/>
      <c r="B142" s="505"/>
      <c r="C142" s="505"/>
      <c r="D142" s="506"/>
      <c r="E142" s="505"/>
      <c r="F142" s="505"/>
      <c r="G142" s="515"/>
      <c r="H142" s="505"/>
      <c r="I142" s="514"/>
      <c r="J142" s="505"/>
      <c r="K142" s="505"/>
      <c r="L142" s="506"/>
      <c r="M142" s="505"/>
      <c r="N142" s="505"/>
      <c r="O142" s="515"/>
      <c r="P142" s="505"/>
      <c r="Q142" s="510">
        <f t="shared" si="34"/>
        <v>0</v>
      </c>
      <c r="R142" s="510">
        <f t="shared" si="35"/>
        <v>0</v>
      </c>
      <c r="S142" s="511"/>
      <c r="U142" s="511"/>
      <c r="V142" s="511"/>
      <c r="W142" s="511"/>
      <c r="X142" s="511"/>
      <c r="Y142" s="511"/>
      <c r="Z142" s="511"/>
      <c r="AA142" s="511"/>
      <c r="AB142" s="511"/>
      <c r="AC142" s="511"/>
      <c r="AD142" s="511"/>
      <c r="AE142" s="511"/>
      <c r="AF142" s="511"/>
      <c r="AG142" s="511"/>
      <c r="AH142" s="511"/>
      <c r="AI142" s="511"/>
      <c r="AJ142" s="511"/>
      <c r="AK142" s="511"/>
      <c r="AL142" s="511"/>
      <c r="AM142" s="511"/>
      <c r="AN142" s="511"/>
      <c r="AO142" s="511"/>
    </row>
    <row r="143" spans="1:41" ht="15.75" customHeight="1">
      <c r="A143" s="512" t="s">
        <v>902</v>
      </c>
      <c r="B143" s="505">
        <f>('Pivot Table for Data Exchange'!$F$294)*100</f>
        <v>80.155847715636654</v>
      </c>
      <c r="C143" s="505">
        <f>('Pivot Table for Data Exchange'!$F$297)*100</f>
        <v>3.2045697056318585</v>
      </c>
      <c r="D143" s="506">
        <f t="shared" ref="D143:D145" si="36">SUM(E143:G143)</f>
        <v>16.069837789155272</v>
      </c>
      <c r="E143" s="505">
        <f>('Pivot Table for Data Exchange'!$F$300)*100</f>
        <v>16.011101212910301</v>
      </c>
      <c r="F143" s="505">
        <f>('Pivot Table for Data Exchange'!$F$303)*100</f>
        <v>0</v>
      </c>
      <c r="G143" s="513">
        <f>('Pivot Table for Data Exchange'!$F$306)*100</f>
        <v>5.8736576244970681E-2</v>
      </c>
      <c r="H143" s="505">
        <f>('Pivot Table for Data Exchange'!$F$309)*100</f>
        <v>0.56974478957621555</v>
      </c>
      <c r="I143" s="514" t="s">
        <v>902</v>
      </c>
      <c r="J143" s="505">
        <f>('Pivot Table for Data Exchange'!$F$312)*100</f>
        <v>25.728251209637605</v>
      </c>
      <c r="K143" s="505">
        <f>('Pivot Table for Data Exchange'!$F$315)*100</f>
        <v>2.0613212204996545</v>
      </c>
      <c r="L143" s="506">
        <f t="shared" ref="L143:L145" si="37">SUM(M143:O143)</f>
        <v>72.003061123728642</v>
      </c>
      <c r="M143" s="505">
        <f>('Pivot Table for Data Exchange'!$F$318)*100</f>
        <v>71.788288733089757</v>
      </c>
      <c r="N143" s="505">
        <f>('Pivot Table for Data Exchange'!$F$321)*100</f>
        <v>0</v>
      </c>
      <c r="O143" s="515">
        <f>('Pivot Table for Data Exchange'!$F$324)*100</f>
        <v>0.21477239063888615</v>
      </c>
      <c r="P143" s="505">
        <f>('Pivot Table for Data Exchange'!$F$327)*100</f>
        <v>0.20736644613409697</v>
      </c>
      <c r="Q143" s="510">
        <f t="shared" si="34"/>
        <v>100</v>
      </c>
      <c r="R143" s="510">
        <f t="shared" si="35"/>
        <v>100</v>
      </c>
      <c r="S143" s="511"/>
      <c r="T143" s="511"/>
      <c r="U143" s="511"/>
      <c r="V143" s="511"/>
      <c r="W143" s="511"/>
      <c r="X143" s="511"/>
      <c r="Y143" s="511"/>
      <c r="Z143" s="511"/>
      <c r="AA143" s="511"/>
      <c r="AB143" s="511"/>
      <c r="AC143" s="511"/>
      <c r="AD143" s="511"/>
      <c r="AE143" s="511"/>
      <c r="AF143" s="511"/>
      <c r="AG143" s="511"/>
      <c r="AH143" s="511"/>
      <c r="AI143" s="511"/>
      <c r="AJ143" s="511"/>
      <c r="AK143" s="511"/>
      <c r="AL143" s="511"/>
      <c r="AM143" s="511"/>
      <c r="AN143" s="511"/>
      <c r="AO143" s="511"/>
    </row>
    <row r="144" spans="1:41" ht="15.75" customHeight="1">
      <c r="A144" s="512" t="s">
        <v>903</v>
      </c>
      <c r="B144" s="505">
        <f>('Pivot Table for Data Exchange'!$F$330)*100</f>
        <v>71.068746160401091</v>
      </c>
      <c r="C144" s="505">
        <f>('Pivot Table for Data Exchange'!$F$333)*100</f>
        <v>1.4816723145927877</v>
      </c>
      <c r="D144" s="506">
        <f t="shared" si="36"/>
        <v>27.44958152500611</v>
      </c>
      <c r="E144" s="505">
        <f>('Pivot Table for Data Exchange'!$F$336)*100</f>
        <v>27.44958152500611</v>
      </c>
      <c r="F144" s="505">
        <f>('Pivot Table for Data Exchange'!$F$339)*100</f>
        <v>0</v>
      </c>
      <c r="G144" s="518">
        <f>('Pivot Table for Data Exchange'!$F$342)*100</f>
        <v>0</v>
      </c>
      <c r="H144" s="505">
        <f>('Pivot Table for Data Exchange'!$F$345)*100</f>
        <v>0</v>
      </c>
      <c r="I144" s="514" t="s">
        <v>903</v>
      </c>
      <c r="J144" s="505">
        <f>('Pivot Table for Data Exchange'!$F$348)*100</f>
        <v>52.990691225985344</v>
      </c>
      <c r="K144" s="505">
        <f>('Pivot Table for Data Exchange'!$F$351)*100</f>
        <v>18.904733610615963</v>
      </c>
      <c r="L144" s="506">
        <f t="shared" si="37"/>
        <v>28.104575163398692</v>
      </c>
      <c r="M144" s="505">
        <f>('Pivot Table for Data Exchange'!$F$354)*100</f>
        <v>28.104575163398692</v>
      </c>
      <c r="N144" s="505">
        <f>('Pivot Table for Data Exchange'!$F$357)*100</f>
        <v>0</v>
      </c>
      <c r="O144" s="515">
        <f>('Pivot Table for Data Exchange'!$F$360)*100</f>
        <v>0</v>
      </c>
      <c r="P144" s="505">
        <f>('Pivot Table for Data Exchange'!$F$363)*100</f>
        <v>0</v>
      </c>
      <c r="Q144" s="510">
        <f t="shared" si="34"/>
        <v>99.999999999999986</v>
      </c>
      <c r="R144" s="510">
        <f t="shared" si="35"/>
        <v>100</v>
      </c>
      <c r="S144" s="511"/>
      <c r="T144" s="511"/>
      <c r="U144" s="511"/>
      <c r="V144" s="511"/>
      <c r="W144" s="511"/>
      <c r="X144" s="511"/>
      <c r="Y144" s="511"/>
      <c r="Z144" s="511"/>
      <c r="AA144" s="511"/>
      <c r="AB144" s="511"/>
      <c r="AC144" s="511"/>
      <c r="AD144" s="511"/>
      <c r="AE144" s="511"/>
      <c r="AF144" s="511"/>
      <c r="AG144" s="511"/>
      <c r="AH144" s="511"/>
      <c r="AI144" s="511"/>
      <c r="AJ144" s="511"/>
      <c r="AK144" s="511"/>
      <c r="AL144" s="511"/>
      <c r="AM144" s="511"/>
      <c r="AN144" s="511"/>
      <c r="AO144" s="511"/>
    </row>
    <row r="145" spans="1:41" ht="15.75" customHeight="1">
      <c r="A145" s="512" t="s">
        <v>904</v>
      </c>
      <c r="B145" s="505">
        <f>('Pivot Table for Data Exchange'!$F$366)*100</f>
        <v>65.792076258564194</v>
      </c>
      <c r="C145" s="505">
        <f>('Pivot Table for Data Exchange'!$F$369)*100</f>
        <v>0.49687220732797138</v>
      </c>
      <c r="D145" s="506">
        <f t="shared" si="36"/>
        <v>33.711051534107831</v>
      </c>
      <c r="E145" s="505">
        <f>('Pivot Table for Data Exchange'!$F$372)*100</f>
        <v>30.199582960977061</v>
      </c>
      <c r="F145" s="505">
        <f>('Pivot Table for Data Exchange'!$F$375)*100</f>
        <v>2.2591599642537981</v>
      </c>
      <c r="G145" s="515">
        <f>('Pivot Table for Data Exchange'!$F$378)*100</f>
        <v>1.2523086088769735</v>
      </c>
      <c r="H145" s="505">
        <f>('Pivot Table for Data Exchange'!$F$381)*100</f>
        <v>0</v>
      </c>
      <c r="I145" s="514" t="s">
        <v>904</v>
      </c>
      <c r="J145" s="505">
        <f>('Pivot Table for Data Exchange'!$F$384)*100</f>
        <v>32.346938775510203</v>
      </c>
      <c r="K145" s="505">
        <f>('Pivot Table for Data Exchange'!$F$387)*100</f>
        <v>7.3852040816326525</v>
      </c>
      <c r="L145" s="506">
        <f t="shared" si="37"/>
        <v>60.267857142857146</v>
      </c>
      <c r="M145" s="505">
        <f>('Pivot Table for Data Exchange'!$F$390)*100</f>
        <v>59.234693877551024</v>
      </c>
      <c r="N145" s="505">
        <f>('Pivot Table for Data Exchange'!$F$393)*100</f>
        <v>0.72704081632653061</v>
      </c>
      <c r="O145" s="515">
        <f>('Pivot Table for Data Exchange'!$F$396)*100</f>
        <v>0.30612244897959184</v>
      </c>
      <c r="P145" s="505">
        <f>('Pivot Table for Data Exchange'!$F$399)*100</f>
        <v>0</v>
      </c>
      <c r="Q145" s="510">
        <f t="shared" si="34"/>
        <v>100</v>
      </c>
      <c r="R145" s="510">
        <f t="shared" si="35"/>
        <v>100</v>
      </c>
      <c r="S145" s="511"/>
      <c r="T145" s="535"/>
      <c r="U145" s="511"/>
      <c r="V145" s="511"/>
      <c r="W145" s="511"/>
      <c r="X145" s="511"/>
      <c r="Y145" s="511"/>
      <c r="Z145" s="511"/>
      <c r="AA145" s="511"/>
      <c r="AB145" s="511"/>
      <c r="AC145" s="511"/>
      <c r="AD145" s="511"/>
      <c r="AE145" s="511"/>
      <c r="AF145" s="511"/>
      <c r="AG145" s="511"/>
      <c r="AH145" s="511"/>
      <c r="AI145" s="511"/>
      <c r="AJ145" s="511"/>
      <c r="AK145" s="511"/>
      <c r="AL145" s="511"/>
      <c r="AM145" s="511"/>
      <c r="AN145" s="511"/>
      <c r="AO145" s="511"/>
    </row>
    <row r="146" spans="1:41" ht="15.75" customHeight="1">
      <c r="A146" s="512" t="s">
        <v>905</v>
      </c>
      <c r="B146" s="505">
        <f>('Pivot Table for Data Exchange'!$F$402)*100</f>
        <v>0</v>
      </c>
      <c r="C146" s="505">
        <f>('Pivot Table for Data Exchange'!$F$405)*100</f>
        <v>0</v>
      </c>
      <c r="D146" s="506">
        <f>SUM(E146:G146)</f>
        <v>0</v>
      </c>
      <c r="E146" s="505">
        <f>('Pivot Table for Data Exchange'!$F$408)*100</f>
        <v>0</v>
      </c>
      <c r="F146" s="505">
        <f>('Pivot Table for Data Exchange'!$F$411)*100</f>
        <v>0</v>
      </c>
      <c r="G146" s="515">
        <f>('Pivot Table for Data Exchange'!$F$414)*100</f>
        <v>0</v>
      </c>
      <c r="H146" s="505">
        <f>('Pivot Table for Data Exchange'!$F$417)*100</f>
        <v>0</v>
      </c>
      <c r="I146" s="514" t="s">
        <v>905</v>
      </c>
      <c r="J146" s="505">
        <f>('Pivot Table for Data Exchange'!$F$420)*100</f>
        <v>0</v>
      </c>
      <c r="K146" s="505">
        <f>('Pivot Table for Data Exchange'!$F$423)*100</f>
        <v>0</v>
      </c>
      <c r="L146" s="506">
        <f>SUM(M146:O146)</f>
        <v>0</v>
      </c>
      <c r="M146" s="505">
        <f>('Pivot Table for Data Exchange'!$F$426)*100</f>
        <v>0</v>
      </c>
      <c r="N146" s="505">
        <f>('Pivot Table for Data Exchange'!$F$429)*100</f>
        <v>0</v>
      </c>
      <c r="O146" s="515">
        <f>('Pivot Table for Data Exchange'!$F$432)*100</f>
        <v>0</v>
      </c>
      <c r="P146" s="505">
        <f>('Pivot Table for Data Exchange'!$F$435)*100</f>
        <v>0</v>
      </c>
      <c r="Q146" s="510">
        <f t="shared" si="34"/>
        <v>0</v>
      </c>
      <c r="R146" s="510">
        <f t="shared" si="35"/>
        <v>0</v>
      </c>
      <c r="S146" s="511"/>
      <c r="T146" s="511"/>
      <c r="U146" s="511"/>
      <c r="V146" s="511"/>
      <c r="W146" s="511"/>
      <c r="X146" s="511"/>
      <c r="Y146" s="511"/>
      <c r="Z146" s="511"/>
      <c r="AA146" s="511"/>
      <c r="AB146" s="511"/>
      <c r="AC146" s="511"/>
      <c r="AD146" s="511"/>
      <c r="AE146" s="511"/>
      <c r="AF146" s="511"/>
      <c r="AG146" s="511"/>
      <c r="AH146" s="511"/>
      <c r="AI146" s="511"/>
      <c r="AJ146" s="511"/>
      <c r="AK146" s="511"/>
      <c r="AL146" s="511"/>
      <c r="AM146" s="511"/>
      <c r="AN146" s="511"/>
      <c r="AO146" s="511"/>
    </row>
    <row r="147" spans="1:41" ht="15.75" customHeight="1">
      <c r="A147" s="512"/>
      <c r="B147" s="505"/>
      <c r="C147" s="505"/>
      <c r="D147" s="506"/>
      <c r="E147" s="505"/>
      <c r="F147" s="505"/>
      <c r="G147" s="515"/>
      <c r="H147" s="505"/>
      <c r="I147" s="514"/>
      <c r="J147" s="505"/>
      <c r="K147" s="505"/>
      <c r="L147" s="506"/>
      <c r="M147" s="505"/>
      <c r="N147" s="505"/>
      <c r="O147" s="515"/>
      <c r="P147" s="505"/>
      <c r="Q147" s="510">
        <f t="shared" si="34"/>
        <v>0</v>
      </c>
      <c r="R147" s="510">
        <f t="shared" si="35"/>
        <v>0</v>
      </c>
      <c r="S147" s="511"/>
      <c r="T147" s="511"/>
      <c r="U147" s="511"/>
      <c r="V147" s="511"/>
      <c r="W147" s="511"/>
      <c r="X147" s="511"/>
      <c r="Y147" s="511"/>
      <c r="Z147" s="511"/>
      <c r="AA147" s="511"/>
      <c r="AB147" s="511"/>
      <c r="AC147" s="511"/>
      <c r="AD147" s="511"/>
      <c r="AE147" s="511"/>
      <c r="AF147" s="511"/>
      <c r="AG147" s="511"/>
      <c r="AH147" s="511"/>
      <c r="AI147" s="511"/>
      <c r="AJ147" s="511"/>
      <c r="AK147" s="511"/>
      <c r="AL147" s="511"/>
      <c r="AM147" s="511"/>
      <c r="AN147" s="511"/>
      <c r="AO147" s="511"/>
    </row>
    <row r="148" spans="1:41" ht="15.75" customHeight="1">
      <c r="A148" s="512" t="s">
        <v>906</v>
      </c>
      <c r="B148" s="505">
        <f>('Pivot Table for Data Exchange'!$F$438)*100</f>
        <v>0</v>
      </c>
      <c r="C148" s="505">
        <f>('Pivot Table for Data Exchange'!$F$441)*100</f>
        <v>0</v>
      </c>
      <c r="D148" s="506">
        <f>SUM(E148:G148)</f>
        <v>0</v>
      </c>
      <c r="E148" s="505">
        <f>('Pivot Table for Data Exchange'!$F$444)*100</f>
        <v>0</v>
      </c>
      <c r="F148" s="505">
        <f>('Pivot Table for Data Exchange'!$F$447)*100</f>
        <v>0</v>
      </c>
      <c r="G148" s="515">
        <f>('Pivot Table for Data Exchange'!$F$450)*100</f>
        <v>0</v>
      </c>
      <c r="H148" s="505">
        <f>('Pivot Table for Data Exchange'!$F$453)*100</f>
        <v>0</v>
      </c>
      <c r="I148" s="514" t="s">
        <v>906</v>
      </c>
      <c r="J148" s="505">
        <f>('Pivot Table for Data Exchange'!$F$456)*100</f>
        <v>0</v>
      </c>
      <c r="K148" s="505">
        <f>('Pivot Table for Data Exchange'!$F$459)*100</f>
        <v>0</v>
      </c>
      <c r="L148" s="506">
        <f>SUM(M148:O148)</f>
        <v>0</v>
      </c>
      <c r="M148" s="505">
        <f>('Pivot Table for Data Exchange'!$F$462)*100</f>
        <v>0</v>
      </c>
      <c r="N148" s="505">
        <f>('Pivot Table for Data Exchange'!$F$465)*100</f>
        <v>0</v>
      </c>
      <c r="O148" s="515">
        <f>('Pivot Table for Data Exchange'!$F$468)*100</f>
        <v>0</v>
      </c>
      <c r="P148" s="505">
        <f>('Pivot Table for Data Exchange'!$F$471)*100</f>
        <v>0</v>
      </c>
      <c r="Q148" s="510">
        <f t="shared" si="34"/>
        <v>0</v>
      </c>
      <c r="R148" s="510">
        <f t="shared" si="35"/>
        <v>0</v>
      </c>
      <c r="S148" s="511"/>
      <c r="T148" s="511"/>
      <c r="U148" s="511"/>
      <c r="V148" s="511"/>
      <c r="W148" s="511"/>
      <c r="X148" s="511"/>
      <c r="Y148" s="511"/>
      <c r="Z148" s="511"/>
      <c r="AA148" s="511"/>
      <c r="AB148" s="511"/>
      <c r="AC148" s="511"/>
      <c r="AD148" s="511"/>
      <c r="AE148" s="511"/>
      <c r="AF148" s="511"/>
      <c r="AG148" s="511"/>
      <c r="AH148" s="511"/>
      <c r="AI148" s="511"/>
      <c r="AJ148" s="511"/>
      <c r="AK148" s="511"/>
      <c r="AL148" s="511"/>
      <c r="AM148" s="511"/>
      <c r="AN148" s="511"/>
      <c r="AO148" s="511"/>
    </row>
    <row r="149" spans="1:41" ht="15.75" customHeight="1">
      <c r="A149" s="512" t="s">
        <v>907</v>
      </c>
      <c r="B149" s="505">
        <f>('Pivot Table for Data Exchange'!$F$474)*100</f>
        <v>48.309086268504338</v>
      </c>
      <c r="C149" s="505">
        <f>('Pivot Table for Data Exchange'!$F$477)*100</f>
        <v>7.0621348760705587</v>
      </c>
      <c r="D149" s="506">
        <f>SUM(E149:G149)</f>
        <v>44.628778855425104</v>
      </c>
      <c r="E149" s="505">
        <f>('Pivot Table for Data Exchange'!$F$480)*100</f>
        <v>42.305456298565026</v>
      </c>
      <c r="F149" s="505">
        <f>('Pivot Table for Data Exchange'!$F$483)*100</f>
        <v>2.3233225568600759</v>
      </c>
      <c r="G149" s="515">
        <f>('Pivot Table for Data Exchange'!$F$486)*100</f>
        <v>0</v>
      </c>
      <c r="H149" s="505">
        <f>('Pivot Table for Data Exchange'!$F$489)*100</f>
        <v>0</v>
      </c>
      <c r="I149" s="514" t="s">
        <v>907</v>
      </c>
      <c r="J149" s="505">
        <f>('Pivot Table for Data Exchange'!$F$492)*100</f>
        <v>27.561794693371251</v>
      </c>
      <c r="K149" s="505">
        <f>('Pivot Table for Data Exchange'!$F$495)*100</f>
        <v>8.6134390221765038</v>
      </c>
      <c r="L149" s="506">
        <f>SUM(M149:O149)</f>
        <v>71.221976825099091</v>
      </c>
      <c r="M149" s="505">
        <f>('Pivot Table for Data Exchange'!$F$498)*100</f>
        <v>68.12694762956464</v>
      </c>
      <c r="N149" s="505">
        <f>('Pivot Table for Data Exchange'!$F$501)*100</f>
        <v>3.0950291955344449</v>
      </c>
      <c r="O149" s="515">
        <f>('Pivot Table for Data Exchange'!$F$504)*100</f>
        <v>0</v>
      </c>
      <c r="P149" s="505">
        <f>('Pivot Table for Data Exchange'!$F$507)*100</f>
        <v>0</v>
      </c>
      <c r="Q149" s="510">
        <f t="shared" si="34"/>
        <v>100</v>
      </c>
      <c r="R149" s="510">
        <f t="shared" si="35"/>
        <v>107.39721054064685</v>
      </c>
      <c r="S149" s="511"/>
      <c r="T149" s="511"/>
      <c r="U149" s="511"/>
      <c r="V149" s="511"/>
      <c r="W149" s="511"/>
      <c r="X149" s="511"/>
      <c r="Y149" s="511"/>
      <c r="Z149" s="511"/>
      <c r="AA149" s="511"/>
      <c r="AB149" s="511"/>
      <c r="AC149" s="511"/>
      <c r="AD149" s="511"/>
      <c r="AE149" s="511"/>
      <c r="AF149" s="511"/>
      <c r="AG149" s="511"/>
      <c r="AH149" s="511"/>
      <c r="AI149" s="511"/>
      <c r="AJ149" s="511"/>
      <c r="AK149" s="511"/>
      <c r="AL149" s="511"/>
      <c r="AM149" s="511"/>
      <c r="AN149" s="511"/>
      <c r="AO149" s="511"/>
    </row>
    <row r="150" spans="1:41" ht="15.75" customHeight="1">
      <c r="A150" s="512" t="s">
        <v>908</v>
      </c>
      <c r="B150" s="505">
        <f>('Pivot Table for Data Exchange'!$F$510)*100</f>
        <v>0</v>
      </c>
      <c r="C150" s="505">
        <f>('Pivot Table for Data Exchange'!$F$513)*100</f>
        <v>0</v>
      </c>
      <c r="D150" s="506">
        <f t="shared" ref="D150" si="38">SUM(E150:G150)</f>
        <v>0</v>
      </c>
      <c r="E150" s="505">
        <f>('Pivot Table for Data Exchange'!$F$516)*100</f>
        <v>0</v>
      </c>
      <c r="F150" s="505">
        <f>('Pivot Table for Data Exchange'!$F$519)*100</f>
        <v>0</v>
      </c>
      <c r="G150" s="515">
        <f>('Pivot Table for Data Exchange'!$F$522)*100</f>
        <v>0</v>
      </c>
      <c r="H150" s="505">
        <f>('Pivot Table for Data Exchange'!$F$525)*100</f>
        <v>0</v>
      </c>
      <c r="I150" s="514" t="s">
        <v>908</v>
      </c>
      <c r="J150" s="505">
        <f>('Pivot Table for Data Exchange'!$F$528)*100</f>
        <v>0</v>
      </c>
      <c r="K150" s="505">
        <f>('Pivot Table for Data Exchange'!$F$531)*100</f>
        <v>0</v>
      </c>
      <c r="L150" s="506">
        <f t="shared" ref="L150" si="39">SUM(M150:O150)</f>
        <v>0</v>
      </c>
      <c r="M150" s="505">
        <f>('Pivot Table for Data Exchange'!$F$534)*100</f>
        <v>0</v>
      </c>
      <c r="N150" s="505">
        <f>('Pivot Table for Data Exchange'!$F$537)*100</f>
        <v>0</v>
      </c>
      <c r="O150" s="515">
        <f>('Pivot Table for Data Exchange'!$F$540)*100</f>
        <v>0</v>
      </c>
      <c r="P150" s="505">
        <f>('Pivot Table for Data Exchange'!$F$543)*100</f>
        <v>0</v>
      </c>
      <c r="Q150" s="510">
        <f t="shared" si="34"/>
        <v>0</v>
      </c>
      <c r="R150" s="510">
        <f t="shared" si="35"/>
        <v>0</v>
      </c>
      <c r="S150" s="511"/>
      <c r="T150" s="511"/>
      <c r="U150" s="511"/>
      <c r="V150" s="511"/>
      <c r="W150" s="511"/>
      <c r="X150" s="511"/>
      <c r="Y150" s="511"/>
      <c r="Z150" s="511"/>
      <c r="AA150" s="511"/>
      <c r="AB150" s="511"/>
      <c r="AC150" s="511"/>
      <c r="AD150" s="511"/>
      <c r="AE150" s="511"/>
      <c r="AF150" s="511"/>
      <c r="AG150" s="511"/>
      <c r="AH150" s="511"/>
      <c r="AI150" s="511"/>
      <c r="AJ150" s="511"/>
      <c r="AK150" s="511"/>
      <c r="AL150" s="511"/>
      <c r="AM150" s="511"/>
      <c r="AN150" s="511"/>
      <c r="AO150" s="511"/>
    </row>
    <row r="151" spans="1:41" ht="15.75" customHeight="1">
      <c r="A151" s="484" t="s">
        <v>909</v>
      </c>
      <c r="B151" s="520">
        <f>('Pivot Table for Data Exchange'!$F$546)*100</f>
        <v>0</v>
      </c>
      <c r="C151" s="520">
        <f>('Pivot Table for Data Exchange'!$F$549)*100</f>
        <v>0</v>
      </c>
      <c r="D151" s="521">
        <f>SUM(E151:G151)</f>
        <v>0</v>
      </c>
      <c r="E151" s="520">
        <f>('Pivot Table for Data Exchange'!$F$552)*100</f>
        <v>0</v>
      </c>
      <c r="F151" s="520">
        <f>('Pivot Table for Data Exchange'!$F$555)*100</f>
        <v>0</v>
      </c>
      <c r="G151" s="522">
        <f>('Pivot Table for Data Exchange'!$F$558)*100</f>
        <v>0</v>
      </c>
      <c r="H151" s="520">
        <f>('Pivot Table for Data Exchange'!$F$561)*100</f>
        <v>0</v>
      </c>
      <c r="I151" s="523" t="s">
        <v>909</v>
      </c>
      <c r="J151" s="520">
        <f>('Pivot Table for Data Exchange'!$F$564)*100</f>
        <v>0</v>
      </c>
      <c r="K151" s="520">
        <f>('Pivot Table for Data Exchange'!$F$567)*100</f>
        <v>0</v>
      </c>
      <c r="L151" s="521">
        <f>SUM(M151:O151)</f>
        <v>0</v>
      </c>
      <c r="M151" s="520">
        <f>('Pivot Table for Data Exchange'!$F$570)*100</f>
        <v>0</v>
      </c>
      <c r="N151" s="520">
        <f>('Pivot Table for Data Exchange'!$F$573)*100</f>
        <v>0</v>
      </c>
      <c r="O151" s="522">
        <f>('Pivot Table for Data Exchange'!$F$576)*100</f>
        <v>0</v>
      </c>
      <c r="P151" s="520">
        <f>('Pivot Table for Data Exchange'!$F$579)*100</f>
        <v>0</v>
      </c>
      <c r="Q151" s="510">
        <f t="shared" si="34"/>
        <v>0</v>
      </c>
      <c r="R151" s="510">
        <f t="shared" si="35"/>
        <v>0</v>
      </c>
      <c r="S151" s="511"/>
      <c r="T151" s="511"/>
      <c r="U151" s="511"/>
      <c r="V151" s="511"/>
      <c r="W151" s="511"/>
      <c r="X151" s="511"/>
      <c r="Y151" s="511"/>
      <c r="Z151" s="511"/>
      <c r="AA151" s="511"/>
      <c r="AB151" s="511"/>
      <c r="AC151" s="511"/>
      <c r="AD151" s="511"/>
      <c r="AE151" s="511"/>
      <c r="AF151" s="511"/>
      <c r="AG151" s="511"/>
      <c r="AH151" s="511"/>
      <c r="AI151" s="511"/>
      <c r="AJ151" s="511"/>
      <c r="AK151" s="511"/>
      <c r="AL151" s="511"/>
      <c r="AM151" s="511"/>
      <c r="AN151" s="511"/>
      <c r="AO151" s="511"/>
    </row>
    <row r="152" spans="1:41" s="524" customFormat="1" ht="12.75" customHeight="1">
      <c r="A152" s="525" t="s">
        <v>937</v>
      </c>
      <c r="B152" s="526"/>
      <c r="C152" s="526"/>
      <c r="D152" s="527"/>
      <c r="E152" s="526"/>
      <c r="F152" s="527"/>
      <c r="G152" s="527"/>
      <c r="H152" s="526"/>
      <c r="I152" s="525" t="s">
        <v>937</v>
      </c>
      <c r="J152" s="526"/>
      <c r="K152" s="526"/>
      <c r="L152" s="527"/>
      <c r="M152" s="526"/>
      <c r="N152" s="527"/>
      <c r="O152" s="527"/>
      <c r="P152" s="526"/>
      <c r="Q152" s="510"/>
      <c r="R152" s="510"/>
      <c r="S152" s="528"/>
      <c r="T152" s="528"/>
      <c r="U152" s="528"/>
      <c r="V152" s="528"/>
      <c r="W152" s="528"/>
      <c r="X152" s="528"/>
      <c r="Y152" s="528"/>
      <c r="Z152" s="528"/>
      <c r="AA152" s="528"/>
      <c r="AB152" s="528"/>
      <c r="AC152" s="528"/>
      <c r="AD152" s="528"/>
      <c r="AE152" s="528"/>
      <c r="AF152" s="528"/>
      <c r="AG152" s="528"/>
      <c r="AH152" s="528"/>
      <c r="AI152" s="528"/>
      <c r="AJ152" s="528"/>
      <c r="AK152" s="528"/>
      <c r="AL152" s="528"/>
      <c r="AM152" s="528"/>
      <c r="AN152" s="528"/>
      <c r="AO152" s="528"/>
    </row>
    <row r="153" spans="1:41" s="524" customFormat="1" ht="24" customHeight="1">
      <c r="A153" s="655" t="s">
        <v>943</v>
      </c>
      <c r="B153" s="674"/>
      <c r="C153" s="674"/>
      <c r="D153" s="674"/>
      <c r="E153" s="674"/>
      <c r="F153" s="674"/>
      <c r="G153" s="674"/>
      <c r="H153" s="674"/>
      <c r="I153" s="655" t="s">
        <v>943</v>
      </c>
      <c r="J153" s="674"/>
      <c r="K153" s="674"/>
      <c r="L153" s="674"/>
      <c r="M153" s="674"/>
      <c r="N153" s="674"/>
      <c r="O153" s="674"/>
      <c r="P153" s="674"/>
      <c r="Q153" s="510"/>
      <c r="R153" s="510"/>
      <c r="S153" s="528"/>
      <c r="T153" s="528"/>
      <c r="U153" s="528"/>
      <c r="V153" s="528"/>
      <c r="W153" s="528"/>
      <c r="X153" s="528"/>
      <c r="Y153" s="528"/>
      <c r="Z153" s="528"/>
      <c r="AA153" s="528"/>
      <c r="AB153" s="528"/>
      <c r="AC153" s="528"/>
      <c r="AD153" s="528"/>
      <c r="AE153" s="528"/>
      <c r="AF153" s="528"/>
      <c r="AG153" s="528"/>
      <c r="AH153" s="528"/>
      <c r="AI153" s="528"/>
      <c r="AJ153" s="528"/>
      <c r="AK153" s="528"/>
      <c r="AL153" s="528"/>
      <c r="AM153" s="528"/>
      <c r="AN153" s="528"/>
      <c r="AO153" s="528"/>
    </row>
    <row r="154" spans="1:41" s="524" customFormat="1" ht="9.75" customHeight="1">
      <c r="A154" s="542"/>
      <c r="B154" s="544"/>
      <c r="C154" s="544"/>
      <c r="D154" s="544"/>
      <c r="E154" s="544"/>
      <c r="F154" s="544"/>
      <c r="G154" s="544"/>
      <c r="H154" s="544"/>
      <c r="I154" s="542"/>
      <c r="J154" s="544"/>
      <c r="K154" s="544"/>
      <c r="L154" s="544"/>
      <c r="M154" s="544"/>
      <c r="N154" s="544"/>
      <c r="O154" s="544"/>
      <c r="P154" s="544"/>
      <c r="Q154" s="510"/>
      <c r="R154" s="510"/>
      <c r="S154" s="528"/>
      <c r="T154" s="528"/>
      <c r="U154" s="528"/>
      <c r="V154" s="528"/>
      <c r="W154" s="528"/>
      <c r="X154" s="528"/>
      <c r="Y154" s="528"/>
      <c r="Z154" s="528"/>
      <c r="AA154" s="528"/>
      <c r="AB154" s="528"/>
      <c r="AC154" s="528"/>
      <c r="AD154" s="528"/>
      <c r="AE154" s="528"/>
      <c r="AF154" s="528"/>
      <c r="AG154" s="528"/>
      <c r="AH154" s="528"/>
      <c r="AI154" s="528"/>
      <c r="AJ154" s="528"/>
      <c r="AK154" s="528"/>
      <c r="AL154" s="528"/>
      <c r="AM154" s="528"/>
      <c r="AN154" s="528"/>
      <c r="AO154" s="528"/>
    </row>
    <row r="155" spans="1:41" s="524" customFormat="1" ht="13.5" customHeight="1">
      <c r="A155" s="546"/>
      <c r="B155" s="539"/>
      <c r="H155" s="532" t="s">
        <v>1015</v>
      </c>
      <c r="I155" s="546"/>
      <c r="P155" s="532" t="s">
        <v>1015</v>
      </c>
      <c r="Q155" s="510"/>
      <c r="R155" s="510"/>
    </row>
    <row r="156" spans="1:41" ht="18">
      <c r="A156" s="472" t="s">
        <v>946</v>
      </c>
      <c r="B156" s="473"/>
      <c r="C156" s="473"/>
      <c r="D156" s="473"/>
      <c r="E156" s="473"/>
      <c r="F156" s="473"/>
      <c r="G156" s="473"/>
      <c r="H156" s="474"/>
      <c r="I156" s="472" t="s">
        <v>947</v>
      </c>
      <c r="J156" s="475"/>
      <c r="K156" s="475"/>
      <c r="L156" s="473"/>
      <c r="M156" s="475"/>
      <c r="N156" s="475"/>
      <c r="O156" s="475"/>
      <c r="P156" s="475"/>
      <c r="Q156" s="510"/>
      <c r="R156" s="510"/>
    </row>
    <row r="157" spans="1:41">
      <c r="A157" s="479"/>
      <c r="B157" s="475"/>
      <c r="C157" s="475"/>
      <c r="D157" s="475"/>
      <c r="E157" s="475"/>
      <c r="F157" s="475"/>
      <c r="G157" s="475"/>
      <c r="H157" s="480"/>
      <c r="I157" s="479"/>
      <c r="J157" s="475"/>
      <c r="K157" s="475"/>
      <c r="L157" s="475"/>
      <c r="M157" s="475"/>
      <c r="N157" s="475"/>
      <c r="O157" s="475"/>
      <c r="P157" s="475"/>
      <c r="Q157" s="510"/>
      <c r="R157" s="510"/>
    </row>
    <row r="158" spans="1:41" ht="15.75">
      <c r="A158" s="481" t="s">
        <v>917</v>
      </c>
      <c r="B158" s="475"/>
      <c r="C158" s="475"/>
      <c r="D158" s="475"/>
      <c r="E158" s="475"/>
      <c r="F158" s="475"/>
      <c r="G158" s="475"/>
      <c r="H158" s="480"/>
      <c r="I158" s="481" t="s">
        <v>918</v>
      </c>
      <c r="J158" s="475"/>
      <c r="K158" s="475"/>
      <c r="L158" s="475"/>
      <c r="M158" s="475"/>
      <c r="N158" s="475"/>
      <c r="O158" s="475"/>
      <c r="P158" s="475"/>
      <c r="Q158" s="510"/>
      <c r="R158" s="510"/>
    </row>
    <row r="159" spans="1:41" ht="15.75">
      <c r="A159" s="481" t="s">
        <v>967</v>
      </c>
      <c r="B159" s="475"/>
      <c r="C159" s="475"/>
      <c r="D159" s="475"/>
      <c r="E159" s="475"/>
      <c r="F159" s="475"/>
      <c r="G159" s="475"/>
      <c r="H159" s="480"/>
      <c r="I159" s="481" t="s">
        <v>967</v>
      </c>
      <c r="J159" s="475"/>
      <c r="K159" s="475"/>
      <c r="L159" s="475"/>
      <c r="M159" s="475"/>
      <c r="N159" s="475"/>
      <c r="O159" s="475"/>
      <c r="P159" s="475"/>
      <c r="Q159" s="510"/>
      <c r="R159" s="510"/>
    </row>
    <row r="160" spans="1:41">
      <c r="A160" s="484"/>
      <c r="B160" s="485"/>
      <c r="C160" s="485"/>
      <c r="D160" s="485"/>
      <c r="E160" s="485"/>
      <c r="F160" s="485"/>
      <c r="G160" s="485"/>
      <c r="H160" s="485"/>
      <c r="I160" s="486"/>
      <c r="L160" s="487"/>
      <c r="P160" s="484"/>
      <c r="Q160" s="510"/>
      <c r="R160" s="510"/>
    </row>
    <row r="161" spans="1:41" s="494" customFormat="1">
      <c r="A161" s="489"/>
      <c r="B161" s="490" t="s">
        <v>919</v>
      </c>
      <c r="C161" s="490"/>
      <c r="D161" s="490"/>
      <c r="E161" s="490"/>
      <c r="F161" s="490"/>
      <c r="G161" s="490"/>
      <c r="H161" s="491"/>
      <c r="I161" s="489"/>
      <c r="J161" s="490" t="s">
        <v>919</v>
      </c>
      <c r="K161" s="490"/>
      <c r="L161" s="490"/>
      <c r="M161" s="490"/>
      <c r="N161" s="490"/>
      <c r="O161" s="490"/>
      <c r="P161" s="491"/>
      <c r="Q161" s="510"/>
      <c r="R161" s="510"/>
    </row>
    <row r="162" spans="1:41" s="494" customFormat="1">
      <c r="A162" s="489"/>
      <c r="B162" s="490" t="s">
        <v>920</v>
      </c>
      <c r="C162" s="490"/>
      <c r="D162" s="659" t="s">
        <v>921</v>
      </c>
      <c r="E162" s="657"/>
      <c r="F162" s="657"/>
      <c r="G162" s="657"/>
      <c r="H162" s="495" t="s">
        <v>320</v>
      </c>
      <c r="I162" s="489"/>
      <c r="J162" s="490" t="s">
        <v>920</v>
      </c>
      <c r="K162" s="490"/>
      <c r="L162" s="659" t="s">
        <v>921</v>
      </c>
      <c r="M162" s="657"/>
      <c r="N162" s="657"/>
      <c r="O162" s="657"/>
      <c r="P162" s="495" t="s">
        <v>320</v>
      </c>
      <c r="Q162" s="510"/>
      <c r="R162" s="510"/>
    </row>
    <row r="163" spans="1:41" s="494" customFormat="1" ht="40.5" customHeight="1">
      <c r="A163" s="489"/>
      <c r="B163" s="496" t="s">
        <v>922</v>
      </c>
      <c r="C163" s="497" t="s">
        <v>923</v>
      </c>
      <c r="D163" s="498" t="s">
        <v>924</v>
      </c>
      <c r="E163" s="499" t="s">
        <v>10</v>
      </c>
      <c r="F163" s="496" t="s">
        <v>925</v>
      </c>
      <c r="G163" s="500" t="s">
        <v>935</v>
      </c>
      <c r="H163" s="501" t="s">
        <v>927</v>
      </c>
      <c r="I163" s="489"/>
      <c r="J163" s="496" t="s">
        <v>922</v>
      </c>
      <c r="K163" s="497" t="s">
        <v>923</v>
      </c>
      <c r="L163" s="498" t="s">
        <v>924</v>
      </c>
      <c r="M163" s="499" t="s">
        <v>10</v>
      </c>
      <c r="N163" s="496" t="s">
        <v>925</v>
      </c>
      <c r="O163" s="500" t="s">
        <v>935</v>
      </c>
      <c r="P163" s="501" t="s">
        <v>927</v>
      </c>
      <c r="Q163" s="510"/>
      <c r="R163" s="510"/>
      <c r="T163" s="533"/>
    </row>
    <row r="164" spans="1:41" ht="15.75" customHeight="1">
      <c r="A164" s="534" t="s">
        <v>894</v>
      </c>
      <c r="B164" s="505">
        <f>('Pivot Table for Data Exchange'!$G$6)*100</f>
        <v>94.621082070004917</v>
      </c>
      <c r="C164" s="505">
        <f>('Pivot Table for Data Exchange'!$G$9)*100</f>
        <v>0.31029119014805323</v>
      </c>
      <c r="D164" s="506">
        <f>SUM(E164:G164)</f>
        <v>5.0686267398470308</v>
      </c>
      <c r="E164" s="505">
        <f>('Pivot Table for Data Exchange'!$G$12)*100</f>
        <v>5.0686267398470308</v>
      </c>
      <c r="F164" s="505">
        <f>('Pivot Table for Data Exchange'!$G$15)*100</f>
        <v>0</v>
      </c>
      <c r="G164" s="509">
        <f>('Pivot Table for Data Exchange'!$G$18)*100</f>
        <v>0</v>
      </c>
      <c r="H164" s="505">
        <f>('Pivot Table for Data Exchange'!$G$21)*100</f>
        <v>0</v>
      </c>
      <c r="I164" s="508" t="s">
        <v>894</v>
      </c>
      <c r="J164" s="505">
        <f>('Pivot Table for Data Exchange'!$G$24)*100</f>
        <v>24.309958061055301</v>
      </c>
      <c r="K164" s="505">
        <f>('Pivot Table for Data Exchange'!$G$27)*100</f>
        <v>0</v>
      </c>
      <c r="L164" s="506">
        <f>SUM(M164:O164)</f>
        <v>75.690041938944702</v>
      </c>
      <c r="M164" s="505">
        <f>('Pivot Table for Data Exchange'!$G$30)*100</f>
        <v>75.690041938944702</v>
      </c>
      <c r="N164" s="505">
        <f>('Pivot Table for Data Exchange'!$G$33)*100</f>
        <v>0</v>
      </c>
      <c r="O164" s="509">
        <f>('Pivot Table for Data Exchange'!$G$36)*100</f>
        <v>0</v>
      </c>
      <c r="P164" s="505">
        <f>('Pivot Table for Data Exchange'!$G$39)*100</f>
        <v>0</v>
      </c>
      <c r="Q164" s="510">
        <f>SUM(B164,C164,D164,H164)</f>
        <v>100</v>
      </c>
      <c r="R164" s="510">
        <f t="shared" si="35"/>
        <v>100</v>
      </c>
      <c r="S164" s="511"/>
      <c r="T164" s="511"/>
      <c r="U164" s="511"/>
      <c r="V164" s="511"/>
      <c r="W164" s="511"/>
      <c r="X164" s="511"/>
      <c r="Y164" s="511"/>
      <c r="Z164" s="511"/>
      <c r="AA164" s="511"/>
      <c r="AB164" s="511"/>
      <c r="AC164" s="511"/>
      <c r="AD164" s="511"/>
      <c r="AE164" s="511"/>
      <c r="AF164" s="511"/>
      <c r="AG164" s="511"/>
      <c r="AH164" s="511"/>
      <c r="AI164" s="511"/>
      <c r="AJ164" s="511"/>
      <c r="AK164" s="511"/>
      <c r="AL164" s="511"/>
      <c r="AM164" s="511"/>
      <c r="AN164" s="511"/>
      <c r="AO164" s="511"/>
    </row>
    <row r="165" spans="1:41" ht="15.75" customHeight="1">
      <c r="A165" s="512" t="s">
        <v>895</v>
      </c>
      <c r="B165" s="505">
        <f>('Pivot Table for Data Exchange'!$G$42)*100</f>
        <v>70.99846165116108</v>
      </c>
      <c r="C165" s="505">
        <f>('Pivot Table for Data Exchange'!$G$45)*100</f>
        <v>8.1385979049153914</v>
      </c>
      <c r="D165" s="506">
        <f t="shared" ref="D165:D167" si="40">SUM(E165:G165)</f>
        <v>20.862940443923524</v>
      </c>
      <c r="E165" s="505">
        <f>('Pivot Table for Data Exchange'!$G$48)*100</f>
        <v>20.862940443923524</v>
      </c>
      <c r="F165" s="505">
        <f>('Pivot Table for Data Exchange'!$G$51)*100</f>
        <v>0</v>
      </c>
      <c r="G165" s="515">
        <f>('Pivot Table for Data Exchange'!$G$54)*100</f>
        <v>0</v>
      </c>
      <c r="H165" s="519">
        <f>('Pivot Table for Data Exchange'!$G$57)*100</f>
        <v>0</v>
      </c>
      <c r="I165" s="514" t="s">
        <v>895</v>
      </c>
      <c r="J165" s="505">
        <f>('Pivot Table for Data Exchange'!$G$60)*100</f>
        <v>13.561253561253562</v>
      </c>
      <c r="K165" s="505">
        <f>('Pivot Table for Data Exchange'!$G$63)*100</f>
        <v>0</v>
      </c>
      <c r="L165" s="506">
        <f t="shared" ref="L165:L167" si="41">SUM(M165:O165)</f>
        <v>86.438746438746435</v>
      </c>
      <c r="M165" s="505">
        <f>('Pivot Table for Data Exchange'!$G$66)*100</f>
        <v>86.438746438746435</v>
      </c>
      <c r="N165" s="505">
        <f>('Pivot Table for Data Exchange'!$G$69)*100</f>
        <v>0</v>
      </c>
      <c r="O165" s="515">
        <f>('Pivot Table for Data Exchange'!$G$72)*100</f>
        <v>0</v>
      </c>
      <c r="P165" s="505">
        <f>('Pivot Table for Data Exchange'!$G$75)*100</f>
        <v>0</v>
      </c>
      <c r="Q165" s="510">
        <f t="shared" si="34"/>
        <v>99.999999999999986</v>
      </c>
      <c r="R165" s="510">
        <f t="shared" si="35"/>
        <v>100</v>
      </c>
      <c r="S165" s="511"/>
      <c r="T165" s="511"/>
      <c r="U165" s="511"/>
      <c r="V165" s="511"/>
      <c r="W165" s="511"/>
      <c r="X165" s="511"/>
      <c r="Y165" s="511"/>
      <c r="Z165" s="511"/>
      <c r="AA165" s="511"/>
      <c r="AB165" s="511"/>
      <c r="AC165" s="511"/>
      <c r="AD165" s="511"/>
      <c r="AE165" s="511"/>
      <c r="AF165" s="511"/>
      <c r="AG165" s="511"/>
      <c r="AH165" s="511"/>
      <c r="AI165" s="511"/>
      <c r="AJ165" s="511"/>
      <c r="AK165" s="511"/>
      <c r="AL165" s="511"/>
      <c r="AM165" s="511"/>
      <c r="AN165" s="511"/>
      <c r="AO165" s="511"/>
    </row>
    <row r="166" spans="1:41" ht="15.75" customHeight="1">
      <c r="A166" s="512" t="s">
        <v>896</v>
      </c>
      <c r="B166" s="505">
        <f>('Pivot Table for Data Exchange'!$G$78)*100</f>
        <v>0</v>
      </c>
      <c r="C166" s="505">
        <f>('Pivot Table for Data Exchange'!$G$81)*100</f>
        <v>0</v>
      </c>
      <c r="D166" s="506">
        <f t="shared" si="40"/>
        <v>0</v>
      </c>
      <c r="E166" s="505">
        <f>('Pivot Table for Data Exchange'!$G$84)*100</f>
        <v>0</v>
      </c>
      <c r="F166" s="505">
        <f>('Pivot Table for Data Exchange'!$G$87)*100</f>
        <v>0</v>
      </c>
      <c r="G166" s="515">
        <f>('Pivot Table for Data Exchange'!$G$90)*100</f>
        <v>0</v>
      </c>
      <c r="H166" s="505">
        <f>('Pivot Table for Data Exchange'!$G$93)*100</f>
        <v>0</v>
      </c>
      <c r="I166" s="514" t="s">
        <v>896</v>
      </c>
      <c r="J166" s="505">
        <f>('Pivot Table for Data Exchange'!$G$96)*100</f>
        <v>0</v>
      </c>
      <c r="K166" s="505">
        <f>('Pivot Table for Data Exchange'!$G$99)*100</f>
        <v>0</v>
      </c>
      <c r="L166" s="506">
        <f t="shared" si="41"/>
        <v>0</v>
      </c>
      <c r="M166" s="505">
        <f>('Pivot Table for Data Exchange'!$G$102)*100</f>
        <v>0</v>
      </c>
      <c r="N166" s="505">
        <f>('Pivot Table for Data Exchange'!$G$105)*100</f>
        <v>0</v>
      </c>
      <c r="O166" s="515">
        <f>('Pivot Table for Data Exchange'!$G$108)*100</f>
        <v>0</v>
      </c>
      <c r="P166" s="505">
        <f>('Pivot Table for Data Exchange'!$G$111)*100</f>
        <v>0</v>
      </c>
      <c r="Q166" s="510">
        <f t="shared" si="34"/>
        <v>0</v>
      </c>
      <c r="R166" s="510">
        <f t="shared" si="35"/>
        <v>0</v>
      </c>
      <c r="S166" s="511"/>
      <c r="T166" s="535"/>
      <c r="U166" s="511"/>
      <c r="V166" s="511"/>
      <c r="W166" s="511"/>
      <c r="X166" s="511"/>
      <c r="Y166" s="511"/>
      <c r="Z166" s="511"/>
      <c r="AA166" s="511"/>
      <c r="AB166" s="511"/>
      <c r="AC166" s="511"/>
      <c r="AD166" s="511"/>
      <c r="AE166" s="511"/>
      <c r="AF166" s="511"/>
      <c r="AG166" s="511"/>
      <c r="AH166" s="511"/>
      <c r="AI166" s="511"/>
      <c r="AJ166" s="511"/>
      <c r="AK166" s="511"/>
      <c r="AL166" s="511"/>
      <c r="AM166" s="511"/>
      <c r="AN166" s="511"/>
      <c r="AO166" s="511"/>
    </row>
    <row r="167" spans="1:41" ht="15.75" customHeight="1">
      <c r="A167" s="512" t="s">
        <v>897</v>
      </c>
      <c r="B167" s="505">
        <f>('Pivot Table for Data Exchange'!$G$114)*100</f>
        <v>0</v>
      </c>
      <c r="C167" s="505">
        <f>('Pivot Table for Data Exchange'!$G$117)*100</f>
        <v>0</v>
      </c>
      <c r="D167" s="506">
        <f t="shared" si="40"/>
        <v>0</v>
      </c>
      <c r="E167" s="505">
        <f>('Pivot Table for Data Exchange'!$G$120)*100</f>
        <v>0</v>
      </c>
      <c r="F167" s="505">
        <f>('Pivot Table for Data Exchange'!$G$123)*100</f>
        <v>0</v>
      </c>
      <c r="G167" s="515">
        <f>('Pivot Table for Data Exchange'!$G$126)*100</f>
        <v>0</v>
      </c>
      <c r="H167" s="505">
        <f>('Pivot Table for Data Exchange'!$G$129)*100</f>
        <v>0</v>
      </c>
      <c r="I167" s="514" t="s">
        <v>897</v>
      </c>
      <c r="J167" s="505">
        <f>('Pivot Table for Data Exchange'!$G$132)*100</f>
        <v>0</v>
      </c>
      <c r="K167" s="505">
        <f>('Pivot Table for Data Exchange'!$G$135)*100</f>
        <v>0</v>
      </c>
      <c r="L167" s="506">
        <f t="shared" si="41"/>
        <v>0</v>
      </c>
      <c r="M167" s="505">
        <f>('Pivot Table for Data Exchange'!$G$138)*100</f>
        <v>0</v>
      </c>
      <c r="N167" s="505">
        <f>('Pivot Table for Data Exchange'!$G$141)*100</f>
        <v>0</v>
      </c>
      <c r="O167" s="515">
        <f>('Pivot Table for Data Exchange'!$G$144)*100</f>
        <v>0</v>
      </c>
      <c r="P167" s="505">
        <f>('Pivot Table for Data Exchange'!$G$147)*100</f>
        <v>0</v>
      </c>
      <c r="Q167" s="510">
        <f t="shared" si="34"/>
        <v>0</v>
      </c>
      <c r="R167" s="510">
        <f t="shared" si="35"/>
        <v>0</v>
      </c>
      <c r="S167" s="511"/>
      <c r="U167" s="511"/>
      <c r="V167" s="511"/>
      <c r="W167" s="511"/>
      <c r="X167" s="511"/>
      <c r="Y167" s="511"/>
      <c r="Z167" s="511"/>
      <c r="AA167" s="511"/>
      <c r="AB167" s="511"/>
      <c r="AC167" s="511"/>
      <c r="AD167" s="511"/>
      <c r="AE167" s="511"/>
      <c r="AF167" s="511"/>
      <c r="AG167" s="511"/>
      <c r="AH167" s="511"/>
      <c r="AI167" s="511"/>
      <c r="AJ167" s="511"/>
      <c r="AK167" s="511"/>
      <c r="AL167" s="511"/>
      <c r="AM167" s="511"/>
      <c r="AN167" s="511"/>
      <c r="AO167" s="511"/>
    </row>
    <row r="168" spans="1:41" ht="10.5" customHeight="1">
      <c r="A168" s="512"/>
      <c r="B168" s="505"/>
      <c r="C168" s="505"/>
      <c r="D168" s="506"/>
      <c r="E168" s="505"/>
      <c r="F168" s="505"/>
      <c r="G168" s="515"/>
      <c r="H168" s="505"/>
      <c r="I168" s="514"/>
      <c r="J168" s="505"/>
      <c r="K168" s="505"/>
      <c r="L168" s="506"/>
      <c r="M168" s="505"/>
      <c r="N168" s="505"/>
      <c r="O168" s="515"/>
      <c r="P168" s="505"/>
      <c r="Q168" s="510">
        <f t="shared" si="34"/>
        <v>0</v>
      </c>
      <c r="R168" s="510">
        <f t="shared" si="35"/>
        <v>0</v>
      </c>
      <c r="S168" s="511"/>
      <c r="U168" s="511"/>
      <c r="V168" s="511"/>
      <c r="W168" s="511"/>
      <c r="X168" s="511"/>
      <c r="Y168" s="511"/>
      <c r="Z168" s="511"/>
      <c r="AA168" s="511"/>
      <c r="AB168" s="511"/>
      <c r="AC168" s="511"/>
      <c r="AD168" s="511"/>
      <c r="AE168" s="511"/>
      <c r="AF168" s="511"/>
      <c r="AG168" s="511"/>
      <c r="AH168" s="511"/>
      <c r="AI168" s="511"/>
      <c r="AJ168" s="511"/>
      <c r="AK168" s="511"/>
      <c r="AL168" s="511"/>
      <c r="AM168" s="511"/>
      <c r="AN168" s="511"/>
      <c r="AO168" s="511"/>
    </row>
    <row r="169" spans="1:41" ht="15.75" customHeight="1">
      <c r="A169" s="512" t="s">
        <v>898</v>
      </c>
      <c r="B169" s="505">
        <f>('Pivot Table for Data Exchange'!$G$150)*100</f>
        <v>83.397584437458477</v>
      </c>
      <c r="C169" s="505">
        <f>('Pivot Table for Data Exchange'!$G$153)*100</f>
        <v>1.2621811201138211</v>
      </c>
      <c r="D169" s="506">
        <f t="shared" ref="D169:D172" si="42">SUM(E169:G169)</f>
        <v>15.340234442427697</v>
      </c>
      <c r="E169" s="505">
        <f>('Pivot Table for Data Exchange'!$G$156)*100</f>
        <v>15.340234442427697</v>
      </c>
      <c r="F169" s="505">
        <f>('Pivot Table for Data Exchange'!$G$159)*100</f>
        <v>0</v>
      </c>
      <c r="G169" s="515">
        <f>('Pivot Table for Data Exchange'!$G$162)*100</f>
        <v>0</v>
      </c>
      <c r="H169" s="505">
        <f>('Pivot Table for Data Exchange'!$G$165)*100</f>
        <v>0</v>
      </c>
      <c r="I169" s="514" t="s">
        <v>898</v>
      </c>
      <c r="J169" s="505">
        <f>('Pivot Table for Data Exchange'!$G$168)*100</f>
        <v>55.68145716403685</v>
      </c>
      <c r="K169" s="505">
        <f>('Pivot Table for Data Exchange'!$G$171)*100</f>
        <v>13.2479085036535</v>
      </c>
      <c r="L169" s="506">
        <f t="shared" ref="L169:L172" si="43">SUM(M169:O169)</f>
        <v>31.070634332309648</v>
      </c>
      <c r="M169" s="505">
        <f>('Pivot Table for Data Exchange'!$G$174)*100</f>
        <v>31.070634332309648</v>
      </c>
      <c r="N169" s="505">
        <f>('Pivot Table for Data Exchange'!$G$177)*100</f>
        <v>0</v>
      </c>
      <c r="O169" s="515">
        <f>('Pivot Table for Data Exchange'!$G$180)*100</f>
        <v>0</v>
      </c>
      <c r="P169" s="505">
        <f>('Pivot Table for Data Exchange'!$G$183)*100</f>
        <v>0</v>
      </c>
      <c r="Q169" s="510">
        <f t="shared" si="34"/>
        <v>100</v>
      </c>
      <c r="R169" s="510">
        <f t="shared" si="35"/>
        <v>100</v>
      </c>
      <c r="S169" s="511"/>
      <c r="T169" s="511"/>
      <c r="U169" s="511"/>
      <c r="V169" s="511"/>
      <c r="W169" s="511"/>
      <c r="X169" s="511"/>
      <c r="Y169" s="511"/>
      <c r="Z169" s="511"/>
      <c r="AA169" s="511"/>
      <c r="AB169" s="511"/>
      <c r="AC169" s="511"/>
      <c r="AD169" s="511"/>
      <c r="AE169" s="511"/>
      <c r="AF169" s="511"/>
      <c r="AG169" s="511"/>
      <c r="AH169" s="511"/>
      <c r="AI169" s="511"/>
      <c r="AJ169" s="511"/>
      <c r="AK169" s="511"/>
      <c r="AL169" s="511"/>
      <c r="AM169" s="511"/>
      <c r="AN169" s="511"/>
      <c r="AO169" s="511"/>
    </row>
    <row r="170" spans="1:41" ht="15.75" customHeight="1">
      <c r="A170" s="512" t="s">
        <v>899</v>
      </c>
      <c r="B170" s="505">
        <f>('Pivot Table for Data Exchange'!$G$186)*100</f>
        <v>0</v>
      </c>
      <c r="C170" s="505">
        <f>('Pivot Table for Data Exchange'!$G$189)*100</f>
        <v>0</v>
      </c>
      <c r="D170" s="506">
        <f t="shared" si="42"/>
        <v>0</v>
      </c>
      <c r="E170" s="505">
        <f>('Pivot Table for Data Exchange'!$G$192)*100</f>
        <v>0</v>
      </c>
      <c r="F170" s="505">
        <f>('Pivot Table for Data Exchange'!$G$195)*100</f>
        <v>0</v>
      </c>
      <c r="G170" s="515">
        <f>('Pivot Table for Data Exchange'!$G$198)*100</f>
        <v>0</v>
      </c>
      <c r="H170" s="505">
        <f>('Pivot Table for Data Exchange'!$G$201)*100</f>
        <v>0</v>
      </c>
      <c r="I170" s="514" t="s">
        <v>899</v>
      </c>
      <c r="J170" s="505">
        <f>('Pivot Table for Data Exchange'!$G$204)*100</f>
        <v>0</v>
      </c>
      <c r="K170" s="505">
        <f>('Pivot Table for Data Exchange'!$G$207)*100</f>
        <v>0</v>
      </c>
      <c r="L170" s="506">
        <f t="shared" si="43"/>
        <v>0</v>
      </c>
      <c r="M170" s="505">
        <f>('Pivot Table for Data Exchange'!$G$210)*100</f>
        <v>0</v>
      </c>
      <c r="N170" s="505">
        <f>('Pivot Table for Data Exchange'!$G$213)*100</f>
        <v>0</v>
      </c>
      <c r="O170" s="515">
        <f>('Pivot Table for Data Exchange'!$G$216)*100</f>
        <v>0</v>
      </c>
      <c r="P170" s="505">
        <f>('Pivot Table for Data Exchange'!$G$219)*100</f>
        <v>0</v>
      </c>
      <c r="Q170" s="510">
        <f t="shared" si="34"/>
        <v>0</v>
      </c>
      <c r="R170" s="510">
        <f t="shared" si="35"/>
        <v>0</v>
      </c>
      <c r="S170" s="511"/>
      <c r="T170" s="511"/>
      <c r="U170" s="511"/>
      <c r="V170" s="511"/>
      <c r="W170" s="511"/>
      <c r="X170" s="511"/>
      <c r="Y170" s="511"/>
      <c r="Z170" s="511"/>
      <c r="AA170" s="511"/>
      <c r="AB170" s="511"/>
      <c r="AC170" s="511"/>
      <c r="AD170" s="511"/>
      <c r="AE170" s="511"/>
      <c r="AF170" s="511"/>
      <c r="AG170" s="511"/>
      <c r="AH170" s="511"/>
      <c r="AI170" s="511"/>
      <c r="AJ170" s="511"/>
      <c r="AK170" s="511"/>
      <c r="AL170" s="511"/>
      <c r="AM170" s="511"/>
      <c r="AN170" s="511"/>
      <c r="AO170" s="511"/>
    </row>
    <row r="171" spans="1:41" ht="15.75" customHeight="1">
      <c r="A171" s="512" t="s">
        <v>900</v>
      </c>
      <c r="B171" s="505">
        <f>('Pivot Table for Data Exchange'!$G$222)*100</f>
        <v>87.40234375</v>
      </c>
      <c r="C171" s="505">
        <f>('Pivot Table for Data Exchange'!$G$225)*100</f>
        <v>0</v>
      </c>
      <c r="D171" s="506">
        <f t="shared" si="42"/>
        <v>12.59765625</v>
      </c>
      <c r="E171" s="505">
        <f>('Pivot Table for Data Exchange'!$G$228)*100</f>
        <v>12.59765625</v>
      </c>
      <c r="F171" s="505">
        <f>('Pivot Table for Data Exchange'!$G$231)*100</f>
        <v>0</v>
      </c>
      <c r="G171" s="515">
        <f>('Pivot Table for Data Exchange'!$G$234)*100</f>
        <v>0</v>
      </c>
      <c r="H171" s="505">
        <f>('Pivot Table for Data Exchange'!$G$237)*100</f>
        <v>0</v>
      </c>
      <c r="I171" s="514" t="s">
        <v>900</v>
      </c>
      <c r="J171" s="505">
        <f>('Pivot Table for Data Exchange'!$G$240)*100</f>
        <v>78.504672897196244</v>
      </c>
      <c r="K171" s="505">
        <f>('Pivot Table for Data Exchange'!$G$243)*100</f>
        <v>0</v>
      </c>
      <c r="L171" s="506">
        <f t="shared" si="43"/>
        <v>21.495327102803746</v>
      </c>
      <c r="M171" s="505">
        <f>('Pivot Table for Data Exchange'!$G$246)*100</f>
        <v>21.495327102803746</v>
      </c>
      <c r="N171" s="505">
        <f>('Pivot Table for Data Exchange'!$G$249)*100</f>
        <v>0</v>
      </c>
      <c r="O171" s="515">
        <f>('Pivot Table for Data Exchange'!$G$252)*100</f>
        <v>0</v>
      </c>
      <c r="P171" s="505">
        <f>('Pivot Table for Data Exchange'!$G$255)*100</f>
        <v>0</v>
      </c>
      <c r="Q171" s="510">
        <f t="shared" si="34"/>
        <v>100</v>
      </c>
      <c r="R171" s="510">
        <f t="shared" si="35"/>
        <v>99.999999999999986</v>
      </c>
      <c r="S171" s="511"/>
      <c r="T171" s="535"/>
      <c r="U171" s="511"/>
      <c r="V171" s="511"/>
      <c r="W171" s="511"/>
      <c r="X171" s="511"/>
      <c r="Y171" s="511"/>
      <c r="Z171" s="511"/>
      <c r="AA171" s="511"/>
      <c r="AB171" s="511"/>
      <c r="AC171" s="511"/>
      <c r="AD171" s="511"/>
      <c r="AE171" s="511"/>
      <c r="AF171" s="511"/>
      <c r="AG171" s="511"/>
      <c r="AH171" s="511"/>
      <c r="AI171" s="511"/>
      <c r="AJ171" s="511"/>
      <c r="AK171" s="511"/>
      <c r="AL171" s="511"/>
      <c r="AM171" s="511"/>
      <c r="AN171" s="511"/>
      <c r="AO171" s="511"/>
    </row>
    <row r="172" spans="1:41" ht="15.75" customHeight="1">
      <c r="A172" s="512" t="s">
        <v>901</v>
      </c>
      <c r="B172" s="505">
        <f>('Pivot Table for Data Exchange'!$G$258)*100</f>
        <v>81.359486447931531</v>
      </c>
      <c r="C172" s="505">
        <f>('Pivot Table for Data Exchange'!$G$261)*100</f>
        <v>0.17546362339514979</v>
      </c>
      <c r="D172" s="506">
        <f t="shared" si="42"/>
        <v>18.465049928673324</v>
      </c>
      <c r="E172" s="505">
        <f>('Pivot Table for Data Exchange'!$G$264)*100</f>
        <v>18.465049928673324</v>
      </c>
      <c r="F172" s="505">
        <f>('Pivot Table for Data Exchange'!$G$267)*100</f>
        <v>0</v>
      </c>
      <c r="G172" s="515">
        <f>('Pivot Table for Data Exchange'!$G$270)*100</f>
        <v>0</v>
      </c>
      <c r="H172" s="505">
        <f>('Pivot Table for Data Exchange'!$G$273)*100</f>
        <v>0</v>
      </c>
      <c r="I172" s="514" t="s">
        <v>901</v>
      </c>
      <c r="J172" s="505">
        <f>('Pivot Table for Data Exchange'!$G$276)*100</f>
        <v>83.770161290322577</v>
      </c>
      <c r="K172" s="505">
        <f>('Pivot Table for Data Exchange'!$G$279)*100</f>
        <v>6.149193548387097</v>
      </c>
      <c r="L172" s="506">
        <f t="shared" si="43"/>
        <v>10.080645161290322</v>
      </c>
      <c r="M172" s="505">
        <f>('Pivot Table for Data Exchange'!$G$282)*100</f>
        <v>10.080645161290322</v>
      </c>
      <c r="N172" s="505">
        <f>('Pivot Table for Data Exchange'!$G$285)*100</f>
        <v>0</v>
      </c>
      <c r="O172" s="515">
        <f>('Pivot Table for Data Exchange'!$G$288)*100</f>
        <v>0</v>
      </c>
      <c r="P172" s="505">
        <f>('Pivot Table for Data Exchange'!$G$291)*100</f>
        <v>0</v>
      </c>
      <c r="Q172" s="510">
        <f t="shared" si="34"/>
        <v>100</v>
      </c>
      <c r="R172" s="510">
        <f t="shared" si="35"/>
        <v>100</v>
      </c>
      <c r="S172" s="511"/>
      <c r="U172" s="511"/>
      <c r="V172" s="511"/>
      <c r="W172" s="511"/>
      <c r="X172" s="511"/>
      <c r="Y172" s="511"/>
      <c r="Z172" s="511"/>
      <c r="AA172" s="511"/>
      <c r="AB172" s="511"/>
      <c r="AC172" s="511"/>
      <c r="AD172" s="511"/>
      <c r="AE172" s="511"/>
      <c r="AF172" s="511"/>
      <c r="AG172" s="511"/>
      <c r="AH172" s="511"/>
      <c r="AI172" s="511"/>
      <c r="AJ172" s="511"/>
      <c r="AK172" s="511"/>
      <c r="AL172" s="511"/>
      <c r="AM172" s="511"/>
      <c r="AN172" s="511"/>
      <c r="AO172" s="511"/>
    </row>
    <row r="173" spans="1:41" ht="11.25" customHeight="1">
      <c r="A173" s="512"/>
      <c r="B173" s="505"/>
      <c r="C173" s="505"/>
      <c r="D173" s="506"/>
      <c r="E173" s="505"/>
      <c r="F173" s="505"/>
      <c r="G173" s="515"/>
      <c r="H173" s="505"/>
      <c r="I173" s="514"/>
      <c r="J173" s="505"/>
      <c r="K173" s="505"/>
      <c r="L173" s="506"/>
      <c r="M173" s="505"/>
      <c r="N173" s="505"/>
      <c r="O173" s="515"/>
      <c r="P173" s="505"/>
      <c r="Q173" s="510">
        <f t="shared" si="34"/>
        <v>0</v>
      </c>
      <c r="R173" s="510">
        <f t="shared" si="35"/>
        <v>0</v>
      </c>
      <c r="S173" s="511"/>
      <c r="U173" s="511"/>
      <c r="V173" s="511"/>
      <c r="W173" s="511"/>
      <c r="X173" s="511"/>
      <c r="Y173" s="511"/>
      <c r="Z173" s="511"/>
      <c r="AA173" s="511"/>
      <c r="AB173" s="511"/>
      <c r="AC173" s="511"/>
      <c r="AD173" s="511"/>
      <c r="AE173" s="511"/>
      <c r="AF173" s="511"/>
      <c r="AG173" s="511"/>
      <c r="AH173" s="511"/>
      <c r="AI173" s="511"/>
      <c r="AJ173" s="511"/>
      <c r="AK173" s="511"/>
      <c r="AL173" s="511"/>
      <c r="AM173" s="511"/>
      <c r="AN173" s="511"/>
      <c r="AO173" s="511"/>
    </row>
    <row r="174" spans="1:41" ht="15.75" customHeight="1">
      <c r="A174" s="512" t="s">
        <v>902</v>
      </c>
      <c r="B174" s="505">
        <f>('Pivot Table for Data Exchange'!$G$294)*100</f>
        <v>49.317447785832194</v>
      </c>
      <c r="C174" s="505">
        <f>('Pivot Table for Data Exchange'!$G$297)*100</f>
        <v>0.32871599799038254</v>
      </c>
      <c r="D174" s="506">
        <f t="shared" ref="D174:D176" si="44">SUM(E174:G174)</f>
        <v>50.353836216177413</v>
      </c>
      <c r="E174" s="505">
        <f>('Pivot Table for Data Exchange'!$G$300)*100</f>
        <v>50.353836216177413</v>
      </c>
      <c r="F174" s="505">
        <f>('Pivot Table for Data Exchange'!$G$303)*100</f>
        <v>0</v>
      </c>
      <c r="G174" s="515">
        <f>('Pivot Table for Data Exchange'!$G$306)*100</f>
        <v>0</v>
      </c>
      <c r="H174" s="505">
        <f>('Pivot Table for Data Exchange'!$G$309)*100</f>
        <v>0</v>
      </c>
      <c r="I174" s="514" t="s">
        <v>902</v>
      </c>
      <c r="J174" s="505">
        <f>('Pivot Table for Data Exchange'!$G$312)*100</f>
        <v>56.88493018777082</v>
      </c>
      <c r="K174" s="505">
        <f>('Pivot Table for Data Exchange'!$G$315)*100</f>
        <v>10.303322099181512</v>
      </c>
      <c r="L174" s="506">
        <f t="shared" ref="L174:L176" si="45">SUM(M174:O174)</f>
        <v>32.811747713047666</v>
      </c>
      <c r="M174" s="505">
        <f>('Pivot Table for Data Exchange'!$G$318)*100</f>
        <v>32.811747713047666</v>
      </c>
      <c r="N174" s="505">
        <f>('Pivot Table for Data Exchange'!$G$321)*100</f>
        <v>0</v>
      </c>
      <c r="O174" s="515">
        <f>('Pivot Table for Data Exchange'!$G$324)*100</f>
        <v>0</v>
      </c>
      <c r="P174" s="505">
        <f>('Pivot Table for Data Exchange'!$G$327)*100</f>
        <v>0</v>
      </c>
      <c r="Q174" s="510">
        <f t="shared" si="34"/>
        <v>99.999999999999986</v>
      </c>
      <c r="R174" s="510">
        <f t="shared" si="35"/>
        <v>100</v>
      </c>
      <c r="S174" s="511"/>
      <c r="T174" s="511"/>
      <c r="U174" s="511"/>
      <c r="V174" s="511"/>
      <c r="W174" s="511"/>
      <c r="X174" s="511"/>
      <c r="Y174" s="511"/>
      <c r="Z174" s="511"/>
      <c r="AA174" s="511"/>
      <c r="AB174" s="511"/>
      <c r="AC174" s="511"/>
      <c r="AD174" s="511"/>
      <c r="AE174" s="511"/>
      <c r="AF174" s="511"/>
      <c r="AG174" s="511"/>
      <c r="AH174" s="511"/>
      <c r="AI174" s="511"/>
      <c r="AJ174" s="511"/>
      <c r="AK174" s="511"/>
      <c r="AL174" s="511"/>
      <c r="AM174" s="511"/>
      <c r="AN174" s="511"/>
      <c r="AO174" s="511"/>
    </row>
    <row r="175" spans="1:41" ht="15.75" customHeight="1">
      <c r="A175" s="512" t="s">
        <v>903</v>
      </c>
      <c r="B175" s="505">
        <f>('Pivot Table for Data Exchange'!$G$330)*100</f>
        <v>77.943963785200438</v>
      </c>
      <c r="C175" s="505">
        <f>('Pivot Table for Data Exchange'!$G$333)*100</f>
        <v>3.6737538716479801</v>
      </c>
      <c r="D175" s="506">
        <f t="shared" si="44"/>
        <v>18.382282343151584</v>
      </c>
      <c r="E175" s="505">
        <f>('Pivot Table for Data Exchange'!$G$336)*100</f>
        <v>18.137981800142953</v>
      </c>
      <c r="F175" s="505">
        <f>('Pivot Table for Data Exchange'!$G$339)*100</f>
        <v>0.24430054300863055</v>
      </c>
      <c r="G175" s="515">
        <f>('Pivot Table for Data Exchange'!$G$342)*100</f>
        <v>0</v>
      </c>
      <c r="H175" s="505">
        <f>('Pivot Table for Data Exchange'!$G$345)*100</f>
        <v>0</v>
      </c>
      <c r="I175" s="514" t="s">
        <v>903</v>
      </c>
      <c r="J175" s="505">
        <f>('Pivot Table for Data Exchange'!$G$348)*100</f>
        <v>68.061974558739379</v>
      </c>
      <c r="K175" s="505">
        <f>('Pivot Table for Data Exchange'!$G$351)*100</f>
        <v>3.0283023020379418</v>
      </c>
      <c r="L175" s="506">
        <f t="shared" si="45"/>
        <v>28.909723139222681</v>
      </c>
      <c r="M175" s="505">
        <f>('Pivot Table for Data Exchange'!$G$354)*100</f>
        <v>27.708085743210532</v>
      </c>
      <c r="N175" s="505">
        <f>('Pivot Table for Data Exchange'!$G$357)*100</f>
        <v>1.2016373960121485</v>
      </c>
      <c r="O175" s="515">
        <f>('Pivot Table for Data Exchange'!$G$360)*100</f>
        <v>0</v>
      </c>
      <c r="P175" s="505">
        <f>('Pivot Table for Data Exchange'!$G$363)*100</f>
        <v>0</v>
      </c>
      <c r="Q175" s="510">
        <f t="shared" si="34"/>
        <v>100</v>
      </c>
      <c r="R175" s="510">
        <f t="shared" si="35"/>
        <v>100</v>
      </c>
      <c r="S175" s="511"/>
      <c r="T175" s="511"/>
      <c r="U175" s="511"/>
      <c r="V175" s="511"/>
      <c r="W175" s="511"/>
      <c r="X175" s="511"/>
      <c r="Y175" s="511"/>
      <c r="Z175" s="511"/>
      <c r="AA175" s="511"/>
      <c r="AB175" s="511"/>
      <c r="AC175" s="511"/>
      <c r="AD175" s="511"/>
      <c r="AE175" s="511"/>
      <c r="AF175" s="511"/>
      <c r="AG175" s="511"/>
      <c r="AH175" s="511"/>
      <c r="AI175" s="511"/>
      <c r="AJ175" s="511"/>
      <c r="AK175" s="511"/>
      <c r="AL175" s="511"/>
      <c r="AM175" s="511"/>
      <c r="AN175" s="511"/>
      <c r="AO175" s="511"/>
    </row>
    <row r="176" spans="1:41" ht="15.75" customHeight="1">
      <c r="A176" s="512" t="s">
        <v>904</v>
      </c>
      <c r="B176" s="505">
        <f>('Pivot Table for Data Exchange'!$G$366)*100</f>
        <v>80.373139972178365</v>
      </c>
      <c r="C176" s="505">
        <f>('Pivot Table for Data Exchange'!$G$369)*100</f>
        <v>0.83785759629289269</v>
      </c>
      <c r="D176" s="506">
        <f t="shared" si="44"/>
        <v>18.789002431528747</v>
      </c>
      <c r="E176" s="505">
        <f>('Pivot Table for Data Exchange'!$G$372)*100</f>
        <v>13.507245313978883</v>
      </c>
      <c r="F176" s="505">
        <f>('Pivot Table for Data Exchange'!$G$375)*100</f>
        <v>4.4191488045174641</v>
      </c>
      <c r="G176" s="515">
        <f>('Pivot Table for Data Exchange'!$G$378)*100</f>
        <v>0.86260831303239827</v>
      </c>
      <c r="H176" s="505">
        <f>('Pivot Table for Data Exchange'!$G$381)*100</f>
        <v>0</v>
      </c>
      <c r="I176" s="514" t="s">
        <v>904</v>
      </c>
      <c r="J176" s="505">
        <f>('Pivot Table for Data Exchange'!$G$384)*100</f>
        <v>50.286820767275806</v>
      </c>
      <c r="K176" s="505">
        <f>('Pivot Table for Data Exchange'!$G$387)*100</f>
        <v>0.49134696841340914</v>
      </c>
      <c r="L176" s="506">
        <f t="shared" si="45"/>
        <v>49.221832264310784</v>
      </c>
      <c r="M176" s="505">
        <f>('Pivot Table for Data Exchange'!$G$390)*100</f>
        <v>38.21856468594941</v>
      </c>
      <c r="N176" s="505">
        <f>('Pivot Table for Data Exchange'!$G$393)*100</f>
        <v>8.9241195691637429</v>
      </c>
      <c r="O176" s="515">
        <f>('Pivot Table for Data Exchange'!$G$396)*100</f>
        <v>2.079148009197628</v>
      </c>
      <c r="P176" s="505">
        <f>('Pivot Table for Data Exchange'!$G$399)*100</f>
        <v>0</v>
      </c>
      <c r="Q176" s="510">
        <f t="shared" si="34"/>
        <v>100</v>
      </c>
      <c r="R176" s="510">
        <f t="shared" si="35"/>
        <v>100</v>
      </c>
      <c r="S176" s="511"/>
      <c r="T176" s="535"/>
      <c r="U176" s="511"/>
      <c r="V176" s="511"/>
      <c r="W176" s="511"/>
      <c r="X176" s="511"/>
      <c r="Y176" s="511"/>
      <c r="Z176" s="511"/>
      <c r="AA176" s="511"/>
      <c r="AB176" s="511"/>
      <c r="AC176" s="511"/>
      <c r="AD176" s="511"/>
      <c r="AE176" s="511"/>
      <c r="AF176" s="511"/>
      <c r="AG176" s="511"/>
      <c r="AH176" s="511"/>
      <c r="AI176" s="511"/>
      <c r="AJ176" s="511"/>
      <c r="AK176" s="511"/>
      <c r="AL176" s="511"/>
      <c r="AM176" s="511"/>
      <c r="AN176" s="511"/>
      <c r="AO176" s="511"/>
    </row>
    <row r="177" spans="1:41" ht="15.75" customHeight="1">
      <c r="A177" s="512" t="s">
        <v>905</v>
      </c>
      <c r="B177" s="505">
        <f>('Pivot Table for Data Exchange'!$G$402)*100</f>
        <v>91.89910443368862</v>
      </c>
      <c r="C177" s="505">
        <f>('Pivot Table for Data Exchange'!$G$405)*100</f>
        <v>0.50251592377988286</v>
      </c>
      <c r="D177" s="506">
        <f>SUM(E177:G177)</f>
        <v>7.5983796425314862</v>
      </c>
      <c r="E177" s="505">
        <f>('Pivot Table for Data Exchange'!$G$408)*100</f>
        <v>7.5983796425314862</v>
      </c>
      <c r="F177" s="505">
        <f>('Pivot Table for Data Exchange'!$G$411)*100</f>
        <v>0</v>
      </c>
      <c r="G177" s="515">
        <f>('Pivot Table for Data Exchange'!$G$414)*100</f>
        <v>0</v>
      </c>
      <c r="H177" s="505">
        <f>('Pivot Table for Data Exchange'!$G$417)*100</f>
        <v>0</v>
      </c>
      <c r="I177" s="514" t="s">
        <v>905</v>
      </c>
      <c r="J177" s="505">
        <f>('Pivot Table for Data Exchange'!$G$420)*100</f>
        <v>62.595963000411935</v>
      </c>
      <c r="K177" s="505">
        <f>('Pivot Table for Data Exchange'!$G$423)*100</f>
        <v>7.3025502752499722</v>
      </c>
      <c r="L177" s="506">
        <f>SUM(M177:O177)</f>
        <v>30.101486724338088</v>
      </c>
      <c r="M177" s="505">
        <f>('Pivot Table for Data Exchange'!$G$426)*100</f>
        <v>30.101486724338088</v>
      </c>
      <c r="N177" s="505">
        <f>('Pivot Table for Data Exchange'!$G$429)*100</f>
        <v>0</v>
      </c>
      <c r="O177" s="515">
        <f>('Pivot Table for Data Exchange'!$G$432)*100</f>
        <v>0</v>
      </c>
      <c r="P177" s="505">
        <f>('Pivot Table for Data Exchange'!$G$435)*100</f>
        <v>0</v>
      </c>
      <c r="Q177" s="510">
        <f t="shared" si="34"/>
        <v>99.999999999999986</v>
      </c>
      <c r="R177" s="510">
        <f t="shared" si="35"/>
        <v>100</v>
      </c>
      <c r="S177" s="511"/>
      <c r="T177" s="511"/>
      <c r="U177" s="511"/>
      <c r="V177" s="511"/>
      <c r="W177" s="511"/>
      <c r="X177" s="511"/>
      <c r="Y177" s="511"/>
      <c r="Z177" s="511"/>
      <c r="AA177" s="511"/>
      <c r="AB177" s="511"/>
      <c r="AC177" s="511"/>
      <c r="AD177" s="511"/>
      <c r="AE177" s="511"/>
      <c r="AF177" s="511"/>
      <c r="AG177" s="511"/>
      <c r="AH177" s="511"/>
      <c r="AI177" s="511"/>
      <c r="AJ177" s="511"/>
      <c r="AK177" s="511"/>
      <c r="AL177" s="511"/>
      <c r="AM177" s="511"/>
      <c r="AN177" s="511"/>
      <c r="AO177" s="511"/>
    </row>
    <row r="178" spans="1:41" ht="11.25" customHeight="1">
      <c r="A178" s="512"/>
      <c r="B178" s="505"/>
      <c r="C178" s="505"/>
      <c r="D178" s="506"/>
      <c r="E178" s="505"/>
      <c r="F178" s="505"/>
      <c r="G178" s="515"/>
      <c r="H178" s="505"/>
      <c r="I178" s="514"/>
      <c r="J178" s="505"/>
      <c r="K178" s="505"/>
      <c r="L178" s="506"/>
      <c r="M178" s="505"/>
      <c r="N178" s="505"/>
      <c r="O178" s="515"/>
      <c r="P178" s="505"/>
      <c r="Q178" s="510">
        <f t="shared" si="34"/>
        <v>0</v>
      </c>
      <c r="R178" s="510">
        <f t="shared" si="35"/>
        <v>0</v>
      </c>
      <c r="S178" s="511"/>
      <c r="T178" s="511"/>
      <c r="U178" s="511"/>
      <c r="V178" s="511"/>
      <c r="W178" s="511"/>
      <c r="X178" s="511"/>
      <c r="Y178" s="511"/>
      <c r="Z178" s="511"/>
      <c r="AA178" s="511"/>
      <c r="AB178" s="511"/>
      <c r="AC178" s="511"/>
      <c r="AD178" s="511"/>
      <c r="AE178" s="511"/>
      <c r="AF178" s="511"/>
      <c r="AG178" s="511"/>
      <c r="AH178" s="511"/>
      <c r="AI178" s="511"/>
      <c r="AJ178" s="511"/>
      <c r="AK178" s="511"/>
      <c r="AL178" s="511"/>
      <c r="AM178" s="511"/>
      <c r="AN178" s="511"/>
      <c r="AO178" s="511"/>
    </row>
    <row r="179" spans="1:41" ht="15.75" customHeight="1">
      <c r="A179" s="512" t="s">
        <v>906</v>
      </c>
      <c r="B179" s="505">
        <f>('Pivot Table for Data Exchange'!$G$438)*100</f>
        <v>80.507678196622606</v>
      </c>
      <c r="C179" s="505">
        <f>('Pivot Table for Data Exchange'!$G$441)*100</f>
        <v>8.2898638801199702</v>
      </c>
      <c r="D179" s="506">
        <f>SUM(E179:G179)</f>
        <v>11.078661422196712</v>
      </c>
      <c r="E179" s="505">
        <f>('Pivot Table for Data Exchange'!$G$444)*100</f>
        <v>9.3989679873502485</v>
      </c>
      <c r="F179" s="505">
        <f>('Pivot Table for Data Exchange'!$G$447)*100</f>
        <v>1.6189206070530242</v>
      </c>
      <c r="G179" s="513">
        <f>('Pivot Table for Data Exchange'!$G$450)*100</f>
        <v>6.0772827793439912E-2</v>
      </c>
      <c r="H179" s="505">
        <f>('Pivot Table for Data Exchange'!$G$453)*100</f>
        <v>0.12379650106071093</v>
      </c>
      <c r="I179" s="514" t="s">
        <v>906</v>
      </c>
      <c r="J179" s="678">
        <f>('Pivot Table for Data Exchange'!$G$456)*100</f>
        <v>12.152244410308926</v>
      </c>
      <c r="K179" s="505">
        <f>('Pivot Table for Data Exchange'!$G$459)*100</f>
        <v>0.15360983102918588</v>
      </c>
      <c r="L179" s="506">
        <f>SUM(M179:O179)</f>
        <v>87.591739204642423</v>
      </c>
      <c r="M179" s="505">
        <f>('Pivot Table for Data Exchange'!$G$462)*100</f>
        <v>87.591739204642423</v>
      </c>
      <c r="N179" s="519">
        <f>('Pivot Table for Data Exchange'!$G$465)*100</f>
        <v>0</v>
      </c>
      <c r="O179" s="515">
        <f>('Pivot Table for Data Exchange'!$G$468)*100</f>
        <v>0</v>
      </c>
      <c r="P179" s="519">
        <f>('Pivot Table for Data Exchange'!$G$471)*100</f>
        <v>0.10240655401945725</v>
      </c>
      <c r="Q179" s="510">
        <f t="shared" si="34"/>
        <v>100</v>
      </c>
      <c r="R179" s="510">
        <f t="shared" si="35"/>
        <v>99.999999999999986</v>
      </c>
      <c r="S179" s="511"/>
      <c r="T179" s="511"/>
      <c r="U179" s="511"/>
      <c r="V179" s="511"/>
      <c r="W179" s="511"/>
      <c r="X179" s="511"/>
      <c r="Y179" s="511"/>
      <c r="Z179" s="511"/>
      <c r="AA179" s="511"/>
      <c r="AB179" s="511"/>
      <c r="AC179" s="511"/>
      <c r="AD179" s="511"/>
      <c r="AE179" s="511"/>
      <c r="AF179" s="511"/>
      <c r="AG179" s="511"/>
      <c r="AH179" s="511"/>
      <c r="AI179" s="511"/>
      <c r="AJ179" s="511"/>
      <c r="AK179" s="511"/>
      <c r="AL179" s="511"/>
      <c r="AM179" s="511"/>
      <c r="AN179" s="511"/>
      <c r="AO179" s="511"/>
    </row>
    <row r="180" spans="1:41" ht="15.75" customHeight="1">
      <c r="A180" s="512" t="s">
        <v>907</v>
      </c>
      <c r="B180" s="505">
        <f>('Pivot Table for Data Exchange'!$G$474)*100</f>
        <v>61.138719497738116</v>
      </c>
      <c r="C180" s="505">
        <f>('Pivot Table for Data Exchange'!$G$477)*100</f>
        <v>2.7834943998179109</v>
      </c>
      <c r="D180" s="506">
        <f>SUM(E180:G180)</f>
        <v>36.077786102443973</v>
      </c>
      <c r="E180" s="505">
        <f>('Pivot Table for Data Exchange'!$G$480)*100</f>
        <v>34.854376298094699</v>
      </c>
      <c r="F180" s="505">
        <f>('Pivot Table for Data Exchange'!$G$483)*100</f>
        <v>1.2120292480297412</v>
      </c>
      <c r="G180" s="515">
        <f>('Pivot Table for Data Exchange'!$G$486)*100</f>
        <v>1.1380556319528086E-2</v>
      </c>
      <c r="H180" s="505">
        <f>('Pivot Table for Data Exchange'!$G$489)*100</f>
        <v>0</v>
      </c>
      <c r="I180" s="514" t="s">
        <v>907</v>
      </c>
      <c r="J180" s="505">
        <f>('Pivot Table for Data Exchange'!$G$492)*100</f>
        <v>30.03069332491896</v>
      </c>
      <c r="K180" s="505">
        <f>('Pivot Table for Data Exchange'!$G$495)*100</f>
        <v>1.5662201313789048</v>
      </c>
      <c r="L180" s="506">
        <f>SUM(M180:O180)</f>
        <v>61.389518372966918</v>
      </c>
      <c r="M180" s="505">
        <f>('Pivot Table for Data Exchange'!$G$498)*100</f>
        <v>60.546169071455203</v>
      </c>
      <c r="N180" s="505">
        <f>('Pivot Table for Data Exchange'!$G$501)*100</f>
        <v>0.82613809127678495</v>
      </c>
      <c r="O180" s="515">
        <f>('Pivot Table for Data Exchange'!$G$504)*100</f>
        <v>1.7211210234933019E-2</v>
      </c>
      <c r="P180" s="505">
        <f>('Pivot Table for Data Exchange'!$G$507)*100</f>
        <v>0</v>
      </c>
      <c r="Q180" s="510">
        <f t="shared" si="34"/>
        <v>100</v>
      </c>
      <c r="R180" s="510">
        <f t="shared" si="35"/>
        <v>92.986431829264788</v>
      </c>
      <c r="S180" s="511"/>
      <c r="T180" s="511"/>
      <c r="U180" s="511"/>
      <c r="V180" s="511"/>
      <c r="W180" s="511"/>
      <c r="X180" s="511"/>
      <c r="Y180" s="511"/>
      <c r="Z180" s="511"/>
      <c r="AA180" s="511"/>
      <c r="AB180" s="511"/>
      <c r="AC180" s="511"/>
      <c r="AD180" s="511"/>
      <c r="AE180" s="511"/>
      <c r="AF180" s="511"/>
      <c r="AG180" s="511"/>
      <c r="AH180" s="511"/>
      <c r="AI180" s="511"/>
      <c r="AJ180" s="511"/>
      <c r="AK180" s="511"/>
      <c r="AL180" s="511"/>
      <c r="AM180" s="511"/>
      <c r="AN180" s="511"/>
      <c r="AO180" s="511"/>
    </row>
    <row r="181" spans="1:41" ht="15.75" customHeight="1">
      <c r="A181" s="512" t="s">
        <v>908</v>
      </c>
      <c r="B181" s="505">
        <f>('Pivot Table for Data Exchange'!$G$510)*100</f>
        <v>99.577782138289876</v>
      </c>
      <c r="C181" s="505">
        <f>('Pivot Table for Data Exchange'!$G$513)*100</f>
        <v>0.42221786171011766</v>
      </c>
      <c r="D181" s="506">
        <f t="shared" ref="D181" si="46">SUM(E181:G181)</f>
        <v>0</v>
      </c>
      <c r="E181" s="505">
        <f>('Pivot Table for Data Exchange'!$G$516)*100</f>
        <v>0</v>
      </c>
      <c r="F181" s="519">
        <f>('Pivot Table for Data Exchange'!$G$519)*100</f>
        <v>0</v>
      </c>
      <c r="G181" s="515">
        <f>('Pivot Table for Data Exchange'!$G$522)*100</f>
        <v>0</v>
      </c>
      <c r="H181" s="505">
        <f>('Pivot Table for Data Exchange'!$G$525)*100</f>
        <v>0</v>
      </c>
      <c r="I181" s="514" t="s">
        <v>908</v>
      </c>
      <c r="J181" s="505">
        <f>('Pivot Table for Data Exchange'!$G$528)*100</f>
        <v>97.745277269957342</v>
      </c>
      <c r="K181" s="505">
        <f>('Pivot Table for Data Exchange'!$G$531)*100</f>
        <v>2.2547227300426567</v>
      </c>
      <c r="L181" s="506">
        <f t="shared" ref="L181" si="47">SUM(M181:O181)</f>
        <v>0</v>
      </c>
      <c r="M181" s="505">
        <f>('Pivot Table for Data Exchange'!$G$534)*100</f>
        <v>0</v>
      </c>
      <c r="N181" s="505">
        <f>('Pivot Table for Data Exchange'!$G$537)*100</f>
        <v>0</v>
      </c>
      <c r="O181" s="515">
        <f>('Pivot Table for Data Exchange'!$G$540)*100</f>
        <v>0</v>
      </c>
      <c r="P181" s="505">
        <f>('Pivot Table for Data Exchange'!$G$543)*100</f>
        <v>0</v>
      </c>
      <c r="Q181" s="510">
        <f t="shared" si="34"/>
        <v>100</v>
      </c>
      <c r="R181" s="510">
        <f t="shared" si="35"/>
        <v>100</v>
      </c>
      <c r="S181" s="511"/>
      <c r="T181" s="511"/>
      <c r="U181" s="511"/>
      <c r="V181" s="511"/>
      <c r="W181" s="511"/>
      <c r="X181" s="511"/>
      <c r="Y181" s="511"/>
      <c r="Z181" s="511"/>
      <c r="AA181" s="511"/>
      <c r="AB181" s="511"/>
      <c r="AC181" s="511"/>
      <c r="AD181" s="511"/>
      <c r="AE181" s="511"/>
      <c r="AF181" s="511"/>
      <c r="AG181" s="511"/>
      <c r="AH181" s="511"/>
      <c r="AI181" s="511"/>
      <c r="AJ181" s="511"/>
      <c r="AK181" s="511"/>
      <c r="AL181" s="511"/>
      <c r="AM181" s="511"/>
      <c r="AN181" s="511"/>
      <c r="AO181" s="511"/>
    </row>
    <row r="182" spans="1:41" ht="15.75" customHeight="1">
      <c r="A182" s="484" t="s">
        <v>909</v>
      </c>
      <c r="B182" s="520">
        <f>('Pivot Table for Data Exchange'!$G$546)*100</f>
        <v>82.674127719624053</v>
      </c>
      <c r="C182" s="520">
        <f>('Pivot Table for Data Exchange'!$G$549)*100</f>
        <v>5.8373983243175545</v>
      </c>
      <c r="D182" s="521">
        <f>SUM(E182:G182)</f>
        <v>11.488473956058391</v>
      </c>
      <c r="E182" s="520">
        <f>('Pivot Table for Data Exchange'!$G$552)*100</f>
        <v>11.447849500135925</v>
      </c>
      <c r="F182" s="520">
        <f>('Pivot Table for Data Exchange'!$G$555)*100</f>
        <v>2.1075845553760207E-2</v>
      </c>
      <c r="G182" s="522">
        <f>('Pivot Table for Data Exchange'!$G$558)*100</f>
        <v>1.954861036870512E-2</v>
      </c>
      <c r="H182" s="520">
        <f>('Pivot Table for Data Exchange'!$G$561)*100</f>
        <v>0</v>
      </c>
      <c r="I182" s="523" t="s">
        <v>909</v>
      </c>
      <c r="J182" s="520">
        <f>('Pivot Table for Data Exchange'!$G$564)*100</f>
        <v>34.023062830046342</v>
      </c>
      <c r="K182" s="520">
        <f>('Pivot Table for Data Exchange'!$G$567)*100</f>
        <v>7.9696087940510836</v>
      </c>
      <c r="L182" s="521">
        <f>SUM(M182:O182)</f>
        <v>58.007328375902581</v>
      </c>
      <c r="M182" s="520">
        <f>('Pivot Table for Data Exchange'!$G$570)*100</f>
        <v>58.007328375902581</v>
      </c>
      <c r="N182" s="520">
        <f>('Pivot Table for Data Exchange'!$G$573)*100</f>
        <v>0</v>
      </c>
      <c r="O182" s="522">
        <f>('Pivot Table for Data Exchange'!$G$576)*100</f>
        <v>0</v>
      </c>
      <c r="P182" s="520">
        <f>('Pivot Table for Data Exchange'!$G$579)*100</f>
        <v>0</v>
      </c>
      <c r="Q182" s="510">
        <f t="shared" si="34"/>
        <v>100</v>
      </c>
      <c r="R182" s="510">
        <f t="shared" si="35"/>
        <v>100</v>
      </c>
      <c r="S182" s="511"/>
      <c r="T182" s="511"/>
      <c r="U182" s="511"/>
      <c r="V182" s="511"/>
      <c r="W182" s="511"/>
      <c r="X182" s="511"/>
      <c r="Y182" s="511"/>
      <c r="Z182" s="511"/>
      <c r="AA182" s="511"/>
      <c r="AB182" s="511"/>
      <c r="AC182" s="511"/>
      <c r="AD182" s="511"/>
      <c r="AE182" s="511"/>
      <c r="AF182" s="511"/>
      <c r="AG182" s="511"/>
      <c r="AH182" s="511"/>
      <c r="AI182" s="511"/>
      <c r="AJ182" s="511"/>
      <c r="AK182" s="511"/>
      <c r="AL182" s="511"/>
      <c r="AM182" s="511"/>
      <c r="AN182" s="511"/>
      <c r="AO182" s="511"/>
    </row>
    <row r="183" spans="1:41" s="524" customFormat="1" ht="12.75" customHeight="1">
      <c r="A183" s="525" t="s">
        <v>937</v>
      </c>
      <c r="B183" s="526"/>
      <c r="C183" s="526"/>
      <c r="D183" s="527"/>
      <c r="E183" s="526"/>
      <c r="F183" s="527"/>
      <c r="G183" s="527"/>
      <c r="H183" s="526"/>
      <c r="I183" s="525" t="s">
        <v>937</v>
      </c>
      <c r="J183" s="526"/>
      <c r="K183" s="526"/>
      <c r="L183" s="527"/>
      <c r="M183" s="526"/>
      <c r="N183" s="527"/>
      <c r="O183" s="527"/>
      <c r="P183" s="526"/>
      <c r="Q183" s="510"/>
      <c r="R183" s="510"/>
      <c r="S183" s="528"/>
      <c r="T183" s="528"/>
      <c r="U183" s="528"/>
      <c r="V183" s="528"/>
      <c r="W183" s="528"/>
      <c r="X183" s="528"/>
      <c r="Y183" s="528"/>
      <c r="Z183" s="528"/>
      <c r="AA183" s="528"/>
      <c r="AB183" s="528"/>
      <c r="AC183" s="528"/>
      <c r="AD183" s="528"/>
      <c r="AE183" s="528"/>
      <c r="AF183" s="528"/>
      <c r="AG183" s="528"/>
      <c r="AH183" s="528"/>
      <c r="AI183" s="528"/>
      <c r="AJ183" s="528"/>
      <c r="AK183" s="528"/>
      <c r="AL183" s="528"/>
      <c r="AM183" s="528"/>
      <c r="AN183" s="528"/>
      <c r="AO183" s="528"/>
    </row>
    <row r="184" spans="1:41" s="524" customFormat="1" ht="8.25" customHeight="1">
      <c r="A184" s="542"/>
      <c r="B184" s="543"/>
      <c r="C184" s="543"/>
      <c r="D184" s="544"/>
      <c r="E184" s="543"/>
      <c r="F184" s="543"/>
      <c r="G184" s="545"/>
      <c r="H184" s="545"/>
      <c r="I184" s="542"/>
      <c r="J184" s="543"/>
      <c r="K184" s="543"/>
      <c r="L184" s="544"/>
      <c r="M184" s="543"/>
      <c r="N184" s="543"/>
      <c r="O184" s="543"/>
      <c r="P184" s="545"/>
      <c r="Q184" s="510"/>
      <c r="R184" s="510"/>
      <c r="S184" s="528"/>
      <c r="T184" s="528"/>
      <c r="U184" s="528"/>
      <c r="V184" s="528"/>
      <c r="W184" s="528"/>
      <c r="X184" s="528"/>
      <c r="Y184" s="528"/>
      <c r="Z184" s="528"/>
      <c r="AA184" s="528"/>
      <c r="AB184" s="528"/>
      <c r="AC184" s="528"/>
      <c r="AD184" s="528"/>
      <c r="AE184" s="528"/>
      <c r="AF184" s="528"/>
      <c r="AG184" s="528"/>
      <c r="AH184" s="528"/>
      <c r="AI184" s="528"/>
      <c r="AJ184" s="528"/>
      <c r="AK184" s="528"/>
      <c r="AL184" s="528"/>
      <c r="AM184" s="528"/>
      <c r="AN184" s="528"/>
      <c r="AO184" s="528"/>
    </row>
    <row r="185" spans="1:41" s="524" customFormat="1" ht="13.5" customHeight="1">
      <c r="A185" s="546"/>
      <c r="B185" s="539"/>
      <c r="H185" s="532" t="s">
        <v>1015</v>
      </c>
      <c r="I185" s="546"/>
      <c r="P185" s="532" t="s">
        <v>1015</v>
      </c>
      <c r="Q185" s="510"/>
      <c r="R185" s="510"/>
    </row>
    <row r="186" spans="1:41" ht="18">
      <c r="A186" s="472" t="s">
        <v>948</v>
      </c>
      <c r="B186" s="473"/>
      <c r="C186" s="473"/>
      <c r="D186" s="473"/>
      <c r="E186" s="473"/>
      <c r="F186" s="473"/>
      <c r="G186" s="473"/>
      <c r="H186" s="474"/>
      <c r="I186" s="472" t="s">
        <v>949</v>
      </c>
      <c r="J186" s="475"/>
      <c r="K186" s="475"/>
      <c r="L186" s="473"/>
      <c r="M186" s="475"/>
      <c r="N186" s="475"/>
      <c r="O186" s="475"/>
      <c r="P186" s="475"/>
      <c r="Q186" s="510"/>
      <c r="R186" s="510"/>
    </row>
    <row r="187" spans="1:41">
      <c r="A187" s="479"/>
      <c r="B187" s="475"/>
      <c r="C187" s="475"/>
      <c r="D187" s="475"/>
      <c r="E187" s="475"/>
      <c r="F187" s="475"/>
      <c r="G187" s="475"/>
      <c r="H187" s="480"/>
      <c r="I187" s="479"/>
      <c r="J187" s="475"/>
      <c r="K187" s="475"/>
      <c r="L187" s="475"/>
      <c r="M187" s="475"/>
      <c r="N187" s="475"/>
      <c r="O187" s="475"/>
      <c r="P187" s="475"/>
      <c r="Q187" s="510"/>
      <c r="R187" s="510"/>
    </row>
    <row r="188" spans="1:41" ht="15.75">
      <c r="A188" s="481" t="s">
        <v>917</v>
      </c>
      <c r="B188" s="475"/>
      <c r="C188" s="475"/>
      <c r="D188" s="475"/>
      <c r="E188" s="475"/>
      <c r="F188" s="475"/>
      <c r="G188" s="475"/>
      <c r="H188" s="480"/>
      <c r="I188" s="481" t="s">
        <v>918</v>
      </c>
      <c r="J188" s="475"/>
      <c r="K188" s="475"/>
      <c r="L188" s="475"/>
      <c r="M188" s="475"/>
      <c r="N188" s="475"/>
      <c r="O188" s="475"/>
      <c r="P188" s="475"/>
      <c r="Q188" s="510"/>
      <c r="R188" s="510"/>
    </row>
    <row r="189" spans="1:41" ht="15.75">
      <c r="A189" s="481" t="s">
        <v>968</v>
      </c>
      <c r="B189" s="475"/>
      <c r="C189" s="475"/>
      <c r="D189" s="475"/>
      <c r="E189" s="475"/>
      <c r="F189" s="475"/>
      <c r="G189" s="475"/>
      <c r="H189" s="480"/>
      <c r="I189" s="481" t="s">
        <v>968</v>
      </c>
      <c r="J189" s="475"/>
      <c r="K189" s="475"/>
      <c r="L189" s="475"/>
      <c r="M189" s="475"/>
      <c r="N189" s="475"/>
      <c r="O189" s="475"/>
      <c r="P189" s="475"/>
      <c r="Q189" s="510"/>
      <c r="R189" s="510"/>
    </row>
    <row r="190" spans="1:41">
      <c r="A190" s="484"/>
      <c r="B190" s="485"/>
      <c r="C190" s="485"/>
      <c r="D190" s="485"/>
      <c r="E190" s="485"/>
      <c r="F190" s="485"/>
      <c r="G190" s="485"/>
      <c r="H190" s="485"/>
      <c r="I190" s="486"/>
      <c r="L190" s="487"/>
      <c r="P190" s="484"/>
      <c r="Q190" s="510"/>
      <c r="R190" s="510"/>
    </row>
    <row r="191" spans="1:41" s="494" customFormat="1">
      <c r="A191" s="489"/>
      <c r="B191" s="490" t="s">
        <v>919</v>
      </c>
      <c r="C191" s="490"/>
      <c r="D191" s="490"/>
      <c r="E191" s="490"/>
      <c r="F191" s="490"/>
      <c r="G191" s="490"/>
      <c r="H191" s="491"/>
      <c r="I191" s="489"/>
      <c r="J191" s="490" t="s">
        <v>919</v>
      </c>
      <c r="K191" s="490"/>
      <c r="L191" s="490"/>
      <c r="M191" s="490"/>
      <c r="N191" s="490"/>
      <c r="O191" s="490"/>
      <c r="P191" s="491"/>
      <c r="Q191" s="510"/>
      <c r="R191" s="510"/>
    </row>
    <row r="192" spans="1:41" s="494" customFormat="1">
      <c r="A192" s="489"/>
      <c r="B192" s="490" t="s">
        <v>920</v>
      </c>
      <c r="C192" s="490"/>
      <c r="D192" s="659" t="s">
        <v>921</v>
      </c>
      <c r="E192" s="657"/>
      <c r="F192" s="657"/>
      <c r="G192" s="657"/>
      <c r="H192" s="495" t="s">
        <v>320</v>
      </c>
      <c r="I192" s="489"/>
      <c r="J192" s="490" t="s">
        <v>920</v>
      </c>
      <c r="K192" s="490"/>
      <c r="L192" s="659" t="s">
        <v>921</v>
      </c>
      <c r="M192" s="657"/>
      <c r="N192" s="657"/>
      <c r="O192" s="657"/>
      <c r="P192" s="495" t="s">
        <v>320</v>
      </c>
      <c r="Q192" s="510"/>
      <c r="R192" s="510"/>
    </row>
    <row r="193" spans="1:41" s="494" customFormat="1" ht="40.5" customHeight="1">
      <c r="A193" s="489"/>
      <c r="B193" s="496" t="s">
        <v>922</v>
      </c>
      <c r="C193" s="497" t="s">
        <v>923</v>
      </c>
      <c r="D193" s="498" t="s">
        <v>924</v>
      </c>
      <c r="E193" s="499" t="s">
        <v>10</v>
      </c>
      <c r="F193" s="496" t="s">
        <v>925</v>
      </c>
      <c r="G193" s="500" t="s">
        <v>935</v>
      </c>
      <c r="H193" s="501" t="s">
        <v>927</v>
      </c>
      <c r="I193" s="489"/>
      <c r="J193" s="496" t="s">
        <v>922</v>
      </c>
      <c r="K193" s="497" t="s">
        <v>923</v>
      </c>
      <c r="L193" s="498" t="s">
        <v>924</v>
      </c>
      <c r="M193" s="499" t="s">
        <v>10</v>
      </c>
      <c r="N193" s="496" t="s">
        <v>925</v>
      </c>
      <c r="O193" s="500" t="s">
        <v>935</v>
      </c>
      <c r="P193" s="501" t="s">
        <v>927</v>
      </c>
      <c r="Q193" s="510"/>
      <c r="R193" s="510"/>
      <c r="T193" s="533"/>
    </row>
    <row r="194" spans="1:41" ht="15.75" customHeight="1">
      <c r="A194" s="534" t="s">
        <v>894</v>
      </c>
      <c r="B194" s="505">
        <f>('Pivot Table for Data Exchange'!$H$6)*100</f>
        <v>22.25630538513974</v>
      </c>
      <c r="C194" s="505">
        <f>('Pivot Table for Data Exchange'!$H$9)*100</f>
        <v>4.6353101567825492</v>
      </c>
      <c r="D194" s="506">
        <f>SUM(E194:G194)</f>
        <v>73.108384458077708</v>
      </c>
      <c r="E194" s="505">
        <f>('Pivot Table for Data Exchange'!$H$12)*100</f>
        <v>73.108384458077708</v>
      </c>
      <c r="F194" s="505">
        <f>('Pivot Table for Data Exchange'!$H$15)*100</f>
        <v>0</v>
      </c>
      <c r="G194" s="509">
        <f>('Pivot Table for Data Exchange'!$H$18)*100</f>
        <v>0</v>
      </c>
      <c r="H194" s="505">
        <f>('Pivot Table for Data Exchange'!$H$21)*100</f>
        <v>0</v>
      </c>
      <c r="I194" s="508" t="s">
        <v>894</v>
      </c>
      <c r="J194" s="505">
        <f>('Pivot Table for Data Exchange'!$H$24)*100</f>
        <v>0</v>
      </c>
      <c r="K194" s="505">
        <f>('Pivot Table for Data Exchange'!$H$27)*100</f>
        <v>0</v>
      </c>
      <c r="L194" s="506">
        <f>SUM(M194:O194)</f>
        <v>0</v>
      </c>
      <c r="M194" s="505">
        <f>('Pivot Table for Data Exchange'!$H$30)*100</f>
        <v>0</v>
      </c>
      <c r="N194" s="505">
        <f>('Pivot Table for Data Exchange'!$H$33)*100</f>
        <v>0</v>
      </c>
      <c r="O194" s="509">
        <f>('Pivot Table for Data Exchange'!$H$36)*100</f>
        <v>0</v>
      </c>
      <c r="P194" s="505">
        <f>('Pivot Table for Data Exchange'!$H$39)*100</f>
        <v>0</v>
      </c>
      <c r="Q194" s="510">
        <f t="shared" si="34"/>
        <v>100</v>
      </c>
      <c r="R194" s="510">
        <f t="shared" si="35"/>
        <v>0</v>
      </c>
      <c r="S194" s="511"/>
      <c r="T194" s="511"/>
      <c r="U194" s="511"/>
      <c r="V194" s="511"/>
      <c r="W194" s="511"/>
      <c r="X194" s="511"/>
      <c r="Y194" s="511"/>
      <c r="Z194" s="511"/>
      <c r="AA194" s="511"/>
      <c r="AB194" s="511"/>
      <c r="AC194" s="511"/>
      <c r="AD194" s="511"/>
      <c r="AE194" s="511"/>
      <c r="AF194" s="511"/>
      <c r="AG194" s="511"/>
      <c r="AH194" s="511"/>
      <c r="AI194" s="511"/>
      <c r="AJ194" s="511"/>
      <c r="AK194" s="511"/>
      <c r="AL194" s="511"/>
      <c r="AM194" s="511"/>
      <c r="AN194" s="511"/>
      <c r="AO194" s="511"/>
    </row>
    <row r="195" spans="1:41" ht="15.75" customHeight="1">
      <c r="A195" s="512" t="s">
        <v>895</v>
      </c>
      <c r="B195" s="505">
        <f>('Pivot Table for Data Exchange'!$H$42)*100</f>
        <v>81.62229441795705</v>
      </c>
      <c r="C195" s="505">
        <f>('Pivot Table for Data Exchange'!$H$45)*100</f>
        <v>0.93371587696721658</v>
      </c>
      <c r="D195" s="506">
        <f t="shared" ref="D195:D197" si="48">SUM(E195:G195)</f>
        <v>17.443989705075737</v>
      </c>
      <c r="E195" s="505">
        <f>('Pivot Table for Data Exchange'!$H$48)*100</f>
        <v>17.443989705075737</v>
      </c>
      <c r="F195" s="505">
        <f>('Pivot Table for Data Exchange'!$H$51)*100</f>
        <v>0</v>
      </c>
      <c r="G195" s="515">
        <f>('Pivot Table for Data Exchange'!$H$54)*100</f>
        <v>0</v>
      </c>
      <c r="H195" s="505">
        <f>('Pivot Table for Data Exchange'!$H$57)*100</f>
        <v>0</v>
      </c>
      <c r="I195" s="514" t="s">
        <v>895</v>
      </c>
      <c r="J195" s="505">
        <f>('Pivot Table for Data Exchange'!$H$60)*100</f>
        <v>74.454828660436135</v>
      </c>
      <c r="K195" s="505">
        <f>('Pivot Table for Data Exchange'!$H$63)*100</f>
        <v>0</v>
      </c>
      <c r="L195" s="506">
        <f t="shared" ref="L195:L197" si="49">SUM(M195:O195)</f>
        <v>25.545171339563861</v>
      </c>
      <c r="M195" s="505">
        <f>('Pivot Table for Data Exchange'!$H$66)*100</f>
        <v>25.545171339563861</v>
      </c>
      <c r="N195" s="505">
        <f>('Pivot Table for Data Exchange'!$H$69)*100</f>
        <v>0</v>
      </c>
      <c r="O195" s="515">
        <f>('Pivot Table for Data Exchange'!$H$72)*100</f>
        <v>0</v>
      </c>
      <c r="P195" s="505">
        <f>('Pivot Table for Data Exchange'!$H$75)*100</f>
        <v>0</v>
      </c>
      <c r="Q195" s="510">
        <f t="shared" si="34"/>
        <v>100</v>
      </c>
      <c r="R195" s="510">
        <f t="shared" si="35"/>
        <v>100</v>
      </c>
      <c r="S195" s="511"/>
      <c r="T195" s="511"/>
      <c r="U195" s="511"/>
      <c r="V195" s="511"/>
      <c r="W195" s="511"/>
      <c r="X195" s="511"/>
      <c r="Y195" s="511"/>
      <c r="Z195" s="511"/>
      <c r="AA195" s="511"/>
      <c r="AB195" s="511"/>
      <c r="AC195" s="511"/>
      <c r="AD195" s="511"/>
      <c r="AE195" s="511"/>
      <c r="AF195" s="511"/>
      <c r="AG195" s="511"/>
      <c r="AH195" s="511"/>
      <c r="AI195" s="511"/>
      <c r="AJ195" s="511"/>
      <c r="AK195" s="511"/>
      <c r="AL195" s="511"/>
      <c r="AM195" s="511"/>
      <c r="AN195" s="511"/>
      <c r="AO195" s="511"/>
    </row>
    <row r="196" spans="1:41" ht="15.75" customHeight="1">
      <c r="A196" s="512" t="s">
        <v>896</v>
      </c>
      <c r="B196" s="505">
        <f>('Pivot Table for Data Exchange'!$H$78)*100</f>
        <v>0</v>
      </c>
      <c r="C196" s="505">
        <f>('Pivot Table for Data Exchange'!$H$81)*100</f>
        <v>0</v>
      </c>
      <c r="D196" s="506">
        <f t="shared" si="48"/>
        <v>0</v>
      </c>
      <c r="E196" s="505">
        <f>('Pivot Table for Data Exchange'!$H$84)*100</f>
        <v>0</v>
      </c>
      <c r="F196" s="505">
        <f>('Pivot Table for Data Exchange'!$H$87)*100</f>
        <v>0</v>
      </c>
      <c r="G196" s="515">
        <f>('Pivot Table for Data Exchange'!$H$90)*100</f>
        <v>0</v>
      </c>
      <c r="H196" s="505">
        <f>('Pivot Table for Data Exchange'!$H$93)*100</f>
        <v>0</v>
      </c>
      <c r="I196" s="514" t="s">
        <v>896</v>
      </c>
      <c r="J196" s="505">
        <f>('Pivot Table for Data Exchange'!$H$96)*100</f>
        <v>0</v>
      </c>
      <c r="K196" s="505">
        <f>('Pivot Table for Data Exchange'!$H$99)*100</f>
        <v>0</v>
      </c>
      <c r="L196" s="506">
        <f t="shared" si="49"/>
        <v>0</v>
      </c>
      <c r="M196" s="505">
        <f>('Pivot Table for Data Exchange'!$H$102)*100</f>
        <v>0</v>
      </c>
      <c r="N196" s="505">
        <f>('Pivot Table for Data Exchange'!$H$105)*100</f>
        <v>0</v>
      </c>
      <c r="O196" s="515">
        <f>('Pivot Table for Data Exchange'!$H$108)*100</f>
        <v>0</v>
      </c>
      <c r="P196" s="505">
        <f>('Pivot Table for Data Exchange'!$H$111)*100</f>
        <v>0</v>
      </c>
      <c r="Q196" s="510">
        <f t="shared" si="34"/>
        <v>0</v>
      </c>
      <c r="R196" s="510">
        <f t="shared" si="35"/>
        <v>0</v>
      </c>
      <c r="S196" s="511"/>
      <c r="T196" s="535"/>
      <c r="U196" s="511"/>
      <c r="V196" s="511"/>
      <c r="W196" s="511"/>
      <c r="X196" s="511"/>
      <c r="Y196" s="511"/>
      <c r="Z196" s="511"/>
      <c r="AA196" s="511"/>
      <c r="AB196" s="511"/>
      <c r="AC196" s="511"/>
      <c r="AD196" s="511"/>
      <c r="AE196" s="511"/>
      <c r="AF196" s="511"/>
      <c r="AG196" s="511"/>
      <c r="AH196" s="511"/>
      <c r="AI196" s="511"/>
      <c r="AJ196" s="511"/>
      <c r="AK196" s="511"/>
      <c r="AL196" s="511"/>
      <c r="AM196" s="511"/>
      <c r="AN196" s="511"/>
      <c r="AO196" s="511"/>
    </row>
    <row r="197" spans="1:41" ht="15.75" customHeight="1">
      <c r="A197" s="512" t="s">
        <v>936</v>
      </c>
      <c r="B197" s="505">
        <f>('Pivot Table for Data Exchange'!$H$114)*100</f>
        <v>100</v>
      </c>
      <c r="C197" s="505">
        <f>('Pivot Table for Data Exchange'!$H$117)*100</f>
        <v>0</v>
      </c>
      <c r="D197" s="506">
        <f t="shared" si="48"/>
        <v>0</v>
      </c>
      <c r="E197" s="505">
        <f>('Pivot Table for Data Exchange'!$H$120)*100</f>
        <v>0</v>
      </c>
      <c r="F197" s="505">
        <f>('Pivot Table for Data Exchange'!$H$123)*100</f>
        <v>0</v>
      </c>
      <c r="G197" s="515">
        <f>('Pivot Table for Data Exchange'!$H$126)*100</f>
        <v>0</v>
      </c>
      <c r="H197" s="505">
        <f>('Pivot Table for Data Exchange'!$H$129)*100</f>
        <v>0</v>
      </c>
      <c r="I197" s="514" t="s">
        <v>897</v>
      </c>
      <c r="J197" s="505">
        <f>('Pivot Table for Data Exchange'!$H$132)*100</f>
        <v>0</v>
      </c>
      <c r="K197" s="505">
        <f>('Pivot Table for Data Exchange'!$H$135)*100</f>
        <v>0</v>
      </c>
      <c r="L197" s="506">
        <f t="shared" si="49"/>
        <v>0</v>
      </c>
      <c r="M197" s="505">
        <f>('Pivot Table for Data Exchange'!$H$138)*100</f>
        <v>0</v>
      </c>
      <c r="N197" s="505">
        <f>('Pivot Table for Data Exchange'!$H$141)*100</f>
        <v>0</v>
      </c>
      <c r="O197" s="515">
        <f>('Pivot Table for Data Exchange'!$H$144)*100</f>
        <v>0</v>
      </c>
      <c r="P197" s="505">
        <f>('Pivot Table for Data Exchange'!$H$147)*100</f>
        <v>0</v>
      </c>
      <c r="Q197" s="510">
        <f t="shared" si="34"/>
        <v>100</v>
      </c>
      <c r="R197" s="510">
        <f t="shared" si="35"/>
        <v>0</v>
      </c>
      <c r="S197" s="511"/>
      <c r="U197" s="511"/>
      <c r="V197" s="511"/>
      <c r="W197" s="511"/>
      <c r="X197" s="511"/>
      <c r="Y197" s="511"/>
      <c r="Z197" s="511"/>
      <c r="AA197" s="511"/>
      <c r="AB197" s="511"/>
      <c r="AC197" s="511"/>
      <c r="AD197" s="511"/>
      <c r="AE197" s="511"/>
      <c r="AF197" s="511"/>
      <c r="AG197" s="511"/>
      <c r="AH197" s="511"/>
      <c r="AI197" s="511"/>
      <c r="AJ197" s="511"/>
      <c r="AK197" s="511"/>
      <c r="AL197" s="511"/>
      <c r="AM197" s="511"/>
      <c r="AN197" s="511"/>
      <c r="AO197" s="511"/>
    </row>
    <row r="198" spans="1:41" ht="15.75" customHeight="1">
      <c r="A198" s="512"/>
      <c r="B198" s="505"/>
      <c r="C198" s="505"/>
      <c r="D198" s="506"/>
      <c r="E198" s="505"/>
      <c r="F198" s="505"/>
      <c r="G198" s="515"/>
      <c r="H198" s="505"/>
      <c r="I198" s="514"/>
      <c r="J198" s="505"/>
      <c r="K198" s="505"/>
      <c r="L198" s="506"/>
      <c r="M198" s="505"/>
      <c r="N198" s="505"/>
      <c r="O198" s="515"/>
      <c r="P198" s="505"/>
      <c r="Q198" s="510">
        <f t="shared" si="34"/>
        <v>0</v>
      </c>
      <c r="R198" s="510">
        <f t="shared" si="35"/>
        <v>0</v>
      </c>
      <c r="S198" s="511"/>
      <c r="U198" s="511"/>
      <c r="V198" s="511"/>
      <c r="W198" s="511"/>
      <c r="X198" s="511"/>
      <c r="Y198" s="511"/>
      <c r="Z198" s="511"/>
      <c r="AA198" s="511"/>
      <c r="AB198" s="511"/>
      <c r="AC198" s="511"/>
      <c r="AD198" s="511"/>
      <c r="AE198" s="511"/>
      <c r="AF198" s="511"/>
      <c r="AG198" s="511"/>
      <c r="AH198" s="511"/>
      <c r="AI198" s="511"/>
      <c r="AJ198" s="511"/>
      <c r="AK198" s="511"/>
      <c r="AL198" s="511"/>
      <c r="AM198" s="511"/>
      <c r="AN198" s="511"/>
      <c r="AO198" s="511"/>
    </row>
    <row r="199" spans="1:41" ht="15.75" customHeight="1">
      <c r="A199" s="512" t="s">
        <v>898</v>
      </c>
      <c r="B199" s="505">
        <f>('Pivot Table for Data Exchange'!$H$150)*100</f>
        <v>85.612566533472332</v>
      </c>
      <c r="C199" s="505">
        <f>('Pivot Table for Data Exchange'!$H$153)*100</f>
        <v>4.7515828928341044</v>
      </c>
      <c r="D199" s="506">
        <f t="shared" ref="D199:D202" si="50">SUM(E199:G199)</f>
        <v>9.6358505736935598</v>
      </c>
      <c r="E199" s="505">
        <f>('Pivot Table for Data Exchange'!$H$156)*100</f>
        <v>9.5913675399200837</v>
      </c>
      <c r="F199" s="505">
        <f>('Pivot Table for Data Exchange'!$H$159)*100</f>
        <v>4.4483033773475886E-2</v>
      </c>
      <c r="G199" s="515">
        <f>('Pivot Table for Data Exchange'!$H$162)*100</f>
        <v>0</v>
      </c>
      <c r="H199" s="505">
        <f>('Pivot Table for Data Exchange'!$H$165)*100</f>
        <v>0</v>
      </c>
      <c r="I199" s="514" t="s">
        <v>898</v>
      </c>
      <c r="J199" s="505">
        <f>('Pivot Table for Data Exchange'!$H$168)*100</f>
        <v>0</v>
      </c>
      <c r="K199" s="505">
        <f>('Pivot Table for Data Exchange'!$H$171)*100</f>
        <v>0</v>
      </c>
      <c r="L199" s="506">
        <f t="shared" ref="L199:L202" si="51">SUM(M199:O199)</f>
        <v>0</v>
      </c>
      <c r="M199" s="505">
        <f>('Pivot Table for Data Exchange'!$H$174)*100</f>
        <v>0</v>
      </c>
      <c r="N199" s="505">
        <f>('Pivot Table for Data Exchange'!$H$177)*100</f>
        <v>0</v>
      </c>
      <c r="O199" s="515">
        <f>('Pivot Table for Data Exchange'!$H$180)*100</f>
        <v>0</v>
      </c>
      <c r="P199" s="505">
        <f>('Pivot Table for Data Exchange'!$H$183)*100</f>
        <v>0</v>
      </c>
      <c r="Q199" s="510">
        <f t="shared" si="34"/>
        <v>100</v>
      </c>
      <c r="R199" s="510">
        <f t="shared" si="35"/>
        <v>0</v>
      </c>
      <c r="S199" s="511"/>
      <c r="T199" s="511"/>
      <c r="U199" s="511"/>
      <c r="V199" s="511"/>
      <c r="W199" s="511"/>
      <c r="X199" s="511"/>
      <c r="Y199" s="511"/>
      <c r="Z199" s="511"/>
      <c r="AA199" s="511"/>
      <c r="AB199" s="511"/>
      <c r="AC199" s="511"/>
      <c r="AD199" s="511"/>
      <c r="AE199" s="511"/>
      <c r="AF199" s="511"/>
      <c r="AG199" s="511"/>
      <c r="AH199" s="511"/>
      <c r="AI199" s="511"/>
      <c r="AJ199" s="511"/>
      <c r="AK199" s="511"/>
      <c r="AL199" s="511"/>
      <c r="AM199" s="511"/>
      <c r="AN199" s="511"/>
      <c r="AO199" s="511"/>
    </row>
    <row r="200" spans="1:41" ht="15.75" customHeight="1">
      <c r="A200" s="512" t="s">
        <v>899</v>
      </c>
      <c r="B200" s="505">
        <f>('Pivot Table for Data Exchange'!$H$186)*100</f>
        <v>0</v>
      </c>
      <c r="C200" s="505">
        <f>('Pivot Table for Data Exchange'!$H$189)*100</f>
        <v>0</v>
      </c>
      <c r="D200" s="506">
        <f t="shared" si="50"/>
        <v>0</v>
      </c>
      <c r="E200" s="505">
        <f>('Pivot Table for Data Exchange'!$H$192)*100</f>
        <v>0</v>
      </c>
      <c r="F200" s="505">
        <f>('Pivot Table for Data Exchange'!$H$195)*100</f>
        <v>0</v>
      </c>
      <c r="G200" s="515">
        <f>('Pivot Table for Data Exchange'!$H$198)*100</f>
        <v>0</v>
      </c>
      <c r="H200" s="505">
        <f>('Pivot Table for Data Exchange'!$H$201)*100</f>
        <v>0</v>
      </c>
      <c r="I200" s="514" t="s">
        <v>899</v>
      </c>
      <c r="J200" s="505">
        <f>('Pivot Table for Data Exchange'!$H$204)*100</f>
        <v>0</v>
      </c>
      <c r="K200" s="505">
        <f>('Pivot Table for Data Exchange'!$H$207)*100</f>
        <v>0</v>
      </c>
      <c r="L200" s="506">
        <f t="shared" si="51"/>
        <v>0</v>
      </c>
      <c r="M200" s="505">
        <f>('Pivot Table for Data Exchange'!$H$210)*100</f>
        <v>0</v>
      </c>
      <c r="N200" s="505">
        <f>('Pivot Table for Data Exchange'!$H$213)*100</f>
        <v>0</v>
      </c>
      <c r="O200" s="515">
        <f>('Pivot Table for Data Exchange'!$H$216)*100</f>
        <v>0</v>
      </c>
      <c r="P200" s="505">
        <f>('Pivot Table for Data Exchange'!$H$219)*100</f>
        <v>0</v>
      </c>
      <c r="Q200" s="510">
        <f t="shared" si="34"/>
        <v>0</v>
      </c>
      <c r="R200" s="510">
        <f t="shared" si="35"/>
        <v>0</v>
      </c>
      <c r="S200" s="511"/>
      <c r="T200" s="511"/>
      <c r="U200" s="511"/>
      <c r="V200" s="511"/>
      <c r="W200" s="511"/>
      <c r="X200" s="511"/>
      <c r="Y200" s="511"/>
      <c r="Z200" s="511"/>
      <c r="AA200" s="511"/>
      <c r="AB200" s="511"/>
      <c r="AC200" s="511"/>
      <c r="AD200" s="511"/>
      <c r="AE200" s="511"/>
      <c r="AF200" s="511"/>
      <c r="AG200" s="511"/>
      <c r="AH200" s="511"/>
      <c r="AI200" s="511"/>
      <c r="AJ200" s="511"/>
      <c r="AK200" s="511"/>
      <c r="AL200" s="511"/>
      <c r="AM200" s="511"/>
      <c r="AN200" s="511"/>
      <c r="AO200" s="511"/>
    </row>
    <row r="201" spans="1:41" ht="15.75" customHeight="1">
      <c r="A201" s="512" t="s">
        <v>900</v>
      </c>
      <c r="B201" s="505">
        <f>('Pivot Table for Data Exchange'!$H$222)*100</f>
        <v>77.356656948493708</v>
      </c>
      <c r="C201" s="505">
        <f>('Pivot Table for Data Exchange'!$H$225)*100</f>
        <v>0</v>
      </c>
      <c r="D201" s="506">
        <f t="shared" si="50"/>
        <v>22.643343051506299</v>
      </c>
      <c r="E201" s="505">
        <f>('Pivot Table for Data Exchange'!$H$228)*100</f>
        <v>22.643343051506299</v>
      </c>
      <c r="F201" s="505">
        <f>('Pivot Table for Data Exchange'!$H$231)*100</f>
        <v>0</v>
      </c>
      <c r="G201" s="515">
        <f>('Pivot Table for Data Exchange'!$H$234)*100</f>
        <v>0</v>
      </c>
      <c r="H201" s="505">
        <f>('Pivot Table for Data Exchange'!$H$237)*100</f>
        <v>0</v>
      </c>
      <c r="I201" s="514" t="s">
        <v>900</v>
      </c>
      <c r="J201" s="505">
        <f>('Pivot Table for Data Exchange'!$H$240)*100</f>
        <v>0</v>
      </c>
      <c r="K201" s="505">
        <f>('Pivot Table for Data Exchange'!$H$243)*100</f>
        <v>0</v>
      </c>
      <c r="L201" s="506">
        <f t="shared" si="51"/>
        <v>0</v>
      </c>
      <c r="M201" s="505">
        <f>('Pivot Table for Data Exchange'!$H$246)*100</f>
        <v>0</v>
      </c>
      <c r="N201" s="505">
        <f>('Pivot Table for Data Exchange'!$H$249)*100</f>
        <v>0</v>
      </c>
      <c r="O201" s="515">
        <f>('Pivot Table for Data Exchange'!$H$252)*100</f>
        <v>0</v>
      </c>
      <c r="P201" s="505">
        <f>('Pivot Table for Data Exchange'!$H$255)*100</f>
        <v>0</v>
      </c>
      <c r="Q201" s="510">
        <f t="shared" si="34"/>
        <v>100</v>
      </c>
      <c r="R201" s="510">
        <f t="shared" si="35"/>
        <v>0</v>
      </c>
      <c r="S201" s="511"/>
      <c r="T201" s="535"/>
      <c r="U201" s="511"/>
      <c r="V201" s="511"/>
      <c r="W201" s="511"/>
      <c r="X201" s="511"/>
      <c r="Y201" s="511"/>
      <c r="Z201" s="511"/>
      <c r="AA201" s="511"/>
      <c r="AB201" s="511"/>
      <c r="AC201" s="511"/>
      <c r="AD201" s="511"/>
      <c r="AE201" s="511"/>
      <c r="AF201" s="511"/>
      <c r="AG201" s="511"/>
      <c r="AH201" s="511"/>
      <c r="AI201" s="511"/>
      <c r="AJ201" s="511"/>
      <c r="AK201" s="511"/>
      <c r="AL201" s="511"/>
      <c r="AM201" s="511"/>
      <c r="AN201" s="511"/>
      <c r="AO201" s="511"/>
    </row>
    <row r="202" spans="1:41" ht="15.75" customHeight="1">
      <c r="A202" s="512" t="s">
        <v>901</v>
      </c>
      <c r="B202" s="505">
        <f>('Pivot Table for Data Exchange'!$H$258)*100</f>
        <v>100</v>
      </c>
      <c r="C202" s="505">
        <f>('Pivot Table for Data Exchange'!$H$261)*100</f>
        <v>0</v>
      </c>
      <c r="D202" s="506">
        <f t="shared" si="50"/>
        <v>0</v>
      </c>
      <c r="E202" s="505">
        <f>('Pivot Table for Data Exchange'!$H$264)*100</f>
        <v>0</v>
      </c>
      <c r="F202" s="505">
        <f>('Pivot Table for Data Exchange'!$H$267)*100</f>
        <v>0</v>
      </c>
      <c r="G202" s="515">
        <f>('Pivot Table for Data Exchange'!$H$270)*100</f>
        <v>0</v>
      </c>
      <c r="H202" s="505">
        <f>('Pivot Table for Data Exchange'!$H$273)*100</f>
        <v>0</v>
      </c>
      <c r="I202" s="514" t="s">
        <v>901</v>
      </c>
      <c r="J202" s="505">
        <f>('Pivot Table for Data Exchange'!$H$276)*100</f>
        <v>100</v>
      </c>
      <c r="K202" s="505">
        <f>('Pivot Table for Data Exchange'!$H$279)*100</f>
        <v>0</v>
      </c>
      <c r="L202" s="506">
        <f t="shared" si="51"/>
        <v>0</v>
      </c>
      <c r="M202" s="505">
        <f>('Pivot Table for Data Exchange'!$H$282)*100</f>
        <v>0</v>
      </c>
      <c r="N202" s="505">
        <f>('Pivot Table for Data Exchange'!$H$285)*100</f>
        <v>0</v>
      </c>
      <c r="O202" s="515">
        <f>('Pivot Table for Data Exchange'!$H$288)*100</f>
        <v>0</v>
      </c>
      <c r="P202" s="505">
        <f>('Pivot Table for Data Exchange'!$H$291)*100</f>
        <v>0</v>
      </c>
      <c r="Q202" s="510">
        <f t="shared" si="34"/>
        <v>100</v>
      </c>
      <c r="R202" s="510">
        <f t="shared" si="35"/>
        <v>100</v>
      </c>
      <c r="S202" s="511"/>
      <c r="U202" s="511"/>
      <c r="V202" s="511"/>
      <c r="W202" s="511"/>
      <c r="X202" s="511"/>
      <c r="Y202" s="511"/>
      <c r="Z202" s="511"/>
      <c r="AA202" s="511"/>
      <c r="AB202" s="511"/>
      <c r="AC202" s="511"/>
      <c r="AD202" s="511"/>
      <c r="AE202" s="511"/>
      <c r="AF202" s="511"/>
      <c r="AG202" s="511"/>
      <c r="AH202" s="511"/>
      <c r="AI202" s="511"/>
      <c r="AJ202" s="511"/>
      <c r="AK202" s="511"/>
      <c r="AL202" s="511"/>
      <c r="AM202" s="511"/>
      <c r="AN202" s="511"/>
      <c r="AO202" s="511"/>
    </row>
    <row r="203" spans="1:41" ht="11.25" customHeight="1">
      <c r="A203" s="512"/>
      <c r="B203" s="505"/>
      <c r="C203" s="505"/>
      <c r="D203" s="506"/>
      <c r="E203" s="505"/>
      <c r="F203" s="505"/>
      <c r="G203" s="515"/>
      <c r="H203" s="505"/>
      <c r="I203" s="514"/>
      <c r="J203" s="505"/>
      <c r="K203" s="505"/>
      <c r="L203" s="506"/>
      <c r="M203" s="505"/>
      <c r="N203" s="505"/>
      <c r="O203" s="515"/>
      <c r="P203" s="505"/>
      <c r="Q203" s="510">
        <f t="shared" ref="Q203:Q266" si="52">SUM(B203,C203,D203,H203)</f>
        <v>0</v>
      </c>
      <c r="R203" s="510">
        <f t="shared" ref="R203:R216" si="53">SUM(J203,K203,L203,P203)</f>
        <v>0</v>
      </c>
      <c r="S203" s="511"/>
      <c r="U203" s="511"/>
      <c r="V203" s="511"/>
      <c r="W203" s="511"/>
      <c r="X203" s="511"/>
      <c r="Y203" s="511"/>
      <c r="Z203" s="511"/>
      <c r="AA203" s="511"/>
      <c r="AB203" s="511"/>
      <c r="AC203" s="511"/>
      <c r="AD203" s="511"/>
      <c r="AE203" s="511"/>
      <c r="AF203" s="511"/>
      <c r="AG203" s="511"/>
      <c r="AH203" s="511"/>
      <c r="AI203" s="511"/>
      <c r="AJ203" s="511"/>
      <c r="AK203" s="511"/>
      <c r="AL203" s="511"/>
      <c r="AM203" s="511"/>
      <c r="AN203" s="511"/>
      <c r="AO203" s="511"/>
    </row>
    <row r="204" spans="1:41" ht="15.75" customHeight="1">
      <c r="A204" s="512" t="s">
        <v>902</v>
      </c>
      <c r="B204" s="505">
        <f>('Pivot Table for Data Exchange'!$H$294)*100</f>
        <v>0</v>
      </c>
      <c r="C204" s="505">
        <f>('Pivot Table for Data Exchange'!$H$297)*100</f>
        <v>0</v>
      </c>
      <c r="D204" s="506">
        <f t="shared" ref="D204:D206" si="54">SUM(E204:G204)</f>
        <v>0</v>
      </c>
      <c r="E204" s="505">
        <f>('Pivot Table for Data Exchange'!$H$300)*100</f>
        <v>0</v>
      </c>
      <c r="F204" s="505">
        <f>('Pivot Table for Data Exchange'!$H$303)*100</f>
        <v>0</v>
      </c>
      <c r="G204" s="515">
        <f>('Pivot Table for Data Exchange'!$H$306)*100</f>
        <v>0</v>
      </c>
      <c r="H204" s="505">
        <f>('Pivot Table for Data Exchange'!$H$309)*100</f>
        <v>0</v>
      </c>
      <c r="I204" s="514" t="s">
        <v>902</v>
      </c>
      <c r="J204" s="505">
        <f>('Pivot Table for Data Exchange'!$H$312)*100</f>
        <v>0</v>
      </c>
      <c r="K204" s="505">
        <f>('Pivot Table for Data Exchange'!$H$315)*100</f>
        <v>0</v>
      </c>
      <c r="L204" s="506">
        <f t="shared" ref="L204:L206" si="55">SUM(M204:O204)</f>
        <v>0</v>
      </c>
      <c r="M204" s="505">
        <f>('Pivot Table for Data Exchange'!$H$318)*100</f>
        <v>0</v>
      </c>
      <c r="N204" s="505">
        <f>('Pivot Table for Data Exchange'!$H$321)*100</f>
        <v>0</v>
      </c>
      <c r="O204" s="515">
        <f>('Pivot Table for Data Exchange'!$H$324)*100</f>
        <v>0</v>
      </c>
      <c r="P204" s="505">
        <f>('Pivot Table for Data Exchange'!$H$327)*100</f>
        <v>0</v>
      </c>
      <c r="Q204" s="510">
        <f t="shared" si="52"/>
        <v>0</v>
      </c>
      <c r="R204" s="510">
        <f t="shared" si="53"/>
        <v>0</v>
      </c>
      <c r="S204" s="511"/>
      <c r="T204" s="511"/>
      <c r="U204" s="511"/>
      <c r="V204" s="511"/>
      <c r="W204" s="511"/>
      <c r="X204" s="511"/>
      <c r="Y204" s="511"/>
      <c r="Z204" s="511"/>
      <c r="AA204" s="511"/>
      <c r="AB204" s="511"/>
      <c r="AC204" s="511"/>
      <c r="AD204" s="511"/>
      <c r="AE204" s="511"/>
      <c r="AF204" s="511"/>
      <c r="AG204" s="511"/>
      <c r="AH204" s="511"/>
      <c r="AI204" s="511"/>
      <c r="AJ204" s="511"/>
      <c r="AK204" s="511"/>
      <c r="AL204" s="511"/>
      <c r="AM204" s="511"/>
      <c r="AN204" s="511"/>
      <c r="AO204" s="511"/>
    </row>
    <row r="205" spans="1:41" ht="15.75" customHeight="1">
      <c r="A205" s="512" t="s">
        <v>903</v>
      </c>
      <c r="B205" s="505">
        <f>('Pivot Table for Data Exchange'!$H$330)*100</f>
        <v>90.086167203841356</v>
      </c>
      <c r="C205" s="505">
        <f>('Pivot Table for Data Exchange'!$H$333)*100</f>
        <v>0.47359073866999934</v>
      </c>
      <c r="D205" s="506">
        <f t="shared" si="54"/>
        <v>9.4402420574886516</v>
      </c>
      <c r="E205" s="505">
        <f>('Pivot Table for Data Exchange'!$H$336)*100</f>
        <v>8.7634019601394453</v>
      </c>
      <c r="F205" s="505">
        <f>('Pivot Table for Data Exchange'!$H$339)*100</f>
        <v>0.59790830757087421</v>
      </c>
      <c r="G205" s="515">
        <f>('Pivot Table for Data Exchange'!$H$342)*100</f>
        <v>7.893178977833322E-2</v>
      </c>
      <c r="H205" s="505">
        <f>('Pivot Table for Data Exchange'!$H$345)*100</f>
        <v>0</v>
      </c>
      <c r="I205" s="514" t="s">
        <v>903</v>
      </c>
      <c r="J205" s="505">
        <f>('Pivot Table for Data Exchange'!$H$348)*100</f>
        <v>78.219533275713047</v>
      </c>
      <c r="K205" s="505">
        <f>('Pivot Table for Data Exchange'!$H$351)*100</f>
        <v>0.25929127052722556</v>
      </c>
      <c r="L205" s="506">
        <f t="shared" si="55"/>
        <v>21.521175453759721</v>
      </c>
      <c r="M205" s="505">
        <f>('Pivot Table for Data Exchange'!$H$354)*100</f>
        <v>21.521175453759721</v>
      </c>
      <c r="N205" s="505">
        <f>('Pivot Table for Data Exchange'!$H$357)*100</f>
        <v>0</v>
      </c>
      <c r="O205" s="515">
        <f>('Pivot Table for Data Exchange'!$H$360)*100</f>
        <v>0</v>
      </c>
      <c r="P205" s="505">
        <f>('Pivot Table for Data Exchange'!$H$363)*100</f>
        <v>0</v>
      </c>
      <c r="Q205" s="510">
        <f t="shared" si="52"/>
        <v>100</v>
      </c>
      <c r="R205" s="510">
        <f t="shared" si="53"/>
        <v>100</v>
      </c>
      <c r="S205" s="511"/>
      <c r="T205" s="511"/>
      <c r="U205" s="511"/>
      <c r="V205" s="511"/>
      <c r="W205" s="511"/>
      <c r="X205" s="511"/>
      <c r="Y205" s="511"/>
      <c r="Z205" s="511"/>
      <c r="AA205" s="511"/>
      <c r="AB205" s="511"/>
      <c r="AC205" s="511"/>
      <c r="AD205" s="511"/>
      <c r="AE205" s="511"/>
      <c r="AF205" s="511"/>
      <c r="AG205" s="511"/>
      <c r="AH205" s="511"/>
      <c r="AI205" s="511"/>
      <c r="AJ205" s="511"/>
      <c r="AK205" s="511"/>
      <c r="AL205" s="511"/>
      <c r="AM205" s="511"/>
      <c r="AN205" s="511"/>
      <c r="AO205" s="511"/>
    </row>
    <row r="206" spans="1:41" ht="15.75" customHeight="1">
      <c r="A206" s="512" t="s">
        <v>904</v>
      </c>
      <c r="B206" s="505">
        <f>('Pivot Table for Data Exchange'!$H$366)*100</f>
        <v>77.58738168644463</v>
      </c>
      <c r="C206" s="505">
        <f>('Pivot Table for Data Exchange'!$H$369)*100</f>
        <v>0.13020394119909059</v>
      </c>
      <c r="D206" s="506">
        <f t="shared" si="54"/>
        <v>22.282414372356286</v>
      </c>
      <c r="E206" s="505">
        <f>('Pivot Table for Data Exchange'!$H$372)*100</f>
        <v>20.535792591193356</v>
      </c>
      <c r="F206" s="505">
        <f>('Pivot Table for Data Exchange'!$H$375)*100</f>
        <v>1.7466217811629305</v>
      </c>
      <c r="G206" s="515">
        <f>('Pivot Table for Data Exchange'!$H$378)*100</f>
        <v>0</v>
      </c>
      <c r="H206" s="505">
        <f>('Pivot Table for Data Exchange'!$H$381)*100</f>
        <v>0</v>
      </c>
      <c r="I206" s="514" t="s">
        <v>904</v>
      </c>
      <c r="J206" s="505">
        <f>('Pivot Table for Data Exchange'!$H$384)*100</f>
        <v>100</v>
      </c>
      <c r="K206" s="505">
        <f>('Pivot Table for Data Exchange'!$H$387)*100</f>
        <v>0</v>
      </c>
      <c r="L206" s="506">
        <f t="shared" si="55"/>
        <v>0</v>
      </c>
      <c r="M206" s="505">
        <f>('Pivot Table for Data Exchange'!$H$390)*100</f>
        <v>0</v>
      </c>
      <c r="N206" s="505">
        <f>('Pivot Table for Data Exchange'!$H$393)*100</f>
        <v>0</v>
      </c>
      <c r="O206" s="515">
        <f>('Pivot Table for Data Exchange'!$H$396)*100</f>
        <v>0</v>
      </c>
      <c r="P206" s="505">
        <f>('Pivot Table for Data Exchange'!$H$399)*100</f>
        <v>0</v>
      </c>
      <c r="Q206" s="510">
        <f t="shared" si="52"/>
        <v>100</v>
      </c>
      <c r="R206" s="510">
        <f t="shared" si="53"/>
        <v>100</v>
      </c>
      <c r="S206" s="511"/>
      <c r="T206" s="535"/>
      <c r="U206" s="511"/>
      <c r="V206" s="511"/>
      <c r="W206" s="511"/>
      <c r="X206" s="511"/>
      <c r="Y206" s="511"/>
      <c r="Z206" s="511"/>
      <c r="AA206" s="511"/>
      <c r="AB206" s="511"/>
      <c r="AC206" s="511"/>
      <c r="AD206" s="511"/>
      <c r="AE206" s="511"/>
      <c r="AF206" s="511"/>
      <c r="AG206" s="511"/>
      <c r="AH206" s="511"/>
      <c r="AI206" s="511"/>
      <c r="AJ206" s="511"/>
      <c r="AK206" s="511"/>
      <c r="AL206" s="511"/>
      <c r="AM206" s="511"/>
      <c r="AN206" s="511"/>
      <c r="AO206" s="511"/>
    </row>
    <row r="207" spans="1:41" ht="15.75" customHeight="1">
      <c r="A207" s="512" t="s">
        <v>905</v>
      </c>
      <c r="B207" s="505">
        <f>('Pivot Table for Data Exchange'!$H$402)*100</f>
        <v>84.307196194353281</v>
      </c>
      <c r="C207" s="505">
        <f>('Pivot Table for Data Exchange'!$H$405)*100</f>
        <v>3.7338334343445898</v>
      </c>
      <c r="D207" s="506">
        <f>SUM(E207:G207)</f>
        <v>11.958970371302131</v>
      </c>
      <c r="E207" s="505">
        <f>('Pivot Table for Data Exchange'!$H$408)*100</f>
        <v>11.883955219613718</v>
      </c>
      <c r="F207" s="505">
        <f>('Pivot Table for Data Exchange'!$H$411)*100</f>
        <v>0</v>
      </c>
      <c r="G207" s="515">
        <f>('Pivot Table for Data Exchange'!$H$414)*100</f>
        <v>7.5015151688412676E-2</v>
      </c>
      <c r="H207" s="505">
        <f>('Pivot Table for Data Exchange'!$H$417)*100</f>
        <v>0</v>
      </c>
      <c r="I207" s="514" t="s">
        <v>905</v>
      </c>
      <c r="J207" s="505">
        <f>('Pivot Table for Data Exchange'!$H$420)*100</f>
        <v>85.272256393654899</v>
      </c>
      <c r="K207" s="505">
        <f>('Pivot Table for Data Exchange'!$H$423)*100</f>
        <v>4.5924247329232761</v>
      </c>
      <c r="L207" s="506">
        <f>SUM(M207:O207)</f>
        <v>10.13531887342182</v>
      </c>
      <c r="M207" s="505">
        <f>('Pivot Table for Data Exchange'!$H$426)*100</f>
        <v>10.073162835869214</v>
      </c>
      <c r="N207" s="505">
        <f>('Pivot Table for Data Exchange'!$H$429)*100</f>
        <v>0</v>
      </c>
      <c r="O207" s="515">
        <f>('Pivot Table for Data Exchange'!$H$432)*100</f>
        <v>6.2156037552606021E-2</v>
      </c>
      <c r="P207" s="505">
        <f>('Pivot Table for Data Exchange'!$H$435)*100</f>
        <v>0</v>
      </c>
      <c r="Q207" s="510">
        <f t="shared" si="52"/>
        <v>100</v>
      </c>
      <c r="R207" s="510">
        <f t="shared" si="53"/>
        <v>100</v>
      </c>
      <c r="S207" s="511"/>
      <c r="T207" s="511"/>
      <c r="U207" s="511"/>
      <c r="V207" s="511"/>
      <c r="W207" s="511"/>
      <c r="X207" s="511"/>
      <c r="Y207" s="511"/>
      <c r="Z207" s="511"/>
      <c r="AA207" s="511"/>
      <c r="AB207" s="511"/>
      <c r="AC207" s="511"/>
      <c r="AD207" s="511"/>
      <c r="AE207" s="511"/>
      <c r="AF207" s="511"/>
      <c r="AG207" s="511"/>
      <c r="AH207" s="511"/>
      <c r="AI207" s="511"/>
      <c r="AJ207" s="511"/>
      <c r="AK207" s="511"/>
      <c r="AL207" s="511"/>
      <c r="AM207" s="511"/>
      <c r="AN207" s="511"/>
      <c r="AO207" s="511"/>
    </row>
    <row r="208" spans="1:41" ht="11.25" customHeight="1">
      <c r="A208" s="512"/>
      <c r="B208" s="505"/>
      <c r="C208" s="505"/>
      <c r="D208" s="506"/>
      <c r="E208" s="505"/>
      <c r="F208" s="505"/>
      <c r="G208" s="515"/>
      <c r="H208" s="505"/>
      <c r="I208" s="514"/>
      <c r="J208" s="505"/>
      <c r="K208" s="505"/>
      <c r="L208" s="506"/>
      <c r="M208" s="505"/>
      <c r="N208" s="505"/>
      <c r="O208" s="515"/>
      <c r="P208" s="505"/>
      <c r="Q208" s="510">
        <f t="shared" si="52"/>
        <v>0</v>
      </c>
      <c r="R208" s="510">
        <f t="shared" si="53"/>
        <v>0</v>
      </c>
      <c r="S208" s="511"/>
      <c r="T208" s="511"/>
      <c r="U208" s="511"/>
      <c r="V208" s="511"/>
      <c r="W208" s="511"/>
      <c r="X208" s="511"/>
      <c r="Y208" s="511"/>
      <c r="Z208" s="511"/>
      <c r="AA208" s="511"/>
      <c r="AB208" s="511"/>
      <c r="AC208" s="511"/>
      <c r="AD208" s="511"/>
      <c r="AE208" s="511"/>
      <c r="AF208" s="511"/>
      <c r="AG208" s="511"/>
      <c r="AH208" s="511"/>
      <c r="AI208" s="511"/>
      <c r="AJ208" s="511"/>
      <c r="AK208" s="511"/>
      <c r="AL208" s="511"/>
      <c r="AM208" s="511"/>
      <c r="AN208" s="511"/>
      <c r="AO208" s="511"/>
    </row>
    <row r="209" spans="1:41" ht="15.75" customHeight="1">
      <c r="A209" s="512" t="s">
        <v>906</v>
      </c>
      <c r="B209" s="505">
        <f>('Pivot Table for Data Exchange'!$H$438)*100</f>
        <v>0</v>
      </c>
      <c r="C209" s="505">
        <f>('Pivot Table for Data Exchange'!$H$441)*100</f>
        <v>0</v>
      </c>
      <c r="D209" s="506">
        <f>SUM(E209:G209)</f>
        <v>0</v>
      </c>
      <c r="E209" s="505">
        <f>('Pivot Table for Data Exchange'!$H$444)*100</f>
        <v>0</v>
      </c>
      <c r="F209" s="505">
        <f>('Pivot Table for Data Exchange'!$H$447)*100</f>
        <v>0</v>
      </c>
      <c r="G209" s="515">
        <f>('Pivot Table for Data Exchange'!$H$450)*100</f>
        <v>0</v>
      </c>
      <c r="H209" s="505">
        <f>('Pivot Table for Data Exchange'!$H$453)*100</f>
        <v>0</v>
      </c>
      <c r="I209" s="514" t="s">
        <v>906</v>
      </c>
      <c r="J209" s="505">
        <f>('Pivot Table for Data Exchange'!$H$456)*100</f>
        <v>0</v>
      </c>
      <c r="K209" s="505">
        <f>('Pivot Table for Data Exchange'!$H$459)*100</f>
        <v>0</v>
      </c>
      <c r="L209" s="506">
        <f>SUM(M209:O209)</f>
        <v>0</v>
      </c>
      <c r="M209" s="505">
        <f>('Pivot Table for Data Exchange'!$H$462)*100</f>
        <v>0</v>
      </c>
      <c r="N209" s="505">
        <f>('Pivot Table for Data Exchange'!$H$465)*100</f>
        <v>0</v>
      </c>
      <c r="O209" s="515">
        <f>('Pivot Table for Data Exchange'!$H$468)*100</f>
        <v>0</v>
      </c>
      <c r="P209" s="505">
        <f>('Pivot Table for Data Exchange'!$H$471)*100</f>
        <v>0</v>
      </c>
      <c r="Q209" s="510">
        <f t="shared" si="52"/>
        <v>0</v>
      </c>
      <c r="R209" s="510">
        <f t="shared" si="53"/>
        <v>0</v>
      </c>
      <c r="S209" s="511"/>
      <c r="T209" s="511"/>
      <c r="U209" s="511"/>
      <c r="V209" s="511"/>
      <c r="W209" s="511"/>
      <c r="X209" s="511"/>
      <c r="Y209" s="511"/>
      <c r="Z209" s="511"/>
      <c r="AA209" s="511"/>
      <c r="AB209" s="511"/>
      <c r="AC209" s="511"/>
      <c r="AD209" s="511"/>
      <c r="AE209" s="511"/>
      <c r="AF209" s="511"/>
      <c r="AG209" s="511"/>
      <c r="AH209" s="511"/>
      <c r="AI209" s="511"/>
      <c r="AJ209" s="511"/>
      <c r="AK209" s="511"/>
      <c r="AL209" s="511"/>
      <c r="AM209" s="511"/>
      <c r="AN209" s="511"/>
      <c r="AO209" s="511"/>
    </row>
    <row r="210" spans="1:41" ht="15.75" customHeight="1">
      <c r="A210" s="512" t="s">
        <v>907</v>
      </c>
      <c r="B210" s="505">
        <f>('Pivot Table for Data Exchange'!$H$474)*100</f>
        <v>0</v>
      </c>
      <c r="C210" s="505">
        <f>('Pivot Table for Data Exchange'!$H$477)*100</f>
        <v>0</v>
      </c>
      <c r="D210" s="506">
        <f>SUM(E210:G210)</f>
        <v>0</v>
      </c>
      <c r="E210" s="505">
        <f>('Pivot Table for Data Exchange'!$H$480)*100</f>
        <v>0</v>
      </c>
      <c r="F210" s="505">
        <f>('Pivot Table for Data Exchange'!$H$483)*100</f>
        <v>0</v>
      </c>
      <c r="G210" s="513">
        <f>('Pivot Table for Data Exchange'!$H$486)*100</f>
        <v>0</v>
      </c>
      <c r="H210" s="505">
        <f>('Pivot Table for Data Exchange'!$H$489)*100</f>
        <v>0</v>
      </c>
      <c r="I210" s="514" t="s">
        <v>907</v>
      </c>
      <c r="J210" s="505">
        <f>('Pivot Table for Data Exchange'!$H$492)*100</f>
        <v>0</v>
      </c>
      <c r="K210" s="505">
        <f>('Pivot Table for Data Exchange'!$H$495)*100</f>
        <v>0</v>
      </c>
      <c r="L210" s="506">
        <f>SUM(M210:O210)</f>
        <v>0</v>
      </c>
      <c r="M210" s="505">
        <f>('Pivot Table for Data Exchange'!$H$498)*100</f>
        <v>0</v>
      </c>
      <c r="N210" s="505">
        <f>('Pivot Table for Data Exchange'!$H$501)*100</f>
        <v>0</v>
      </c>
      <c r="O210" s="515">
        <f>('Pivot Table for Data Exchange'!$H$504)*100</f>
        <v>0</v>
      </c>
      <c r="P210" s="505">
        <f>('Pivot Table for Data Exchange'!$H$507)*100</f>
        <v>0</v>
      </c>
      <c r="Q210" s="510">
        <f t="shared" si="52"/>
        <v>0</v>
      </c>
      <c r="R210" s="510">
        <f t="shared" si="53"/>
        <v>0</v>
      </c>
      <c r="S210" s="511"/>
      <c r="T210" s="511"/>
      <c r="U210" s="511"/>
      <c r="V210" s="511"/>
      <c r="W210" s="511"/>
      <c r="X210" s="511"/>
      <c r="Y210" s="511"/>
      <c r="Z210" s="511"/>
      <c r="AA210" s="511"/>
      <c r="AB210" s="511"/>
      <c r="AC210" s="511"/>
      <c r="AD210" s="511"/>
      <c r="AE210" s="511"/>
      <c r="AF210" s="511"/>
      <c r="AG210" s="511"/>
      <c r="AH210" s="511"/>
      <c r="AI210" s="511"/>
      <c r="AJ210" s="511"/>
      <c r="AK210" s="511"/>
      <c r="AL210" s="511"/>
      <c r="AM210" s="511"/>
      <c r="AN210" s="511"/>
      <c r="AO210" s="511"/>
    </row>
    <row r="211" spans="1:41" ht="15.75" customHeight="1">
      <c r="A211" s="512" t="s">
        <v>908</v>
      </c>
      <c r="B211" s="505">
        <f>('Pivot Table for Data Exchange'!$H$510)*100</f>
        <v>80.502502887947642</v>
      </c>
      <c r="C211" s="505">
        <f>('Pivot Table for Data Exchange'!$H$513)*100</f>
        <v>0</v>
      </c>
      <c r="D211" s="506">
        <f t="shared" ref="D211" si="56">SUM(E211:G211)</f>
        <v>19.497497112052368</v>
      </c>
      <c r="E211" s="505">
        <f>('Pivot Table for Data Exchange'!$H$516)*100</f>
        <v>19.497497112052368</v>
      </c>
      <c r="F211" s="505">
        <f>('Pivot Table for Data Exchange'!$H$519)*100</f>
        <v>0</v>
      </c>
      <c r="G211" s="515">
        <f>('Pivot Table for Data Exchange'!$H$522)*100</f>
        <v>0</v>
      </c>
      <c r="H211" s="505">
        <f>('Pivot Table for Data Exchange'!$H$525)*100</f>
        <v>0</v>
      </c>
      <c r="I211" s="514" t="s">
        <v>908</v>
      </c>
      <c r="J211" s="505">
        <f>('Pivot Table for Data Exchange'!$H$528)*100</f>
        <v>0</v>
      </c>
      <c r="K211" s="505">
        <f>('Pivot Table for Data Exchange'!$H$531)*100</f>
        <v>0</v>
      </c>
      <c r="L211" s="506">
        <f t="shared" ref="L211" si="57">SUM(M211:O211)</f>
        <v>0</v>
      </c>
      <c r="M211" s="505">
        <f>('Pivot Table for Data Exchange'!$H$534)*100</f>
        <v>0</v>
      </c>
      <c r="N211" s="505">
        <f>('Pivot Table for Data Exchange'!$H$537)*100</f>
        <v>0</v>
      </c>
      <c r="O211" s="515">
        <f>('Pivot Table for Data Exchange'!$H$540)*100</f>
        <v>0</v>
      </c>
      <c r="P211" s="505">
        <f>('Pivot Table for Data Exchange'!$H$543)*100</f>
        <v>0</v>
      </c>
      <c r="Q211" s="510">
        <f t="shared" si="52"/>
        <v>100.00000000000001</v>
      </c>
      <c r="R211" s="510">
        <f t="shared" si="53"/>
        <v>0</v>
      </c>
      <c r="S211" s="511"/>
      <c r="T211" s="511"/>
      <c r="U211" s="511"/>
      <c r="V211" s="511"/>
      <c r="W211" s="511"/>
      <c r="X211" s="511"/>
      <c r="Y211" s="511"/>
      <c r="Z211" s="511"/>
      <c r="AA211" s="511"/>
      <c r="AB211" s="511"/>
      <c r="AC211" s="511"/>
      <c r="AD211" s="511"/>
      <c r="AE211" s="511"/>
      <c r="AF211" s="511"/>
      <c r="AG211" s="511"/>
      <c r="AH211" s="511"/>
      <c r="AI211" s="511"/>
      <c r="AJ211" s="511"/>
      <c r="AK211" s="511"/>
      <c r="AL211" s="511"/>
      <c r="AM211" s="511"/>
      <c r="AN211" s="511"/>
      <c r="AO211" s="511"/>
    </row>
    <row r="212" spans="1:41" ht="15.75" customHeight="1">
      <c r="A212" s="484" t="s">
        <v>909</v>
      </c>
      <c r="B212" s="520">
        <f>('Pivot Table for Data Exchange'!$H$546)*100</f>
        <v>67.204665272582687</v>
      </c>
      <c r="C212" s="520">
        <f>('Pivot Table for Data Exchange'!$H$549)*100</f>
        <v>8.1490800307988778</v>
      </c>
      <c r="D212" s="521">
        <f>SUM(E212:G212)</f>
        <v>24.646254696618435</v>
      </c>
      <c r="E212" s="520">
        <f>('Pivot Table for Data Exchange'!$H$552)*100</f>
        <v>20.399207307580646</v>
      </c>
      <c r="F212" s="520">
        <f>('Pivot Table for Data Exchange'!$H$555)*100</f>
        <v>1.606843072987449</v>
      </c>
      <c r="G212" s="549">
        <f>('Pivot Table for Data Exchange'!$H$558)*100</f>
        <v>2.6402043160503386</v>
      </c>
      <c r="H212" s="520">
        <f>('Pivot Table for Data Exchange'!$H$561)*100</f>
        <v>0</v>
      </c>
      <c r="I212" s="523" t="s">
        <v>909</v>
      </c>
      <c r="J212" s="520">
        <f>('Pivot Table for Data Exchange'!$H$564)*100</f>
        <v>80</v>
      </c>
      <c r="K212" s="520">
        <f>('Pivot Table for Data Exchange'!$H$567)*100</f>
        <v>0</v>
      </c>
      <c r="L212" s="521">
        <f>SUM(M212:O212)</f>
        <v>20</v>
      </c>
      <c r="M212" s="520">
        <f>('Pivot Table for Data Exchange'!$H$570)*100</f>
        <v>20</v>
      </c>
      <c r="N212" s="520">
        <f>('Pivot Table for Data Exchange'!$H$573)*100</f>
        <v>0</v>
      </c>
      <c r="O212" s="522">
        <f>('Pivot Table for Data Exchange'!$H$576)*100</f>
        <v>0</v>
      </c>
      <c r="P212" s="520">
        <f>('Pivot Table for Data Exchange'!$H$579)*100</f>
        <v>0</v>
      </c>
      <c r="Q212" s="510">
        <f t="shared" si="52"/>
        <v>100</v>
      </c>
      <c r="R212" s="510">
        <f t="shared" si="53"/>
        <v>100</v>
      </c>
      <c r="S212" s="511"/>
      <c r="T212" s="511"/>
      <c r="U212" s="511"/>
      <c r="V212" s="511"/>
      <c r="W212" s="511"/>
      <c r="X212" s="511"/>
      <c r="Y212" s="511"/>
      <c r="Z212" s="511"/>
      <c r="AA212" s="511"/>
      <c r="AB212" s="511"/>
      <c r="AC212" s="511"/>
      <c r="AD212" s="511"/>
      <c r="AE212" s="511"/>
      <c r="AF212" s="511"/>
      <c r="AG212" s="511"/>
      <c r="AH212" s="511"/>
      <c r="AI212" s="511"/>
      <c r="AJ212" s="511"/>
      <c r="AK212" s="511"/>
      <c r="AL212" s="511"/>
      <c r="AM212" s="511"/>
      <c r="AN212" s="511"/>
      <c r="AO212" s="511"/>
    </row>
    <row r="213" spans="1:41" s="524" customFormat="1" ht="12" customHeight="1">
      <c r="A213" s="525" t="s">
        <v>937</v>
      </c>
      <c r="B213" s="526"/>
      <c r="C213" s="526"/>
      <c r="D213" s="527"/>
      <c r="E213" s="526"/>
      <c r="F213" s="527"/>
      <c r="G213" s="527"/>
      <c r="H213" s="526"/>
      <c r="I213" s="525" t="s">
        <v>937</v>
      </c>
      <c r="J213" s="526"/>
      <c r="K213" s="526"/>
      <c r="L213" s="527"/>
      <c r="M213" s="526"/>
      <c r="N213" s="527"/>
      <c r="O213" s="527"/>
      <c r="P213" s="526"/>
      <c r="Q213" s="510">
        <f t="shared" si="52"/>
        <v>0</v>
      </c>
      <c r="R213" s="510">
        <f t="shared" si="53"/>
        <v>0</v>
      </c>
      <c r="S213" s="528"/>
      <c r="T213" s="528"/>
      <c r="U213" s="528"/>
      <c r="V213" s="528"/>
      <c r="W213" s="528"/>
      <c r="X213" s="528"/>
      <c r="Y213" s="528"/>
      <c r="Z213" s="528"/>
      <c r="AA213" s="528"/>
      <c r="AB213" s="528"/>
      <c r="AC213" s="528"/>
      <c r="AD213" s="528"/>
      <c r="AE213" s="528"/>
      <c r="AF213" s="528"/>
      <c r="AG213" s="528"/>
      <c r="AH213" s="528"/>
      <c r="AI213" s="528"/>
      <c r="AJ213" s="528"/>
      <c r="AK213" s="528"/>
      <c r="AL213" s="528"/>
      <c r="AM213" s="528"/>
      <c r="AN213" s="528"/>
      <c r="AO213" s="528"/>
    </row>
    <row r="214" spans="1:41" s="524" customFormat="1" ht="22.5" customHeight="1">
      <c r="A214" s="655" t="s">
        <v>943</v>
      </c>
      <c r="B214" s="674"/>
      <c r="C214" s="674"/>
      <c r="D214" s="674"/>
      <c r="E214" s="674"/>
      <c r="F214" s="674"/>
      <c r="G214" s="674"/>
      <c r="H214" s="674"/>
      <c r="I214" s="655"/>
      <c r="J214" s="674"/>
      <c r="K214" s="674"/>
      <c r="L214" s="674"/>
      <c r="M214" s="674"/>
      <c r="N214" s="674"/>
      <c r="O214" s="674"/>
      <c r="P214" s="674"/>
      <c r="Q214" s="510">
        <f t="shared" si="52"/>
        <v>0</v>
      </c>
      <c r="R214" s="510">
        <f t="shared" si="53"/>
        <v>0</v>
      </c>
    </row>
    <row r="215" spans="1:41" s="524" customFormat="1" ht="10.5" customHeight="1">
      <c r="A215" s="542"/>
      <c r="B215" s="543"/>
      <c r="C215" s="543"/>
      <c r="D215" s="544"/>
      <c r="E215" s="543"/>
      <c r="F215" s="543"/>
      <c r="G215" s="545"/>
      <c r="H215" s="545"/>
      <c r="I215" s="542"/>
      <c r="J215" s="543"/>
      <c r="K215" s="543"/>
      <c r="L215" s="544"/>
      <c r="M215" s="543"/>
      <c r="N215" s="543"/>
      <c r="O215" s="543"/>
      <c r="P215" s="545"/>
      <c r="Q215" s="510"/>
      <c r="R215" s="510"/>
    </row>
    <row r="216" spans="1:41" s="524" customFormat="1">
      <c r="H216" s="532" t="s">
        <v>1015</v>
      </c>
      <c r="P216" s="532" t="s">
        <v>1015</v>
      </c>
      <c r="Q216" s="510">
        <f t="shared" si="52"/>
        <v>0</v>
      </c>
      <c r="R216" s="510">
        <f t="shared" si="53"/>
        <v>0</v>
      </c>
    </row>
    <row r="217" spans="1:41" ht="18">
      <c r="A217" s="472" t="s">
        <v>950</v>
      </c>
      <c r="B217" s="473"/>
      <c r="C217" s="473"/>
      <c r="D217" s="473"/>
      <c r="E217" s="473"/>
      <c r="F217" s="473"/>
      <c r="G217" s="473"/>
      <c r="H217" s="474"/>
      <c r="I217" s="512"/>
      <c r="J217" s="512"/>
      <c r="K217" s="512"/>
      <c r="L217" s="512"/>
      <c r="M217" s="512"/>
      <c r="N217" s="512"/>
      <c r="O217" s="512"/>
      <c r="P217" s="512"/>
      <c r="Q217" s="510">
        <f t="shared" si="52"/>
        <v>0</v>
      </c>
    </row>
    <row r="218" spans="1:41">
      <c r="A218" s="479"/>
      <c r="B218" s="475"/>
      <c r="C218" s="475"/>
      <c r="D218" s="475"/>
      <c r="E218" s="475"/>
      <c r="F218" s="475"/>
      <c r="G218" s="475"/>
      <c r="H218" s="480"/>
      <c r="I218" s="512"/>
      <c r="J218" s="512"/>
      <c r="K218" s="512"/>
      <c r="L218" s="512"/>
      <c r="M218" s="512"/>
      <c r="N218" s="512"/>
      <c r="O218" s="512"/>
      <c r="P218" s="512"/>
      <c r="Q218" s="510">
        <f t="shared" si="52"/>
        <v>0</v>
      </c>
    </row>
    <row r="219" spans="1:41" ht="15.75">
      <c r="A219" s="481" t="s">
        <v>917</v>
      </c>
      <c r="B219" s="475"/>
      <c r="C219" s="475"/>
      <c r="D219" s="475"/>
      <c r="E219" s="475"/>
      <c r="F219" s="475"/>
      <c r="G219" s="475"/>
      <c r="H219" s="480"/>
      <c r="I219" s="550"/>
      <c r="J219" s="512"/>
      <c r="K219" s="512"/>
      <c r="L219" s="480"/>
      <c r="M219" s="512"/>
      <c r="N219" s="512"/>
      <c r="O219" s="512"/>
      <c r="P219" s="512"/>
      <c r="Q219" s="510">
        <f t="shared" si="52"/>
        <v>0</v>
      </c>
    </row>
    <row r="220" spans="1:41" ht="15.75">
      <c r="A220" s="481" t="s">
        <v>969</v>
      </c>
      <c r="B220" s="475"/>
      <c r="C220" s="475"/>
      <c r="D220" s="475"/>
      <c r="E220" s="475"/>
      <c r="F220" s="475"/>
      <c r="G220" s="475"/>
      <c r="H220" s="480"/>
      <c r="I220" s="550"/>
      <c r="J220" s="512"/>
      <c r="K220" s="512"/>
      <c r="L220" s="512"/>
      <c r="M220" s="512"/>
      <c r="N220" s="512"/>
      <c r="O220" s="512"/>
      <c r="P220" s="512"/>
      <c r="Q220" s="510">
        <f t="shared" si="52"/>
        <v>0</v>
      </c>
    </row>
    <row r="221" spans="1:41">
      <c r="A221" s="484"/>
      <c r="B221" s="485"/>
      <c r="C221" s="485"/>
      <c r="D221" s="485"/>
      <c r="E221" s="485"/>
      <c r="F221" s="485"/>
      <c r="G221" s="485"/>
      <c r="H221" s="485"/>
      <c r="I221" s="550"/>
      <c r="J221" s="512"/>
      <c r="K221" s="512"/>
      <c r="L221" s="512"/>
      <c r="M221" s="512"/>
      <c r="N221" s="512"/>
      <c r="O221" s="512"/>
      <c r="P221" s="512"/>
      <c r="Q221" s="510">
        <f t="shared" si="52"/>
        <v>0</v>
      </c>
    </row>
    <row r="222" spans="1:41">
      <c r="A222" s="489"/>
      <c r="B222" s="490" t="s">
        <v>919</v>
      </c>
      <c r="C222" s="490"/>
      <c r="D222" s="490"/>
      <c r="E222" s="490"/>
      <c r="F222" s="490"/>
      <c r="G222" s="490"/>
      <c r="H222" s="491"/>
      <c r="I222" s="550"/>
      <c r="J222" s="512"/>
      <c r="K222" s="512"/>
      <c r="L222" s="512"/>
      <c r="M222" s="512"/>
      <c r="N222" s="512"/>
      <c r="O222" s="512"/>
      <c r="P222" s="512"/>
      <c r="Q222" s="510">
        <f t="shared" si="52"/>
        <v>0</v>
      </c>
    </row>
    <row r="223" spans="1:41">
      <c r="A223" s="489"/>
      <c r="B223" s="490" t="s">
        <v>920</v>
      </c>
      <c r="C223" s="490"/>
      <c r="D223" s="659" t="s">
        <v>921</v>
      </c>
      <c r="E223" s="657"/>
      <c r="F223" s="657"/>
      <c r="G223" s="657"/>
      <c r="H223" s="495" t="s">
        <v>320</v>
      </c>
      <c r="I223" s="550"/>
      <c r="J223" s="512"/>
      <c r="K223" s="512"/>
      <c r="L223" s="512"/>
      <c r="M223" s="512"/>
      <c r="N223" s="512"/>
      <c r="O223" s="512"/>
      <c r="P223" s="512"/>
      <c r="Q223" s="510">
        <f t="shared" si="52"/>
        <v>0</v>
      </c>
    </row>
    <row r="224" spans="1:41" ht="36">
      <c r="A224" s="489"/>
      <c r="B224" s="496" t="s">
        <v>922</v>
      </c>
      <c r="C224" s="497" t="s">
        <v>923</v>
      </c>
      <c r="D224" s="498" t="s">
        <v>924</v>
      </c>
      <c r="E224" s="499" t="s">
        <v>10</v>
      </c>
      <c r="F224" s="496" t="s">
        <v>925</v>
      </c>
      <c r="G224" s="500" t="s">
        <v>935</v>
      </c>
      <c r="H224" s="501" t="s">
        <v>927</v>
      </c>
      <c r="I224" s="533"/>
      <c r="J224" s="494"/>
      <c r="K224" s="494"/>
      <c r="L224" s="494"/>
      <c r="M224" s="494"/>
      <c r="N224" s="494"/>
      <c r="O224" s="494"/>
      <c r="P224" s="512"/>
      <c r="Q224" s="510">
        <f t="shared" si="52"/>
        <v>0</v>
      </c>
    </row>
    <row r="225" spans="1:41" ht="15.75" customHeight="1">
      <c r="A225" s="534" t="s">
        <v>894</v>
      </c>
      <c r="B225" s="505">
        <f>('Pivot Table for Data Exchange'!$O$6)*100</f>
        <v>66.289575205520052</v>
      </c>
      <c r="C225" s="505">
        <f>('Pivot Table for Data Exchange'!$O$9)*100</f>
        <v>11.698803917091977</v>
      </c>
      <c r="D225" s="506">
        <f>SUM(E225:G225)</f>
        <v>22.011620877387966</v>
      </c>
      <c r="E225" s="505">
        <f>('Pivot Table for Data Exchange'!$O$12)*100</f>
        <v>21.505712472319615</v>
      </c>
      <c r="F225" s="505">
        <f>('Pivot Table for Data Exchange'!$O$15)*100</f>
        <v>0.35775868565409441</v>
      </c>
      <c r="G225" s="509">
        <f>('Pivot Table for Data Exchange'!$O$18)*100</f>
        <v>0.14814971941425598</v>
      </c>
      <c r="H225" s="536">
        <f>('Pivot Table for Data Exchange'!$O$21)*100</f>
        <v>0</v>
      </c>
      <c r="I225" s="551"/>
      <c r="J225" s="551"/>
      <c r="K225" s="551"/>
      <c r="L225" s="551"/>
      <c r="M225" s="551"/>
      <c r="N225" s="551"/>
      <c r="O225" s="551"/>
      <c r="P225" s="552"/>
      <c r="Q225" s="510">
        <f t="shared" si="52"/>
        <v>100</v>
      </c>
      <c r="R225" s="510"/>
      <c r="Z225" s="511"/>
      <c r="AA225" s="511"/>
      <c r="AB225" s="511"/>
      <c r="AC225" s="511"/>
      <c r="AD225" s="511"/>
      <c r="AE225" s="511"/>
      <c r="AF225" s="511"/>
      <c r="AG225" s="511"/>
      <c r="AH225" s="511"/>
      <c r="AI225" s="511"/>
      <c r="AJ225" s="511"/>
      <c r="AK225" s="511"/>
      <c r="AL225" s="511"/>
      <c r="AM225" s="511"/>
      <c r="AN225" s="511"/>
      <c r="AO225" s="511"/>
    </row>
    <row r="226" spans="1:41" ht="15.75" customHeight="1">
      <c r="A226" s="512" t="s">
        <v>895</v>
      </c>
      <c r="B226" s="505">
        <f>('Pivot Table for Data Exchange'!$O$42)*100</f>
        <v>63.929801789797821</v>
      </c>
      <c r="C226" s="505">
        <f>('Pivot Table for Data Exchange'!$O$45)*100</f>
        <v>9.8142144292279418</v>
      </c>
      <c r="D226" s="506">
        <f t="shared" ref="D226:D228" si="58">SUM(E226:G226)</f>
        <v>26.25598378097423</v>
      </c>
      <c r="E226" s="505">
        <f>('Pivot Table for Data Exchange'!$O$48)*100</f>
        <v>25.261056055380543</v>
      </c>
      <c r="F226" s="505">
        <f>('Pivot Table for Data Exchange'!$O$51)*100</f>
        <v>0.9949277255936877</v>
      </c>
      <c r="G226" s="518">
        <f>('Pivot Table for Data Exchange'!$O$54)*100</f>
        <v>0</v>
      </c>
      <c r="H226" s="516">
        <f>('Pivot Table for Data Exchange'!$O$57)*100</f>
        <v>0</v>
      </c>
      <c r="I226" s="551"/>
      <c r="J226" s="551"/>
      <c r="K226" s="551"/>
      <c r="L226" s="551"/>
      <c r="M226" s="551"/>
      <c r="N226" s="551"/>
      <c r="O226" s="551"/>
      <c r="P226" s="552"/>
      <c r="Q226" s="510">
        <f t="shared" si="52"/>
        <v>100</v>
      </c>
      <c r="R226" s="510"/>
      <c r="Z226" s="511"/>
      <c r="AA226" s="511"/>
      <c r="AB226" s="511"/>
      <c r="AC226" s="511"/>
      <c r="AD226" s="511"/>
      <c r="AE226" s="511"/>
      <c r="AF226" s="511"/>
      <c r="AG226" s="511"/>
      <c r="AH226" s="511"/>
      <c r="AI226" s="511"/>
      <c r="AJ226" s="511"/>
      <c r="AK226" s="511"/>
      <c r="AL226" s="511"/>
      <c r="AM226" s="511"/>
      <c r="AN226" s="511"/>
      <c r="AO226" s="511"/>
    </row>
    <row r="227" spans="1:41" ht="15.75" customHeight="1">
      <c r="A227" s="512" t="s">
        <v>896</v>
      </c>
      <c r="B227" s="505">
        <f>('Pivot Table for Data Exchange'!$O$78)*100</f>
        <v>87.471846537536123</v>
      </c>
      <c r="C227" s="505">
        <f>('Pivot Table for Data Exchange'!$O$81)*100</f>
        <v>0</v>
      </c>
      <c r="D227" s="506">
        <f t="shared" si="58"/>
        <v>12.52815346246388</v>
      </c>
      <c r="E227" s="505">
        <f>('Pivot Table for Data Exchange'!$O$84)*100</f>
        <v>12.133730320043068</v>
      </c>
      <c r="F227" s="505">
        <f>('Pivot Table for Data Exchange'!$O$87)*100</f>
        <v>0.31092409277183886</v>
      </c>
      <c r="G227" s="515">
        <f>('Pivot Table for Data Exchange'!$O$90)*100</f>
        <v>8.3499049648974394E-2</v>
      </c>
      <c r="H227" s="505">
        <f>('Pivot Table for Data Exchange'!$O$93)*100</f>
        <v>0</v>
      </c>
      <c r="I227" s="551"/>
      <c r="J227" s="551"/>
      <c r="K227" s="551"/>
      <c r="L227" s="551"/>
      <c r="M227" s="551"/>
      <c r="N227" s="551"/>
      <c r="O227" s="551"/>
      <c r="P227" s="552"/>
      <c r="Q227" s="510">
        <f t="shared" si="52"/>
        <v>100</v>
      </c>
      <c r="R227" s="510"/>
      <c r="Z227" s="511"/>
      <c r="AA227" s="511"/>
      <c r="AB227" s="511"/>
      <c r="AC227" s="511"/>
      <c r="AD227" s="511"/>
      <c r="AE227" s="511"/>
      <c r="AF227" s="511"/>
      <c r="AG227" s="511"/>
      <c r="AH227" s="511"/>
      <c r="AI227" s="511"/>
      <c r="AJ227" s="511"/>
      <c r="AK227" s="511"/>
      <c r="AL227" s="511"/>
      <c r="AM227" s="511"/>
      <c r="AN227" s="511"/>
      <c r="AO227" s="511"/>
    </row>
    <row r="228" spans="1:41" ht="15.75" customHeight="1">
      <c r="A228" s="512" t="s">
        <v>936</v>
      </c>
      <c r="B228" s="505">
        <f>('Pivot Table for Data Exchange'!$O$114)*100</f>
        <v>74.172432479550736</v>
      </c>
      <c r="C228" s="505">
        <f>('Pivot Table for Data Exchange'!$O$117)*100</f>
        <v>3.2316356014845331</v>
      </c>
      <c r="D228" s="506">
        <f t="shared" si="58"/>
        <v>22.568997596629696</v>
      </c>
      <c r="E228" s="505">
        <f>('Pivot Table for Data Exchange'!$O$120)*100</f>
        <v>22.437278132679609</v>
      </c>
      <c r="F228" s="505">
        <f>('Pivot Table for Data Exchange'!$O$123)*100</f>
        <v>1.7208337466340148E-2</v>
      </c>
      <c r="G228" s="515">
        <f>('Pivot Table for Data Exchange'!$O$126)*100</f>
        <v>0.11451112648374945</v>
      </c>
      <c r="H228" s="519">
        <f>('Pivot Table for Data Exchange'!$O$129)*100</f>
        <v>2.6934322335026472E-2</v>
      </c>
      <c r="I228" s="551"/>
      <c r="J228" s="551"/>
      <c r="K228" s="551"/>
      <c r="L228" s="551"/>
      <c r="M228" s="551"/>
      <c r="N228" s="551"/>
      <c r="O228" s="551"/>
      <c r="P228" s="552"/>
      <c r="Q228" s="510">
        <f t="shared" si="52"/>
        <v>99.999999999999986</v>
      </c>
      <c r="R228" s="510"/>
      <c r="Z228" s="511"/>
      <c r="AA228" s="511"/>
      <c r="AB228" s="511"/>
      <c r="AC228" s="511"/>
      <c r="AD228" s="511"/>
      <c r="AE228" s="511"/>
      <c r="AF228" s="511"/>
      <c r="AG228" s="511"/>
      <c r="AH228" s="511"/>
      <c r="AI228" s="511"/>
      <c r="AJ228" s="511"/>
      <c r="AK228" s="511"/>
      <c r="AL228" s="511"/>
      <c r="AM228" s="511"/>
      <c r="AN228" s="511"/>
      <c r="AO228" s="511"/>
    </row>
    <row r="229" spans="1:41" ht="15.75" customHeight="1">
      <c r="A229" s="512"/>
      <c r="B229" s="505"/>
      <c r="C229" s="505"/>
      <c r="D229" s="506"/>
      <c r="E229" s="505"/>
      <c r="F229" s="505"/>
      <c r="G229" s="515"/>
      <c r="H229" s="505"/>
      <c r="I229" s="551"/>
      <c r="J229" s="551"/>
      <c r="K229" s="551"/>
      <c r="L229" s="551"/>
      <c r="M229" s="551"/>
      <c r="N229" s="551"/>
      <c r="O229" s="551"/>
      <c r="P229" s="552"/>
      <c r="Q229" s="510">
        <f t="shared" si="52"/>
        <v>0</v>
      </c>
      <c r="R229" s="510"/>
      <c r="Z229" s="511"/>
      <c r="AA229" s="511"/>
      <c r="AB229" s="511"/>
      <c r="AC229" s="511"/>
      <c r="AD229" s="511"/>
      <c r="AE229" s="511"/>
      <c r="AF229" s="511"/>
      <c r="AG229" s="511"/>
      <c r="AH229" s="511"/>
      <c r="AI229" s="511"/>
      <c r="AJ229" s="511"/>
      <c r="AK229" s="511"/>
      <c r="AL229" s="511"/>
      <c r="AM229" s="511"/>
      <c r="AN229" s="511"/>
      <c r="AO229" s="511"/>
    </row>
    <row r="230" spans="1:41" ht="15.75" customHeight="1">
      <c r="A230" s="512" t="s">
        <v>898</v>
      </c>
      <c r="B230" s="505">
        <f>('Pivot Table for Data Exchange'!$O$150)*100</f>
        <v>70.211921065069845</v>
      </c>
      <c r="C230" s="505">
        <f>('Pivot Table for Data Exchange'!$O$153)*100</f>
        <v>7.6022574926158839</v>
      </c>
      <c r="D230" s="506">
        <f t="shared" ref="D230:D233" si="59">SUM(E230:G230)</f>
        <v>22.154721178225596</v>
      </c>
      <c r="E230" s="505">
        <f>('Pivot Table for Data Exchange'!$O$156)*100</f>
        <v>21.994739311260929</v>
      </c>
      <c r="F230" s="505">
        <f>('Pivot Table for Data Exchange'!$O$159)*100</f>
        <v>0</v>
      </c>
      <c r="G230" s="515">
        <f>('Pivot Table for Data Exchange'!$O$162)*100</f>
        <v>0.15998186696466693</v>
      </c>
      <c r="H230" s="505">
        <f>('Pivot Table for Data Exchange'!$O$165)*100</f>
        <v>3.1100264088683195E-2</v>
      </c>
      <c r="I230" s="551"/>
      <c r="J230" s="551"/>
      <c r="K230" s="551"/>
      <c r="L230" s="551"/>
      <c r="M230" s="551"/>
      <c r="N230" s="551"/>
      <c r="O230" s="551"/>
      <c r="P230" s="552"/>
      <c r="Q230" s="510">
        <f t="shared" si="52"/>
        <v>100</v>
      </c>
      <c r="R230" s="510"/>
      <c r="Z230" s="511"/>
      <c r="AA230" s="511"/>
      <c r="AB230" s="511"/>
      <c r="AC230" s="511"/>
      <c r="AD230" s="511"/>
      <c r="AE230" s="511"/>
      <c r="AF230" s="511"/>
      <c r="AG230" s="511"/>
      <c r="AH230" s="511"/>
      <c r="AI230" s="511"/>
      <c r="AJ230" s="511"/>
      <c r="AK230" s="511"/>
      <c r="AL230" s="511"/>
      <c r="AM230" s="511"/>
      <c r="AN230" s="511"/>
      <c r="AO230" s="511"/>
    </row>
    <row r="231" spans="1:41" ht="15.75" customHeight="1">
      <c r="A231" s="512" t="s">
        <v>899</v>
      </c>
      <c r="B231" s="505">
        <f>('Pivot Table for Data Exchange'!$O$186)*100</f>
        <v>59.258290029533811</v>
      </c>
      <c r="C231" s="505">
        <f>('Pivot Table for Data Exchange'!$O$189)*100</f>
        <v>7.3464584345832238</v>
      </c>
      <c r="D231" s="506">
        <f t="shared" si="59"/>
        <v>33.395251535882963</v>
      </c>
      <c r="E231" s="505">
        <f>('Pivot Table for Data Exchange'!$O$192)*100</f>
        <v>33.395251535882963</v>
      </c>
      <c r="F231" s="505">
        <f>('Pivot Table for Data Exchange'!$O$195)*100</f>
        <v>0</v>
      </c>
      <c r="G231" s="515">
        <f>('Pivot Table for Data Exchange'!$O$198)*100</f>
        <v>0</v>
      </c>
      <c r="H231" s="505">
        <f>('Pivot Table for Data Exchange'!$O$201)*100</f>
        <v>0</v>
      </c>
      <c r="I231" s="551"/>
      <c r="J231" s="551"/>
      <c r="K231" s="551"/>
      <c r="L231" s="551"/>
      <c r="M231" s="551"/>
      <c r="N231" s="551"/>
      <c r="O231" s="551"/>
      <c r="P231" s="552"/>
      <c r="Q231" s="510">
        <f t="shared" si="52"/>
        <v>100</v>
      </c>
      <c r="R231" s="510"/>
      <c r="Z231" s="511"/>
      <c r="AA231" s="511"/>
      <c r="AB231" s="511"/>
      <c r="AC231" s="511"/>
      <c r="AD231" s="511"/>
      <c r="AE231" s="511"/>
      <c r="AF231" s="511"/>
      <c r="AG231" s="511"/>
      <c r="AH231" s="511"/>
      <c r="AI231" s="511"/>
      <c r="AJ231" s="511"/>
      <c r="AK231" s="511"/>
      <c r="AL231" s="511"/>
      <c r="AM231" s="511"/>
      <c r="AN231" s="511"/>
      <c r="AO231" s="511"/>
    </row>
    <row r="232" spans="1:41" ht="15.75" customHeight="1">
      <c r="A232" s="512" t="s">
        <v>900</v>
      </c>
      <c r="B232" s="505">
        <f>('Pivot Table for Data Exchange'!$O$222)*100</f>
        <v>87.062044899378449</v>
      </c>
      <c r="C232" s="505">
        <f>('Pivot Table for Data Exchange'!$O$225)*100</f>
        <v>0</v>
      </c>
      <c r="D232" s="506">
        <f t="shared" si="59"/>
        <v>12.937955100621565</v>
      </c>
      <c r="E232" s="505">
        <f>('Pivot Table for Data Exchange'!$O$228)*100</f>
        <v>12.937955100621565</v>
      </c>
      <c r="F232" s="505">
        <f>('Pivot Table for Data Exchange'!$O$231)*100</f>
        <v>0</v>
      </c>
      <c r="G232" s="515">
        <f>('Pivot Table for Data Exchange'!$O$234)*100</f>
        <v>0</v>
      </c>
      <c r="H232" s="505">
        <f>('Pivot Table for Data Exchange'!$O$237)*100</f>
        <v>0</v>
      </c>
      <c r="I232" s="551"/>
      <c r="J232" s="551"/>
      <c r="K232" s="551"/>
      <c r="L232" s="551"/>
      <c r="M232" s="551"/>
      <c r="N232" s="551"/>
      <c r="O232" s="551"/>
      <c r="P232" s="552"/>
      <c r="Q232" s="510">
        <f t="shared" si="52"/>
        <v>100.00000000000001</v>
      </c>
      <c r="R232" s="510"/>
      <c r="Z232" s="511"/>
      <c r="AA232" s="511"/>
      <c r="AB232" s="511"/>
      <c r="AC232" s="511"/>
      <c r="AD232" s="511"/>
      <c r="AE232" s="511"/>
      <c r="AF232" s="511"/>
      <c r="AG232" s="511"/>
      <c r="AH232" s="511"/>
      <c r="AI232" s="511"/>
      <c r="AJ232" s="511"/>
      <c r="AK232" s="511"/>
      <c r="AL232" s="511"/>
      <c r="AM232" s="511"/>
      <c r="AN232" s="511"/>
      <c r="AO232" s="511"/>
    </row>
    <row r="233" spans="1:41" ht="15.75" customHeight="1">
      <c r="A233" s="512" t="s">
        <v>901</v>
      </c>
      <c r="B233" s="505">
        <f>('Pivot Table for Data Exchange'!$O$258)*100</f>
        <v>72.860319815569312</v>
      </c>
      <c r="C233" s="505">
        <f>('Pivot Table for Data Exchange'!$O$261)*100</f>
        <v>9.0906721303246361</v>
      </c>
      <c r="D233" s="506">
        <f t="shared" si="59"/>
        <v>18.049008054106057</v>
      </c>
      <c r="E233" s="505">
        <f>('Pivot Table for Data Exchange'!$O$264)*100</f>
        <v>17.858903703949316</v>
      </c>
      <c r="F233" s="505">
        <f>('Pivot Table for Data Exchange'!$O$267)*100</f>
        <v>0.19010435015673938</v>
      </c>
      <c r="G233" s="513">
        <f>('Pivot Table for Data Exchange'!$O$270)*100</f>
        <v>0</v>
      </c>
      <c r="H233" s="516">
        <f>('Pivot Table for Data Exchange'!$O$273)*100</f>
        <v>0</v>
      </c>
      <c r="I233" s="551"/>
      <c r="J233" s="551"/>
      <c r="K233" s="551"/>
      <c r="L233" s="551"/>
      <c r="M233" s="551"/>
      <c r="N233" s="551"/>
      <c r="O233" s="551"/>
      <c r="P233" s="552"/>
      <c r="Q233" s="510">
        <f t="shared" si="52"/>
        <v>100</v>
      </c>
      <c r="R233" s="510"/>
      <c r="Z233" s="511"/>
      <c r="AA233" s="511"/>
      <c r="AB233" s="511"/>
      <c r="AC233" s="511"/>
      <c r="AD233" s="511"/>
      <c r="AE233" s="511"/>
      <c r="AF233" s="511"/>
      <c r="AG233" s="511"/>
      <c r="AH233" s="511"/>
      <c r="AI233" s="511"/>
      <c r="AJ233" s="511"/>
      <c r="AK233" s="511"/>
      <c r="AL233" s="511"/>
      <c r="AM233" s="511"/>
      <c r="AN233" s="511"/>
      <c r="AO233" s="511"/>
    </row>
    <row r="234" spans="1:41" ht="15.75" customHeight="1">
      <c r="A234" s="512"/>
      <c r="B234" s="505"/>
      <c r="C234" s="505"/>
      <c r="D234" s="506"/>
      <c r="E234" s="505"/>
      <c r="F234" s="505"/>
      <c r="G234" s="515"/>
      <c r="H234" s="505"/>
      <c r="I234" s="551"/>
      <c r="J234" s="551"/>
      <c r="K234" s="551"/>
      <c r="L234" s="551"/>
      <c r="M234" s="551"/>
      <c r="N234" s="551"/>
      <c r="O234" s="551"/>
      <c r="P234" s="552"/>
      <c r="Q234" s="510">
        <f t="shared" si="52"/>
        <v>0</v>
      </c>
      <c r="R234" s="510"/>
      <c r="Z234" s="511"/>
      <c r="AA234" s="511"/>
      <c r="AB234" s="511"/>
      <c r="AC234" s="511"/>
      <c r="AD234" s="511"/>
      <c r="AE234" s="511"/>
      <c r="AF234" s="511"/>
      <c r="AG234" s="511"/>
      <c r="AH234" s="511"/>
      <c r="AI234" s="511"/>
      <c r="AJ234" s="511"/>
      <c r="AK234" s="511"/>
      <c r="AL234" s="511"/>
      <c r="AM234" s="511"/>
      <c r="AN234" s="511"/>
      <c r="AO234" s="511"/>
    </row>
    <row r="235" spans="1:41" ht="15.75" customHeight="1">
      <c r="A235" s="512" t="s">
        <v>951</v>
      </c>
      <c r="B235" s="505">
        <f>('Pivot Table for Data Exchange'!$O$294)*100</f>
        <v>76.177834509423548</v>
      </c>
      <c r="C235" s="505">
        <f>('Pivot Table for Data Exchange'!$O$297)*100</f>
        <v>0</v>
      </c>
      <c r="D235" s="506">
        <f t="shared" ref="D235:D237" si="60">SUM(E235:G235)</f>
        <v>23.822165490576449</v>
      </c>
      <c r="E235" s="505">
        <f>('Pivot Table for Data Exchange'!$O$300)*100</f>
        <v>23.822165490576449</v>
      </c>
      <c r="F235" s="505">
        <f>('Pivot Table for Data Exchange'!$O$303)*100</f>
        <v>0</v>
      </c>
      <c r="G235" s="515">
        <f>('Pivot Table for Data Exchange'!$O$306)*100</f>
        <v>0</v>
      </c>
      <c r="H235" s="505">
        <f>('Pivot Table for Data Exchange'!$O$309)*100</f>
        <v>0</v>
      </c>
      <c r="I235" s="551"/>
      <c r="J235" s="551"/>
      <c r="K235" s="551"/>
      <c r="L235" s="551"/>
      <c r="M235" s="551"/>
      <c r="N235" s="551"/>
      <c r="O235" s="551"/>
      <c r="P235" s="552"/>
      <c r="Q235" s="510">
        <f t="shared" si="52"/>
        <v>100</v>
      </c>
      <c r="R235" s="510"/>
      <c r="Z235" s="511"/>
      <c r="AA235" s="511"/>
      <c r="AB235" s="511"/>
      <c r="AC235" s="511"/>
      <c r="AD235" s="511"/>
      <c r="AE235" s="511"/>
      <c r="AF235" s="511"/>
      <c r="AG235" s="511"/>
      <c r="AH235" s="511"/>
      <c r="AI235" s="511"/>
      <c r="AJ235" s="511"/>
      <c r="AK235" s="511"/>
      <c r="AL235" s="511"/>
      <c r="AM235" s="511"/>
      <c r="AN235" s="511"/>
      <c r="AO235" s="511"/>
    </row>
    <row r="236" spans="1:41" ht="15.75" customHeight="1">
      <c r="A236" s="512" t="s">
        <v>903</v>
      </c>
      <c r="B236" s="505">
        <f>('Pivot Table for Data Exchange'!$O$330)*100</f>
        <v>37.994310512903915</v>
      </c>
      <c r="C236" s="505">
        <f>('Pivot Table for Data Exchange'!$O$333)*100</f>
        <v>17.715841205213042</v>
      </c>
      <c r="D236" s="506">
        <f t="shared" si="60"/>
        <v>44.28984828188306</v>
      </c>
      <c r="E236" s="505">
        <f>('Pivot Table for Data Exchange'!$O$336)*100</f>
        <v>43.640549496869916</v>
      </c>
      <c r="F236" s="505">
        <f>('Pivot Table for Data Exchange'!$O$339)*100</f>
        <v>0.38707752873339013</v>
      </c>
      <c r="G236" s="515">
        <f>('Pivot Table for Data Exchange'!$O$342)*100</f>
        <v>0.26222125627974824</v>
      </c>
      <c r="H236" s="505">
        <f>('Pivot Table for Data Exchange'!$O$345)*100</f>
        <v>0</v>
      </c>
      <c r="I236" s="551"/>
      <c r="J236" s="551"/>
      <c r="K236" s="551"/>
      <c r="L236" s="551"/>
      <c r="M236" s="551"/>
      <c r="N236" s="551"/>
      <c r="O236" s="551"/>
      <c r="P236" s="552"/>
      <c r="Q236" s="510">
        <f t="shared" si="52"/>
        <v>100.00000000000003</v>
      </c>
      <c r="R236" s="510"/>
      <c r="Z236" s="511"/>
      <c r="AA236" s="511"/>
      <c r="AB236" s="511"/>
      <c r="AC236" s="511"/>
      <c r="AD236" s="511"/>
      <c r="AE236" s="511"/>
      <c r="AF236" s="511"/>
      <c r="AG236" s="511"/>
      <c r="AH236" s="511"/>
      <c r="AI236" s="511"/>
      <c r="AJ236" s="511"/>
      <c r="AK236" s="511"/>
      <c r="AL236" s="511"/>
      <c r="AM236" s="511"/>
      <c r="AN236" s="511"/>
      <c r="AO236" s="511"/>
    </row>
    <row r="237" spans="1:41" ht="15.75" customHeight="1">
      <c r="A237" s="512" t="s">
        <v>904</v>
      </c>
      <c r="B237" s="505">
        <f>('Pivot Table for Data Exchange'!$O$366)*100</f>
        <v>66.775619157078424</v>
      </c>
      <c r="C237" s="505">
        <f>('Pivot Table for Data Exchange'!$O$369)*100</f>
        <v>5.0697521734049227</v>
      </c>
      <c r="D237" s="506">
        <f t="shared" si="60"/>
        <v>28.145100599300733</v>
      </c>
      <c r="E237" s="505">
        <f>('Pivot Table for Data Exchange'!$O$372)*100</f>
        <v>25.823675616849499</v>
      </c>
      <c r="F237" s="505">
        <f>('Pivot Table for Data Exchange'!$O$375)*100</f>
        <v>2.1814070131063072</v>
      </c>
      <c r="G237" s="515">
        <f>('Pivot Table for Data Exchange'!$O$378)*100</f>
        <v>0.14001796934492286</v>
      </c>
      <c r="H237" s="519">
        <f>('Pivot Table for Data Exchange'!$O$381)*100</f>
        <v>9.5280702159224479E-3</v>
      </c>
      <c r="I237" s="551"/>
      <c r="J237" s="551"/>
      <c r="K237" s="551"/>
      <c r="L237" s="551"/>
      <c r="M237" s="551"/>
      <c r="N237" s="551"/>
      <c r="O237" s="551"/>
      <c r="P237" s="552"/>
      <c r="Q237" s="510">
        <f t="shared" si="52"/>
        <v>100</v>
      </c>
      <c r="R237" s="510"/>
      <c r="Z237" s="511"/>
      <c r="AA237" s="511"/>
      <c r="AB237" s="511"/>
      <c r="AC237" s="511"/>
      <c r="AD237" s="511"/>
      <c r="AE237" s="511"/>
      <c r="AF237" s="511"/>
      <c r="AG237" s="511"/>
      <c r="AH237" s="511"/>
      <c r="AI237" s="511"/>
      <c r="AJ237" s="511"/>
      <c r="AK237" s="511"/>
      <c r="AL237" s="511"/>
      <c r="AM237" s="511"/>
      <c r="AN237" s="511"/>
      <c r="AO237" s="511"/>
    </row>
    <row r="238" spans="1:41" ht="15.75" customHeight="1">
      <c r="A238" s="512" t="s">
        <v>905</v>
      </c>
      <c r="B238" s="505">
        <f>('Pivot Table for Data Exchange'!$O$402)*100</f>
        <v>66.529110673475529</v>
      </c>
      <c r="C238" s="505">
        <f>('Pivot Table for Data Exchange'!$O$405)*100</f>
        <v>6.522941235107675</v>
      </c>
      <c r="D238" s="506">
        <f>SUM(E238:G238)</f>
        <v>26.947948091416794</v>
      </c>
      <c r="E238" s="505">
        <f>('Pivot Table for Data Exchange'!$O$408)*100</f>
        <v>25.880645172488869</v>
      </c>
      <c r="F238" s="505">
        <f>('Pivot Table for Data Exchange'!$O$411)*100</f>
        <v>0.81288797658787404</v>
      </c>
      <c r="G238" s="515">
        <f>('Pivot Table for Data Exchange'!$O$414)*100</f>
        <v>0.25441494234005213</v>
      </c>
      <c r="H238" s="505">
        <f>('Pivot Table for Data Exchange'!$O$417)*100</f>
        <v>0</v>
      </c>
      <c r="I238" s="551"/>
      <c r="J238" s="551"/>
      <c r="K238" s="551"/>
      <c r="L238" s="551"/>
      <c r="M238" s="551"/>
      <c r="N238" s="551"/>
      <c r="O238" s="551"/>
      <c r="P238" s="552"/>
      <c r="Q238" s="510">
        <f t="shared" si="52"/>
        <v>100</v>
      </c>
      <c r="R238" s="510"/>
      <c r="Z238" s="511"/>
      <c r="AA238" s="511"/>
      <c r="AB238" s="511"/>
      <c r="AC238" s="511"/>
      <c r="AD238" s="511"/>
      <c r="AE238" s="511"/>
      <c r="AF238" s="511"/>
      <c r="AG238" s="511"/>
      <c r="AH238" s="511"/>
      <c r="AI238" s="511"/>
      <c r="AJ238" s="511"/>
      <c r="AK238" s="511"/>
      <c r="AL238" s="511"/>
      <c r="AM238" s="511"/>
      <c r="AN238" s="511"/>
      <c r="AO238" s="511"/>
    </row>
    <row r="239" spans="1:41" ht="10.5" customHeight="1">
      <c r="A239" s="512"/>
      <c r="B239" s="505"/>
      <c r="C239" s="505"/>
      <c r="D239" s="506"/>
      <c r="E239" s="505"/>
      <c r="F239" s="505"/>
      <c r="G239" s="515"/>
      <c r="H239" s="505"/>
      <c r="I239" s="551"/>
      <c r="J239" s="551"/>
      <c r="K239" s="551"/>
      <c r="L239" s="551"/>
      <c r="M239" s="551"/>
      <c r="N239" s="551"/>
      <c r="O239" s="551"/>
      <c r="P239" s="552"/>
      <c r="Q239" s="510">
        <f t="shared" si="52"/>
        <v>0</v>
      </c>
      <c r="R239" s="510"/>
      <c r="Z239" s="511"/>
      <c r="AA239" s="511"/>
      <c r="AB239" s="511"/>
      <c r="AC239" s="511"/>
      <c r="AD239" s="511"/>
      <c r="AE239" s="511"/>
      <c r="AF239" s="511"/>
      <c r="AG239" s="511"/>
      <c r="AH239" s="511"/>
      <c r="AI239" s="511"/>
      <c r="AJ239" s="511"/>
      <c r="AK239" s="511"/>
      <c r="AL239" s="511"/>
      <c r="AM239" s="511"/>
      <c r="AN239" s="511"/>
      <c r="AO239" s="511"/>
    </row>
    <row r="240" spans="1:41" ht="15.75" customHeight="1">
      <c r="A240" s="512" t="s">
        <v>906</v>
      </c>
      <c r="B240" s="505">
        <f>('Pivot Table for Data Exchange'!$O$438)*100</f>
        <v>46.162483551009316</v>
      </c>
      <c r="C240" s="505">
        <f>('Pivot Table for Data Exchange'!$O$441)*100</f>
        <v>28.097762937266495</v>
      </c>
      <c r="D240" s="506">
        <f>SUM(E240:G240)</f>
        <v>25.601666189535678</v>
      </c>
      <c r="E240" s="505">
        <f>('Pivot Table for Data Exchange'!$O$444)*100</f>
        <v>19.110118625189148</v>
      </c>
      <c r="F240" s="505">
        <f>('Pivot Table for Data Exchange'!$O$447)*100</f>
        <v>2.1277836984788747</v>
      </c>
      <c r="G240" s="515">
        <f>('Pivot Table for Data Exchange'!$O$450)*100</f>
        <v>4.3637638658676527</v>
      </c>
      <c r="H240" s="505">
        <f>('Pivot Table for Data Exchange'!$O$453)*100</f>
        <v>0.13808732218851566</v>
      </c>
      <c r="I240" s="551"/>
      <c r="J240" s="551"/>
      <c r="K240" s="551"/>
      <c r="L240" s="551"/>
      <c r="M240" s="551"/>
      <c r="N240" s="551"/>
      <c r="O240" s="551"/>
      <c r="P240" s="552"/>
      <c r="Q240" s="510">
        <f t="shared" si="52"/>
        <v>100</v>
      </c>
      <c r="R240" s="510"/>
      <c r="Z240" s="511"/>
      <c r="AA240" s="511"/>
      <c r="AB240" s="511"/>
      <c r="AC240" s="511"/>
      <c r="AD240" s="511"/>
      <c r="AE240" s="511"/>
      <c r="AF240" s="511"/>
      <c r="AG240" s="511"/>
      <c r="AH240" s="511"/>
      <c r="AI240" s="511"/>
      <c r="AJ240" s="511"/>
      <c r="AK240" s="511"/>
      <c r="AL240" s="511"/>
      <c r="AM240" s="511"/>
      <c r="AN240" s="511"/>
      <c r="AO240" s="511"/>
    </row>
    <row r="241" spans="1:41" ht="15.75" customHeight="1">
      <c r="A241" s="512" t="s">
        <v>907</v>
      </c>
      <c r="B241" s="505">
        <f>('Pivot Table for Data Exchange'!$O$474)*100</f>
        <v>62.363568925390531</v>
      </c>
      <c r="C241" s="505">
        <f>('Pivot Table for Data Exchange'!$O$477)*100</f>
        <v>12.596887739551743</v>
      </c>
      <c r="D241" s="506">
        <f>SUM(E241:G241)</f>
        <v>25.039543335057729</v>
      </c>
      <c r="E241" s="505">
        <f>('Pivot Table for Data Exchange'!$O$480)*100</f>
        <v>24.362270666173092</v>
      </c>
      <c r="F241" s="505">
        <f>('Pivot Table for Data Exchange'!$O$483)*100</f>
        <v>0.45674814530226931</v>
      </c>
      <c r="G241" s="515">
        <f>('Pivot Table for Data Exchange'!$O$486)*100</f>
        <v>0.22052452358236632</v>
      </c>
      <c r="H241" s="505">
        <f>('Pivot Table for Data Exchange'!$O$489)*100</f>
        <v>0</v>
      </c>
      <c r="I241" s="551"/>
      <c r="J241" s="551"/>
      <c r="K241" s="551"/>
      <c r="L241" s="551"/>
      <c r="M241" s="551"/>
      <c r="N241" s="551"/>
      <c r="O241" s="551"/>
      <c r="P241" s="552"/>
      <c r="Q241" s="510">
        <f t="shared" si="52"/>
        <v>100</v>
      </c>
      <c r="R241" s="510"/>
      <c r="Z241" s="511"/>
      <c r="AA241" s="511"/>
      <c r="AB241" s="511"/>
      <c r="AC241" s="511"/>
      <c r="AD241" s="511"/>
      <c r="AE241" s="511"/>
      <c r="AF241" s="511"/>
      <c r="AG241" s="511"/>
      <c r="AH241" s="511"/>
      <c r="AI241" s="511"/>
      <c r="AJ241" s="511"/>
      <c r="AK241" s="511"/>
      <c r="AL241" s="511"/>
      <c r="AM241" s="511"/>
      <c r="AN241" s="511"/>
      <c r="AO241" s="511"/>
    </row>
    <row r="242" spans="1:41" ht="15.75" customHeight="1">
      <c r="A242" s="512" t="s">
        <v>908</v>
      </c>
      <c r="B242" s="505">
        <f>('Pivot Table for Data Exchange'!$O$510)*100</f>
        <v>58.894783307219377</v>
      </c>
      <c r="C242" s="505">
        <f>('Pivot Table for Data Exchange'!$O$513)*100</f>
        <v>12.308991562795319</v>
      </c>
      <c r="D242" s="506">
        <f t="shared" ref="D242" si="61">SUM(E242:G242)</f>
        <v>28.796225129985302</v>
      </c>
      <c r="E242" s="505">
        <f>('Pivot Table for Data Exchange'!$O$516)*100</f>
        <v>26.780146069422383</v>
      </c>
      <c r="F242" s="505">
        <f>('Pivot Table for Data Exchange'!$O$519)*100</f>
        <v>2.0160790605629191</v>
      </c>
      <c r="G242" s="515">
        <f>('Pivot Table for Data Exchange'!$O$522)*100</f>
        <v>0</v>
      </c>
      <c r="H242" s="505">
        <f>('Pivot Table for Data Exchange'!$O$525)*100</f>
        <v>0</v>
      </c>
      <c r="I242" s="551"/>
      <c r="J242" s="551"/>
      <c r="K242" s="551"/>
      <c r="L242" s="551"/>
      <c r="M242" s="551"/>
      <c r="N242" s="551"/>
      <c r="O242" s="551"/>
      <c r="P242" s="552"/>
      <c r="Q242" s="510">
        <f t="shared" si="52"/>
        <v>100</v>
      </c>
      <c r="R242" s="510"/>
      <c r="Z242" s="511"/>
      <c r="AA242" s="511"/>
      <c r="AB242" s="511"/>
      <c r="AC242" s="511"/>
      <c r="AD242" s="511"/>
      <c r="AE242" s="511"/>
      <c r="AF242" s="511"/>
      <c r="AG242" s="511"/>
      <c r="AH242" s="511"/>
      <c r="AI242" s="511"/>
      <c r="AJ242" s="511"/>
      <c r="AK242" s="511"/>
      <c r="AL242" s="511"/>
      <c r="AM242" s="511"/>
      <c r="AN242" s="511"/>
      <c r="AO242" s="511"/>
    </row>
    <row r="243" spans="1:41" ht="15.75" customHeight="1">
      <c r="A243" s="484" t="s">
        <v>909</v>
      </c>
      <c r="B243" s="520">
        <f>('Pivot Table for Data Exchange'!$O$546)*100</f>
        <v>63.269245024530733</v>
      </c>
      <c r="C243" s="520">
        <f>('Pivot Table for Data Exchange'!$O$549)*100</f>
        <v>13.05413782784286</v>
      </c>
      <c r="D243" s="521">
        <f>SUM(E243:G243)</f>
        <v>23.676617147626409</v>
      </c>
      <c r="E243" s="520">
        <f>('Pivot Table for Data Exchange'!$O$552)*100</f>
        <v>21.230682220642056</v>
      </c>
      <c r="F243" s="520">
        <f>('Pivot Table for Data Exchange'!$O$555)*100</f>
        <v>2.4459349269843536</v>
      </c>
      <c r="G243" s="522">
        <f>('Pivot Table for Data Exchange'!$O$558)*100</f>
        <v>0</v>
      </c>
      <c r="H243" s="520">
        <f>('Pivot Table for Data Exchange'!$O$561)*100</f>
        <v>0</v>
      </c>
      <c r="I243" s="551"/>
      <c r="J243" s="551"/>
      <c r="K243" s="551"/>
      <c r="L243" s="551"/>
      <c r="M243" s="551"/>
      <c r="N243" s="551"/>
      <c r="O243" s="551"/>
      <c r="P243" s="552"/>
      <c r="Q243" s="510">
        <f t="shared" si="52"/>
        <v>100</v>
      </c>
      <c r="R243" s="510"/>
      <c r="Z243" s="511"/>
      <c r="AA243" s="511"/>
      <c r="AB243" s="511"/>
      <c r="AC243" s="511"/>
      <c r="AD243" s="511"/>
      <c r="AE243" s="511"/>
      <c r="AF243" s="511"/>
      <c r="AG243" s="511"/>
      <c r="AH243" s="511"/>
      <c r="AI243" s="511"/>
      <c r="AJ243" s="511"/>
      <c r="AK243" s="511"/>
      <c r="AL243" s="511"/>
      <c r="AM243" s="511"/>
      <c r="AN243" s="511"/>
      <c r="AO243" s="511"/>
    </row>
    <row r="244" spans="1:41" s="524" customFormat="1" ht="14.25" customHeight="1">
      <c r="A244" s="525" t="s">
        <v>937</v>
      </c>
      <c r="B244" s="526"/>
      <c r="C244" s="526"/>
      <c r="D244" s="527"/>
      <c r="E244" s="526"/>
      <c r="F244" s="527"/>
      <c r="G244" s="527"/>
      <c r="H244" s="526"/>
      <c r="I244" s="546"/>
      <c r="J244" s="526"/>
      <c r="K244" s="526"/>
      <c r="L244" s="527"/>
      <c r="M244" s="526"/>
      <c r="N244" s="527"/>
      <c r="O244" s="527"/>
      <c r="P244" s="526"/>
      <c r="Q244" s="510">
        <f t="shared" si="52"/>
        <v>0</v>
      </c>
      <c r="R244" s="553"/>
      <c r="S244" s="528"/>
      <c r="T244" s="528"/>
      <c r="U244" s="528"/>
      <c r="V244" s="528"/>
      <c r="W244" s="528"/>
      <c r="X244" s="528"/>
      <c r="Y244" s="528"/>
      <c r="Z244" s="528"/>
      <c r="AA244" s="528"/>
      <c r="AB244" s="528"/>
      <c r="AC244" s="528"/>
      <c r="AD244" s="528"/>
      <c r="AE244" s="528"/>
      <c r="AF244" s="528"/>
      <c r="AG244" s="528"/>
      <c r="AH244" s="528"/>
      <c r="AI244" s="528"/>
      <c r="AJ244" s="528"/>
      <c r="AK244" s="528"/>
      <c r="AL244" s="528"/>
      <c r="AM244" s="528"/>
      <c r="AN244" s="528"/>
      <c r="AO244" s="528"/>
    </row>
    <row r="245" spans="1:41" s="524" customFormat="1" ht="24" customHeight="1">
      <c r="A245" s="655" t="s">
        <v>952</v>
      </c>
      <c r="B245" s="673"/>
      <c r="C245" s="673"/>
      <c r="D245" s="673"/>
      <c r="E245" s="673"/>
      <c r="F245" s="673"/>
      <c r="G245" s="673"/>
      <c r="H245" s="673"/>
      <c r="I245" s="546"/>
      <c r="P245" s="541"/>
      <c r="Q245" s="510">
        <f t="shared" si="52"/>
        <v>0</v>
      </c>
      <c r="R245" s="554"/>
    </row>
    <row r="246" spans="1:41" ht="12" customHeight="1">
      <c r="A246" s="512"/>
      <c r="B246" s="555"/>
      <c r="C246" s="555"/>
      <c r="D246" s="556"/>
      <c r="E246" s="555"/>
      <c r="F246" s="556"/>
      <c r="G246" s="556"/>
      <c r="H246" s="555"/>
      <c r="I246" s="512"/>
      <c r="J246" s="555"/>
      <c r="K246" s="555"/>
      <c r="L246" s="556"/>
      <c r="M246" s="555"/>
      <c r="N246" s="556"/>
      <c r="O246" s="556"/>
      <c r="P246" s="555"/>
      <c r="Q246" s="510">
        <f t="shared" si="52"/>
        <v>0</v>
      </c>
      <c r="R246" s="510"/>
      <c r="S246" s="511"/>
      <c r="T246" s="511"/>
      <c r="U246" s="511"/>
      <c r="V246" s="511"/>
      <c r="W246" s="511"/>
      <c r="X246" s="511"/>
      <c r="Y246" s="511"/>
      <c r="Z246" s="511"/>
      <c r="AA246" s="511"/>
      <c r="AB246" s="511"/>
      <c r="AC246" s="511"/>
      <c r="AD246" s="511"/>
      <c r="AE246" s="511"/>
      <c r="AF246" s="511"/>
      <c r="AG246" s="511"/>
      <c r="AH246" s="511"/>
      <c r="AI246" s="511"/>
      <c r="AJ246" s="511"/>
      <c r="AK246" s="511"/>
      <c r="AL246" s="511"/>
      <c r="AM246" s="511"/>
      <c r="AN246" s="511"/>
      <c r="AO246" s="511"/>
    </row>
    <row r="247" spans="1:41" s="524" customFormat="1">
      <c r="H247" s="532" t="s">
        <v>1015</v>
      </c>
      <c r="I247" s="540"/>
      <c r="J247" s="540"/>
      <c r="K247" s="540"/>
      <c r="L247" s="540"/>
      <c r="M247" s="540"/>
      <c r="N247" s="540"/>
      <c r="O247" s="540"/>
      <c r="P247" s="540"/>
      <c r="Q247" s="510">
        <f t="shared" si="52"/>
        <v>0</v>
      </c>
      <c r="R247" s="557"/>
    </row>
    <row r="248" spans="1:41" ht="18">
      <c r="A248" s="472" t="s">
        <v>953</v>
      </c>
      <c r="B248" s="473"/>
      <c r="C248" s="473"/>
      <c r="D248" s="473"/>
      <c r="E248" s="473"/>
      <c r="F248" s="473"/>
      <c r="G248" s="473"/>
      <c r="H248" s="474"/>
      <c r="I248" s="550"/>
      <c r="J248" s="512"/>
      <c r="K248" s="512"/>
      <c r="L248" s="512"/>
      <c r="M248" s="512"/>
      <c r="N248" s="512"/>
      <c r="O248" s="512"/>
      <c r="P248" s="512"/>
      <c r="Q248" s="510">
        <f t="shared" si="52"/>
        <v>0</v>
      </c>
    </row>
    <row r="249" spans="1:41">
      <c r="A249" s="479"/>
      <c r="B249" s="475"/>
      <c r="C249" s="475"/>
      <c r="D249" s="475"/>
      <c r="E249" s="475"/>
      <c r="F249" s="475"/>
      <c r="G249" s="475"/>
      <c r="H249" s="480"/>
      <c r="I249" s="550"/>
      <c r="J249" s="512"/>
      <c r="K249" s="512"/>
      <c r="L249" s="512"/>
      <c r="M249" s="512"/>
      <c r="N249" s="512"/>
      <c r="O249" s="512"/>
      <c r="P249" s="512"/>
      <c r="Q249" s="510">
        <f t="shared" si="52"/>
        <v>0</v>
      </c>
    </row>
    <row r="250" spans="1:41" ht="15.75">
      <c r="A250" s="481" t="s">
        <v>917</v>
      </c>
      <c r="B250" s="475"/>
      <c r="C250" s="475"/>
      <c r="D250" s="475"/>
      <c r="E250" s="475"/>
      <c r="F250" s="475"/>
      <c r="G250" s="475"/>
      <c r="H250" s="480"/>
      <c r="I250" s="550"/>
      <c r="J250" s="512"/>
      <c r="K250" s="512"/>
      <c r="L250" s="512"/>
      <c r="M250" s="512"/>
      <c r="N250" s="512"/>
      <c r="O250" s="512"/>
      <c r="P250" s="512"/>
      <c r="Q250" s="510">
        <f t="shared" si="52"/>
        <v>0</v>
      </c>
    </row>
    <row r="251" spans="1:41" ht="15.75">
      <c r="A251" s="481" t="s">
        <v>970</v>
      </c>
      <c r="B251" s="475"/>
      <c r="C251" s="475"/>
      <c r="D251" s="475"/>
      <c r="E251" s="475"/>
      <c r="F251" s="475"/>
      <c r="G251" s="475"/>
      <c r="H251" s="480"/>
      <c r="I251" s="550"/>
      <c r="J251" s="512"/>
      <c r="K251" s="512"/>
      <c r="L251" s="512"/>
      <c r="M251" s="512"/>
      <c r="N251" s="512"/>
      <c r="O251" s="512"/>
      <c r="P251" s="512"/>
      <c r="Q251" s="510">
        <f t="shared" si="52"/>
        <v>0</v>
      </c>
    </row>
    <row r="252" spans="1:41">
      <c r="A252" s="484"/>
      <c r="B252" s="485"/>
      <c r="C252" s="485"/>
      <c r="D252" s="485"/>
      <c r="E252" s="485"/>
      <c r="F252" s="485"/>
      <c r="G252" s="485"/>
      <c r="H252" s="485"/>
      <c r="I252" s="550"/>
      <c r="J252" s="512"/>
      <c r="K252" s="512"/>
      <c r="L252" s="512"/>
      <c r="M252" s="512"/>
      <c r="N252" s="512"/>
      <c r="O252" s="512"/>
      <c r="P252" s="512"/>
      <c r="Q252" s="510">
        <f t="shared" si="52"/>
        <v>0</v>
      </c>
    </row>
    <row r="253" spans="1:41">
      <c r="A253" s="489"/>
      <c r="B253" s="490" t="s">
        <v>919</v>
      </c>
      <c r="C253" s="490"/>
      <c r="D253" s="490"/>
      <c r="E253" s="490"/>
      <c r="F253" s="490"/>
      <c r="G253" s="490"/>
      <c r="H253" s="491"/>
      <c r="I253" s="550"/>
      <c r="J253" s="512"/>
      <c r="K253" s="512"/>
      <c r="L253" s="512"/>
      <c r="M253" s="512"/>
      <c r="N253" s="512"/>
      <c r="O253" s="512"/>
      <c r="P253" s="512"/>
      <c r="Q253" s="510">
        <f t="shared" si="52"/>
        <v>0</v>
      </c>
    </row>
    <row r="254" spans="1:41">
      <c r="A254" s="489"/>
      <c r="B254" s="490" t="s">
        <v>920</v>
      </c>
      <c r="C254" s="490"/>
      <c r="D254" s="659" t="s">
        <v>921</v>
      </c>
      <c r="E254" s="657"/>
      <c r="F254" s="657"/>
      <c r="G254" s="657"/>
      <c r="H254" s="495" t="s">
        <v>320</v>
      </c>
      <c r="I254" s="550"/>
      <c r="J254" s="512"/>
      <c r="K254" s="512"/>
      <c r="L254" s="512"/>
      <c r="M254" s="512"/>
      <c r="N254" s="512"/>
      <c r="O254" s="512"/>
      <c r="P254" s="512"/>
      <c r="Q254" s="510">
        <f t="shared" si="52"/>
        <v>0</v>
      </c>
    </row>
    <row r="255" spans="1:41" ht="36">
      <c r="A255" s="489"/>
      <c r="B255" s="496" t="s">
        <v>922</v>
      </c>
      <c r="C255" s="497" t="s">
        <v>923</v>
      </c>
      <c r="D255" s="498" t="s">
        <v>924</v>
      </c>
      <c r="E255" s="499" t="s">
        <v>10</v>
      </c>
      <c r="F255" s="496" t="s">
        <v>925</v>
      </c>
      <c r="G255" s="500" t="s">
        <v>935</v>
      </c>
      <c r="H255" s="501" t="s">
        <v>927</v>
      </c>
      <c r="I255" s="550"/>
      <c r="J255" s="512"/>
      <c r="K255" s="512"/>
      <c r="L255" s="512"/>
      <c r="M255" s="512"/>
      <c r="N255" s="512"/>
      <c r="O255" s="512"/>
      <c r="P255" s="512"/>
      <c r="Q255" s="510">
        <f t="shared" si="52"/>
        <v>0</v>
      </c>
    </row>
    <row r="256" spans="1:41" ht="15.75" customHeight="1">
      <c r="A256" s="534" t="s">
        <v>894</v>
      </c>
      <c r="B256" s="505">
        <f>('Pivot Table for Data Exchange'!$K$6)*100</f>
        <v>0</v>
      </c>
      <c r="C256" s="505">
        <f>('Pivot Table for Data Exchange'!$K$9)*100</f>
        <v>0</v>
      </c>
      <c r="D256" s="506">
        <f>SUM(E256:G256)</f>
        <v>0</v>
      </c>
      <c r="E256" s="505">
        <f>('Pivot Table for Data Exchange'!$K$12)*100</f>
        <v>0</v>
      </c>
      <c r="F256" s="505">
        <f>('Pivot Table for Data Exchange'!$K$15)*100</f>
        <v>0</v>
      </c>
      <c r="G256" s="509">
        <f>('Pivot Table for Data Exchange'!$K$18)*100</f>
        <v>0</v>
      </c>
      <c r="H256" s="505">
        <f>('Pivot Table for Data Exchange'!$K$21)*100</f>
        <v>0</v>
      </c>
      <c r="I256" s="512"/>
      <c r="J256" s="552"/>
      <c r="K256" s="552"/>
      <c r="L256" s="552"/>
      <c r="M256" s="552"/>
      <c r="N256" s="552"/>
      <c r="O256" s="552"/>
      <c r="P256" s="552"/>
      <c r="Q256" s="510">
        <f t="shared" si="52"/>
        <v>0</v>
      </c>
      <c r="R256" s="510"/>
      <c r="S256" s="511"/>
      <c r="T256" s="511"/>
      <c r="U256" s="511"/>
      <c r="V256" s="511"/>
      <c r="W256" s="511"/>
      <c r="X256" s="511"/>
      <c r="Y256" s="511"/>
      <c r="Z256" s="511"/>
      <c r="AA256" s="511"/>
      <c r="AB256" s="511"/>
      <c r="AC256" s="511"/>
      <c r="AD256" s="511"/>
      <c r="AE256" s="511"/>
      <c r="AF256" s="511"/>
      <c r="AG256" s="511"/>
      <c r="AH256" s="511"/>
      <c r="AI256" s="511"/>
      <c r="AJ256" s="511"/>
      <c r="AK256" s="511"/>
      <c r="AL256" s="511"/>
      <c r="AM256" s="511"/>
      <c r="AN256" s="511"/>
      <c r="AO256" s="511"/>
    </row>
    <row r="257" spans="1:41" ht="15.75" customHeight="1">
      <c r="A257" s="512" t="s">
        <v>895</v>
      </c>
      <c r="B257" s="505">
        <f>('Pivot Table for Data Exchange'!$K$42)*100</f>
        <v>0</v>
      </c>
      <c r="C257" s="505">
        <f>('Pivot Table for Data Exchange'!$K$45)*100</f>
        <v>0</v>
      </c>
      <c r="D257" s="506">
        <f t="shared" ref="D257:D259" si="62">SUM(E257:G257)</f>
        <v>0</v>
      </c>
      <c r="E257" s="505">
        <f>('Pivot Table for Data Exchange'!$K$48)*100</f>
        <v>0</v>
      </c>
      <c r="F257" s="505">
        <f>('Pivot Table for Data Exchange'!$K$51)*100</f>
        <v>0</v>
      </c>
      <c r="G257" s="515">
        <f>('Pivot Table for Data Exchange'!$K$54)*100</f>
        <v>0</v>
      </c>
      <c r="H257" s="505">
        <f>('Pivot Table for Data Exchange'!$K$57)*100</f>
        <v>0</v>
      </c>
      <c r="I257" s="512"/>
      <c r="J257" s="552"/>
      <c r="K257" s="552"/>
      <c r="L257" s="552"/>
      <c r="M257" s="552"/>
      <c r="N257" s="552"/>
      <c r="O257" s="552"/>
      <c r="P257" s="552"/>
      <c r="Q257" s="510">
        <f t="shared" si="52"/>
        <v>0</v>
      </c>
      <c r="R257" s="510"/>
      <c r="S257" s="511"/>
      <c r="T257" s="511"/>
      <c r="U257" s="511"/>
      <c r="V257" s="511"/>
      <c r="W257" s="511"/>
      <c r="X257" s="511"/>
      <c r="Y257" s="511"/>
      <c r="Z257" s="511"/>
      <c r="AA257" s="511"/>
      <c r="AB257" s="511"/>
      <c r="AC257" s="511"/>
      <c r="AD257" s="511"/>
      <c r="AE257" s="511"/>
      <c r="AF257" s="511"/>
      <c r="AG257" s="511"/>
      <c r="AH257" s="511"/>
      <c r="AI257" s="511"/>
      <c r="AJ257" s="511"/>
      <c r="AK257" s="511"/>
      <c r="AL257" s="511"/>
      <c r="AM257" s="511"/>
      <c r="AN257" s="511"/>
      <c r="AO257" s="511"/>
    </row>
    <row r="258" spans="1:41" ht="15.75" customHeight="1">
      <c r="A258" s="512" t="s">
        <v>896</v>
      </c>
      <c r="B258" s="505">
        <f>('Pivot Table for Data Exchange'!$K$78)*100</f>
        <v>0</v>
      </c>
      <c r="C258" s="505">
        <f>('Pivot Table for Data Exchange'!$K$81)*100</f>
        <v>0</v>
      </c>
      <c r="D258" s="506">
        <f t="shared" si="62"/>
        <v>0</v>
      </c>
      <c r="E258" s="505">
        <f>('Pivot Table for Data Exchange'!$K$84)*100</f>
        <v>0</v>
      </c>
      <c r="F258" s="505">
        <f>('Pivot Table for Data Exchange'!$K$87)*100</f>
        <v>0</v>
      </c>
      <c r="G258" s="515">
        <f>('Pivot Table for Data Exchange'!$K$90)*100</f>
        <v>0</v>
      </c>
      <c r="H258" s="505">
        <f>('Pivot Table for Data Exchange'!$K$93)*100</f>
        <v>0</v>
      </c>
      <c r="I258" s="512"/>
      <c r="J258" s="552"/>
      <c r="K258" s="552"/>
      <c r="L258" s="552"/>
      <c r="M258" s="552"/>
      <c r="N258" s="552"/>
      <c r="O258" s="552"/>
      <c r="P258" s="552"/>
      <c r="Q258" s="510">
        <f t="shared" si="52"/>
        <v>0</v>
      </c>
      <c r="R258" s="510"/>
      <c r="S258" s="511"/>
      <c r="T258" s="535"/>
      <c r="U258" s="511"/>
      <c r="V258" s="511"/>
      <c r="W258" s="511"/>
      <c r="X258" s="511"/>
      <c r="Y258" s="511"/>
      <c r="Z258" s="511"/>
      <c r="AA258" s="511"/>
      <c r="AB258" s="511"/>
      <c r="AC258" s="511"/>
      <c r="AD258" s="511"/>
      <c r="AE258" s="511"/>
      <c r="AF258" s="511"/>
      <c r="AG258" s="511"/>
      <c r="AH258" s="511"/>
      <c r="AI258" s="511"/>
      <c r="AJ258" s="511"/>
      <c r="AK258" s="511"/>
      <c r="AL258" s="511"/>
      <c r="AM258" s="511"/>
      <c r="AN258" s="511"/>
      <c r="AO258" s="511"/>
    </row>
    <row r="259" spans="1:41" ht="15.75" customHeight="1">
      <c r="A259" s="512" t="s">
        <v>936</v>
      </c>
      <c r="B259" s="505">
        <f>('Pivot Table for Data Exchange'!$K$114)*100</f>
        <v>73.73174825871132</v>
      </c>
      <c r="C259" s="505">
        <f>('Pivot Table for Data Exchange'!$K$117)*100</f>
        <v>3.1503717392459176</v>
      </c>
      <c r="D259" s="506">
        <f t="shared" si="62"/>
        <v>23.085685953925427</v>
      </c>
      <c r="E259" s="505">
        <f>('Pivot Table for Data Exchange'!$K$120)*100</f>
        <v>22.956601807229379</v>
      </c>
      <c r="F259" s="505">
        <f>('Pivot Table for Data Exchange'!$K$123)*100</f>
        <v>1.2318169068410234E-3</v>
      </c>
      <c r="G259" s="515">
        <f>('Pivot Table for Data Exchange'!$K$126)*100</f>
        <v>0.12785232978920791</v>
      </c>
      <c r="H259" s="505">
        <f>('Pivot Table for Data Exchange'!$K$129)*100</f>
        <v>3.2194048117334666E-2</v>
      </c>
      <c r="I259" s="512"/>
      <c r="J259" s="552"/>
      <c r="K259" s="552"/>
      <c r="L259" s="552"/>
      <c r="M259" s="552"/>
      <c r="N259" s="552"/>
      <c r="O259" s="552"/>
      <c r="P259" s="552"/>
      <c r="Q259" s="510">
        <f t="shared" si="52"/>
        <v>100</v>
      </c>
      <c r="R259" s="510"/>
      <c r="S259" s="511"/>
      <c r="U259" s="511"/>
      <c r="V259" s="511"/>
      <c r="W259" s="511"/>
      <c r="X259" s="511"/>
      <c r="Y259" s="511"/>
      <c r="Z259" s="511"/>
      <c r="AA259" s="511"/>
      <c r="AB259" s="511"/>
      <c r="AC259" s="511"/>
      <c r="AD259" s="511"/>
      <c r="AE259" s="511"/>
      <c r="AF259" s="511"/>
      <c r="AG259" s="511"/>
      <c r="AH259" s="511"/>
      <c r="AI259" s="511"/>
      <c r="AJ259" s="511"/>
      <c r="AK259" s="511"/>
      <c r="AL259" s="511"/>
      <c r="AM259" s="511"/>
      <c r="AN259" s="511"/>
      <c r="AO259" s="511"/>
    </row>
    <row r="260" spans="1:41" ht="15.75" customHeight="1">
      <c r="A260" s="512"/>
      <c r="B260" s="505"/>
      <c r="C260" s="505"/>
      <c r="D260" s="506"/>
      <c r="E260" s="505"/>
      <c r="F260" s="505"/>
      <c r="G260" s="515"/>
      <c r="H260" s="505"/>
      <c r="I260" s="512"/>
      <c r="J260" s="552"/>
      <c r="K260" s="552"/>
      <c r="L260" s="552"/>
      <c r="M260" s="552"/>
      <c r="N260" s="552"/>
      <c r="O260" s="552"/>
      <c r="P260" s="552"/>
      <c r="Q260" s="510">
        <f t="shared" si="52"/>
        <v>0</v>
      </c>
      <c r="R260" s="510"/>
      <c r="S260" s="511"/>
      <c r="U260" s="511"/>
      <c r="V260" s="511"/>
      <c r="W260" s="511"/>
      <c r="X260" s="511"/>
      <c r="Y260" s="511"/>
      <c r="Z260" s="511"/>
      <c r="AA260" s="511"/>
      <c r="AB260" s="511"/>
      <c r="AC260" s="511"/>
      <c r="AD260" s="511"/>
      <c r="AE260" s="511"/>
      <c r="AF260" s="511"/>
      <c r="AG260" s="511"/>
      <c r="AH260" s="511"/>
      <c r="AI260" s="511"/>
      <c r="AJ260" s="511"/>
      <c r="AK260" s="511"/>
      <c r="AL260" s="511"/>
      <c r="AM260" s="511"/>
      <c r="AN260" s="511"/>
      <c r="AO260" s="511"/>
    </row>
    <row r="261" spans="1:41" ht="15.75" customHeight="1">
      <c r="A261" s="512" t="s">
        <v>898</v>
      </c>
      <c r="B261" s="505">
        <f>('Pivot Table for Data Exchange'!$K$150)*100</f>
        <v>67.709061649213126</v>
      </c>
      <c r="C261" s="505">
        <f>('Pivot Table for Data Exchange'!$K$153)*100</f>
        <v>11.73846640600282</v>
      </c>
      <c r="D261" s="506">
        <f t="shared" ref="D261:D264" si="63">SUM(E261:G261)</f>
        <v>20.552471944784052</v>
      </c>
      <c r="E261" s="505">
        <f>('Pivot Table for Data Exchange'!$K$156)*100</f>
        <v>20.335100170694457</v>
      </c>
      <c r="F261" s="505">
        <f>('Pivot Table for Data Exchange'!$K$159)*100</f>
        <v>0</v>
      </c>
      <c r="G261" s="515">
        <f>('Pivot Table for Data Exchange'!$K$162)*100</f>
        <v>0.21737177408959699</v>
      </c>
      <c r="H261" s="505">
        <f>('Pivot Table for Data Exchange'!$K$165)*100</f>
        <v>0</v>
      </c>
      <c r="I261" s="512"/>
      <c r="J261" s="552"/>
      <c r="K261" s="552"/>
      <c r="L261" s="552"/>
      <c r="M261" s="552"/>
      <c r="N261" s="552"/>
      <c r="O261" s="552"/>
      <c r="P261" s="552"/>
      <c r="Q261" s="510">
        <f t="shared" si="52"/>
        <v>100</v>
      </c>
      <c r="R261" s="510"/>
      <c r="S261" s="511"/>
      <c r="T261" s="511"/>
      <c r="U261" s="511"/>
      <c r="V261" s="511"/>
      <c r="W261" s="511"/>
      <c r="X261" s="511"/>
      <c r="Y261" s="511"/>
      <c r="Z261" s="511"/>
      <c r="AA261" s="511"/>
      <c r="AB261" s="511"/>
      <c r="AC261" s="511"/>
      <c r="AD261" s="511"/>
      <c r="AE261" s="511"/>
      <c r="AF261" s="511"/>
      <c r="AG261" s="511"/>
      <c r="AH261" s="511"/>
      <c r="AI261" s="511"/>
      <c r="AJ261" s="511"/>
      <c r="AK261" s="511"/>
      <c r="AL261" s="511"/>
      <c r="AM261" s="511"/>
      <c r="AN261" s="511"/>
      <c r="AO261" s="511"/>
    </row>
    <row r="262" spans="1:41" ht="15.75" customHeight="1">
      <c r="A262" s="512" t="s">
        <v>899</v>
      </c>
      <c r="B262" s="505">
        <f>('Pivot Table for Data Exchange'!$K$186)*100</f>
        <v>0</v>
      </c>
      <c r="C262" s="505">
        <f>('Pivot Table for Data Exchange'!$K$189)*100</f>
        <v>0</v>
      </c>
      <c r="D262" s="506">
        <f t="shared" si="63"/>
        <v>0</v>
      </c>
      <c r="E262" s="505">
        <f>('Pivot Table for Data Exchange'!$K$192)*100</f>
        <v>0</v>
      </c>
      <c r="F262" s="505">
        <f>('Pivot Table for Data Exchange'!$K$195)*100</f>
        <v>0</v>
      </c>
      <c r="G262" s="515">
        <f>('Pivot Table for Data Exchange'!$K$198)*100</f>
        <v>0</v>
      </c>
      <c r="H262" s="505">
        <f>('Pivot Table for Data Exchange'!$K$201)*100</f>
        <v>0</v>
      </c>
      <c r="I262" s="512"/>
      <c r="J262" s="552"/>
      <c r="K262" s="552"/>
      <c r="L262" s="552"/>
      <c r="M262" s="552"/>
      <c r="N262" s="552"/>
      <c r="O262" s="552"/>
      <c r="P262" s="552"/>
      <c r="Q262" s="510">
        <f t="shared" si="52"/>
        <v>0</v>
      </c>
      <c r="R262" s="510"/>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1"/>
      <c r="AO262" s="511"/>
    </row>
    <row r="263" spans="1:41" ht="15.75" customHeight="1">
      <c r="A263" s="512" t="s">
        <v>900</v>
      </c>
      <c r="B263" s="505">
        <f>('Pivot Table for Data Exchange'!$K$222)*100</f>
        <v>0</v>
      </c>
      <c r="C263" s="505">
        <f>('Pivot Table for Data Exchange'!$K$225)*100</f>
        <v>0</v>
      </c>
      <c r="D263" s="506">
        <f t="shared" si="63"/>
        <v>0</v>
      </c>
      <c r="E263" s="505">
        <f>('Pivot Table for Data Exchange'!$K$228)*100</f>
        <v>0</v>
      </c>
      <c r="F263" s="505">
        <f>('Pivot Table for Data Exchange'!$K$231)*100</f>
        <v>0</v>
      </c>
      <c r="G263" s="515">
        <f>('Pivot Table for Data Exchange'!$K$234)*100</f>
        <v>0</v>
      </c>
      <c r="H263" s="505">
        <f>('Pivot Table for Data Exchange'!$K$237)*100</f>
        <v>0</v>
      </c>
      <c r="I263" s="512"/>
      <c r="J263" s="552"/>
      <c r="K263" s="552"/>
      <c r="L263" s="552"/>
      <c r="M263" s="552"/>
      <c r="N263" s="552"/>
      <c r="O263" s="552"/>
      <c r="P263" s="552"/>
      <c r="Q263" s="510">
        <f t="shared" si="52"/>
        <v>0</v>
      </c>
      <c r="R263" s="510"/>
      <c r="S263" s="511"/>
      <c r="T263" s="535"/>
      <c r="U263" s="511"/>
      <c r="V263" s="511"/>
      <c r="W263" s="511"/>
      <c r="X263" s="511"/>
      <c r="Y263" s="511"/>
      <c r="Z263" s="511"/>
      <c r="AA263" s="511"/>
      <c r="AB263" s="511"/>
      <c r="AC263" s="511"/>
      <c r="AD263" s="511"/>
      <c r="AE263" s="511"/>
      <c r="AF263" s="511"/>
      <c r="AG263" s="511"/>
      <c r="AH263" s="511"/>
      <c r="AI263" s="511"/>
      <c r="AJ263" s="511"/>
      <c r="AK263" s="511"/>
      <c r="AL263" s="511"/>
      <c r="AM263" s="511"/>
      <c r="AN263" s="511"/>
      <c r="AO263" s="511"/>
    </row>
    <row r="264" spans="1:41" ht="15.75" customHeight="1">
      <c r="A264" s="512" t="s">
        <v>901</v>
      </c>
      <c r="B264" s="505">
        <f>('Pivot Table for Data Exchange'!$K$258)*100</f>
        <v>0</v>
      </c>
      <c r="C264" s="505">
        <f>('Pivot Table for Data Exchange'!$K$261)*100</f>
        <v>0</v>
      </c>
      <c r="D264" s="506">
        <f t="shared" si="63"/>
        <v>0</v>
      </c>
      <c r="E264" s="505">
        <f>('Pivot Table for Data Exchange'!$K$264)*100</f>
        <v>0</v>
      </c>
      <c r="F264" s="505">
        <f>('Pivot Table for Data Exchange'!$K$267)*100</f>
        <v>0</v>
      </c>
      <c r="G264" s="515">
        <f>('Pivot Table for Data Exchange'!$K$270)*100</f>
        <v>0</v>
      </c>
      <c r="H264" s="505">
        <f>('Pivot Table for Data Exchange'!$K$273)*100</f>
        <v>0</v>
      </c>
      <c r="I264" s="512"/>
      <c r="J264" s="552"/>
      <c r="K264" s="552"/>
      <c r="L264" s="552"/>
      <c r="M264" s="552"/>
      <c r="N264" s="552"/>
      <c r="O264" s="552"/>
      <c r="P264" s="552"/>
      <c r="Q264" s="510">
        <f t="shared" si="52"/>
        <v>0</v>
      </c>
      <c r="R264" s="510"/>
      <c r="S264" s="511"/>
      <c r="U264" s="511"/>
      <c r="V264" s="511"/>
      <c r="W264" s="511"/>
      <c r="X264" s="511"/>
      <c r="Y264" s="511"/>
      <c r="Z264" s="511"/>
      <c r="AA264" s="511"/>
      <c r="AB264" s="511"/>
      <c r="AC264" s="511"/>
      <c r="AD264" s="511"/>
      <c r="AE264" s="511"/>
      <c r="AF264" s="511"/>
      <c r="AG264" s="511"/>
      <c r="AH264" s="511"/>
      <c r="AI264" s="511"/>
      <c r="AJ264" s="511"/>
      <c r="AK264" s="511"/>
      <c r="AL264" s="511"/>
      <c r="AM264" s="511"/>
      <c r="AN264" s="511"/>
      <c r="AO264" s="511"/>
    </row>
    <row r="265" spans="1:41" ht="15.75" customHeight="1">
      <c r="A265" s="512"/>
      <c r="B265" s="505"/>
      <c r="C265" s="505"/>
      <c r="D265" s="506"/>
      <c r="E265" s="505"/>
      <c r="F265" s="505"/>
      <c r="G265" s="515"/>
      <c r="H265" s="505"/>
      <c r="I265" s="512"/>
      <c r="J265" s="552"/>
      <c r="K265" s="552"/>
      <c r="L265" s="552"/>
      <c r="M265" s="552"/>
      <c r="N265" s="552"/>
      <c r="O265" s="552"/>
      <c r="P265" s="552"/>
      <c r="Q265" s="510">
        <f t="shared" si="52"/>
        <v>0</v>
      </c>
      <c r="R265" s="510"/>
      <c r="S265" s="511"/>
      <c r="U265" s="511"/>
      <c r="V265" s="511"/>
      <c r="W265" s="511"/>
      <c r="X265" s="511"/>
      <c r="Y265" s="511"/>
      <c r="Z265" s="511"/>
      <c r="AA265" s="511"/>
      <c r="AB265" s="511"/>
      <c r="AC265" s="511"/>
      <c r="AD265" s="511"/>
      <c r="AE265" s="511"/>
      <c r="AF265" s="511"/>
      <c r="AG265" s="511"/>
      <c r="AH265" s="511"/>
      <c r="AI265" s="511"/>
      <c r="AJ265" s="511"/>
      <c r="AK265" s="511"/>
      <c r="AL265" s="511"/>
      <c r="AM265" s="511"/>
      <c r="AN265" s="511"/>
      <c r="AO265" s="511"/>
    </row>
    <row r="266" spans="1:41" ht="15.75" customHeight="1">
      <c r="A266" s="512" t="s">
        <v>902</v>
      </c>
      <c r="B266" s="505">
        <f>('Pivot Table for Data Exchange'!$K$294)*100</f>
        <v>0</v>
      </c>
      <c r="C266" s="505">
        <f>('Pivot Table for Data Exchange'!$K$297)*100</f>
        <v>0</v>
      </c>
      <c r="D266" s="506">
        <f t="shared" ref="D266:D268" si="64">SUM(E266:G266)</f>
        <v>0</v>
      </c>
      <c r="E266" s="505">
        <f>('Pivot Table for Data Exchange'!$K$300)*100</f>
        <v>0</v>
      </c>
      <c r="F266" s="505">
        <f>('Pivot Table for Data Exchange'!$K$303)*100</f>
        <v>0</v>
      </c>
      <c r="G266" s="515">
        <f>('Pivot Table for Data Exchange'!$K$306)*100</f>
        <v>0</v>
      </c>
      <c r="H266" s="505">
        <f>('Pivot Table for Data Exchange'!$K$309)*100</f>
        <v>0</v>
      </c>
      <c r="I266" s="512"/>
      <c r="J266" s="552"/>
      <c r="K266" s="552"/>
      <c r="L266" s="552"/>
      <c r="M266" s="552"/>
      <c r="N266" s="552"/>
      <c r="O266" s="552"/>
      <c r="P266" s="552"/>
      <c r="Q266" s="510">
        <f t="shared" si="52"/>
        <v>0</v>
      </c>
      <c r="R266" s="510"/>
      <c r="S266" s="511"/>
      <c r="T266" s="511"/>
      <c r="U266" s="511"/>
      <c r="V266" s="511"/>
      <c r="W266" s="511"/>
      <c r="X266" s="511"/>
      <c r="Y266" s="511"/>
      <c r="Z266" s="511"/>
      <c r="AA266" s="511"/>
      <c r="AB266" s="511"/>
      <c r="AC266" s="511"/>
      <c r="AD266" s="511"/>
      <c r="AE266" s="511"/>
      <c r="AF266" s="511"/>
      <c r="AG266" s="511"/>
      <c r="AH266" s="511"/>
      <c r="AI266" s="511"/>
      <c r="AJ266" s="511"/>
      <c r="AK266" s="511"/>
      <c r="AL266" s="511"/>
      <c r="AM266" s="511"/>
      <c r="AN266" s="511"/>
      <c r="AO266" s="511"/>
    </row>
    <row r="267" spans="1:41" ht="15.75" customHeight="1">
      <c r="A267" s="512" t="s">
        <v>903</v>
      </c>
      <c r="B267" s="505">
        <f>('Pivot Table for Data Exchange'!$K$330)*100</f>
        <v>0</v>
      </c>
      <c r="C267" s="505">
        <f>('Pivot Table for Data Exchange'!$K$333)*100</f>
        <v>0</v>
      </c>
      <c r="D267" s="506">
        <f t="shared" si="64"/>
        <v>0</v>
      </c>
      <c r="E267" s="505">
        <f>('Pivot Table for Data Exchange'!$K$336)*100</f>
        <v>0</v>
      </c>
      <c r="F267" s="505">
        <f>('Pivot Table for Data Exchange'!$K$339)*100</f>
        <v>0</v>
      </c>
      <c r="G267" s="515">
        <f>('Pivot Table for Data Exchange'!$K$342)*100</f>
        <v>0</v>
      </c>
      <c r="H267" s="505">
        <f>('Pivot Table for Data Exchange'!$K$345)*100</f>
        <v>0</v>
      </c>
      <c r="I267" s="512"/>
      <c r="J267" s="552"/>
      <c r="K267" s="552"/>
      <c r="L267" s="552"/>
      <c r="M267" s="552"/>
      <c r="N267" s="552"/>
      <c r="O267" s="552"/>
      <c r="P267" s="552"/>
      <c r="Q267" s="510">
        <f t="shared" ref="Q267:Q330" si="65">SUM(B267,C267,D267,H267)</f>
        <v>0</v>
      </c>
      <c r="R267" s="510"/>
      <c r="S267" s="511"/>
      <c r="T267" s="511"/>
      <c r="U267" s="511"/>
      <c r="V267" s="511"/>
      <c r="W267" s="511"/>
      <c r="X267" s="511"/>
      <c r="Y267" s="511"/>
      <c r="Z267" s="511"/>
      <c r="AA267" s="511"/>
      <c r="AB267" s="511"/>
      <c r="AC267" s="511"/>
      <c r="AD267" s="511"/>
      <c r="AE267" s="511"/>
      <c r="AF267" s="511"/>
      <c r="AG267" s="511"/>
      <c r="AH267" s="511"/>
      <c r="AI267" s="511"/>
      <c r="AJ267" s="511"/>
      <c r="AK267" s="511"/>
      <c r="AL267" s="511"/>
      <c r="AM267" s="511"/>
      <c r="AN267" s="511"/>
      <c r="AO267" s="511"/>
    </row>
    <row r="268" spans="1:41" ht="15.75" customHeight="1">
      <c r="A268" s="512" t="s">
        <v>904</v>
      </c>
      <c r="B268" s="505">
        <f>('Pivot Table for Data Exchange'!$K$366)*100</f>
        <v>65.786161629836883</v>
      </c>
      <c r="C268" s="505">
        <f>('Pivot Table for Data Exchange'!$K$369)*100</f>
        <v>4.3092598442569106</v>
      </c>
      <c r="D268" s="506">
        <f t="shared" si="64"/>
        <v>29.844908765437669</v>
      </c>
      <c r="E268" s="505">
        <f>('Pivot Table for Data Exchange'!$K$372)*100</f>
        <v>28.771354503562634</v>
      </c>
      <c r="F268" s="505">
        <f>('Pivot Table for Data Exchange'!$K$375)*100</f>
        <v>1.0735542618750344</v>
      </c>
      <c r="G268" s="515">
        <f>('Pivot Table for Data Exchange'!$K$378)*100</f>
        <v>0</v>
      </c>
      <c r="H268" s="505">
        <f>('Pivot Table for Data Exchange'!$K$381)*100</f>
        <v>5.9669760468532979E-2</v>
      </c>
      <c r="I268" s="512"/>
      <c r="J268" s="552"/>
      <c r="K268" s="552"/>
      <c r="L268" s="552"/>
      <c r="M268" s="552"/>
      <c r="N268" s="552"/>
      <c r="O268" s="552"/>
      <c r="P268" s="552"/>
      <c r="Q268" s="510">
        <f t="shared" si="65"/>
        <v>100</v>
      </c>
      <c r="R268" s="510"/>
      <c r="S268" s="511"/>
      <c r="T268" s="535"/>
      <c r="U268" s="511"/>
      <c r="V268" s="511"/>
      <c r="W268" s="511"/>
      <c r="X268" s="511"/>
      <c r="Y268" s="511"/>
      <c r="Z268" s="511"/>
      <c r="AA268" s="511"/>
      <c r="AB268" s="511"/>
      <c r="AC268" s="511"/>
      <c r="AD268" s="511"/>
      <c r="AE268" s="511"/>
      <c r="AF268" s="511"/>
      <c r="AG268" s="511"/>
      <c r="AH268" s="511"/>
      <c r="AI268" s="511"/>
      <c r="AJ268" s="511"/>
      <c r="AK268" s="511"/>
      <c r="AL268" s="511"/>
      <c r="AM268" s="511"/>
      <c r="AN268" s="511"/>
      <c r="AO268" s="511"/>
    </row>
    <row r="269" spans="1:41" ht="15.75" customHeight="1">
      <c r="A269" s="512" t="s">
        <v>905</v>
      </c>
      <c r="B269" s="505">
        <f>('Pivot Table for Data Exchange'!$K$402)*100</f>
        <v>0</v>
      </c>
      <c r="C269" s="505">
        <f>('Pivot Table for Data Exchange'!$K$405)*100</f>
        <v>0</v>
      </c>
      <c r="D269" s="506">
        <f>SUM(E269:G269)</f>
        <v>0</v>
      </c>
      <c r="E269" s="505">
        <f>('Pivot Table for Data Exchange'!$K$408)*100</f>
        <v>0</v>
      </c>
      <c r="F269" s="505">
        <f>('Pivot Table for Data Exchange'!$K$411)*100</f>
        <v>0</v>
      </c>
      <c r="G269" s="515">
        <f>('Pivot Table for Data Exchange'!$K$414)*100</f>
        <v>0</v>
      </c>
      <c r="H269" s="505">
        <f>('Pivot Table for Data Exchange'!$K$417)*100</f>
        <v>0</v>
      </c>
      <c r="I269" s="512"/>
      <c r="J269" s="552"/>
      <c r="K269" s="552"/>
      <c r="L269" s="552"/>
      <c r="M269" s="552"/>
      <c r="N269" s="552"/>
      <c r="O269" s="552"/>
      <c r="P269" s="552"/>
      <c r="Q269" s="510">
        <f t="shared" si="65"/>
        <v>0</v>
      </c>
      <c r="R269" s="510"/>
      <c r="S269" s="511"/>
      <c r="T269" s="511"/>
      <c r="U269" s="511"/>
      <c r="V269" s="511"/>
      <c r="W269" s="511"/>
      <c r="X269" s="511"/>
      <c r="Y269" s="511"/>
      <c r="Z269" s="511"/>
      <c r="AA269" s="511"/>
      <c r="AB269" s="511"/>
      <c r="AC269" s="511"/>
      <c r="AD269" s="511"/>
      <c r="AE269" s="511"/>
      <c r="AF269" s="511"/>
      <c r="AG269" s="511"/>
      <c r="AH269" s="511"/>
      <c r="AI269" s="511"/>
      <c r="AJ269" s="511"/>
      <c r="AK269" s="511"/>
      <c r="AL269" s="511"/>
      <c r="AM269" s="511"/>
      <c r="AN269" s="511"/>
      <c r="AO269" s="511"/>
    </row>
    <row r="270" spans="1:41" ht="15.75" customHeight="1">
      <c r="A270" s="512"/>
      <c r="B270" s="505"/>
      <c r="C270" s="505"/>
      <c r="D270" s="506"/>
      <c r="E270" s="505"/>
      <c r="F270" s="505"/>
      <c r="G270" s="515"/>
      <c r="H270" s="505"/>
      <c r="I270" s="512"/>
      <c r="J270" s="552"/>
      <c r="K270" s="552"/>
      <c r="L270" s="552"/>
      <c r="M270" s="552"/>
      <c r="N270" s="552"/>
      <c r="O270" s="552"/>
      <c r="P270" s="552"/>
      <c r="Q270" s="510">
        <f t="shared" si="65"/>
        <v>0</v>
      </c>
      <c r="R270" s="510"/>
      <c r="S270" s="511"/>
      <c r="T270" s="511"/>
      <c r="U270" s="511"/>
      <c r="V270" s="511"/>
      <c r="W270" s="511"/>
      <c r="X270" s="511"/>
      <c r="Y270" s="511"/>
      <c r="Z270" s="511"/>
      <c r="AA270" s="511"/>
      <c r="AB270" s="511"/>
      <c r="AC270" s="511"/>
      <c r="AD270" s="511"/>
      <c r="AE270" s="511"/>
      <c r="AF270" s="511"/>
      <c r="AG270" s="511"/>
      <c r="AH270" s="511"/>
      <c r="AI270" s="511"/>
      <c r="AJ270" s="511"/>
      <c r="AK270" s="511"/>
      <c r="AL270" s="511"/>
      <c r="AM270" s="511"/>
      <c r="AN270" s="511"/>
      <c r="AO270" s="511"/>
    </row>
    <row r="271" spans="1:41" ht="15.75" customHeight="1">
      <c r="A271" s="512" t="s">
        <v>906</v>
      </c>
      <c r="B271" s="505">
        <f>('Pivot Table for Data Exchange'!$K$438)*100</f>
        <v>0</v>
      </c>
      <c r="C271" s="505">
        <f>('Pivot Table for Data Exchange'!$K$441)*100</f>
        <v>0</v>
      </c>
      <c r="D271" s="506">
        <f>SUM(E271:G271)</f>
        <v>0</v>
      </c>
      <c r="E271" s="505">
        <f>('Pivot Table for Data Exchange'!$K$444)*100</f>
        <v>0</v>
      </c>
      <c r="F271" s="505">
        <f>('Pivot Table for Data Exchange'!$K$447)*100</f>
        <v>0</v>
      </c>
      <c r="G271" s="515">
        <f>('Pivot Table for Data Exchange'!$K$450)*100</f>
        <v>0</v>
      </c>
      <c r="H271" s="505">
        <f>('Pivot Table for Data Exchange'!$K$453)*100</f>
        <v>0</v>
      </c>
      <c r="I271" s="512"/>
      <c r="J271" s="552"/>
      <c r="K271" s="552"/>
      <c r="L271" s="552"/>
      <c r="M271" s="552"/>
      <c r="N271" s="552"/>
      <c r="O271" s="552"/>
      <c r="P271" s="552"/>
      <c r="Q271" s="510">
        <f t="shared" si="65"/>
        <v>0</v>
      </c>
      <c r="R271" s="510"/>
      <c r="S271" s="511"/>
      <c r="T271" s="511"/>
      <c r="U271" s="511"/>
      <c r="V271" s="511"/>
      <c r="W271" s="511"/>
      <c r="X271" s="511"/>
      <c r="Y271" s="511"/>
      <c r="Z271" s="511"/>
      <c r="AA271" s="511"/>
      <c r="AB271" s="511"/>
      <c r="AC271" s="511"/>
      <c r="AD271" s="511"/>
      <c r="AE271" s="511"/>
      <c r="AF271" s="511"/>
      <c r="AG271" s="511"/>
      <c r="AH271" s="511"/>
      <c r="AI271" s="511"/>
      <c r="AJ271" s="511"/>
      <c r="AK271" s="511"/>
      <c r="AL271" s="511"/>
      <c r="AM271" s="511"/>
      <c r="AN271" s="511"/>
      <c r="AO271" s="511"/>
    </row>
    <row r="272" spans="1:41" ht="15.75" customHeight="1">
      <c r="A272" s="512" t="s">
        <v>907</v>
      </c>
      <c r="B272" s="505">
        <f>('Pivot Table for Data Exchange'!$K$474)*100</f>
        <v>77.051024732823649</v>
      </c>
      <c r="C272" s="505">
        <f>('Pivot Table for Data Exchange'!$K$477)*100</f>
        <v>1.3772134241718075</v>
      </c>
      <c r="D272" s="506">
        <f>SUM(E272:G272)</f>
        <v>21.571761843004541</v>
      </c>
      <c r="E272" s="505">
        <f>('Pivot Table for Data Exchange'!$K$480)*100</f>
        <v>21.320271802697409</v>
      </c>
      <c r="F272" s="505">
        <f>('Pivot Table for Data Exchange'!$K$483)*100</f>
        <v>0.10856326132691542</v>
      </c>
      <c r="G272" s="518">
        <f>('Pivot Table for Data Exchange'!$K$486)*100</f>
        <v>0.14292677898021805</v>
      </c>
      <c r="H272" s="505">
        <f>('Pivot Table for Data Exchange'!$K$489)*100</f>
        <v>0</v>
      </c>
      <c r="I272" s="512"/>
      <c r="J272" s="552"/>
      <c r="K272" s="552"/>
      <c r="L272" s="552"/>
      <c r="M272" s="552"/>
      <c r="N272" s="552"/>
      <c r="O272" s="552"/>
      <c r="P272" s="552"/>
      <c r="Q272" s="510">
        <f t="shared" si="65"/>
        <v>100</v>
      </c>
      <c r="R272" s="510"/>
      <c r="S272" s="511"/>
      <c r="T272" s="511"/>
      <c r="U272" s="511"/>
      <c r="V272" s="511"/>
      <c r="W272" s="511"/>
      <c r="X272" s="511"/>
      <c r="Y272" s="511"/>
      <c r="Z272" s="511"/>
      <c r="AA272" s="511"/>
      <c r="AB272" s="511"/>
      <c r="AC272" s="511"/>
      <c r="AD272" s="511"/>
      <c r="AE272" s="511"/>
      <c r="AF272" s="511"/>
      <c r="AG272" s="511"/>
      <c r="AH272" s="511"/>
      <c r="AI272" s="511"/>
      <c r="AJ272" s="511"/>
      <c r="AK272" s="511"/>
      <c r="AL272" s="511"/>
      <c r="AM272" s="511"/>
      <c r="AN272" s="511"/>
      <c r="AO272" s="511"/>
    </row>
    <row r="273" spans="1:41" ht="15.75" customHeight="1">
      <c r="A273" s="512" t="s">
        <v>908</v>
      </c>
      <c r="B273" s="505">
        <f>('Pivot Table for Data Exchange'!$K$510)*100</f>
        <v>0</v>
      </c>
      <c r="C273" s="505">
        <f>('Pivot Table for Data Exchange'!$K$513)*100</f>
        <v>0</v>
      </c>
      <c r="D273" s="506">
        <f t="shared" ref="D273" si="66">SUM(E273:G273)</f>
        <v>0</v>
      </c>
      <c r="E273" s="505">
        <f>('Pivot Table for Data Exchange'!$K$516)*100</f>
        <v>0</v>
      </c>
      <c r="F273" s="505">
        <f>('Pivot Table for Data Exchange'!$K$519)*100</f>
        <v>0</v>
      </c>
      <c r="G273" s="515">
        <f>('Pivot Table for Data Exchange'!$K$522)*100</f>
        <v>0</v>
      </c>
      <c r="H273" s="505">
        <f>('Pivot Table for Data Exchange'!$K$525)*100</f>
        <v>0</v>
      </c>
      <c r="I273" s="512"/>
      <c r="J273" s="552"/>
      <c r="K273" s="552"/>
      <c r="L273" s="552"/>
      <c r="M273" s="552"/>
      <c r="N273" s="552"/>
      <c r="O273" s="552"/>
      <c r="P273" s="552"/>
      <c r="Q273" s="510">
        <f t="shared" si="65"/>
        <v>0</v>
      </c>
      <c r="R273" s="510"/>
      <c r="S273" s="511"/>
      <c r="T273" s="511"/>
      <c r="U273" s="511"/>
      <c r="V273" s="511"/>
      <c r="W273" s="511"/>
      <c r="X273" s="511"/>
      <c r="Y273" s="511"/>
      <c r="Z273" s="511"/>
      <c r="AA273" s="511"/>
      <c r="AB273" s="511"/>
      <c r="AC273" s="511"/>
      <c r="AD273" s="511"/>
      <c r="AE273" s="511"/>
      <c r="AF273" s="511"/>
      <c r="AG273" s="511"/>
      <c r="AH273" s="511"/>
      <c r="AI273" s="511"/>
      <c r="AJ273" s="511"/>
      <c r="AK273" s="511"/>
      <c r="AL273" s="511"/>
      <c r="AM273" s="511"/>
      <c r="AN273" s="511"/>
      <c r="AO273" s="511"/>
    </row>
    <row r="274" spans="1:41" ht="15.75" customHeight="1">
      <c r="A274" s="484" t="s">
        <v>909</v>
      </c>
      <c r="B274" s="520">
        <f>('Pivot Table for Data Exchange'!$K$546)*100</f>
        <v>84.227204942479759</v>
      </c>
      <c r="C274" s="520">
        <f>('Pivot Table for Data Exchange'!$K$549)*100</f>
        <v>6.2286962079250108</v>
      </c>
      <c r="D274" s="521">
        <f>SUM(E274:G274)</f>
        <v>9.5440988495952279</v>
      </c>
      <c r="E274" s="520">
        <f>('Pivot Table for Data Exchange'!$K$552)*100</f>
        <v>9.5440988495952279</v>
      </c>
      <c r="F274" s="520">
        <f>('Pivot Table for Data Exchange'!$K$555)*100</f>
        <v>0</v>
      </c>
      <c r="G274" s="522">
        <f>('Pivot Table for Data Exchange'!$K$558)*100</f>
        <v>0</v>
      </c>
      <c r="H274" s="520">
        <f>('Pivot Table for Data Exchange'!$K$561)*100</f>
        <v>0</v>
      </c>
      <c r="I274" s="512"/>
      <c r="J274" s="552"/>
      <c r="K274" s="552"/>
      <c r="L274" s="552"/>
      <c r="M274" s="552"/>
      <c r="N274" s="552"/>
      <c r="O274" s="552"/>
      <c r="P274" s="552"/>
      <c r="Q274" s="510">
        <f t="shared" si="65"/>
        <v>100</v>
      </c>
      <c r="R274" s="510"/>
      <c r="S274" s="511"/>
      <c r="T274" s="511"/>
      <c r="U274" s="511"/>
      <c r="V274" s="511"/>
      <c r="W274" s="511"/>
      <c r="X274" s="511"/>
      <c r="Y274" s="511"/>
      <c r="Z274" s="511"/>
      <c r="AA274" s="511"/>
      <c r="AB274" s="511"/>
      <c r="AC274" s="511"/>
      <c r="AD274" s="511"/>
      <c r="AE274" s="511"/>
      <c r="AF274" s="511"/>
      <c r="AG274" s="511"/>
      <c r="AH274" s="511"/>
      <c r="AI274" s="511"/>
      <c r="AJ274" s="511"/>
      <c r="AK274" s="511"/>
      <c r="AL274" s="511"/>
      <c r="AM274" s="511"/>
      <c r="AN274" s="511"/>
      <c r="AO274" s="511"/>
    </row>
    <row r="275" spans="1:41" s="524" customFormat="1" ht="12" customHeight="1">
      <c r="A275" s="525" t="s">
        <v>937</v>
      </c>
      <c r="B275" s="526"/>
      <c r="C275" s="526"/>
      <c r="D275" s="527"/>
      <c r="E275" s="526"/>
      <c r="F275" s="527"/>
      <c r="G275" s="527"/>
      <c r="H275" s="526"/>
      <c r="I275" s="546"/>
      <c r="J275" s="526"/>
      <c r="K275" s="526"/>
      <c r="L275" s="527"/>
      <c r="M275" s="526"/>
      <c r="N275" s="527"/>
      <c r="O275" s="527"/>
      <c r="P275" s="526"/>
      <c r="Q275" s="510">
        <f t="shared" si="65"/>
        <v>0</v>
      </c>
      <c r="R275" s="553"/>
      <c r="S275" s="528"/>
      <c r="T275" s="528"/>
      <c r="U275" s="528"/>
      <c r="V275" s="528"/>
      <c r="W275" s="528"/>
      <c r="X275" s="528"/>
      <c r="Y275" s="528"/>
      <c r="Z275" s="528"/>
      <c r="AA275" s="528"/>
      <c r="AB275" s="528"/>
      <c r="AC275" s="528"/>
      <c r="AD275" s="528"/>
      <c r="AE275" s="528"/>
      <c r="AF275" s="528"/>
      <c r="AG275" s="528"/>
      <c r="AH275" s="528"/>
      <c r="AI275" s="528"/>
      <c r="AJ275" s="528"/>
      <c r="AK275" s="528"/>
      <c r="AL275" s="528"/>
      <c r="AM275" s="528"/>
      <c r="AN275" s="528"/>
      <c r="AO275" s="528"/>
    </row>
    <row r="276" spans="1:41" s="524" customFormat="1" ht="23.25" customHeight="1">
      <c r="A276" s="655" t="s">
        <v>954</v>
      </c>
      <c r="B276" s="673"/>
      <c r="C276" s="673"/>
      <c r="D276" s="673"/>
      <c r="E276" s="673"/>
      <c r="F276" s="673"/>
      <c r="G276" s="673"/>
      <c r="H276" s="673"/>
      <c r="I276" s="546"/>
      <c r="P276" s="541"/>
      <c r="Q276" s="510">
        <f t="shared" si="65"/>
        <v>0</v>
      </c>
      <c r="R276" s="554"/>
    </row>
    <row r="277" spans="1:41" s="524" customFormat="1" ht="13.5" customHeight="1">
      <c r="H277" s="540"/>
      <c r="I277" s="538"/>
      <c r="Q277" s="510">
        <f t="shared" si="65"/>
        <v>0</v>
      </c>
      <c r="R277" s="554"/>
    </row>
    <row r="278" spans="1:41" s="524" customFormat="1">
      <c r="A278" s="540"/>
      <c r="B278" s="526"/>
      <c r="C278" s="526"/>
      <c r="D278" s="527"/>
      <c r="E278" s="526"/>
      <c r="F278" s="527"/>
      <c r="G278" s="527"/>
      <c r="H278" s="532" t="s">
        <v>1015</v>
      </c>
      <c r="I278" s="558"/>
      <c r="J278" s="540"/>
      <c r="K278" s="540"/>
      <c r="L278" s="540"/>
      <c r="M278" s="540"/>
      <c r="N278" s="540"/>
      <c r="O278" s="540"/>
      <c r="P278" s="540"/>
      <c r="Q278" s="510">
        <f t="shared" si="65"/>
        <v>0</v>
      </c>
      <c r="R278" s="554"/>
    </row>
    <row r="279" spans="1:41" ht="18">
      <c r="A279" s="472" t="s">
        <v>955</v>
      </c>
      <c r="B279" s="473"/>
      <c r="C279" s="473"/>
      <c r="D279" s="473"/>
      <c r="E279" s="473"/>
      <c r="F279" s="473"/>
      <c r="G279" s="473"/>
      <c r="H279" s="474"/>
      <c r="I279" s="550"/>
      <c r="J279" s="512"/>
      <c r="K279" s="512"/>
      <c r="L279" s="512"/>
      <c r="M279" s="512"/>
      <c r="N279" s="512"/>
      <c r="O279" s="512"/>
      <c r="P279" s="512"/>
      <c r="Q279" s="510">
        <f t="shared" si="65"/>
        <v>0</v>
      </c>
    </row>
    <row r="280" spans="1:41">
      <c r="A280" s="479"/>
      <c r="B280" s="475"/>
      <c r="C280" s="475"/>
      <c r="D280" s="475"/>
      <c r="E280" s="475"/>
      <c r="F280" s="475"/>
      <c r="G280" s="475"/>
      <c r="H280" s="480"/>
      <c r="I280" s="550"/>
      <c r="J280" s="512"/>
      <c r="K280" s="512"/>
      <c r="L280" s="512"/>
      <c r="M280" s="512"/>
      <c r="N280" s="512"/>
      <c r="O280" s="512"/>
      <c r="P280" s="512"/>
      <c r="Q280" s="510">
        <f t="shared" si="65"/>
        <v>0</v>
      </c>
    </row>
    <row r="281" spans="1:41" ht="15.75">
      <c r="A281" s="481" t="s">
        <v>917</v>
      </c>
      <c r="B281" s="475"/>
      <c r="C281" s="475"/>
      <c r="D281" s="475"/>
      <c r="E281" s="475"/>
      <c r="F281" s="475"/>
      <c r="G281" s="475"/>
      <c r="H281" s="480"/>
      <c r="I281" s="550"/>
      <c r="J281" s="512"/>
      <c r="K281" s="512"/>
      <c r="L281" s="512"/>
      <c r="M281" s="512"/>
      <c r="N281" s="512"/>
      <c r="O281" s="512"/>
      <c r="P281" s="512"/>
      <c r="Q281" s="510">
        <f t="shared" si="65"/>
        <v>0</v>
      </c>
    </row>
    <row r="282" spans="1:41" ht="15.75">
      <c r="A282" s="481" t="s">
        <v>971</v>
      </c>
      <c r="B282" s="475"/>
      <c r="C282" s="475"/>
      <c r="D282" s="475"/>
      <c r="E282" s="475"/>
      <c r="F282" s="475"/>
      <c r="G282" s="475"/>
      <c r="H282" s="480"/>
      <c r="I282" s="550"/>
      <c r="J282" s="512"/>
      <c r="K282" s="512"/>
      <c r="L282" s="512"/>
      <c r="M282" s="512"/>
      <c r="N282" s="512"/>
      <c r="O282" s="512"/>
      <c r="P282" s="512"/>
      <c r="Q282" s="510">
        <f t="shared" si="65"/>
        <v>0</v>
      </c>
    </row>
    <row r="283" spans="1:41">
      <c r="A283" s="484"/>
      <c r="B283" s="485"/>
      <c r="C283" s="485"/>
      <c r="D283" s="485"/>
      <c r="E283" s="485"/>
      <c r="F283" s="485"/>
      <c r="G283" s="485"/>
      <c r="H283" s="485"/>
      <c r="I283" s="550"/>
      <c r="J283" s="512"/>
      <c r="K283" s="512"/>
      <c r="L283" s="512"/>
      <c r="M283" s="512"/>
      <c r="N283" s="512"/>
      <c r="O283" s="512"/>
      <c r="P283" s="512"/>
      <c r="Q283" s="510">
        <f t="shared" si="65"/>
        <v>0</v>
      </c>
    </row>
    <row r="284" spans="1:41">
      <c r="A284" s="489"/>
      <c r="B284" s="490" t="s">
        <v>919</v>
      </c>
      <c r="C284" s="490"/>
      <c r="D284" s="490"/>
      <c r="E284" s="490"/>
      <c r="F284" s="490"/>
      <c r="G284" s="490"/>
      <c r="H284" s="491"/>
      <c r="I284" s="550"/>
      <c r="J284" s="512"/>
      <c r="K284" s="512"/>
      <c r="L284" s="512"/>
      <c r="M284" s="512"/>
      <c r="N284" s="512"/>
      <c r="O284" s="512"/>
      <c r="P284" s="512"/>
      <c r="Q284" s="510">
        <f t="shared" si="65"/>
        <v>0</v>
      </c>
    </row>
    <row r="285" spans="1:41">
      <c r="A285" s="489"/>
      <c r="B285" s="490" t="s">
        <v>920</v>
      </c>
      <c r="C285" s="490"/>
      <c r="D285" s="659" t="s">
        <v>921</v>
      </c>
      <c r="E285" s="657"/>
      <c r="F285" s="657"/>
      <c r="G285" s="657"/>
      <c r="H285" s="495" t="s">
        <v>320</v>
      </c>
      <c r="I285" s="550"/>
      <c r="J285" s="512"/>
      <c r="K285" s="512"/>
      <c r="L285" s="512"/>
      <c r="M285" s="512"/>
      <c r="N285" s="512"/>
      <c r="O285" s="512"/>
      <c r="P285" s="512"/>
      <c r="Q285" s="510">
        <f t="shared" si="65"/>
        <v>0</v>
      </c>
    </row>
    <row r="286" spans="1:41" ht="36">
      <c r="A286" s="489"/>
      <c r="B286" s="496" t="s">
        <v>922</v>
      </c>
      <c r="C286" s="497" t="s">
        <v>923</v>
      </c>
      <c r="D286" s="498" t="s">
        <v>924</v>
      </c>
      <c r="E286" s="499" t="s">
        <v>10</v>
      </c>
      <c r="F286" s="496" t="s">
        <v>925</v>
      </c>
      <c r="G286" s="500" t="s">
        <v>935</v>
      </c>
      <c r="H286" s="501" t="s">
        <v>927</v>
      </c>
      <c r="I286" s="550"/>
      <c r="J286" s="512"/>
      <c r="K286" s="512"/>
      <c r="L286" s="512"/>
      <c r="M286" s="512"/>
      <c r="N286" s="512"/>
      <c r="O286" s="512"/>
      <c r="P286" s="512"/>
      <c r="Q286" s="510">
        <f t="shared" si="65"/>
        <v>0</v>
      </c>
    </row>
    <row r="287" spans="1:41" ht="15.75" customHeight="1">
      <c r="A287" s="534" t="s">
        <v>894</v>
      </c>
      <c r="B287" s="505">
        <f>('Pivot Table for Data Exchange'!$L$6)*100</f>
        <v>63.286081542893136</v>
      </c>
      <c r="C287" s="505">
        <f>('Pivot Table for Data Exchange'!$L$9)*100</f>
        <v>6.0416387044818647</v>
      </c>
      <c r="D287" s="506">
        <f>SUM(E287:G287)</f>
        <v>30.672279752625002</v>
      </c>
      <c r="E287" s="505">
        <f>('Pivot Table for Data Exchange'!$L$12)*100</f>
        <v>30.338024097380671</v>
      </c>
      <c r="F287" s="505">
        <f>('Pivot Table for Data Exchange'!$L$15)*100</f>
        <v>0.33425565524432926</v>
      </c>
      <c r="G287" s="509">
        <f>('Pivot Table for Data Exchange'!$L$18)*100</f>
        <v>0</v>
      </c>
      <c r="H287" s="505">
        <f>('Pivot Table for Data Exchange'!$L$21)*100</f>
        <v>0</v>
      </c>
      <c r="I287" s="512"/>
      <c r="J287" s="552"/>
      <c r="K287" s="552"/>
      <c r="L287" s="552"/>
      <c r="M287" s="552"/>
      <c r="N287" s="552"/>
      <c r="O287" s="552"/>
      <c r="P287" s="552"/>
      <c r="Q287" s="510">
        <f t="shared" si="65"/>
        <v>100</v>
      </c>
      <c r="R287" s="510"/>
      <c r="S287" s="511"/>
      <c r="T287" s="511"/>
      <c r="U287" s="511"/>
      <c r="V287" s="511"/>
      <c r="W287" s="511"/>
      <c r="X287" s="511"/>
      <c r="Y287" s="511"/>
      <c r="Z287" s="511"/>
      <c r="AA287" s="511"/>
      <c r="AB287" s="511"/>
      <c r="AC287" s="511"/>
      <c r="AD287" s="511"/>
      <c r="AE287" s="511"/>
      <c r="AF287" s="511"/>
      <c r="AG287" s="511"/>
      <c r="AH287" s="511"/>
      <c r="AI287" s="511"/>
      <c r="AJ287" s="511"/>
      <c r="AK287" s="511"/>
      <c r="AL287" s="511"/>
      <c r="AM287" s="511"/>
      <c r="AN287" s="511"/>
      <c r="AO287" s="511"/>
    </row>
    <row r="288" spans="1:41" ht="15.75" customHeight="1">
      <c r="A288" s="512" t="s">
        <v>895</v>
      </c>
      <c r="B288" s="505">
        <f>('Pivot Table for Data Exchange'!$L$42)*100</f>
        <v>63.175674618938437</v>
      </c>
      <c r="C288" s="505">
        <f>('Pivot Table for Data Exchange'!$L$45)*100</f>
        <v>5.8805313748244448</v>
      </c>
      <c r="D288" s="506">
        <f t="shared" ref="D288:D290" si="67">SUM(E288:G288)</f>
        <v>30.943794006237116</v>
      </c>
      <c r="E288" s="505">
        <f>('Pivot Table for Data Exchange'!$L$48)*100</f>
        <v>30.905633111145171</v>
      </c>
      <c r="F288" s="519">
        <f>('Pivot Table for Data Exchange'!$L$51)*100</f>
        <v>3.8160895091945861E-2</v>
      </c>
      <c r="G288" s="515">
        <f>('Pivot Table for Data Exchange'!$L$54)*100</f>
        <v>0</v>
      </c>
      <c r="H288" s="505">
        <f>('Pivot Table for Data Exchange'!$L$57)*100</f>
        <v>0</v>
      </c>
      <c r="I288" s="512"/>
      <c r="J288" s="552"/>
      <c r="K288" s="552"/>
      <c r="L288" s="552"/>
      <c r="M288" s="552"/>
      <c r="N288" s="552"/>
      <c r="O288" s="552"/>
      <c r="P288" s="552"/>
      <c r="Q288" s="510">
        <f t="shared" si="65"/>
        <v>100</v>
      </c>
      <c r="R288" s="510"/>
      <c r="S288" s="511"/>
      <c r="T288" s="511"/>
      <c r="U288" s="511"/>
      <c r="V288" s="511"/>
      <c r="W288" s="511"/>
      <c r="X288" s="511"/>
      <c r="Y288" s="511"/>
      <c r="Z288" s="511"/>
      <c r="AA288" s="511"/>
      <c r="AB288" s="511"/>
      <c r="AC288" s="511"/>
      <c r="AD288" s="511"/>
      <c r="AE288" s="511"/>
      <c r="AF288" s="511"/>
      <c r="AG288" s="511"/>
      <c r="AH288" s="511"/>
      <c r="AI288" s="511"/>
      <c r="AJ288" s="511"/>
      <c r="AK288" s="511"/>
      <c r="AL288" s="511"/>
      <c r="AM288" s="511"/>
      <c r="AN288" s="511"/>
      <c r="AO288" s="511"/>
    </row>
    <row r="289" spans="1:41" ht="15.75" customHeight="1">
      <c r="A289" s="512" t="s">
        <v>896</v>
      </c>
      <c r="B289" s="505">
        <f>('Pivot Table for Data Exchange'!$L$78)*100</f>
        <v>0</v>
      </c>
      <c r="C289" s="505">
        <f>('Pivot Table for Data Exchange'!$L$81)*100</f>
        <v>0</v>
      </c>
      <c r="D289" s="506">
        <f t="shared" si="67"/>
        <v>0</v>
      </c>
      <c r="E289" s="505">
        <f>('Pivot Table for Data Exchange'!$L$84)*100</f>
        <v>0</v>
      </c>
      <c r="F289" s="505">
        <f>('Pivot Table for Data Exchange'!$L$87)*100</f>
        <v>0</v>
      </c>
      <c r="G289" s="515">
        <f>('Pivot Table for Data Exchange'!$L$90)*100</f>
        <v>0</v>
      </c>
      <c r="H289" s="505">
        <f>('Pivot Table for Data Exchange'!$L$93)*100</f>
        <v>0</v>
      </c>
      <c r="I289" s="512"/>
      <c r="J289" s="552"/>
      <c r="K289" s="552"/>
      <c r="L289" s="552"/>
      <c r="M289" s="552"/>
      <c r="N289" s="552"/>
      <c r="O289" s="552"/>
      <c r="P289" s="552"/>
      <c r="Q289" s="510">
        <f t="shared" si="65"/>
        <v>0</v>
      </c>
      <c r="R289" s="510"/>
      <c r="S289" s="511"/>
      <c r="T289" s="535"/>
      <c r="U289" s="511"/>
      <c r="V289" s="511"/>
      <c r="W289" s="511"/>
      <c r="X289" s="511"/>
      <c r="Y289" s="511"/>
      <c r="Z289" s="511"/>
      <c r="AA289" s="511"/>
      <c r="AB289" s="511"/>
      <c r="AC289" s="511"/>
      <c r="AD289" s="511"/>
      <c r="AE289" s="511"/>
      <c r="AF289" s="511"/>
      <c r="AG289" s="511"/>
      <c r="AH289" s="511"/>
      <c r="AI289" s="511"/>
      <c r="AJ289" s="511"/>
      <c r="AK289" s="511"/>
      <c r="AL289" s="511"/>
      <c r="AM289" s="511"/>
      <c r="AN289" s="511"/>
      <c r="AO289" s="511"/>
    </row>
    <row r="290" spans="1:41" ht="15.75" customHeight="1">
      <c r="A290" s="512" t="s">
        <v>936</v>
      </c>
      <c r="B290" s="505">
        <f>('Pivot Table for Data Exchange'!$L$114)*100</f>
        <v>77.404459602231654</v>
      </c>
      <c r="C290" s="505">
        <f>('Pivot Table for Data Exchange'!$L$117)*100</f>
        <v>3.2410891364386201</v>
      </c>
      <c r="D290" s="506">
        <f t="shared" si="67"/>
        <v>19.354451261329725</v>
      </c>
      <c r="E290" s="505">
        <f>('Pivot Table for Data Exchange'!$L$120)*100</f>
        <v>19.306407666215641</v>
      </c>
      <c r="F290" s="505">
        <f>('Pivot Table for Data Exchange'!$L$123)*100</f>
        <v>0</v>
      </c>
      <c r="G290" s="513">
        <f>('Pivot Table for Data Exchange'!$L$126)*100</f>
        <v>4.8043595114085E-2</v>
      </c>
      <c r="H290" s="519">
        <f>('Pivot Table for Data Exchange'!$L$129)*100</f>
        <v>0</v>
      </c>
      <c r="I290" s="512"/>
      <c r="J290" s="552"/>
      <c r="K290" s="552"/>
      <c r="L290" s="552"/>
      <c r="M290" s="552"/>
      <c r="N290" s="552"/>
      <c r="O290" s="552"/>
      <c r="P290" s="552"/>
      <c r="Q290" s="510">
        <f t="shared" si="65"/>
        <v>100</v>
      </c>
      <c r="R290" s="510"/>
      <c r="S290" s="511"/>
      <c r="U290" s="511"/>
      <c r="V290" s="511"/>
      <c r="W290" s="511"/>
      <c r="X290" s="511"/>
      <c r="Y290" s="511"/>
      <c r="Z290" s="511"/>
      <c r="AA290" s="511"/>
      <c r="AB290" s="511"/>
      <c r="AC290" s="511"/>
      <c r="AD290" s="511"/>
      <c r="AE290" s="511"/>
      <c r="AF290" s="511"/>
      <c r="AG290" s="511"/>
      <c r="AH290" s="511"/>
      <c r="AI290" s="511"/>
      <c r="AJ290" s="511"/>
      <c r="AK290" s="511"/>
      <c r="AL290" s="511"/>
      <c r="AM290" s="511"/>
      <c r="AN290" s="511"/>
      <c r="AO290" s="511"/>
    </row>
    <row r="291" spans="1:41" ht="15.75" customHeight="1">
      <c r="A291" s="512"/>
      <c r="B291" s="505"/>
      <c r="C291" s="505"/>
      <c r="D291" s="506"/>
      <c r="E291" s="505"/>
      <c r="F291" s="505"/>
      <c r="G291" s="515"/>
      <c r="H291" s="505"/>
      <c r="I291" s="512"/>
      <c r="J291" s="552"/>
      <c r="K291" s="552"/>
      <c r="L291" s="552"/>
      <c r="M291" s="552"/>
      <c r="N291" s="552"/>
      <c r="O291" s="552"/>
      <c r="P291" s="552"/>
      <c r="Q291" s="510">
        <f t="shared" si="65"/>
        <v>0</v>
      </c>
      <c r="R291" s="510"/>
      <c r="S291" s="511"/>
      <c r="U291" s="511"/>
      <c r="V291" s="511"/>
      <c r="W291" s="511"/>
      <c r="X291" s="511"/>
      <c r="Y291" s="511"/>
      <c r="Z291" s="511"/>
      <c r="AA291" s="511"/>
      <c r="AB291" s="511"/>
      <c r="AC291" s="511"/>
      <c r="AD291" s="511"/>
      <c r="AE291" s="511"/>
      <c r="AF291" s="511"/>
      <c r="AG291" s="511"/>
      <c r="AH291" s="511"/>
      <c r="AI291" s="511"/>
      <c r="AJ291" s="511"/>
      <c r="AK291" s="511"/>
      <c r="AL291" s="511"/>
      <c r="AM291" s="511"/>
      <c r="AN291" s="511"/>
      <c r="AO291" s="511"/>
    </row>
    <row r="292" spans="1:41" ht="15.75" customHeight="1">
      <c r="A292" s="512" t="s">
        <v>898</v>
      </c>
      <c r="B292" s="505">
        <f>('Pivot Table for Data Exchange'!$L$150)*100</f>
        <v>75.762874572458529</v>
      </c>
      <c r="C292" s="505">
        <f>('Pivot Table for Data Exchange'!$L$153)*100</f>
        <v>0.62189847084590055</v>
      </c>
      <c r="D292" s="506">
        <f t="shared" ref="D292:D295" si="68">SUM(E292:G292)</f>
        <v>23.615226956695569</v>
      </c>
      <c r="E292" s="505">
        <f>('Pivot Table for Data Exchange'!$L$156)*100</f>
        <v>23.615226956695569</v>
      </c>
      <c r="F292" s="505">
        <f>('Pivot Table for Data Exchange'!$L$159)*100</f>
        <v>0</v>
      </c>
      <c r="G292" s="515">
        <f>('Pivot Table for Data Exchange'!$L$162)*100</f>
        <v>0</v>
      </c>
      <c r="H292" s="505">
        <f>('Pivot Table for Data Exchange'!$L$165)*100</f>
        <v>0</v>
      </c>
      <c r="I292" s="512"/>
      <c r="J292" s="552"/>
      <c r="K292" s="552"/>
      <c r="L292" s="552"/>
      <c r="M292" s="552"/>
      <c r="N292" s="552"/>
      <c r="O292" s="552"/>
      <c r="P292" s="552"/>
      <c r="Q292" s="510">
        <f t="shared" si="65"/>
        <v>100</v>
      </c>
      <c r="R292" s="510"/>
      <c r="S292" s="511"/>
      <c r="T292" s="511"/>
      <c r="U292" s="511"/>
      <c r="V292" s="511"/>
      <c r="W292" s="511"/>
      <c r="X292" s="511"/>
      <c r="Y292" s="511"/>
      <c r="Z292" s="511"/>
      <c r="AA292" s="511"/>
      <c r="AB292" s="511"/>
      <c r="AC292" s="511"/>
      <c r="AD292" s="511"/>
      <c r="AE292" s="511"/>
      <c r="AF292" s="511"/>
      <c r="AG292" s="511"/>
      <c r="AH292" s="511"/>
      <c r="AI292" s="511"/>
      <c r="AJ292" s="511"/>
      <c r="AK292" s="511"/>
      <c r="AL292" s="511"/>
      <c r="AM292" s="511"/>
      <c r="AN292" s="511"/>
      <c r="AO292" s="511"/>
    </row>
    <row r="293" spans="1:41" ht="15.75" customHeight="1">
      <c r="A293" s="512" t="s">
        <v>899</v>
      </c>
      <c r="B293" s="505">
        <f>('Pivot Table for Data Exchange'!$L$186)*100</f>
        <v>63.441078972247823</v>
      </c>
      <c r="C293" s="505">
        <f>('Pivot Table for Data Exchange'!$L$189)*100</f>
        <v>10.967077943059561</v>
      </c>
      <c r="D293" s="506">
        <f t="shared" si="68"/>
        <v>25.591843084692616</v>
      </c>
      <c r="E293" s="505">
        <f>('Pivot Table for Data Exchange'!$L$192)*100</f>
        <v>25.591843084692616</v>
      </c>
      <c r="F293" s="519">
        <f>('Pivot Table for Data Exchange'!$L$195)*100</f>
        <v>0</v>
      </c>
      <c r="G293" s="513">
        <f>('Pivot Table for Data Exchange'!$L$198)*100</f>
        <v>0</v>
      </c>
      <c r="H293" s="505">
        <f>('Pivot Table for Data Exchange'!$L$201)*100</f>
        <v>0</v>
      </c>
      <c r="I293" s="512"/>
      <c r="J293" s="552"/>
      <c r="K293" s="552"/>
      <c r="L293" s="552"/>
      <c r="M293" s="552"/>
      <c r="N293" s="552"/>
      <c r="O293" s="552"/>
      <c r="P293" s="552"/>
      <c r="Q293" s="510">
        <f t="shared" si="65"/>
        <v>100</v>
      </c>
      <c r="R293" s="510"/>
      <c r="S293" s="511"/>
      <c r="T293" s="511"/>
      <c r="U293" s="511"/>
      <c r="V293" s="511"/>
      <c r="W293" s="511"/>
      <c r="X293" s="511"/>
      <c r="Y293" s="511"/>
      <c r="Z293" s="511"/>
      <c r="AA293" s="511"/>
      <c r="AB293" s="511"/>
      <c r="AC293" s="511"/>
      <c r="AD293" s="511"/>
      <c r="AE293" s="511"/>
      <c r="AF293" s="511"/>
      <c r="AG293" s="511"/>
      <c r="AH293" s="511"/>
      <c r="AI293" s="511"/>
      <c r="AJ293" s="511"/>
      <c r="AK293" s="511"/>
      <c r="AL293" s="511"/>
      <c r="AM293" s="511"/>
      <c r="AN293" s="511"/>
      <c r="AO293" s="511"/>
    </row>
    <row r="294" spans="1:41" ht="15.75" customHeight="1">
      <c r="A294" s="512" t="s">
        <v>900</v>
      </c>
      <c r="B294" s="505">
        <f>('Pivot Table for Data Exchange'!$L$222)*100</f>
        <v>86.433417472218864</v>
      </c>
      <c r="C294" s="505">
        <f>('Pivot Table for Data Exchange'!$L$225)*100</f>
        <v>0</v>
      </c>
      <c r="D294" s="506">
        <f t="shared" si="68"/>
        <v>13.566582527781144</v>
      </c>
      <c r="E294" s="505">
        <f>('Pivot Table for Data Exchange'!$L$228)*100</f>
        <v>13.566582527781144</v>
      </c>
      <c r="F294" s="505">
        <f>('Pivot Table for Data Exchange'!$L$231)*100</f>
        <v>0</v>
      </c>
      <c r="G294" s="515">
        <f>('Pivot Table for Data Exchange'!$L$234)*100</f>
        <v>0</v>
      </c>
      <c r="H294" s="505">
        <f>('Pivot Table for Data Exchange'!$L$237)*100</f>
        <v>0</v>
      </c>
      <c r="I294" s="512"/>
      <c r="J294" s="552"/>
      <c r="K294" s="552"/>
      <c r="L294" s="552"/>
      <c r="M294" s="552"/>
      <c r="N294" s="552"/>
      <c r="O294" s="552"/>
      <c r="P294" s="552"/>
      <c r="Q294" s="510">
        <f t="shared" si="65"/>
        <v>100</v>
      </c>
      <c r="R294" s="510"/>
      <c r="S294" s="511"/>
      <c r="T294" s="535"/>
      <c r="U294" s="511"/>
      <c r="V294" s="511"/>
      <c r="W294" s="511"/>
      <c r="X294" s="511"/>
      <c r="Y294" s="511"/>
      <c r="Z294" s="511"/>
      <c r="AA294" s="511"/>
      <c r="AB294" s="511"/>
      <c r="AC294" s="511"/>
      <c r="AD294" s="511"/>
      <c r="AE294" s="511"/>
      <c r="AF294" s="511"/>
      <c r="AG294" s="511"/>
      <c r="AH294" s="511"/>
      <c r="AI294" s="511"/>
      <c r="AJ294" s="511"/>
      <c r="AK294" s="511"/>
      <c r="AL294" s="511"/>
      <c r="AM294" s="511"/>
      <c r="AN294" s="511"/>
      <c r="AO294" s="511"/>
    </row>
    <row r="295" spans="1:41" ht="15.75" customHeight="1">
      <c r="A295" s="512" t="s">
        <v>901</v>
      </c>
      <c r="B295" s="505">
        <f>('Pivot Table for Data Exchange'!$L$258)*100</f>
        <v>72.961437585657535</v>
      </c>
      <c r="C295" s="505">
        <f>('Pivot Table for Data Exchange'!$L$261)*100</f>
        <v>10.503862602080925</v>
      </c>
      <c r="D295" s="506">
        <f t="shared" si="68"/>
        <v>16.53469981226154</v>
      </c>
      <c r="E295" s="505">
        <f>('Pivot Table for Data Exchange'!$L$264)*100</f>
        <v>16.499467792766158</v>
      </c>
      <c r="F295" s="505">
        <f>('Pivot Table for Data Exchange'!$L$267)*100</f>
        <v>3.5232019495382072E-2</v>
      </c>
      <c r="G295" s="513">
        <f>('Pivot Table for Data Exchange'!$L$270)*100</f>
        <v>0</v>
      </c>
      <c r="H295" s="505">
        <f>('Pivot Table for Data Exchange'!$L$273)*100</f>
        <v>0</v>
      </c>
      <c r="I295" s="512"/>
      <c r="J295" s="552"/>
      <c r="K295" s="552"/>
      <c r="L295" s="552"/>
      <c r="M295" s="552"/>
      <c r="N295" s="552"/>
      <c r="O295" s="552"/>
      <c r="P295" s="552"/>
      <c r="Q295" s="510">
        <f t="shared" si="65"/>
        <v>100</v>
      </c>
      <c r="R295" s="510"/>
      <c r="S295" s="511"/>
      <c r="U295" s="511"/>
      <c r="V295" s="511"/>
      <c r="W295" s="511"/>
      <c r="X295" s="511"/>
      <c r="Y295" s="511"/>
      <c r="Z295" s="511"/>
      <c r="AA295" s="511"/>
      <c r="AB295" s="511"/>
      <c r="AC295" s="511"/>
      <c r="AD295" s="511"/>
      <c r="AE295" s="511"/>
      <c r="AF295" s="511"/>
      <c r="AG295" s="511"/>
      <c r="AH295" s="511"/>
      <c r="AI295" s="511"/>
      <c r="AJ295" s="511"/>
      <c r="AK295" s="511"/>
      <c r="AL295" s="511"/>
      <c r="AM295" s="511"/>
      <c r="AN295" s="511"/>
      <c r="AO295" s="511"/>
    </row>
    <row r="296" spans="1:41" ht="9.75" customHeight="1">
      <c r="A296" s="512"/>
      <c r="B296" s="505"/>
      <c r="C296" s="505"/>
      <c r="D296" s="506"/>
      <c r="E296" s="505"/>
      <c r="F296" s="505"/>
      <c r="G296" s="515"/>
      <c r="H296" s="505"/>
      <c r="I296" s="512"/>
      <c r="J296" s="552"/>
      <c r="K296" s="552"/>
      <c r="L296" s="552"/>
      <c r="M296" s="552"/>
      <c r="N296" s="552"/>
      <c r="O296" s="552"/>
      <c r="P296" s="552"/>
      <c r="Q296" s="510">
        <f t="shared" si="65"/>
        <v>0</v>
      </c>
      <c r="R296" s="510"/>
      <c r="S296" s="511"/>
      <c r="U296" s="511"/>
      <c r="V296" s="511"/>
      <c r="W296" s="511"/>
      <c r="X296" s="511"/>
      <c r="Y296" s="511"/>
      <c r="Z296" s="511"/>
      <c r="AA296" s="511"/>
      <c r="AB296" s="511"/>
      <c r="AC296" s="511"/>
      <c r="AD296" s="511"/>
      <c r="AE296" s="511"/>
      <c r="AF296" s="511"/>
      <c r="AG296" s="511"/>
      <c r="AH296" s="511"/>
      <c r="AI296" s="511"/>
      <c r="AJ296" s="511"/>
      <c r="AK296" s="511"/>
      <c r="AL296" s="511"/>
      <c r="AM296" s="511"/>
      <c r="AN296" s="511"/>
      <c r="AO296" s="511"/>
    </row>
    <row r="297" spans="1:41" ht="15.75" customHeight="1">
      <c r="A297" s="512" t="s">
        <v>951</v>
      </c>
      <c r="B297" s="505">
        <f>('Pivot Table for Data Exchange'!$L$294)*100</f>
        <v>75.983852897764663</v>
      </c>
      <c r="C297" s="505">
        <f>('Pivot Table for Data Exchange'!$L$297)*100</f>
        <v>0</v>
      </c>
      <c r="D297" s="506">
        <f t="shared" ref="D297:D299" si="69">SUM(E297:G297)</f>
        <v>24.01614710223534</v>
      </c>
      <c r="E297" s="505">
        <f>('Pivot Table for Data Exchange'!$L$300)*100</f>
        <v>24.01614710223534</v>
      </c>
      <c r="F297" s="505">
        <f>('Pivot Table for Data Exchange'!$L$303)*100</f>
        <v>0</v>
      </c>
      <c r="G297" s="515">
        <f>('Pivot Table for Data Exchange'!$L$306)*100</f>
        <v>0</v>
      </c>
      <c r="H297" s="505">
        <f>('Pivot Table for Data Exchange'!$L$309)*100</f>
        <v>0</v>
      </c>
      <c r="I297" s="559"/>
      <c r="J297" s="552"/>
      <c r="K297" s="552"/>
      <c r="L297" s="552"/>
      <c r="M297" s="552"/>
      <c r="N297" s="552"/>
      <c r="O297" s="552"/>
      <c r="P297" s="552"/>
      <c r="Q297" s="510">
        <f t="shared" si="65"/>
        <v>100</v>
      </c>
      <c r="R297" s="510"/>
      <c r="S297" s="511"/>
      <c r="T297" s="511"/>
      <c r="U297" s="511"/>
      <c r="V297" s="511"/>
      <c r="W297" s="511"/>
      <c r="X297" s="511"/>
      <c r="Y297" s="511"/>
      <c r="Z297" s="511"/>
      <c r="AA297" s="511"/>
      <c r="AB297" s="511"/>
      <c r="AC297" s="511"/>
      <c r="AD297" s="511"/>
      <c r="AE297" s="511"/>
      <c r="AF297" s="511"/>
      <c r="AG297" s="511"/>
      <c r="AH297" s="511"/>
      <c r="AI297" s="511"/>
      <c r="AJ297" s="511"/>
      <c r="AK297" s="511"/>
      <c r="AL297" s="511"/>
      <c r="AM297" s="511"/>
      <c r="AN297" s="511"/>
      <c r="AO297" s="511"/>
    </row>
    <row r="298" spans="1:41" ht="15.75" customHeight="1">
      <c r="A298" s="512" t="s">
        <v>903</v>
      </c>
      <c r="B298" s="505">
        <f>('Pivot Table for Data Exchange'!$L$330)*100</f>
        <v>37.417510702115493</v>
      </c>
      <c r="C298" s="505">
        <f>('Pivot Table for Data Exchange'!$L$333)*100</f>
        <v>20.275095072173063</v>
      </c>
      <c r="D298" s="506">
        <f t="shared" si="69"/>
        <v>42.307394225711448</v>
      </c>
      <c r="E298" s="505">
        <f>('Pivot Table for Data Exchange'!$L$336)*100</f>
        <v>42.17740728147475</v>
      </c>
      <c r="F298" s="505">
        <f>('Pivot Table for Data Exchange'!$L$339)*100</f>
        <v>7.35094502667024E-2</v>
      </c>
      <c r="G298" s="515">
        <f>('Pivot Table for Data Exchange'!$L$342)*100</f>
        <v>5.647749396999259E-2</v>
      </c>
      <c r="H298" s="505">
        <f>('Pivot Table for Data Exchange'!$L$345)*100</f>
        <v>0</v>
      </c>
      <c r="I298" s="512"/>
      <c r="J298" s="552"/>
      <c r="K298" s="552"/>
      <c r="L298" s="552"/>
      <c r="M298" s="552"/>
      <c r="N298" s="552"/>
      <c r="O298" s="552"/>
      <c r="P298" s="552"/>
      <c r="Q298" s="510">
        <f t="shared" si="65"/>
        <v>100</v>
      </c>
      <c r="R298" s="510"/>
      <c r="S298" s="511"/>
      <c r="T298" s="511"/>
      <c r="U298" s="511"/>
      <c r="V298" s="511"/>
      <c r="W298" s="511"/>
      <c r="X298" s="511"/>
      <c r="Y298" s="511"/>
      <c r="Z298" s="511"/>
      <c r="AA298" s="511"/>
      <c r="AB298" s="511"/>
      <c r="AC298" s="511"/>
      <c r="AD298" s="511"/>
      <c r="AE298" s="511"/>
      <c r="AF298" s="511"/>
      <c r="AG298" s="511"/>
      <c r="AH298" s="511"/>
      <c r="AI298" s="511"/>
      <c r="AJ298" s="511"/>
      <c r="AK298" s="511"/>
      <c r="AL298" s="511"/>
      <c r="AM298" s="511"/>
      <c r="AN298" s="511"/>
      <c r="AO298" s="511"/>
    </row>
    <row r="299" spans="1:41" ht="15.75" customHeight="1">
      <c r="A299" s="512" t="s">
        <v>904</v>
      </c>
      <c r="B299" s="505">
        <f>('Pivot Table for Data Exchange'!$L$366)*100</f>
        <v>64.736018583299156</v>
      </c>
      <c r="C299" s="505">
        <f>('Pivot Table for Data Exchange'!$L$369)*100</f>
        <v>5.5513815125123642</v>
      </c>
      <c r="D299" s="506">
        <f t="shared" si="69"/>
        <v>29.711048998287108</v>
      </c>
      <c r="E299" s="505">
        <f>('Pivot Table for Data Exchange'!$L$372)*100</f>
        <v>29.635743900631734</v>
      </c>
      <c r="F299" s="505">
        <f>('Pivot Table for Data Exchange'!$L$375)*100</f>
        <v>8.7884667744259053E-3</v>
      </c>
      <c r="G299" s="515">
        <f>('Pivot Table for Data Exchange'!$L$378)*100</f>
        <v>6.6516630880949015E-2</v>
      </c>
      <c r="H299" s="519">
        <f>('Pivot Table for Data Exchange'!$L$381)*100</f>
        <v>1.5509059013692776E-3</v>
      </c>
      <c r="I299" s="512"/>
      <c r="J299" s="552"/>
      <c r="K299" s="552"/>
      <c r="L299" s="552"/>
      <c r="M299" s="552"/>
      <c r="N299" s="552"/>
      <c r="O299" s="552"/>
      <c r="P299" s="552"/>
      <c r="Q299" s="510">
        <f t="shared" si="65"/>
        <v>100</v>
      </c>
      <c r="R299" s="510"/>
      <c r="S299" s="511"/>
      <c r="T299" s="535"/>
      <c r="U299" s="511"/>
      <c r="V299" s="511"/>
      <c r="W299" s="511"/>
      <c r="X299" s="511"/>
      <c r="Y299" s="511"/>
      <c r="Z299" s="511"/>
      <c r="AA299" s="511"/>
      <c r="AB299" s="511"/>
      <c r="AC299" s="511"/>
      <c r="AD299" s="511"/>
      <c r="AE299" s="511"/>
      <c r="AF299" s="511"/>
      <c r="AG299" s="511"/>
      <c r="AH299" s="511"/>
      <c r="AI299" s="511"/>
      <c r="AJ299" s="511"/>
      <c r="AK299" s="511"/>
      <c r="AL299" s="511"/>
      <c r="AM299" s="511"/>
      <c r="AN299" s="511"/>
      <c r="AO299" s="511"/>
    </row>
    <row r="300" spans="1:41" ht="15.75" customHeight="1">
      <c r="A300" s="512" t="s">
        <v>905</v>
      </c>
      <c r="B300" s="505">
        <f>('Pivot Table for Data Exchange'!$L$402)*100</f>
        <v>65.88869821034568</v>
      </c>
      <c r="C300" s="505">
        <f>('Pivot Table for Data Exchange'!$L$405)*100</f>
        <v>5.8420014242519764</v>
      </c>
      <c r="D300" s="506">
        <f>SUM(E300:G300)</f>
        <v>28.269300365402355</v>
      </c>
      <c r="E300" s="505">
        <f>('Pivot Table for Data Exchange'!$L$408)*100</f>
        <v>27.874556866956969</v>
      </c>
      <c r="F300" s="505">
        <f>('Pivot Table for Data Exchange'!$L$411)*100</f>
        <v>0.3947434984453862</v>
      </c>
      <c r="G300" s="515">
        <f>('Pivot Table for Data Exchange'!$L$414)*100</f>
        <v>0</v>
      </c>
      <c r="H300" s="505">
        <f>('Pivot Table for Data Exchange'!$L$417)*100</f>
        <v>0</v>
      </c>
      <c r="I300" s="512"/>
      <c r="J300" s="552"/>
      <c r="K300" s="552"/>
      <c r="L300" s="552"/>
      <c r="M300" s="552"/>
      <c r="N300" s="552"/>
      <c r="O300" s="552"/>
      <c r="P300" s="552"/>
      <c r="Q300" s="510">
        <f t="shared" si="65"/>
        <v>100.00000000000001</v>
      </c>
      <c r="R300" s="510"/>
      <c r="S300" s="511"/>
      <c r="T300" s="511"/>
      <c r="U300" s="511"/>
      <c r="V300" s="511"/>
      <c r="W300" s="511"/>
      <c r="X300" s="511"/>
      <c r="Y300" s="511"/>
      <c r="Z300" s="511"/>
      <c r="AA300" s="511"/>
      <c r="AB300" s="511"/>
      <c r="AC300" s="511"/>
      <c r="AD300" s="511"/>
      <c r="AE300" s="511"/>
      <c r="AF300" s="511"/>
      <c r="AG300" s="511"/>
      <c r="AH300" s="511"/>
      <c r="AI300" s="511"/>
      <c r="AJ300" s="511"/>
      <c r="AK300" s="511"/>
      <c r="AL300" s="511"/>
      <c r="AM300" s="511"/>
      <c r="AN300" s="511"/>
      <c r="AO300" s="511"/>
    </row>
    <row r="301" spans="1:41" ht="11.25" customHeight="1">
      <c r="A301" s="512"/>
      <c r="B301" s="505"/>
      <c r="C301" s="505"/>
      <c r="D301" s="506"/>
      <c r="E301" s="505"/>
      <c r="F301" s="505"/>
      <c r="G301" s="515"/>
      <c r="H301" s="505"/>
      <c r="I301" s="512"/>
      <c r="J301" s="552"/>
      <c r="K301" s="552"/>
      <c r="L301" s="552"/>
      <c r="M301" s="552"/>
      <c r="N301" s="552"/>
      <c r="O301" s="552"/>
      <c r="P301" s="552"/>
      <c r="Q301" s="510">
        <f t="shared" si="65"/>
        <v>0</v>
      </c>
      <c r="R301" s="510"/>
      <c r="S301" s="511"/>
      <c r="T301" s="511"/>
      <c r="U301" s="511"/>
      <c r="V301" s="511"/>
      <c r="W301" s="511"/>
      <c r="X301" s="511"/>
      <c r="Y301" s="511"/>
      <c r="Z301" s="511"/>
      <c r="AA301" s="511"/>
      <c r="AB301" s="511"/>
      <c r="AC301" s="511"/>
      <c r="AD301" s="511"/>
      <c r="AE301" s="511"/>
      <c r="AF301" s="511"/>
      <c r="AG301" s="511"/>
      <c r="AH301" s="511"/>
      <c r="AI301" s="511"/>
      <c r="AJ301" s="511"/>
      <c r="AK301" s="511"/>
      <c r="AL301" s="511"/>
      <c r="AM301" s="511"/>
      <c r="AN301" s="511"/>
      <c r="AO301" s="511"/>
    </row>
    <row r="302" spans="1:41" ht="15.75" customHeight="1">
      <c r="A302" s="512" t="s">
        <v>906</v>
      </c>
      <c r="B302" s="505">
        <f>('Pivot Table for Data Exchange'!$L$438)*100</f>
        <v>50.828735943386604</v>
      </c>
      <c r="C302" s="505">
        <f>('Pivot Table for Data Exchange'!$L$441)*100</f>
        <v>24.578616738262816</v>
      </c>
      <c r="D302" s="506">
        <f>SUM(E302:G302)</f>
        <v>24.508354223917095</v>
      </c>
      <c r="E302" s="505">
        <f>('Pivot Table for Data Exchange'!$L$444)*100</f>
        <v>20.311676182980687</v>
      </c>
      <c r="F302" s="505">
        <f>('Pivot Table for Data Exchange'!$L$447)*100</f>
        <v>6.6754869323780844E-2</v>
      </c>
      <c r="G302" s="515">
        <f>('Pivot Table for Data Exchange'!$L$450)*100</f>
        <v>4.1299231716126288</v>
      </c>
      <c r="H302" s="505">
        <f>('Pivot Table for Data Exchange'!$L$453)*100</f>
        <v>8.4293094433476962E-2</v>
      </c>
      <c r="I302" s="512"/>
      <c r="J302" s="552"/>
      <c r="K302" s="552"/>
      <c r="L302" s="552"/>
      <c r="M302" s="552"/>
      <c r="N302" s="552"/>
      <c r="O302" s="552"/>
      <c r="P302" s="552"/>
      <c r="Q302" s="510">
        <f t="shared" si="65"/>
        <v>100</v>
      </c>
      <c r="R302" s="510"/>
      <c r="S302" s="511"/>
      <c r="T302" s="511"/>
      <c r="U302" s="511"/>
      <c r="V302" s="511"/>
      <c r="W302" s="511"/>
      <c r="X302" s="511"/>
      <c r="Y302" s="511"/>
      <c r="Z302" s="511"/>
      <c r="AA302" s="511"/>
      <c r="AB302" s="511"/>
      <c r="AC302" s="511"/>
      <c r="AD302" s="511"/>
      <c r="AE302" s="511"/>
      <c r="AF302" s="511"/>
      <c r="AG302" s="511"/>
      <c r="AH302" s="511"/>
      <c r="AI302" s="511"/>
      <c r="AJ302" s="511"/>
      <c r="AK302" s="511"/>
      <c r="AL302" s="511"/>
      <c r="AM302" s="511"/>
      <c r="AN302" s="511"/>
      <c r="AO302" s="511"/>
    </row>
    <row r="303" spans="1:41" ht="15.75" customHeight="1">
      <c r="A303" s="512" t="s">
        <v>907</v>
      </c>
      <c r="B303" s="505">
        <f>('Pivot Table for Data Exchange'!$L$474)*100</f>
        <v>63.771237990879037</v>
      </c>
      <c r="C303" s="505">
        <f>('Pivot Table for Data Exchange'!$L$477)*100</f>
        <v>11.586304402706526</v>
      </c>
      <c r="D303" s="506">
        <f>SUM(E303:G303)</f>
        <v>24.642457606414435</v>
      </c>
      <c r="E303" s="505">
        <f>('Pivot Table for Data Exchange'!$L$480)*100</f>
        <v>24.425805256499842</v>
      </c>
      <c r="F303" s="505">
        <f>('Pivot Table for Data Exchange'!$L$483)*100</f>
        <v>4.2726893055003629E-2</v>
      </c>
      <c r="G303" s="515">
        <f>('Pivot Table for Data Exchange'!$L$486)*100</f>
        <v>0.17392545685958727</v>
      </c>
      <c r="H303" s="505">
        <f>('Pivot Table for Data Exchange'!$L$489)*100</f>
        <v>0</v>
      </c>
      <c r="I303" s="512"/>
      <c r="J303" s="552"/>
      <c r="K303" s="552"/>
      <c r="L303" s="552"/>
      <c r="M303" s="552"/>
      <c r="N303" s="552"/>
      <c r="O303" s="552"/>
      <c r="P303" s="552"/>
      <c r="Q303" s="510">
        <f t="shared" si="65"/>
        <v>100</v>
      </c>
      <c r="R303" s="510"/>
      <c r="S303" s="511"/>
      <c r="T303" s="511"/>
      <c r="U303" s="511"/>
      <c r="V303" s="511"/>
      <c r="W303" s="511"/>
      <c r="X303" s="511"/>
      <c r="Y303" s="511"/>
      <c r="Z303" s="511"/>
      <c r="AA303" s="511"/>
      <c r="AB303" s="511"/>
      <c r="AC303" s="511"/>
      <c r="AD303" s="511"/>
      <c r="AE303" s="511"/>
      <c r="AF303" s="511"/>
      <c r="AG303" s="511"/>
      <c r="AH303" s="511"/>
      <c r="AI303" s="511"/>
      <c r="AJ303" s="511"/>
      <c r="AK303" s="511"/>
      <c r="AL303" s="511"/>
      <c r="AM303" s="511"/>
      <c r="AN303" s="511"/>
      <c r="AO303" s="511"/>
    </row>
    <row r="304" spans="1:41" ht="15.75" customHeight="1">
      <c r="A304" s="512" t="s">
        <v>908</v>
      </c>
      <c r="B304" s="505">
        <f>('Pivot Table for Data Exchange'!$L$510)*100</f>
        <v>66.675862993816565</v>
      </c>
      <c r="C304" s="505">
        <f>('Pivot Table for Data Exchange'!$L$513)*100</f>
        <v>6.1799784084207623</v>
      </c>
      <c r="D304" s="506">
        <f t="shared" ref="D304" si="70">SUM(E304:G304)</f>
        <v>27.144158597762665</v>
      </c>
      <c r="E304" s="505">
        <f>('Pivot Table for Data Exchange'!$L$516)*100</f>
        <v>27.065419411886733</v>
      </c>
      <c r="F304" s="505">
        <f>('Pivot Table for Data Exchange'!$L$519)*100</f>
        <v>7.8739185875931525E-2</v>
      </c>
      <c r="G304" s="515">
        <f>('Pivot Table for Data Exchange'!$L$522)*100</f>
        <v>0</v>
      </c>
      <c r="H304" s="505">
        <f>('Pivot Table for Data Exchange'!$L$525)*100</f>
        <v>0</v>
      </c>
      <c r="I304" s="512"/>
      <c r="J304" s="552"/>
      <c r="K304" s="552"/>
      <c r="L304" s="552"/>
      <c r="M304" s="552"/>
      <c r="N304" s="552"/>
      <c r="O304" s="552"/>
      <c r="P304" s="552"/>
      <c r="Q304" s="510">
        <f t="shared" si="65"/>
        <v>100</v>
      </c>
      <c r="R304" s="510"/>
      <c r="S304" s="511"/>
      <c r="T304" s="511"/>
      <c r="U304" s="511"/>
      <c r="V304" s="511"/>
      <c r="W304" s="511"/>
      <c r="X304" s="511"/>
      <c r="Y304" s="511"/>
      <c r="Z304" s="511"/>
      <c r="AA304" s="511"/>
      <c r="AB304" s="511"/>
      <c r="AC304" s="511"/>
      <c r="AD304" s="511"/>
      <c r="AE304" s="511"/>
      <c r="AF304" s="511"/>
      <c r="AG304" s="511"/>
      <c r="AH304" s="511"/>
      <c r="AI304" s="511"/>
      <c r="AJ304" s="511"/>
      <c r="AK304" s="511"/>
      <c r="AL304" s="511"/>
      <c r="AM304" s="511"/>
      <c r="AN304" s="511"/>
      <c r="AO304" s="511"/>
    </row>
    <row r="305" spans="1:41" ht="15.75" customHeight="1">
      <c r="A305" s="484" t="s">
        <v>909</v>
      </c>
      <c r="B305" s="520">
        <f>('Pivot Table for Data Exchange'!$L$546)*100</f>
        <v>0</v>
      </c>
      <c r="C305" s="520">
        <f>('Pivot Table for Data Exchange'!$L$549)*100</f>
        <v>0</v>
      </c>
      <c r="D305" s="521">
        <f>SUM(E305:G305)</f>
        <v>0</v>
      </c>
      <c r="E305" s="520">
        <f>('Pivot Table for Data Exchange'!$L$552)*100</f>
        <v>0</v>
      </c>
      <c r="F305" s="520">
        <f>('Pivot Table for Data Exchange'!$L$555)*100</f>
        <v>0</v>
      </c>
      <c r="G305" s="522">
        <f>('Pivot Table for Data Exchange'!$L$558)*100</f>
        <v>0</v>
      </c>
      <c r="H305" s="520">
        <f>('Pivot Table for Data Exchange'!$L$561)*100</f>
        <v>0</v>
      </c>
      <c r="I305" s="512"/>
      <c r="J305" s="552"/>
      <c r="K305" s="552"/>
      <c r="L305" s="552"/>
      <c r="M305" s="552"/>
      <c r="N305" s="552"/>
      <c r="O305" s="552"/>
      <c r="P305" s="552"/>
      <c r="Q305" s="510">
        <f t="shared" si="65"/>
        <v>0</v>
      </c>
      <c r="R305" s="510"/>
      <c r="S305" s="511"/>
      <c r="T305" s="511"/>
      <c r="U305" s="511"/>
      <c r="V305" s="511"/>
      <c r="W305" s="511"/>
      <c r="X305" s="511"/>
      <c r="Y305" s="511"/>
      <c r="Z305" s="511"/>
      <c r="AA305" s="511"/>
      <c r="AB305" s="511"/>
      <c r="AC305" s="511"/>
      <c r="AD305" s="511"/>
      <c r="AE305" s="511"/>
      <c r="AF305" s="511"/>
      <c r="AG305" s="511"/>
      <c r="AH305" s="511"/>
      <c r="AI305" s="511"/>
      <c r="AJ305" s="511"/>
      <c r="AK305" s="511"/>
      <c r="AL305" s="511"/>
      <c r="AM305" s="511"/>
      <c r="AN305" s="511"/>
      <c r="AO305" s="511"/>
    </row>
    <row r="306" spans="1:41" s="524" customFormat="1" ht="13.5" customHeight="1">
      <c r="A306" s="525" t="s">
        <v>937</v>
      </c>
      <c r="B306" s="526"/>
      <c r="C306" s="526"/>
      <c r="D306" s="527"/>
      <c r="E306" s="526"/>
      <c r="F306" s="527"/>
      <c r="G306" s="527"/>
      <c r="H306" s="526"/>
      <c r="I306" s="546"/>
      <c r="J306" s="526"/>
      <c r="K306" s="526"/>
      <c r="L306" s="527"/>
      <c r="M306" s="526"/>
      <c r="N306" s="527"/>
      <c r="O306" s="527"/>
      <c r="P306" s="526"/>
      <c r="Q306" s="510">
        <f t="shared" si="65"/>
        <v>0</v>
      </c>
      <c r="R306" s="553"/>
      <c r="S306" s="528"/>
      <c r="T306" s="528"/>
      <c r="U306" s="528"/>
      <c r="V306" s="528"/>
      <c r="W306" s="528"/>
      <c r="X306" s="528"/>
      <c r="Y306" s="528"/>
      <c r="Z306" s="528"/>
      <c r="AA306" s="528"/>
      <c r="AB306" s="528"/>
      <c r="AC306" s="528"/>
      <c r="AD306" s="528"/>
      <c r="AE306" s="528"/>
      <c r="AF306" s="528"/>
      <c r="AG306" s="528"/>
      <c r="AH306" s="528"/>
      <c r="AI306" s="528"/>
      <c r="AJ306" s="528"/>
      <c r="AK306" s="528"/>
      <c r="AL306" s="528"/>
      <c r="AM306" s="528"/>
      <c r="AN306" s="528"/>
      <c r="AO306" s="528"/>
    </row>
    <row r="307" spans="1:41" s="524" customFormat="1" ht="24" customHeight="1">
      <c r="A307" s="655" t="s">
        <v>952</v>
      </c>
      <c r="B307" s="673"/>
      <c r="C307" s="673"/>
      <c r="D307" s="673"/>
      <c r="E307" s="673"/>
      <c r="F307" s="673"/>
      <c r="G307" s="673"/>
      <c r="H307" s="673"/>
      <c r="I307" s="546"/>
      <c r="P307" s="541"/>
      <c r="Q307" s="510">
        <f t="shared" si="65"/>
        <v>0</v>
      </c>
      <c r="R307" s="554"/>
    </row>
    <row r="308" spans="1:41" s="524" customFormat="1" ht="13.5" customHeight="1">
      <c r="A308" s="538"/>
      <c r="H308" s="540"/>
      <c r="I308" s="538"/>
      <c r="Q308" s="510">
        <f t="shared" si="65"/>
        <v>0</v>
      </c>
      <c r="R308" s="554"/>
    </row>
    <row r="309" spans="1:41" s="524" customFormat="1">
      <c r="A309" s="540"/>
      <c r="H309" s="532" t="s">
        <v>1015</v>
      </c>
      <c r="I309" s="558"/>
      <c r="J309" s="540"/>
      <c r="K309" s="540"/>
      <c r="L309" s="540"/>
      <c r="M309" s="540"/>
      <c r="N309" s="540"/>
      <c r="O309" s="540"/>
      <c r="P309" s="540"/>
      <c r="Q309" s="510">
        <f t="shared" si="65"/>
        <v>0</v>
      </c>
      <c r="R309" s="554"/>
    </row>
    <row r="310" spans="1:41" ht="18">
      <c r="A310" s="472" t="s">
        <v>956</v>
      </c>
      <c r="B310" s="473"/>
      <c r="C310" s="473"/>
      <c r="D310" s="473"/>
      <c r="E310" s="473"/>
      <c r="F310" s="473"/>
      <c r="G310" s="473"/>
      <c r="H310" s="474"/>
      <c r="I310" s="550"/>
      <c r="J310" s="512"/>
      <c r="K310" s="512"/>
      <c r="L310" s="512"/>
      <c r="M310" s="512"/>
      <c r="N310" s="512"/>
      <c r="O310" s="512"/>
      <c r="P310" s="512"/>
      <c r="Q310" s="510">
        <f t="shared" si="65"/>
        <v>0</v>
      </c>
    </row>
    <row r="311" spans="1:41">
      <c r="A311" s="479"/>
      <c r="B311" s="475"/>
      <c r="C311" s="475"/>
      <c r="D311" s="475"/>
      <c r="E311" s="475"/>
      <c r="F311" s="475"/>
      <c r="G311" s="475"/>
      <c r="H311" s="480"/>
      <c r="I311" s="550"/>
      <c r="J311" s="512"/>
      <c r="K311" s="512"/>
      <c r="L311" s="512"/>
      <c r="M311" s="512"/>
      <c r="N311" s="512"/>
      <c r="O311" s="512"/>
      <c r="P311" s="512"/>
      <c r="Q311" s="510">
        <f t="shared" si="65"/>
        <v>0</v>
      </c>
    </row>
    <row r="312" spans="1:41" ht="15.75">
      <c r="A312" s="481" t="s">
        <v>917</v>
      </c>
      <c r="B312" s="475"/>
      <c r="C312" s="475"/>
      <c r="D312" s="475"/>
      <c r="E312" s="475"/>
      <c r="F312" s="475"/>
      <c r="G312" s="475"/>
      <c r="H312" s="480"/>
      <c r="I312" s="550"/>
      <c r="J312" s="512"/>
      <c r="K312" s="512"/>
      <c r="L312" s="512"/>
      <c r="M312" s="512"/>
      <c r="N312" s="512"/>
      <c r="O312" s="512"/>
      <c r="P312" s="512"/>
      <c r="Q312" s="510">
        <f t="shared" si="65"/>
        <v>0</v>
      </c>
    </row>
    <row r="313" spans="1:41" ht="15.75">
      <c r="A313" s="481" t="s">
        <v>972</v>
      </c>
      <c r="B313" s="475"/>
      <c r="C313" s="475"/>
      <c r="D313" s="475"/>
      <c r="E313" s="475"/>
      <c r="F313" s="475"/>
      <c r="G313" s="475"/>
      <c r="H313" s="480"/>
      <c r="I313" s="550"/>
      <c r="J313" s="512"/>
      <c r="K313" s="512"/>
      <c r="L313" s="512"/>
      <c r="M313" s="512"/>
      <c r="N313" s="512"/>
      <c r="O313" s="512"/>
      <c r="P313" s="512"/>
      <c r="Q313" s="510">
        <f t="shared" si="65"/>
        <v>0</v>
      </c>
    </row>
    <row r="314" spans="1:41">
      <c r="A314" s="484"/>
      <c r="B314" s="485"/>
      <c r="C314" s="485"/>
      <c r="D314" s="485"/>
      <c r="E314" s="485"/>
      <c r="F314" s="485"/>
      <c r="G314" s="485"/>
      <c r="H314" s="485"/>
      <c r="I314" s="550"/>
      <c r="J314" s="512"/>
      <c r="K314" s="512"/>
      <c r="L314" s="512"/>
      <c r="M314" s="512"/>
      <c r="N314" s="512"/>
      <c r="O314" s="512"/>
      <c r="P314" s="512"/>
      <c r="Q314" s="510">
        <f t="shared" si="65"/>
        <v>0</v>
      </c>
    </row>
    <row r="315" spans="1:41">
      <c r="A315" s="489"/>
      <c r="B315" s="490" t="s">
        <v>919</v>
      </c>
      <c r="C315" s="490"/>
      <c r="D315" s="490"/>
      <c r="E315" s="490"/>
      <c r="F315" s="490"/>
      <c r="G315" s="490"/>
      <c r="H315" s="491"/>
      <c r="I315" s="550"/>
      <c r="J315" s="512"/>
      <c r="K315" s="512"/>
      <c r="L315" s="512"/>
      <c r="M315" s="512"/>
      <c r="N315" s="512"/>
      <c r="O315" s="512"/>
      <c r="P315" s="512"/>
      <c r="Q315" s="510">
        <f t="shared" si="65"/>
        <v>0</v>
      </c>
    </row>
    <row r="316" spans="1:41">
      <c r="A316" s="489"/>
      <c r="B316" s="490" t="s">
        <v>920</v>
      </c>
      <c r="C316" s="490"/>
      <c r="D316" s="659" t="s">
        <v>921</v>
      </c>
      <c r="E316" s="657"/>
      <c r="F316" s="657"/>
      <c r="G316" s="657"/>
      <c r="H316" s="495" t="s">
        <v>320</v>
      </c>
      <c r="I316" s="550"/>
      <c r="J316" s="512"/>
      <c r="K316" s="512"/>
      <c r="L316" s="512"/>
      <c r="M316" s="512"/>
      <c r="N316" s="512"/>
      <c r="O316" s="512"/>
      <c r="P316" s="512"/>
      <c r="Q316" s="510">
        <f t="shared" si="65"/>
        <v>0</v>
      </c>
    </row>
    <row r="317" spans="1:41" ht="36">
      <c r="A317" s="489"/>
      <c r="B317" s="496" t="s">
        <v>922</v>
      </c>
      <c r="C317" s="497" t="s">
        <v>923</v>
      </c>
      <c r="D317" s="498" t="s">
        <v>924</v>
      </c>
      <c r="E317" s="499" t="s">
        <v>10</v>
      </c>
      <c r="F317" s="496" t="s">
        <v>925</v>
      </c>
      <c r="G317" s="500" t="s">
        <v>935</v>
      </c>
      <c r="H317" s="501" t="s">
        <v>927</v>
      </c>
      <c r="I317" s="550"/>
      <c r="J317" s="512"/>
      <c r="K317" s="512"/>
      <c r="L317" s="512"/>
      <c r="M317" s="512"/>
      <c r="N317" s="512"/>
      <c r="O317" s="512"/>
      <c r="P317" s="512"/>
      <c r="Q317" s="510">
        <f t="shared" si="65"/>
        <v>0</v>
      </c>
    </row>
    <row r="318" spans="1:41" ht="15.75" customHeight="1">
      <c r="A318" s="534" t="s">
        <v>894</v>
      </c>
      <c r="B318" s="505">
        <f>('Pivot Table for Data Exchange'!$M$6)*100</f>
        <v>67.511926908305327</v>
      </c>
      <c r="C318" s="505">
        <f>('Pivot Table for Data Exchange'!$M$9)*100</f>
        <v>14.480035555688911</v>
      </c>
      <c r="D318" s="506">
        <f>SUM(E318:G318)</f>
        <v>18.008037536005762</v>
      </c>
      <c r="E318" s="505">
        <f>('Pivot Table for Data Exchange'!$M$12)*100</f>
        <v>17.332741988718194</v>
      </c>
      <c r="F318" s="505">
        <f>('Pivot Table for Data Exchange'!$M$15)*100</f>
        <v>0.47951422227556406</v>
      </c>
      <c r="G318" s="509">
        <f>('Pivot Table for Data Exchange'!$M$18)*100</f>
        <v>0.19578132501200193</v>
      </c>
      <c r="H318" s="516">
        <f>('Pivot Table for Data Exchange'!$M$21)*100</f>
        <v>0</v>
      </c>
      <c r="I318" s="512"/>
      <c r="J318" s="552"/>
      <c r="K318" s="552"/>
      <c r="L318" s="552"/>
      <c r="M318" s="552"/>
      <c r="N318" s="552"/>
      <c r="O318" s="552"/>
      <c r="P318" s="552"/>
      <c r="Q318" s="510">
        <f t="shared" si="65"/>
        <v>100</v>
      </c>
      <c r="R318" s="510"/>
      <c r="S318" s="511"/>
      <c r="T318" s="511"/>
      <c r="U318" s="511"/>
      <c r="V318" s="511"/>
      <c r="W318" s="511"/>
      <c r="X318" s="511"/>
      <c r="Y318" s="511"/>
      <c r="Z318" s="511"/>
      <c r="AA318" s="511"/>
      <c r="AB318" s="511"/>
      <c r="AC318" s="511"/>
      <c r="AD318" s="511"/>
      <c r="AE318" s="511"/>
      <c r="AF318" s="511"/>
      <c r="AG318" s="511"/>
      <c r="AH318" s="511"/>
      <c r="AI318" s="511"/>
      <c r="AJ318" s="511"/>
      <c r="AK318" s="511"/>
      <c r="AL318" s="511"/>
      <c r="AM318" s="511"/>
      <c r="AN318" s="511"/>
      <c r="AO318" s="511"/>
    </row>
    <row r="319" spans="1:41" ht="15.75" customHeight="1">
      <c r="A319" s="512" t="s">
        <v>895</v>
      </c>
      <c r="B319" s="505">
        <f>('Pivot Table for Data Exchange'!$M$42)*100</f>
        <v>68.675115207373267</v>
      </c>
      <c r="C319" s="505">
        <f>('Pivot Table for Data Exchange'!$M$45)*100</f>
        <v>10.148414204391434</v>
      </c>
      <c r="D319" s="506">
        <f t="shared" ref="D319:D321" si="71">SUM(E319:G319)</f>
        <v>21.176470588235293</v>
      </c>
      <c r="E319" s="505">
        <f>('Pivot Table for Data Exchange'!$M$48)*100</f>
        <v>21.176470588235293</v>
      </c>
      <c r="F319" s="505">
        <f>('Pivot Table for Data Exchange'!$M$51)*100</f>
        <v>0</v>
      </c>
      <c r="G319" s="515">
        <f>('Pivot Table for Data Exchange'!$M$54)*100</f>
        <v>0</v>
      </c>
      <c r="H319" s="505">
        <f>('Pivot Table for Data Exchange'!$M$57)*100</f>
        <v>0</v>
      </c>
      <c r="I319" s="512"/>
      <c r="J319" s="552"/>
      <c r="K319" s="552"/>
      <c r="L319" s="552"/>
      <c r="M319" s="552"/>
      <c r="N319" s="552"/>
      <c r="O319" s="552"/>
      <c r="P319" s="552"/>
      <c r="Q319" s="510">
        <f t="shared" si="65"/>
        <v>99.999999999999986</v>
      </c>
      <c r="R319" s="510"/>
      <c r="S319" s="511"/>
      <c r="T319" s="511"/>
      <c r="U319" s="511"/>
      <c r="V319" s="511"/>
      <c r="W319" s="511"/>
      <c r="X319" s="511"/>
      <c r="Y319" s="511"/>
      <c r="Z319" s="511"/>
      <c r="AA319" s="511"/>
      <c r="AB319" s="511"/>
      <c r="AC319" s="511"/>
      <c r="AD319" s="511"/>
      <c r="AE319" s="511"/>
      <c r="AF319" s="511"/>
      <c r="AG319" s="511"/>
      <c r="AH319" s="511"/>
      <c r="AI319" s="511"/>
      <c r="AJ319" s="511"/>
      <c r="AK319" s="511"/>
      <c r="AL319" s="511"/>
      <c r="AM319" s="511"/>
      <c r="AN319" s="511"/>
      <c r="AO319" s="511"/>
    </row>
    <row r="320" spans="1:41" ht="15.75" customHeight="1">
      <c r="A320" s="512" t="s">
        <v>896</v>
      </c>
      <c r="B320" s="505">
        <f>('Pivot Table for Data Exchange'!$M$78)*100</f>
        <v>87.471846537536123</v>
      </c>
      <c r="C320" s="505">
        <f>('Pivot Table for Data Exchange'!$M$81)*100</f>
        <v>0</v>
      </c>
      <c r="D320" s="506">
        <f t="shared" si="71"/>
        <v>12.52815346246388</v>
      </c>
      <c r="E320" s="505">
        <f>('Pivot Table for Data Exchange'!$M$84)*100</f>
        <v>12.133730320043068</v>
      </c>
      <c r="F320" s="505">
        <f>('Pivot Table for Data Exchange'!$M$87)*100</f>
        <v>0.31092409277183886</v>
      </c>
      <c r="G320" s="515">
        <f>('Pivot Table for Data Exchange'!$M$90)*100</f>
        <v>8.3499049648974394E-2</v>
      </c>
      <c r="H320" s="505">
        <f>('Pivot Table for Data Exchange'!$M$93)*100</f>
        <v>0</v>
      </c>
      <c r="I320" s="512"/>
      <c r="J320" s="552"/>
      <c r="K320" s="552"/>
      <c r="L320" s="552"/>
      <c r="M320" s="552"/>
      <c r="N320" s="552"/>
      <c r="O320" s="552"/>
      <c r="P320" s="552"/>
      <c r="Q320" s="510">
        <f t="shared" si="65"/>
        <v>100</v>
      </c>
      <c r="R320" s="510"/>
      <c r="S320" s="511"/>
      <c r="T320" s="535"/>
      <c r="U320" s="511"/>
      <c r="V320" s="511"/>
      <c r="W320" s="511"/>
      <c r="X320" s="511"/>
      <c r="Y320" s="511"/>
      <c r="Z320" s="511"/>
      <c r="AA320" s="511"/>
      <c r="AB320" s="511"/>
      <c r="AC320" s="511"/>
      <c r="AD320" s="511"/>
      <c r="AE320" s="511"/>
      <c r="AF320" s="511"/>
      <c r="AG320" s="511"/>
      <c r="AH320" s="511"/>
      <c r="AI320" s="511"/>
      <c r="AJ320" s="511"/>
      <c r="AK320" s="511"/>
      <c r="AL320" s="511"/>
      <c r="AM320" s="511"/>
      <c r="AN320" s="511"/>
      <c r="AO320" s="511"/>
    </row>
    <row r="321" spans="1:41" ht="15.75" customHeight="1">
      <c r="A321" s="512" t="s">
        <v>936</v>
      </c>
      <c r="B321" s="505">
        <f>('Pivot Table for Data Exchange'!$M$114)*100</f>
        <v>68.290093355882334</v>
      </c>
      <c r="C321" s="505">
        <f>('Pivot Table for Data Exchange'!$M$117)*100</f>
        <v>7.8309735251514851</v>
      </c>
      <c r="D321" s="506">
        <f t="shared" si="71"/>
        <v>23.878933118966184</v>
      </c>
      <c r="E321" s="505">
        <f>('Pivot Table for Data Exchange'!$M$120)*100</f>
        <v>23.076573057992885</v>
      </c>
      <c r="F321" s="505">
        <f>('Pivot Table for Data Exchange'!$M$123)*100</f>
        <v>0.76064947179226605</v>
      </c>
      <c r="G321" s="513">
        <f>('Pivot Table for Data Exchange'!$M$126)*100</f>
        <v>4.1710589181031543E-2</v>
      </c>
      <c r="H321" s="505">
        <f>('Pivot Table for Data Exchange'!$M$129)*100</f>
        <v>0</v>
      </c>
      <c r="I321" s="512"/>
      <c r="J321" s="552"/>
      <c r="K321" s="552"/>
      <c r="L321" s="552"/>
      <c r="M321" s="552"/>
      <c r="N321" s="552"/>
      <c r="O321" s="552"/>
      <c r="P321" s="552"/>
      <c r="Q321" s="510">
        <f t="shared" si="65"/>
        <v>100</v>
      </c>
      <c r="R321" s="510"/>
      <c r="S321" s="511"/>
      <c r="U321" s="511"/>
      <c r="V321" s="511"/>
      <c r="W321" s="511"/>
      <c r="X321" s="511"/>
      <c r="Y321" s="511"/>
      <c r="Z321" s="511"/>
      <c r="AA321" s="511"/>
      <c r="AB321" s="511"/>
      <c r="AC321" s="511"/>
      <c r="AD321" s="511"/>
      <c r="AE321" s="511"/>
      <c r="AF321" s="511"/>
      <c r="AG321" s="511"/>
      <c r="AH321" s="511"/>
      <c r="AI321" s="511"/>
      <c r="AJ321" s="511"/>
      <c r="AK321" s="511"/>
      <c r="AL321" s="511"/>
      <c r="AM321" s="511"/>
      <c r="AN321" s="511"/>
      <c r="AO321" s="511"/>
    </row>
    <row r="322" spans="1:41" ht="15.75" customHeight="1">
      <c r="A322" s="512"/>
      <c r="B322" s="505"/>
      <c r="C322" s="505"/>
      <c r="D322" s="506"/>
      <c r="E322" s="505"/>
      <c r="F322" s="505"/>
      <c r="G322" s="515"/>
      <c r="H322" s="505"/>
      <c r="I322" s="512"/>
      <c r="J322" s="552"/>
      <c r="K322" s="552"/>
      <c r="L322" s="552"/>
      <c r="M322" s="552"/>
      <c r="N322" s="552"/>
      <c r="O322" s="552"/>
      <c r="P322" s="552"/>
      <c r="Q322" s="510">
        <f t="shared" si="65"/>
        <v>0</v>
      </c>
      <c r="R322" s="510"/>
      <c r="S322" s="511"/>
      <c r="U322" s="511"/>
      <c r="V322" s="511"/>
      <c r="W322" s="511"/>
      <c r="X322" s="511"/>
      <c r="Y322" s="511"/>
      <c r="Z322" s="511"/>
      <c r="AA322" s="511"/>
      <c r="AB322" s="511"/>
      <c r="AC322" s="511"/>
      <c r="AD322" s="511"/>
      <c r="AE322" s="511"/>
      <c r="AF322" s="511"/>
      <c r="AG322" s="511"/>
      <c r="AH322" s="511"/>
      <c r="AI322" s="511"/>
      <c r="AJ322" s="511"/>
      <c r="AK322" s="511"/>
      <c r="AL322" s="511"/>
      <c r="AM322" s="511"/>
      <c r="AN322" s="511"/>
      <c r="AO322" s="511"/>
    </row>
    <row r="323" spans="1:41" ht="15.75" customHeight="1">
      <c r="A323" s="512" t="s">
        <v>898</v>
      </c>
      <c r="B323" s="505">
        <f>('Pivot Table for Data Exchange'!$M$150)*100</f>
        <v>64.280281107895817</v>
      </c>
      <c r="C323" s="505">
        <f>('Pivot Table for Data Exchange'!$M$153)*100</f>
        <v>15.963621331128566</v>
      </c>
      <c r="D323" s="506">
        <f t="shared" ref="D323:D326" si="72">SUM(E323:G323)</f>
        <v>19.463414634146343</v>
      </c>
      <c r="E323" s="505">
        <f>('Pivot Table for Data Exchange'!$M$156)*100</f>
        <v>18.878048780487806</v>
      </c>
      <c r="F323" s="505">
        <f>('Pivot Table for Data Exchange'!$M$159)*100</f>
        <v>0</v>
      </c>
      <c r="G323" s="515">
        <f>('Pivot Table for Data Exchange'!$M$162)*100</f>
        <v>0.58536585365853655</v>
      </c>
      <c r="H323" s="505">
        <f>('Pivot Table for Data Exchange'!$M$165)*100</f>
        <v>0.29268292682926828</v>
      </c>
      <c r="I323" s="512"/>
      <c r="J323" s="552"/>
      <c r="K323" s="552"/>
      <c r="L323" s="552"/>
      <c r="M323" s="552"/>
      <c r="N323" s="552"/>
      <c r="O323" s="552"/>
      <c r="P323" s="552"/>
      <c r="Q323" s="510">
        <f t="shared" si="65"/>
        <v>100</v>
      </c>
      <c r="R323" s="510"/>
      <c r="S323" s="511"/>
      <c r="T323" s="511"/>
      <c r="U323" s="511"/>
      <c r="V323" s="511"/>
      <c r="W323" s="511"/>
      <c r="X323" s="511"/>
      <c r="Y323" s="511"/>
      <c r="Z323" s="511"/>
      <c r="AA323" s="511"/>
      <c r="AB323" s="511"/>
      <c r="AC323" s="511"/>
      <c r="AD323" s="511"/>
      <c r="AE323" s="511"/>
      <c r="AF323" s="511"/>
      <c r="AG323" s="511"/>
      <c r="AH323" s="511"/>
      <c r="AI323" s="511"/>
      <c r="AJ323" s="511"/>
      <c r="AK323" s="511"/>
      <c r="AL323" s="511"/>
      <c r="AM323" s="511"/>
      <c r="AN323" s="511"/>
      <c r="AO323" s="511"/>
    </row>
    <row r="324" spans="1:41" ht="15.75" customHeight="1">
      <c r="A324" s="512" t="s">
        <v>899</v>
      </c>
      <c r="B324" s="505">
        <f>('Pivot Table for Data Exchange'!$M$186)*100</f>
        <v>58.208282025030336</v>
      </c>
      <c r="C324" s="505">
        <f>('Pivot Table for Data Exchange'!$M$189)*100</f>
        <v>5.6450879213954659</v>
      </c>
      <c r="D324" s="506">
        <f t="shared" si="72"/>
        <v>36.146630053574199</v>
      </c>
      <c r="E324" s="505">
        <f>('Pivot Table for Data Exchange'!$M$192)*100</f>
        <v>36.146630053574199</v>
      </c>
      <c r="F324" s="505">
        <f>('Pivot Table for Data Exchange'!$M$195)*100</f>
        <v>0</v>
      </c>
      <c r="G324" s="515">
        <f>('Pivot Table for Data Exchange'!$M$198)*100</f>
        <v>0</v>
      </c>
      <c r="H324" s="505">
        <f>('Pivot Table for Data Exchange'!$M$201)*100</f>
        <v>0</v>
      </c>
      <c r="I324" s="512"/>
      <c r="J324" s="552"/>
      <c r="K324" s="552"/>
      <c r="L324" s="552"/>
      <c r="M324" s="552"/>
      <c r="N324" s="552"/>
      <c r="O324" s="552"/>
      <c r="P324" s="552"/>
      <c r="Q324" s="510">
        <f t="shared" si="65"/>
        <v>100</v>
      </c>
      <c r="R324" s="510"/>
      <c r="S324" s="511"/>
      <c r="T324" s="511"/>
      <c r="U324" s="511"/>
      <c r="V324" s="511"/>
      <c r="W324" s="511"/>
      <c r="X324" s="511"/>
      <c r="Y324" s="511"/>
      <c r="Z324" s="511"/>
      <c r="AA324" s="511"/>
      <c r="AB324" s="511"/>
      <c r="AC324" s="511"/>
      <c r="AD324" s="511"/>
      <c r="AE324" s="511"/>
      <c r="AF324" s="511"/>
      <c r="AG324" s="511"/>
      <c r="AH324" s="511"/>
      <c r="AI324" s="511"/>
      <c r="AJ324" s="511"/>
      <c r="AK324" s="511"/>
      <c r="AL324" s="511"/>
      <c r="AM324" s="511"/>
      <c r="AN324" s="511"/>
      <c r="AO324" s="511"/>
    </row>
    <row r="325" spans="1:41" ht="15.75" customHeight="1">
      <c r="A325" s="512" t="s">
        <v>900</v>
      </c>
      <c r="B325" s="505">
        <f>('Pivot Table for Data Exchange'!$M$222)*100</f>
        <v>92.520256553243698</v>
      </c>
      <c r="C325" s="505">
        <f>('Pivot Table for Data Exchange'!$M$225)*100</f>
        <v>0</v>
      </c>
      <c r="D325" s="506">
        <f t="shared" si="72"/>
        <v>7.4797434467563164</v>
      </c>
      <c r="E325" s="505">
        <f>('Pivot Table for Data Exchange'!$M$228)*100</f>
        <v>7.4797434467563164</v>
      </c>
      <c r="F325" s="505">
        <f>('Pivot Table for Data Exchange'!$M$231)*100</f>
        <v>0</v>
      </c>
      <c r="G325" s="515">
        <f>('Pivot Table for Data Exchange'!$M$234)*100</f>
        <v>0</v>
      </c>
      <c r="H325" s="505">
        <f>('Pivot Table for Data Exchange'!$M$237)*100</f>
        <v>0</v>
      </c>
      <c r="I325" s="512"/>
      <c r="J325" s="552"/>
      <c r="K325" s="552"/>
      <c r="L325" s="552"/>
      <c r="M325" s="552"/>
      <c r="N325" s="552"/>
      <c r="O325" s="552"/>
      <c r="P325" s="552"/>
      <c r="Q325" s="510">
        <f t="shared" si="65"/>
        <v>100.00000000000001</v>
      </c>
      <c r="R325" s="510"/>
      <c r="S325" s="511"/>
      <c r="T325" s="535"/>
      <c r="U325" s="511"/>
      <c r="V325" s="511"/>
      <c r="W325" s="511"/>
      <c r="X325" s="511"/>
      <c r="Y325" s="511"/>
      <c r="Z325" s="511"/>
      <c r="AA325" s="511"/>
      <c r="AB325" s="511"/>
      <c r="AC325" s="511"/>
      <c r="AD325" s="511"/>
      <c r="AE325" s="511"/>
      <c r="AF325" s="511"/>
      <c r="AG325" s="511"/>
      <c r="AH325" s="511"/>
      <c r="AI325" s="511"/>
      <c r="AJ325" s="511"/>
      <c r="AK325" s="511"/>
      <c r="AL325" s="511"/>
      <c r="AM325" s="511"/>
      <c r="AN325" s="511"/>
      <c r="AO325" s="511"/>
    </row>
    <row r="326" spans="1:41" ht="15.75" customHeight="1">
      <c r="A326" s="512" t="s">
        <v>901</v>
      </c>
      <c r="B326" s="505">
        <f>('Pivot Table for Data Exchange'!$M$258)*100</f>
        <v>72.131946761576387</v>
      </c>
      <c r="C326" s="505">
        <f>('Pivot Table for Data Exchange'!$M$261)*100</f>
        <v>4.8277907537166795</v>
      </c>
      <c r="D326" s="506">
        <f t="shared" si="72"/>
        <v>23.040262484706929</v>
      </c>
      <c r="E326" s="505">
        <f>('Pivot Table for Data Exchange'!$M$264)*100</f>
        <v>22.567011455900346</v>
      </c>
      <c r="F326" s="505">
        <f>('Pivot Table for Data Exchange'!$M$267)*100</f>
        <v>0.47325102880658432</v>
      </c>
      <c r="G326" s="515">
        <f>('Pivot Table for Data Exchange'!$M$270)*100</f>
        <v>0</v>
      </c>
      <c r="H326" s="519">
        <f>('Pivot Table for Data Exchange'!$M$273)*100</f>
        <v>0</v>
      </c>
      <c r="I326" s="512"/>
      <c r="J326" s="552"/>
      <c r="K326" s="552"/>
      <c r="L326" s="552"/>
      <c r="M326" s="552"/>
      <c r="N326" s="552"/>
      <c r="O326" s="552"/>
      <c r="P326" s="552"/>
      <c r="Q326" s="510">
        <f t="shared" si="65"/>
        <v>100</v>
      </c>
      <c r="R326" s="510"/>
      <c r="S326" s="511"/>
      <c r="U326" s="511"/>
      <c r="V326" s="511"/>
      <c r="W326" s="511"/>
      <c r="X326" s="511"/>
      <c r="Y326" s="511"/>
      <c r="Z326" s="511"/>
      <c r="AA326" s="511"/>
      <c r="AB326" s="511"/>
      <c r="AC326" s="511"/>
      <c r="AD326" s="511"/>
      <c r="AE326" s="511"/>
      <c r="AF326" s="511"/>
      <c r="AG326" s="511"/>
      <c r="AH326" s="511"/>
      <c r="AI326" s="511"/>
      <c r="AJ326" s="511"/>
      <c r="AK326" s="511"/>
      <c r="AL326" s="511"/>
      <c r="AM326" s="511"/>
      <c r="AN326" s="511"/>
      <c r="AO326" s="511"/>
    </row>
    <row r="327" spans="1:41" ht="12" customHeight="1">
      <c r="A327" s="512"/>
      <c r="B327" s="505"/>
      <c r="C327" s="505"/>
      <c r="D327" s="506"/>
      <c r="E327" s="505"/>
      <c r="F327" s="505"/>
      <c r="G327" s="515"/>
      <c r="H327" s="505"/>
      <c r="I327" s="512"/>
      <c r="J327" s="552"/>
      <c r="K327" s="552"/>
      <c r="L327" s="552"/>
      <c r="M327" s="552"/>
      <c r="N327" s="552"/>
      <c r="O327" s="552"/>
      <c r="P327" s="552"/>
      <c r="Q327" s="510">
        <f t="shared" si="65"/>
        <v>0</v>
      </c>
      <c r="R327" s="510"/>
      <c r="S327" s="511"/>
      <c r="U327" s="511"/>
      <c r="V327" s="511"/>
      <c r="W327" s="511"/>
      <c r="X327" s="511"/>
      <c r="Y327" s="511"/>
      <c r="Z327" s="511"/>
      <c r="AA327" s="511"/>
      <c r="AB327" s="511"/>
      <c r="AC327" s="511"/>
      <c r="AD327" s="511"/>
      <c r="AE327" s="511"/>
      <c r="AF327" s="511"/>
      <c r="AG327" s="511"/>
      <c r="AH327" s="511"/>
      <c r="AI327" s="511"/>
      <c r="AJ327" s="511"/>
      <c r="AK327" s="511"/>
      <c r="AL327" s="511"/>
      <c r="AM327" s="511"/>
      <c r="AN327" s="511"/>
      <c r="AO327" s="511"/>
    </row>
    <row r="328" spans="1:41" ht="15.75" customHeight="1">
      <c r="A328" s="512" t="s">
        <v>951</v>
      </c>
      <c r="B328" s="505">
        <f>('Pivot Table for Data Exchange'!$M$294)*100</f>
        <v>75.570756030946924</v>
      </c>
      <c r="C328" s="505">
        <f>('Pivot Table for Data Exchange'!$M$297)*100</f>
        <v>0</v>
      </c>
      <c r="D328" s="506">
        <f t="shared" ref="D328:D330" si="73">SUM(E328:G328)</f>
        <v>24.429243969053076</v>
      </c>
      <c r="E328" s="505">
        <f>('Pivot Table for Data Exchange'!$M$300)*100</f>
        <v>24.429243969053076</v>
      </c>
      <c r="F328" s="505">
        <f>('Pivot Table for Data Exchange'!$M$303)*100</f>
        <v>0</v>
      </c>
      <c r="G328" s="515">
        <f>('Pivot Table for Data Exchange'!$M$306)*100</f>
        <v>0</v>
      </c>
      <c r="H328" s="505">
        <f>('Pivot Table for Data Exchange'!$M$309)*100</f>
        <v>0</v>
      </c>
      <c r="I328" s="559"/>
      <c r="J328" s="552"/>
      <c r="K328" s="552"/>
      <c r="L328" s="552"/>
      <c r="M328" s="552"/>
      <c r="N328" s="552"/>
      <c r="O328" s="552"/>
      <c r="P328" s="552"/>
      <c r="Q328" s="510">
        <f t="shared" si="65"/>
        <v>100</v>
      </c>
      <c r="R328" s="510"/>
      <c r="S328" s="511"/>
      <c r="T328" s="511"/>
      <c r="U328" s="511"/>
      <c r="V328" s="511"/>
      <c r="W328" s="511"/>
      <c r="X328" s="511"/>
      <c r="Y328" s="511"/>
      <c r="Z328" s="511"/>
      <c r="AA328" s="511"/>
      <c r="AB328" s="511"/>
      <c r="AC328" s="511"/>
      <c r="AD328" s="511"/>
      <c r="AE328" s="511"/>
      <c r="AF328" s="511"/>
      <c r="AG328" s="511"/>
      <c r="AH328" s="511"/>
      <c r="AI328" s="511"/>
      <c r="AJ328" s="511"/>
      <c r="AK328" s="511"/>
      <c r="AL328" s="511"/>
      <c r="AM328" s="511"/>
      <c r="AN328" s="511"/>
      <c r="AO328" s="511"/>
    </row>
    <row r="329" spans="1:41" ht="15.75" customHeight="1">
      <c r="A329" s="512" t="s">
        <v>903</v>
      </c>
      <c r="B329" s="505">
        <f>('Pivot Table for Data Exchange'!$M$330)*100</f>
        <v>39.464524082105754</v>
      </c>
      <c r="C329" s="505">
        <f>('Pivot Table for Data Exchange'!$M$333)*100</f>
        <v>15.645589974775426</v>
      </c>
      <c r="D329" s="506">
        <f t="shared" si="73"/>
        <v>44.889885943118827</v>
      </c>
      <c r="E329" s="505">
        <f>('Pivot Table for Data Exchange'!$M$336)*100</f>
        <v>43.63740584329728</v>
      </c>
      <c r="F329" s="505">
        <f>('Pivot Table for Data Exchange'!$M$339)*100</f>
        <v>0.66236281267467589</v>
      </c>
      <c r="G329" s="513">
        <f>('Pivot Table for Data Exchange'!$M$342)*100</f>
        <v>0.59011728714686784</v>
      </c>
      <c r="H329" s="505">
        <f>('Pivot Table for Data Exchange'!$M$345)*100</f>
        <v>0</v>
      </c>
      <c r="I329" s="512"/>
      <c r="J329" s="552"/>
      <c r="K329" s="552"/>
      <c r="L329" s="552"/>
      <c r="M329" s="552"/>
      <c r="N329" s="552"/>
      <c r="O329" s="552"/>
      <c r="P329" s="552"/>
      <c r="Q329" s="510">
        <f t="shared" si="65"/>
        <v>100</v>
      </c>
      <c r="R329" s="510"/>
      <c r="S329" s="511"/>
      <c r="T329" s="511"/>
      <c r="U329" s="511"/>
      <c r="V329" s="511"/>
      <c r="W329" s="511"/>
      <c r="X329" s="511"/>
      <c r="Y329" s="511"/>
      <c r="Z329" s="511"/>
      <c r="AA329" s="511"/>
      <c r="AB329" s="511"/>
      <c r="AC329" s="511"/>
      <c r="AD329" s="511"/>
      <c r="AE329" s="511"/>
      <c r="AF329" s="511"/>
      <c r="AG329" s="511"/>
      <c r="AH329" s="511"/>
      <c r="AI329" s="511"/>
      <c r="AJ329" s="511"/>
      <c r="AK329" s="511"/>
      <c r="AL329" s="511"/>
      <c r="AM329" s="511"/>
      <c r="AN329" s="511"/>
      <c r="AO329" s="511"/>
    </row>
    <row r="330" spans="1:41" ht="15.75" customHeight="1">
      <c r="A330" s="512" t="s">
        <v>904</v>
      </c>
      <c r="B330" s="505">
        <f>('Pivot Table for Data Exchange'!$M$366)*100</f>
        <v>70.152912178199742</v>
      </c>
      <c r="C330" s="505">
        <f>('Pivot Table for Data Exchange'!$M$369)*100</f>
        <v>2.6460653642505023</v>
      </c>
      <c r="D330" s="506">
        <f t="shared" si="73"/>
        <v>27.201022457549755</v>
      </c>
      <c r="E330" s="505">
        <f>('Pivot Table for Data Exchange'!$M$372)*100</f>
        <v>20.296238816870549</v>
      </c>
      <c r="F330" s="505">
        <f>('Pivot Table for Data Exchange'!$M$375)*100</f>
        <v>6.2639218550301257</v>
      </c>
      <c r="G330" s="513">
        <f>('Pivot Table for Data Exchange'!$M$378)*100</f>
        <v>0.64086178564907792</v>
      </c>
      <c r="H330" s="505">
        <f>('Pivot Table for Data Exchange'!$M$381)*100</f>
        <v>0</v>
      </c>
      <c r="I330" s="512"/>
      <c r="J330" s="552"/>
      <c r="K330" s="552"/>
      <c r="L330" s="552"/>
      <c r="M330" s="552"/>
      <c r="N330" s="552"/>
      <c r="O330" s="552"/>
      <c r="P330" s="552"/>
      <c r="Q330" s="510">
        <f t="shared" si="65"/>
        <v>100</v>
      </c>
      <c r="R330" s="510"/>
      <c r="S330" s="511"/>
      <c r="T330" s="535"/>
      <c r="U330" s="511"/>
      <c r="V330" s="511"/>
      <c r="W330" s="511"/>
      <c r="X330" s="511"/>
      <c r="Y330" s="511"/>
      <c r="Z330" s="511"/>
      <c r="AA330" s="511"/>
      <c r="AB330" s="511"/>
      <c r="AC330" s="511"/>
      <c r="AD330" s="511"/>
      <c r="AE330" s="511"/>
      <c r="AF330" s="511"/>
      <c r="AG330" s="511"/>
      <c r="AH330" s="511"/>
      <c r="AI330" s="511"/>
      <c r="AJ330" s="511"/>
      <c r="AK330" s="511"/>
      <c r="AL330" s="511"/>
      <c r="AM330" s="511"/>
      <c r="AN330" s="511"/>
      <c r="AO330" s="511"/>
    </row>
    <row r="331" spans="1:41" ht="15.75" customHeight="1">
      <c r="A331" s="512" t="s">
        <v>905</v>
      </c>
      <c r="B331" s="505">
        <f>('Pivot Table for Data Exchange'!$M$402)*100</f>
        <v>65.083441934931969</v>
      </c>
      <c r="C331" s="505">
        <f>('Pivot Table for Data Exchange'!$M$405)*100</f>
        <v>7.77474796332399</v>
      </c>
      <c r="D331" s="506">
        <f>SUM(E331:G331)</f>
        <v>27.141810101744031</v>
      </c>
      <c r="E331" s="505">
        <f>('Pivot Table for Data Exchange'!$M$408)*100</f>
        <v>25.533591160921166</v>
      </c>
      <c r="F331" s="505">
        <f>('Pivot Table for Data Exchange'!$M$411)*100</f>
        <v>1.6082189408228655</v>
      </c>
      <c r="G331" s="518">
        <f>('Pivot Table for Data Exchange'!$M$414)*100</f>
        <v>0</v>
      </c>
      <c r="H331" s="505">
        <f>('Pivot Table for Data Exchange'!$M$417)*100</f>
        <v>0</v>
      </c>
      <c r="I331" s="512"/>
      <c r="J331" s="552"/>
      <c r="K331" s="552"/>
      <c r="L331" s="552"/>
      <c r="M331" s="552"/>
      <c r="N331" s="552"/>
      <c r="O331" s="552"/>
      <c r="P331" s="552"/>
      <c r="Q331" s="510">
        <f t="shared" ref="Q331:Q395" si="74">SUM(B331,C331,D331,H331)</f>
        <v>99.999999999999986</v>
      </c>
      <c r="R331" s="510"/>
      <c r="S331" s="511"/>
      <c r="T331" s="511"/>
      <c r="U331" s="511"/>
      <c r="V331" s="511"/>
      <c r="W331" s="511"/>
      <c r="X331" s="511"/>
      <c r="Y331" s="511"/>
      <c r="Z331" s="511"/>
      <c r="AA331" s="511"/>
      <c r="AB331" s="511"/>
      <c r="AC331" s="511"/>
      <c r="AD331" s="511"/>
      <c r="AE331" s="511"/>
      <c r="AF331" s="511"/>
      <c r="AG331" s="511"/>
      <c r="AH331" s="511"/>
      <c r="AI331" s="511"/>
      <c r="AJ331" s="511"/>
      <c r="AK331" s="511"/>
      <c r="AL331" s="511"/>
      <c r="AM331" s="511"/>
      <c r="AN331" s="511"/>
      <c r="AO331" s="511"/>
    </row>
    <row r="332" spans="1:41" ht="12.75" customHeight="1">
      <c r="A332" s="512"/>
      <c r="B332" s="505"/>
      <c r="C332" s="505"/>
      <c r="D332" s="506"/>
      <c r="E332" s="505"/>
      <c r="F332" s="505"/>
      <c r="G332" s="515"/>
      <c r="H332" s="505"/>
      <c r="I332" s="512"/>
      <c r="J332" s="552"/>
      <c r="K332" s="552"/>
      <c r="L332" s="552"/>
      <c r="M332" s="552"/>
      <c r="N332" s="552"/>
      <c r="O332" s="552"/>
      <c r="P332" s="552"/>
      <c r="Q332" s="510">
        <f t="shared" si="74"/>
        <v>0</v>
      </c>
      <c r="R332" s="510"/>
      <c r="S332" s="511"/>
      <c r="T332" s="511"/>
      <c r="U332" s="511"/>
      <c r="V332" s="511"/>
      <c r="W332" s="511"/>
      <c r="X332" s="511"/>
      <c r="Y332" s="511"/>
      <c r="Z332" s="511"/>
      <c r="AA332" s="511"/>
      <c r="AB332" s="511"/>
      <c r="AC332" s="511"/>
      <c r="AD332" s="511"/>
      <c r="AE332" s="511"/>
      <c r="AF332" s="511"/>
      <c r="AG332" s="511"/>
      <c r="AH332" s="511"/>
      <c r="AI332" s="511"/>
      <c r="AJ332" s="511"/>
      <c r="AK332" s="511"/>
      <c r="AL332" s="511"/>
      <c r="AM332" s="511"/>
      <c r="AN332" s="511"/>
      <c r="AO332" s="511"/>
    </row>
    <row r="333" spans="1:41" ht="15.75" customHeight="1">
      <c r="A333" s="512" t="s">
        <v>906</v>
      </c>
      <c r="B333" s="505">
        <f>('Pivot Table for Data Exchange'!$M$438)*100</f>
        <v>40.791241900555512</v>
      </c>
      <c r="C333" s="505">
        <f>('Pivot Table for Data Exchange'!$M$441)*100</f>
        <v>31.953966908901045</v>
      </c>
      <c r="D333" s="506">
        <f>SUM(E333:G333)</f>
        <v>27.060204800748668</v>
      </c>
      <c r="E333" s="505">
        <f>('Pivot Table for Data Exchange'!$M$444)*100</f>
        <v>17.592093287340184</v>
      </c>
      <c r="F333" s="505">
        <f>('Pivot Table for Data Exchange'!$M$447)*100</f>
        <v>4.6389737707817975</v>
      </c>
      <c r="G333" s="515">
        <f>('Pivot Table for Data Exchange'!$M$450)*100</f>
        <v>4.8291377426266884</v>
      </c>
      <c r="H333" s="505">
        <f>('Pivot Table for Data Exchange'!$M$453)*100</f>
        <v>0.19458638979477128</v>
      </c>
      <c r="I333" s="512"/>
      <c r="J333" s="552"/>
      <c r="K333" s="552"/>
      <c r="L333" s="552"/>
      <c r="M333" s="552"/>
      <c r="N333" s="552"/>
      <c r="O333" s="552"/>
      <c r="P333" s="552"/>
      <c r="Q333" s="510">
        <f t="shared" si="74"/>
        <v>99.999999999999986</v>
      </c>
      <c r="R333" s="510"/>
      <c r="S333" s="511"/>
      <c r="T333" s="511"/>
      <c r="U333" s="511"/>
      <c r="V333" s="511"/>
      <c r="W333" s="511"/>
      <c r="X333" s="511"/>
      <c r="Y333" s="511"/>
      <c r="Z333" s="511"/>
      <c r="AA333" s="511"/>
      <c r="AB333" s="511"/>
      <c r="AC333" s="511"/>
      <c r="AD333" s="511"/>
      <c r="AE333" s="511"/>
      <c r="AF333" s="511"/>
      <c r="AG333" s="511"/>
      <c r="AH333" s="511"/>
      <c r="AI333" s="511"/>
      <c r="AJ333" s="511"/>
      <c r="AK333" s="511"/>
      <c r="AL333" s="511"/>
      <c r="AM333" s="511"/>
      <c r="AN333" s="511"/>
      <c r="AO333" s="511"/>
    </row>
    <row r="334" spans="1:41" ht="15.75" customHeight="1">
      <c r="A334" s="512" t="s">
        <v>907</v>
      </c>
      <c r="B334" s="505">
        <f>('Pivot Table for Data Exchange'!$M$474)*100</f>
        <v>53.499718706917335</v>
      </c>
      <c r="C334" s="505">
        <f>('Pivot Table for Data Exchange'!$M$477)*100</f>
        <v>20.071260914274642</v>
      </c>
      <c r="D334" s="506">
        <f>SUM(E334:G334)</f>
        <v>26.429020378808016</v>
      </c>
      <c r="E334" s="505">
        <f>('Pivot Table for Data Exchange'!$M$480)*100</f>
        <v>24.073824493723968</v>
      </c>
      <c r="F334" s="505">
        <f>('Pivot Table for Data Exchange'!$M$483)*100</f>
        <v>2.0618267770407144</v>
      </c>
      <c r="G334" s="515">
        <f>('Pivot Table for Data Exchange'!$M$486)*100</f>
        <v>0.2933691080433336</v>
      </c>
      <c r="H334" s="505">
        <f>('Pivot Table for Data Exchange'!$M$489)*100</f>
        <v>0</v>
      </c>
      <c r="I334" s="512"/>
      <c r="J334" s="552"/>
      <c r="K334" s="552"/>
      <c r="L334" s="552"/>
      <c r="M334" s="552"/>
      <c r="N334" s="552"/>
      <c r="O334" s="552"/>
      <c r="P334" s="552"/>
      <c r="Q334" s="510">
        <f t="shared" si="74"/>
        <v>100</v>
      </c>
      <c r="R334" s="510"/>
      <c r="S334" s="511"/>
      <c r="T334" s="511"/>
      <c r="U334" s="511"/>
      <c r="V334" s="511"/>
      <c r="W334" s="511"/>
      <c r="X334" s="511"/>
      <c r="Y334" s="511"/>
      <c r="Z334" s="511"/>
      <c r="AA334" s="511"/>
      <c r="AB334" s="511"/>
      <c r="AC334" s="511"/>
      <c r="AD334" s="511"/>
      <c r="AE334" s="511"/>
      <c r="AF334" s="511"/>
      <c r="AG334" s="511"/>
      <c r="AH334" s="511"/>
      <c r="AI334" s="511"/>
      <c r="AJ334" s="511"/>
      <c r="AK334" s="511"/>
      <c r="AL334" s="511"/>
      <c r="AM334" s="511"/>
      <c r="AN334" s="511"/>
      <c r="AO334" s="511"/>
    </row>
    <row r="335" spans="1:41" ht="15.75" customHeight="1">
      <c r="A335" s="512" t="s">
        <v>908</v>
      </c>
      <c r="B335" s="505">
        <f>('Pivot Table for Data Exchange'!$M$510)*100</f>
        <v>46.814399475081274</v>
      </c>
      <c r="C335" s="505">
        <f>('Pivot Table for Data Exchange'!$M$513)*100</f>
        <v>22.864187221012656</v>
      </c>
      <c r="D335" s="506">
        <f t="shared" ref="D335" si="75">SUM(E335:G335)</f>
        <v>30.321413303906066</v>
      </c>
      <c r="E335" s="505">
        <f>('Pivot Table for Data Exchange'!$M$516)*100</f>
        <v>25.847077654170018</v>
      </c>
      <c r="F335" s="505">
        <f>('Pivot Table for Data Exchange'!$M$519)*100</f>
        <v>4.4743356497360489</v>
      </c>
      <c r="G335" s="515">
        <f>('Pivot Table for Data Exchange'!$M$522)*100</f>
        <v>0</v>
      </c>
      <c r="H335" s="505">
        <f>('Pivot Table for Data Exchange'!$M$525)*100</f>
        <v>0</v>
      </c>
      <c r="I335" s="512"/>
      <c r="J335" s="552"/>
      <c r="K335" s="552"/>
      <c r="L335" s="552"/>
      <c r="M335" s="552"/>
      <c r="N335" s="552"/>
      <c r="O335" s="552"/>
      <c r="P335" s="552"/>
      <c r="Q335" s="510">
        <f t="shared" si="74"/>
        <v>100</v>
      </c>
      <c r="R335" s="510"/>
      <c r="S335" s="511"/>
      <c r="T335" s="511"/>
      <c r="U335" s="511"/>
      <c r="V335" s="511"/>
      <c r="W335" s="511"/>
      <c r="X335" s="511"/>
      <c r="Y335" s="511"/>
      <c r="Z335" s="511"/>
      <c r="AA335" s="511"/>
      <c r="AB335" s="511"/>
      <c r="AC335" s="511"/>
      <c r="AD335" s="511"/>
      <c r="AE335" s="511"/>
      <c r="AF335" s="511"/>
      <c r="AG335" s="511"/>
      <c r="AH335" s="511"/>
      <c r="AI335" s="511"/>
      <c r="AJ335" s="511"/>
      <c r="AK335" s="511"/>
      <c r="AL335" s="511"/>
      <c r="AM335" s="511"/>
      <c r="AN335" s="511"/>
      <c r="AO335" s="511"/>
    </row>
    <row r="336" spans="1:41" ht="15.75" customHeight="1">
      <c r="A336" s="484" t="s">
        <v>909</v>
      </c>
      <c r="B336" s="520">
        <f>('Pivot Table for Data Exchange'!$M$546)*100</f>
        <v>0</v>
      </c>
      <c r="C336" s="520">
        <f>('Pivot Table for Data Exchange'!$M$549)*100</f>
        <v>0</v>
      </c>
      <c r="D336" s="521">
        <f>SUM(E336:G336)</f>
        <v>0</v>
      </c>
      <c r="E336" s="520">
        <f>('Pivot Table for Data Exchange'!$M$552)*100</f>
        <v>0</v>
      </c>
      <c r="F336" s="520">
        <f>('Pivot Table for Data Exchange'!$M$555)*100</f>
        <v>0</v>
      </c>
      <c r="G336" s="549">
        <f>('Pivot Table for Data Exchange'!$M$558)*100</f>
        <v>0</v>
      </c>
      <c r="H336" s="520">
        <f>('Pivot Table for Data Exchange'!$M$561)*100</f>
        <v>0</v>
      </c>
      <c r="I336" s="512"/>
      <c r="J336" s="552"/>
      <c r="K336" s="552"/>
      <c r="L336" s="552"/>
      <c r="M336" s="552"/>
      <c r="N336" s="552"/>
      <c r="O336" s="552"/>
      <c r="P336" s="552"/>
      <c r="Q336" s="510">
        <f t="shared" si="74"/>
        <v>0</v>
      </c>
      <c r="R336" s="510"/>
      <c r="S336" s="511"/>
      <c r="T336" s="511"/>
      <c r="U336" s="511"/>
      <c r="V336" s="511"/>
      <c r="W336" s="511"/>
      <c r="X336" s="511"/>
      <c r="Y336" s="511"/>
      <c r="Z336" s="511"/>
      <c r="AA336" s="511"/>
      <c r="AB336" s="511"/>
      <c r="AC336" s="511"/>
      <c r="AD336" s="511"/>
      <c r="AE336" s="511"/>
      <c r="AF336" s="511"/>
      <c r="AG336" s="511"/>
      <c r="AH336" s="511"/>
      <c r="AI336" s="511"/>
      <c r="AJ336" s="511"/>
      <c r="AK336" s="511"/>
      <c r="AL336" s="511"/>
      <c r="AM336" s="511"/>
      <c r="AN336" s="511"/>
      <c r="AO336" s="511"/>
    </row>
    <row r="337" spans="1:41" s="524" customFormat="1" ht="12" customHeight="1">
      <c r="A337" s="525" t="s">
        <v>937</v>
      </c>
      <c r="B337" s="526"/>
      <c r="C337" s="526"/>
      <c r="D337" s="527"/>
      <c r="E337" s="526"/>
      <c r="F337" s="527"/>
      <c r="G337" s="527"/>
      <c r="H337" s="526"/>
      <c r="I337" s="546"/>
      <c r="J337" s="526"/>
      <c r="K337" s="526"/>
      <c r="L337" s="527"/>
      <c r="M337" s="526"/>
      <c r="N337" s="527"/>
      <c r="O337" s="527"/>
      <c r="P337" s="526"/>
      <c r="Q337" s="510">
        <f t="shared" si="74"/>
        <v>0</v>
      </c>
      <c r="R337" s="553"/>
      <c r="S337" s="528"/>
      <c r="T337" s="528"/>
      <c r="U337" s="528"/>
      <c r="V337" s="528"/>
      <c r="W337" s="528"/>
      <c r="X337" s="528"/>
      <c r="Y337" s="528"/>
      <c r="Z337" s="528"/>
      <c r="AA337" s="528"/>
      <c r="AB337" s="528"/>
      <c r="AC337" s="528"/>
      <c r="AD337" s="528"/>
      <c r="AE337" s="528"/>
      <c r="AF337" s="528"/>
      <c r="AG337" s="528"/>
      <c r="AH337" s="528"/>
      <c r="AI337" s="528"/>
      <c r="AJ337" s="528"/>
      <c r="AK337" s="528"/>
      <c r="AL337" s="528"/>
      <c r="AM337" s="528"/>
      <c r="AN337" s="528"/>
      <c r="AO337" s="528"/>
    </row>
    <row r="338" spans="1:41" s="524" customFormat="1" ht="22.5" customHeight="1">
      <c r="A338" s="655" t="s">
        <v>952</v>
      </c>
      <c r="B338" s="673"/>
      <c r="C338" s="673"/>
      <c r="D338" s="673"/>
      <c r="E338" s="673"/>
      <c r="F338" s="673"/>
      <c r="G338" s="673"/>
      <c r="H338" s="673"/>
      <c r="I338" s="546"/>
      <c r="P338" s="541"/>
      <c r="Q338" s="510">
        <f t="shared" si="74"/>
        <v>0</v>
      </c>
      <c r="R338" s="554"/>
    </row>
    <row r="339" spans="1:41" s="524" customFormat="1" ht="13.5" customHeight="1">
      <c r="A339" s="529"/>
      <c r="B339" s="560"/>
      <c r="C339" s="560"/>
      <c r="D339" s="560"/>
      <c r="E339" s="560"/>
      <c r="F339" s="560"/>
      <c r="G339" s="560"/>
      <c r="H339" s="560"/>
      <c r="I339" s="546"/>
      <c r="P339" s="541"/>
      <c r="Q339" s="510"/>
      <c r="R339" s="554"/>
    </row>
    <row r="340" spans="1:41" s="524" customFormat="1">
      <c r="H340" s="532" t="s">
        <v>1015</v>
      </c>
      <c r="I340" s="540"/>
      <c r="J340" s="540"/>
      <c r="K340" s="540"/>
      <c r="L340" s="540"/>
      <c r="M340" s="540"/>
      <c r="N340" s="540"/>
      <c r="O340" s="540"/>
      <c r="P340" s="540"/>
      <c r="Q340" s="510">
        <f t="shared" si="74"/>
        <v>0</v>
      </c>
      <c r="R340" s="557"/>
    </row>
    <row r="341" spans="1:41" ht="18">
      <c r="A341" s="472" t="s">
        <v>957</v>
      </c>
      <c r="B341" s="473"/>
      <c r="C341" s="473"/>
      <c r="D341" s="473"/>
      <c r="E341" s="473"/>
      <c r="F341" s="473"/>
      <c r="G341" s="473"/>
      <c r="H341" s="474"/>
      <c r="I341" s="550"/>
      <c r="J341" s="512"/>
      <c r="K341" s="512"/>
      <c r="L341" s="474"/>
      <c r="M341" s="512"/>
      <c r="N341" s="512"/>
      <c r="O341" s="512"/>
      <c r="P341" s="512"/>
      <c r="Q341" s="510">
        <f t="shared" si="74"/>
        <v>0</v>
      </c>
    </row>
    <row r="342" spans="1:41">
      <c r="A342" s="479"/>
      <c r="B342" s="475"/>
      <c r="C342" s="475"/>
      <c r="D342" s="475"/>
      <c r="E342" s="475"/>
      <c r="F342" s="475"/>
      <c r="G342" s="475"/>
      <c r="H342" s="480"/>
      <c r="I342" s="550"/>
      <c r="J342" s="512"/>
      <c r="K342" s="512"/>
      <c r="L342" s="512"/>
      <c r="M342" s="512"/>
      <c r="N342" s="512"/>
      <c r="O342" s="512"/>
      <c r="P342" s="512"/>
      <c r="Q342" s="510">
        <f t="shared" si="74"/>
        <v>0</v>
      </c>
    </row>
    <row r="343" spans="1:41" ht="15.75">
      <c r="A343" s="481" t="s">
        <v>917</v>
      </c>
      <c r="B343" s="475"/>
      <c r="C343" s="475"/>
      <c r="D343" s="475"/>
      <c r="E343" s="475"/>
      <c r="F343" s="475"/>
      <c r="G343" s="475"/>
      <c r="H343" s="480"/>
      <c r="I343" s="550"/>
      <c r="J343" s="512"/>
      <c r="K343" s="512"/>
      <c r="L343" s="480"/>
      <c r="M343" s="512"/>
      <c r="N343" s="512"/>
      <c r="O343" s="512"/>
      <c r="P343" s="512"/>
      <c r="Q343" s="510">
        <f t="shared" si="74"/>
        <v>0</v>
      </c>
    </row>
    <row r="344" spans="1:41" ht="15.75">
      <c r="A344" s="481" t="s">
        <v>973</v>
      </c>
      <c r="B344" s="475"/>
      <c r="C344" s="475"/>
      <c r="D344" s="475"/>
      <c r="E344" s="475"/>
      <c r="F344" s="475"/>
      <c r="G344" s="475"/>
      <c r="H344" s="480"/>
      <c r="I344" s="550"/>
      <c r="J344" s="512"/>
      <c r="K344" s="512"/>
      <c r="L344" s="512"/>
      <c r="M344" s="512"/>
      <c r="N344" s="512"/>
      <c r="O344" s="512"/>
      <c r="P344" s="512"/>
      <c r="Q344" s="510">
        <f t="shared" si="74"/>
        <v>0</v>
      </c>
    </row>
    <row r="345" spans="1:41">
      <c r="A345" s="484"/>
      <c r="B345" s="485"/>
      <c r="C345" s="485"/>
      <c r="D345" s="485"/>
      <c r="E345" s="485"/>
      <c r="F345" s="485"/>
      <c r="G345" s="485"/>
      <c r="H345" s="485"/>
      <c r="I345" s="550"/>
      <c r="J345" s="512"/>
      <c r="K345" s="512"/>
      <c r="L345" s="512"/>
      <c r="M345" s="512"/>
      <c r="N345" s="512"/>
      <c r="O345" s="512"/>
      <c r="P345" s="512"/>
      <c r="Q345" s="510">
        <f t="shared" si="74"/>
        <v>0</v>
      </c>
    </row>
    <row r="346" spans="1:41">
      <c r="A346" s="489"/>
      <c r="B346" s="490" t="s">
        <v>919</v>
      </c>
      <c r="C346" s="490"/>
      <c r="D346" s="490"/>
      <c r="E346" s="490"/>
      <c r="F346" s="490"/>
      <c r="G346" s="490"/>
      <c r="H346" s="491"/>
      <c r="I346" s="550"/>
      <c r="J346" s="512"/>
      <c r="K346" s="512"/>
      <c r="L346" s="512"/>
      <c r="M346" s="512"/>
      <c r="N346" s="512"/>
      <c r="O346" s="512"/>
      <c r="P346" s="512"/>
      <c r="Q346" s="510">
        <f t="shared" si="74"/>
        <v>0</v>
      </c>
    </row>
    <row r="347" spans="1:41">
      <c r="A347" s="489"/>
      <c r="B347" s="490" t="s">
        <v>920</v>
      </c>
      <c r="C347" s="490"/>
      <c r="D347" s="659" t="s">
        <v>921</v>
      </c>
      <c r="E347" s="657"/>
      <c r="F347" s="657"/>
      <c r="G347" s="657"/>
      <c r="H347" s="495" t="s">
        <v>320</v>
      </c>
      <c r="I347" s="550"/>
      <c r="J347" s="512"/>
      <c r="K347" s="512"/>
      <c r="L347" s="512"/>
      <c r="M347" s="512"/>
      <c r="N347" s="512"/>
      <c r="O347" s="512"/>
      <c r="P347" s="512"/>
      <c r="Q347" s="510">
        <f t="shared" si="74"/>
        <v>0</v>
      </c>
    </row>
    <row r="348" spans="1:41" ht="36">
      <c r="A348" s="489"/>
      <c r="B348" s="496" t="s">
        <v>922</v>
      </c>
      <c r="C348" s="497" t="s">
        <v>923</v>
      </c>
      <c r="D348" s="498" t="s">
        <v>924</v>
      </c>
      <c r="E348" s="499" t="s">
        <v>10</v>
      </c>
      <c r="F348" s="496" t="s">
        <v>925</v>
      </c>
      <c r="G348" s="500" t="s">
        <v>935</v>
      </c>
      <c r="H348" s="501" t="s">
        <v>927</v>
      </c>
      <c r="I348" s="550"/>
      <c r="J348" s="512"/>
      <c r="K348" s="512"/>
      <c r="L348" s="512"/>
      <c r="M348" s="512"/>
      <c r="N348" s="512"/>
      <c r="O348" s="512"/>
      <c r="P348" s="512"/>
      <c r="Q348" s="510">
        <f t="shared" si="74"/>
        <v>0</v>
      </c>
    </row>
    <row r="349" spans="1:41" ht="15.75" customHeight="1">
      <c r="A349" s="534" t="s">
        <v>894</v>
      </c>
      <c r="B349" s="505">
        <f>('Pivot Table for Data Exchange'!$N$6)*100</f>
        <v>65.874781856376302</v>
      </c>
      <c r="C349" s="505">
        <f>('Pivot Table for Data Exchange'!$N$9)*100</f>
        <v>9.4042493933459159</v>
      </c>
      <c r="D349" s="506">
        <f>SUM(E349:G349)</f>
        <v>24.72096875027777</v>
      </c>
      <c r="E349" s="505">
        <f>('Pivot Table for Data Exchange'!$N$12)*100</f>
        <v>24.553268524800966</v>
      </c>
      <c r="F349" s="505">
        <f>('Pivot Table for Data Exchange'!$N$15)*100</f>
        <v>0</v>
      </c>
      <c r="G349" s="509">
        <f>('Pivot Table for Data Exchange'!$N$18)*100</f>
        <v>0.16770022547680494</v>
      </c>
      <c r="H349" s="505">
        <f>('Pivot Table for Data Exchange'!$N$21)*100</f>
        <v>0</v>
      </c>
      <c r="I349" s="512"/>
      <c r="J349" s="552"/>
      <c r="K349" s="552"/>
      <c r="L349" s="552"/>
      <c r="M349" s="552"/>
      <c r="N349" s="552"/>
      <c r="O349" s="552"/>
      <c r="P349" s="552"/>
      <c r="Q349" s="510">
        <f t="shared" si="74"/>
        <v>100</v>
      </c>
      <c r="R349" s="510"/>
      <c r="S349" s="511"/>
      <c r="T349" s="511"/>
      <c r="U349" s="511"/>
      <c r="V349" s="511"/>
      <c r="W349" s="511"/>
      <c r="X349" s="511"/>
      <c r="Y349" s="511"/>
      <c r="Z349" s="511"/>
      <c r="AA349" s="511"/>
      <c r="AB349" s="511"/>
      <c r="AC349" s="511"/>
      <c r="AD349" s="511"/>
      <c r="AE349" s="511"/>
      <c r="AF349" s="511"/>
      <c r="AG349" s="511"/>
      <c r="AH349" s="511"/>
      <c r="AI349" s="511"/>
      <c r="AJ349" s="511"/>
      <c r="AK349" s="511"/>
      <c r="AL349" s="511"/>
      <c r="AM349" s="511"/>
      <c r="AN349" s="511"/>
      <c r="AO349" s="511"/>
    </row>
    <row r="350" spans="1:41" ht="15.75" customHeight="1">
      <c r="A350" s="512" t="s">
        <v>895</v>
      </c>
      <c r="B350" s="505">
        <f>('Pivot Table for Data Exchange'!$N$42)*100</f>
        <v>63.134697977279018</v>
      </c>
      <c r="C350" s="505">
        <f>('Pivot Table for Data Exchange'!$N$45)*100</f>
        <v>11.906691604322527</v>
      </c>
      <c r="D350" s="506">
        <f t="shared" ref="D350:D352" si="76">SUM(E350:G350)</f>
        <v>24.958610418398447</v>
      </c>
      <c r="E350" s="505">
        <f>('Pivot Table for Data Exchange'!$N$48)*100</f>
        <v>23.17972430036021</v>
      </c>
      <c r="F350" s="505">
        <f>('Pivot Table for Data Exchange'!$N$51)*100</f>
        <v>1.7788861180382378</v>
      </c>
      <c r="G350" s="513">
        <f>('Pivot Table for Data Exchange'!$N$54)*100</f>
        <v>0</v>
      </c>
      <c r="H350" s="519">
        <f>('Pivot Table for Data Exchange'!$N$57)*100</f>
        <v>0</v>
      </c>
      <c r="I350" s="512"/>
      <c r="J350" s="552"/>
      <c r="K350" s="552"/>
      <c r="L350" s="552"/>
      <c r="M350" s="552"/>
      <c r="N350" s="552"/>
      <c r="O350" s="552"/>
      <c r="P350" s="552"/>
      <c r="Q350" s="510">
        <f t="shared" si="74"/>
        <v>100</v>
      </c>
      <c r="R350" s="510"/>
      <c r="S350" s="511"/>
      <c r="T350" s="511"/>
      <c r="U350" s="511"/>
      <c r="V350" s="511"/>
      <c r="W350" s="511"/>
      <c r="X350" s="511"/>
      <c r="Y350" s="511"/>
      <c r="Z350" s="511"/>
      <c r="AA350" s="511"/>
      <c r="AB350" s="511"/>
      <c r="AC350" s="511"/>
      <c r="AD350" s="511"/>
      <c r="AE350" s="511"/>
      <c r="AF350" s="511"/>
      <c r="AG350" s="511"/>
      <c r="AH350" s="511"/>
      <c r="AI350" s="511"/>
      <c r="AJ350" s="511"/>
      <c r="AK350" s="511"/>
      <c r="AL350" s="511"/>
      <c r="AM350" s="511"/>
      <c r="AN350" s="511"/>
      <c r="AO350" s="511"/>
    </row>
    <row r="351" spans="1:41" ht="15.75" customHeight="1">
      <c r="A351" s="512" t="s">
        <v>896</v>
      </c>
      <c r="B351" s="505">
        <f>('Pivot Table for Data Exchange'!$N$78)*100</f>
        <v>0</v>
      </c>
      <c r="C351" s="505">
        <f>('Pivot Table for Data Exchange'!$N$81)*100</f>
        <v>0</v>
      </c>
      <c r="D351" s="506">
        <f t="shared" si="76"/>
        <v>0</v>
      </c>
      <c r="E351" s="505">
        <f>('Pivot Table for Data Exchange'!$N$84)*100</f>
        <v>0</v>
      </c>
      <c r="F351" s="505">
        <f>('Pivot Table for Data Exchange'!$N$87)*100</f>
        <v>0</v>
      </c>
      <c r="G351" s="515">
        <f>('Pivot Table for Data Exchange'!$N$90)*100</f>
        <v>0</v>
      </c>
      <c r="H351" s="505">
        <f>('Pivot Table for Data Exchange'!$N$93)*100</f>
        <v>0</v>
      </c>
      <c r="I351" s="512"/>
      <c r="J351" s="552"/>
      <c r="K351" s="552"/>
      <c r="L351" s="552"/>
      <c r="M351" s="552"/>
      <c r="N351" s="552"/>
      <c r="O351" s="552"/>
      <c r="P351" s="552"/>
      <c r="Q351" s="510">
        <f t="shared" si="74"/>
        <v>0</v>
      </c>
      <c r="R351" s="510"/>
      <c r="S351" s="511"/>
      <c r="T351" s="535"/>
      <c r="U351" s="511"/>
      <c r="V351" s="511"/>
      <c r="W351" s="511"/>
      <c r="X351" s="511"/>
      <c r="Y351" s="511"/>
      <c r="Z351" s="511"/>
      <c r="AA351" s="511"/>
      <c r="AB351" s="511"/>
      <c r="AC351" s="511"/>
      <c r="AD351" s="511"/>
      <c r="AE351" s="511"/>
      <c r="AF351" s="511"/>
      <c r="AG351" s="511"/>
      <c r="AH351" s="511"/>
      <c r="AI351" s="511"/>
      <c r="AJ351" s="511"/>
      <c r="AK351" s="511"/>
      <c r="AL351" s="511"/>
      <c r="AM351" s="511"/>
      <c r="AN351" s="511"/>
      <c r="AO351" s="511"/>
    </row>
    <row r="352" spans="1:41" ht="15.75" customHeight="1">
      <c r="A352" s="512" t="s">
        <v>936</v>
      </c>
      <c r="B352" s="505">
        <f>('Pivot Table for Data Exchange'!$N$114)*100</f>
        <v>70.555151515151522</v>
      </c>
      <c r="C352" s="505">
        <f>('Pivot Table for Data Exchange'!$N$117)*100</f>
        <v>3.5733333333333333</v>
      </c>
      <c r="D352" s="506">
        <f t="shared" si="76"/>
        <v>25.871515151515151</v>
      </c>
      <c r="E352" s="505">
        <f>('Pivot Table for Data Exchange'!$N$120)*100</f>
        <v>24.649696969696969</v>
      </c>
      <c r="F352" s="505">
        <f>('Pivot Table for Data Exchange'!$N$123)*100</f>
        <v>1.2218181818181819</v>
      </c>
      <c r="G352" s="515">
        <f>('Pivot Table for Data Exchange'!$N$126)*100</f>
        <v>0</v>
      </c>
      <c r="H352" s="505">
        <f>('Pivot Table for Data Exchange'!$N$129)*100</f>
        <v>0</v>
      </c>
      <c r="I352" s="512"/>
      <c r="J352" s="552"/>
      <c r="K352" s="552"/>
      <c r="L352" s="552"/>
      <c r="M352" s="552"/>
      <c r="N352" s="552"/>
      <c r="O352" s="552"/>
      <c r="P352" s="552"/>
      <c r="Q352" s="510">
        <f t="shared" si="74"/>
        <v>100.00000000000001</v>
      </c>
      <c r="R352" s="510"/>
      <c r="S352" s="511"/>
      <c r="U352" s="511"/>
      <c r="V352" s="511"/>
      <c r="W352" s="511"/>
      <c r="X352" s="511"/>
      <c r="Y352" s="511"/>
      <c r="Z352" s="511"/>
      <c r="AA352" s="511"/>
      <c r="AB352" s="511"/>
      <c r="AC352" s="511"/>
      <c r="AD352" s="511"/>
      <c r="AE352" s="511"/>
      <c r="AF352" s="511"/>
      <c r="AG352" s="511"/>
      <c r="AH352" s="511"/>
      <c r="AI352" s="511"/>
      <c r="AJ352" s="511"/>
      <c r="AK352" s="511"/>
      <c r="AL352" s="511"/>
      <c r="AM352" s="511"/>
      <c r="AN352" s="511"/>
      <c r="AO352" s="511"/>
    </row>
    <row r="353" spans="1:41" ht="15.75" customHeight="1">
      <c r="A353" s="512"/>
      <c r="B353" s="505"/>
      <c r="C353" s="505"/>
      <c r="D353" s="506"/>
      <c r="E353" s="505"/>
      <c r="F353" s="505"/>
      <c r="G353" s="515"/>
      <c r="H353" s="505"/>
      <c r="I353" s="512"/>
      <c r="J353" s="552"/>
      <c r="K353" s="552"/>
      <c r="L353" s="552"/>
      <c r="M353" s="552"/>
      <c r="N353" s="552"/>
      <c r="O353" s="552"/>
      <c r="P353" s="552"/>
      <c r="Q353" s="510">
        <f t="shared" si="74"/>
        <v>0</v>
      </c>
      <c r="R353" s="510"/>
      <c r="S353" s="511"/>
      <c r="U353" s="511"/>
      <c r="V353" s="511"/>
      <c r="W353" s="511"/>
      <c r="X353" s="511"/>
      <c r="Y353" s="511"/>
      <c r="Z353" s="511"/>
      <c r="AA353" s="511"/>
      <c r="AB353" s="511"/>
      <c r="AC353" s="511"/>
      <c r="AD353" s="511"/>
      <c r="AE353" s="511"/>
      <c r="AF353" s="511"/>
      <c r="AG353" s="511"/>
      <c r="AH353" s="511"/>
      <c r="AI353" s="511"/>
      <c r="AJ353" s="511"/>
      <c r="AK353" s="511"/>
      <c r="AL353" s="511"/>
      <c r="AM353" s="511"/>
      <c r="AN353" s="511"/>
      <c r="AO353" s="511"/>
    </row>
    <row r="354" spans="1:41" ht="15.75" customHeight="1">
      <c r="A354" s="512" t="s">
        <v>898</v>
      </c>
      <c r="B354" s="505">
        <f>('Pivot Table for Data Exchange'!$N$150)*100</f>
        <v>59.665594598373914</v>
      </c>
      <c r="C354" s="505">
        <f>('Pivot Table for Data Exchange'!$N$153)*100</f>
        <v>8.5698875327114017</v>
      </c>
      <c r="D354" s="506">
        <f t="shared" ref="D354:D357" si="77">SUM(E354:G354)</f>
        <v>31.764517868914684</v>
      </c>
      <c r="E354" s="505">
        <f>('Pivot Table for Data Exchange'!$N$156)*100</f>
        <v>31.764517868914684</v>
      </c>
      <c r="F354" s="505">
        <f>('Pivot Table for Data Exchange'!$N$159)*100</f>
        <v>0</v>
      </c>
      <c r="G354" s="515">
        <f>('Pivot Table for Data Exchange'!$N$162)*100</f>
        <v>0</v>
      </c>
      <c r="H354" s="505">
        <f>('Pivot Table for Data Exchange'!$N$165)*100</f>
        <v>0</v>
      </c>
      <c r="I354" s="512"/>
      <c r="J354" s="552"/>
      <c r="K354" s="552"/>
      <c r="L354" s="552"/>
      <c r="M354" s="552"/>
      <c r="N354" s="552"/>
      <c r="O354" s="552"/>
      <c r="P354" s="552"/>
      <c r="Q354" s="510">
        <f t="shared" si="74"/>
        <v>100</v>
      </c>
      <c r="R354" s="510"/>
      <c r="S354" s="511"/>
      <c r="T354" s="511"/>
      <c r="U354" s="511"/>
      <c r="V354" s="511"/>
      <c r="W354" s="511"/>
      <c r="X354" s="511"/>
      <c r="Y354" s="511"/>
      <c r="Z354" s="511"/>
      <c r="AA354" s="511"/>
      <c r="AB354" s="511"/>
      <c r="AC354" s="511"/>
      <c r="AD354" s="511"/>
      <c r="AE354" s="511"/>
      <c r="AF354" s="511"/>
      <c r="AG354" s="511"/>
      <c r="AH354" s="511"/>
      <c r="AI354" s="511"/>
      <c r="AJ354" s="511"/>
      <c r="AK354" s="511"/>
      <c r="AL354" s="511"/>
      <c r="AM354" s="511"/>
      <c r="AN354" s="511"/>
      <c r="AO354" s="511"/>
    </row>
    <row r="355" spans="1:41" ht="15.75" customHeight="1">
      <c r="A355" s="512" t="s">
        <v>899</v>
      </c>
      <c r="B355" s="505">
        <f>('Pivot Table for Data Exchange'!$N$186)*100</f>
        <v>48.432360557071874</v>
      </c>
      <c r="C355" s="505">
        <f>('Pivot Table for Data Exchange'!$N$189)*100</f>
        <v>5.1893064595143121</v>
      </c>
      <c r="D355" s="506">
        <f t="shared" si="77"/>
        <v>46.37833298341382</v>
      </c>
      <c r="E355" s="505">
        <f>('Pivot Table for Data Exchange'!$N$192)*100</f>
        <v>46.37833298341382</v>
      </c>
      <c r="F355" s="505">
        <f>('Pivot Table for Data Exchange'!$N$195)*100</f>
        <v>0</v>
      </c>
      <c r="G355" s="515">
        <f>('Pivot Table for Data Exchange'!$N$198)*100</f>
        <v>0</v>
      </c>
      <c r="H355" s="505">
        <f>('Pivot Table for Data Exchange'!$N$201)*100</f>
        <v>0</v>
      </c>
      <c r="I355" s="512"/>
      <c r="J355" s="552"/>
      <c r="K355" s="552"/>
      <c r="L355" s="552"/>
      <c r="M355" s="552"/>
      <c r="N355" s="552"/>
      <c r="O355" s="552"/>
      <c r="P355" s="552"/>
      <c r="Q355" s="510">
        <f t="shared" si="74"/>
        <v>100</v>
      </c>
      <c r="R355" s="510"/>
      <c r="S355" s="511"/>
      <c r="T355" s="511"/>
      <c r="U355" s="511"/>
      <c r="V355" s="511"/>
      <c r="W355" s="511"/>
      <c r="X355" s="511"/>
      <c r="Y355" s="511"/>
      <c r="Z355" s="511"/>
      <c r="AA355" s="511"/>
      <c r="AB355" s="511"/>
      <c r="AC355" s="511"/>
      <c r="AD355" s="511"/>
      <c r="AE355" s="511"/>
      <c r="AF355" s="511"/>
      <c r="AG355" s="511"/>
      <c r="AH355" s="511"/>
      <c r="AI355" s="511"/>
      <c r="AJ355" s="511"/>
      <c r="AK355" s="511"/>
      <c r="AL355" s="511"/>
      <c r="AM355" s="511"/>
      <c r="AN355" s="511"/>
      <c r="AO355" s="511"/>
    </row>
    <row r="356" spans="1:41" ht="15.75" customHeight="1">
      <c r="A356" s="512" t="s">
        <v>900</v>
      </c>
      <c r="B356" s="505">
        <f>('Pivot Table for Data Exchange'!$N$222)*100</f>
        <v>79.023730423070532</v>
      </c>
      <c r="C356" s="505">
        <f>('Pivot Table for Data Exchange'!$N$225)*100</f>
        <v>0</v>
      </c>
      <c r="D356" s="506">
        <f t="shared" si="77"/>
        <v>20.976269576929461</v>
      </c>
      <c r="E356" s="505">
        <f>('Pivot Table for Data Exchange'!$N$228)*100</f>
        <v>20.976269576929461</v>
      </c>
      <c r="F356" s="505">
        <f>('Pivot Table for Data Exchange'!$N$231)*100</f>
        <v>0</v>
      </c>
      <c r="G356" s="515">
        <f>('Pivot Table for Data Exchange'!$N$234)*100</f>
        <v>0</v>
      </c>
      <c r="H356" s="505">
        <f>('Pivot Table for Data Exchange'!$N$237)*100</f>
        <v>0</v>
      </c>
      <c r="I356" s="512"/>
      <c r="J356" s="552"/>
      <c r="K356" s="552"/>
      <c r="L356" s="552"/>
      <c r="M356" s="552"/>
      <c r="N356" s="552"/>
      <c r="O356" s="552"/>
      <c r="P356" s="552"/>
      <c r="Q356" s="510">
        <f t="shared" si="74"/>
        <v>100</v>
      </c>
      <c r="R356" s="510"/>
      <c r="S356" s="511"/>
      <c r="T356" s="535"/>
      <c r="U356" s="511"/>
      <c r="V356" s="511"/>
      <c r="W356" s="511"/>
      <c r="X356" s="511"/>
      <c r="Y356" s="511"/>
      <c r="Z356" s="511"/>
      <c r="AA356" s="511"/>
      <c r="AB356" s="511"/>
      <c r="AC356" s="511"/>
      <c r="AD356" s="511"/>
      <c r="AE356" s="511"/>
      <c r="AF356" s="511"/>
      <c r="AG356" s="511"/>
      <c r="AH356" s="511"/>
      <c r="AI356" s="511"/>
      <c r="AJ356" s="511"/>
      <c r="AK356" s="511"/>
      <c r="AL356" s="511"/>
      <c r="AM356" s="511"/>
      <c r="AN356" s="511"/>
      <c r="AO356" s="511"/>
    </row>
    <row r="357" spans="1:41" ht="15.75" customHeight="1">
      <c r="A357" s="512" t="s">
        <v>901</v>
      </c>
      <c r="B357" s="505">
        <f>('Pivot Table for Data Exchange'!$N$258)*100</f>
        <v>74.026365719332972</v>
      </c>
      <c r="C357" s="505">
        <f>('Pivot Table for Data Exchange'!$N$261)*100</f>
        <v>5.7409376495516726</v>
      </c>
      <c r="D357" s="506">
        <f t="shared" si="77"/>
        <v>20.232696631115363</v>
      </c>
      <c r="E357" s="505">
        <f>('Pivot Table for Data Exchange'!$N$264)*100</f>
        <v>19.064443209988628</v>
      </c>
      <c r="F357" s="505">
        <f>('Pivot Table for Data Exchange'!$N$267)*100</f>
        <v>1.1682534211267368</v>
      </c>
      <c r="G357" s="515">
        <f>('Pivot Table for Data Exchange'!$N$270)*100</f>
        <v>0</v>
      </c>
      <c r="H357" s="505">
        <f>('Pivot Table for Data Exchange'!$N$273)*100</f>
        <v>0</v>
      </c>
      <c r="I357" s="512"/>
      <c r="J357" s="552"/>
      <c r="K357" s="552"/>
      <c r="L357" s="552"/>
      <c r="M357" s="552"/>
      <c r="N357" s="552"/>
      <c r="O357" s="552"/>
      <c r="P357" s="552"/>
      <c r="Q357" s="510">
        <f t="shared" si="74"/>
        <v>100</v>
      </c>
      <c r="R357" s="510"/>
      <c r="S357" s="511"/>
      <c r="U357" s="511"/>
      <c r="V357" s="511"/>
      <c r="W357" s="511"/>
      <c r="X357" s="511"/>
      <c r="Y357" s="511"/>
      <c r="Z357" s="511"/>
      <c r="AA357" s="511"/>
      <c r="AB357" s="511"/>
      <c r="AC357" s="511"/>
      <c r="AD357" s="511"/>
      <c r="AE357" s="511"/>
      <c r="AF357" s="511"/>
      <c r="AG357" s="511"/>
      <c r="AH357" s="511"/>
      <c r="AI357" s="511"/>
      <c r="AJ357" s="511"/>
      <c r="AK357" s="511"/>
      <c r="AL357" s="511"/>
      <c r="AM357" s="511"/>
      <c r="AN357" s="511"/>
      <c r="AO357" s="511"/>
    </row>
    <row r="358" spans="1:41" ht="12.75" customHeight="1">
      <c r="A358" s="512"/>
      <c r="B358" s="505"/>
      <c r="C358" s="505"/>
      <c r="D358" s="506"/>
      <c r="E358" s="505"/>
      <c r="F358" s="505"/>
      <c r="G358" s="515"/>
      <c r="H358" s="505"/>
      <c r="I358" s="512"/>
      <c r="J358" s="552"/>
      <c r="K358" s="552"/>
      <c r="L358" s="552"/>
      <c r="M358" s="552"/>
      <c r="N358" s="552"/>
      <c r="O358" s="552"/>
      <c r="P358" s="552"/>
      <c r="Q358" s="510">
        <f t="shared" si="74"/>
        <v>0</v>
      </c>
      <c r="R358" s="510"/>
      <c r="S358" s="511"/>
      <c r="U358" s="511"/>
      <c r="V358" s="511"/>
      <c r="W358" s="511"/>
      <c r="X358" s="511"/>
      <c r="Y358" s="511"/>
      <c r="Z358" s="511"/>
      <c r="AA358" s="511"/>
      <c r="AB358" s="511"/>
      <c r="AC358" s="511"/>
      <c r="AD358" s="511"/>
      <c r="AE358" s="511"/>
      <c r="AF358" s="511"/>
      <c r="AG358" s="511"/>
      <c r="AH358" s="511"/>
      <c r="AI358" s="511"/>
      <c r="AJ358" s="511"/>
      <c r="AK358" s="511"/>
      <c r="AL358" s="511"/>
      <c r="AM358" s="511"/>
      <c r="AN358" s="511"/>
      <c r="AO358" s="511"/>
    </row>
    <row r="359" spans="1:41" ht="15.75" customHeight="1">
      <c r="A359" s="512" t="s">
        <v>951</v>
      </c>
      <c r="B359" s="505">
        <f>('Pivot Table for Data Exchange'!$N$294)*100</f>
        <v>83.076566125290014</v>
      </c>
      <c r="C359" s="505">
        <f>('Pivot Table for Data Exchange'!$N$297)*100</f>
        <v>0</v>
      </c>
      <c r="D359" s="506">
        <f t="shared" ref="D359:D361" si="78">SUM(E359:G359)</f>
        <v>16.923433874709975</v>
      </c>
      <c r="E359" s="505">
        <f>('Pivot Table for Data Exchange'!$N$300)*100</f>
        <v>16.923433874709975</v>
      </c>
      <c r="F359" s="505">
        <f>('Pivot Table for Data Exchange'!$N$303)*100</f>
        <v>0</v>
      </c>
      <c r="G359" s="515">
        <f>('Pivot Table for Data Exchange'!$N$306)*100</f>
        <v>0</v>
      </c>
      <c r="H359" s="505">
        <f>('Pivot Table for Data Exchange'!$N$309)*100</f>
        <v>0</v>
      </c>
      <c r="I359" s="559"/>
      <c r="J359" s="552"/>
      <c r="K359" s="552"/>
      <c r="L359" s="552"/>
      <c r="M359" s="552"/>
      <c r="N359" s="552"/>
      <c r="O359" s="552"/>
      <c r="P359" s="552"/>
      <c r="Q359" s="510">
        <f t="shared" si="74"/>
        <v>99.999999999999986</v>
      </c>
      <c r="R359" s="510"/>
      <c r="S359" s="511"/>
      <c r="T359" s="511"/>
      <c r="U359" s="511"/>
      <c r="V359" s="511"/>
      <c r="W359" s="511"/>
      <c r="X359" s="511"/>
      <c r="Y359" s="511"/>
      <c r="Z359" s="511"/>
      <c r="AA359" s="511"/>
      <c r="AB359" s="511"/>
      <c r="AC359" s="511"/>
      <c r="AD359" s="511"/>
      <c r="AE359" s="511"/>
      <c r="AF359" s="511"/>
      <c r="AG359" s="511"/>
      <c r="AH359" s="511"/>
      <c r="AI359" s="511"/>
      <c r="AJ359" s="511"/>
      <c r="AK359" s="511"/>
      <c r="AL359" s="511"/>
      <c r="AM359" s="511"/>
      <c r="AN359" s="511"/>
      <c r="AO359" s="511"/>
    </row>
    <row r="360" spans="1:41" ht="15.75" customHeight="1">
      <c r="A360" s="512" t="s">
        <v>903</v>
      </c>
      <c r="B360" s="505">
        <f>('Pivot Table for Data Exchange'!$N$330)*100</f>
        <v>36.271011016108055</v>
      </c>
      <c r="C360" s="505">
        <f>('Pivot Table for Data Exchange'!$N$333)*100</f>
        <v>14.368048351053355</v>
      </c>
      <c r="D360" s="506">
        <f t="shared" si="78"/>
        <v>49.360940632838592</v>
      </c>
      <c r="E360" s="505">
        <f>('Pivot Table for Data Exchange'!$N$336)*100</f>
        <v>48.484362775592061</v>
      </c>
      <c r="F360" s="505">
        <f>('Pivot Table for Data Exchange'!$N$339)*100</f>
        <v>0.74385484128702228</v>
      </c>
      <c r="G360" s="515">
        <f>('Pivot Table for Data Exchange'!$N$342)*100</f>
        <v>0.13272301595950287</v>
      </c>
      <c r="H360" s="505">
        <f>('Pivot Table for Data Exchange'!$N$345)*100</f>
        <v>0</v>
      </c>
      <c r="I360" s="512"/>
      <c r="J360" s="552"/>
      <c r="K360" s="552"/>
      <c r="L360" s="552"/>
      <c r="M360" s="552"/>
      <c r="N360" s="552"/>
      <c r="O360" s="552"/>
      <c r="P360" s="552"/>
      <c r="Q360" s="510">
        <f t="shared" si="74"/>
        <v>100</v>
      </c>
      <c r="R360" s="510"/>
      <c r="S360" s="511"/>
      <c r="T360" s="511"/>
      <c r="U360" s="511"/>
      <c r="V360" s="511"/>
      <c r="W360" s="511"/>
      <c r="X360" s="511"/>
      <c r="Y360" s="511"/>
      <c r="Z360" s="511"/>
      <c r="AA360" s="511"/>
      <c r="AB360" s="511"/>
      <c r="AC360" s="511"/>
      <c r="AD360" s="511"/>
      <c r="AE360" s="511"/>
      <c r="AF360" s="511"/>
      <c r="AG360" s="511"/>
      <c r="AH360" s="511"/>
      <c r="AI360" s="511"/>
      <c r="AJ360" s="511"/>
      <c r="AK360" s="511"/>
      <c r="AL360" s="511"/>
      <c r="AM360" s="511"/>
      <c r="AN360" s="511"/>
      <c r="AO360" s="511"/>
    </row>
    <row r="361" spans="1:41" ht="15.75" customHeight="1">
      <c r="A361" s="512" t="s">
        <v>904</v>
      </c>
      <c r="B361" s="505">
        <f>('Pivot Table for Data Exchange'!$N$366)*100</f>
        <v>68.63591249688028</v>
      </c>
      <c r="C361" s="505">
        <f>('Pivot Table for Data Exchange'!$N$369)*100</f>
        <v>6.2397339385110078</v>
      </c>
      <c r="D361" s="506">
        <f t="shared" si="78"/>
        <v>25.124353564608715</v>
      </c>
      <c r="E361" s="505">
        <f>('Pivot Table for Data Exchange'!$N$372)*100</f>
        <v>21.212077241411333</v>
      </c>
      <c r="F361" s="505">
        <f>('Pivot Table for Data Exchange'!$N$375)*100</f>
        <v>3.885867514844072</v>
      </c>
      <c r="G361" s="515">
        <f>('Pivot Table for Data Exchange'!$N$378)*100</f>
        <v>2.6408808353309228E-2</v>
      </c>
      <c r="H361" s="505">
        <f>('Pivot Table for Data Exchange'!$N$381)*100</f>
        <v>0</v>
      </c>
      <c r="I361" s="512"/>
      <c r="J361" s="552"/>
      <c r="K361" s="552"/>
      <c r="L361" s="552"/>
      <c r="M361" s="552"/>
      <c r="N361" s="552"/>
      <c r="O361" s="552"/>
      <c r="P361" s="552"/>
      <c r="Q361" s="510">
        <f t="shared" si="74"/>
        <v>100</v>
      </c>
      <c r="R361" s="510"/>
      <c r="S361" s="511"/>
      <c r="T361" s="535"/>
      <c r="U361" s="511"/>
      <c r="V361" s="511"/>
      <c r="W361" s="511"/>
      <c r="X361" s="511"/>
      <c r="Y361" s="511"/>
      <c r="Z361" s="511"/>
      <c r="AA361" s="511"/>
      <c r="AB361" s="511"/>
      <c r="AC361" s="511"/>
      <c r="AD361" s="511"/>
      <c r="AE361" s="511"/>
      <c r="AF361" s="511"/>
      <c r="AG361" s="511"/>
      <c r="AH361" s="511"/>
      <c r="AI361" s="511"/>
      <c r="AJ361" s="511"/>
      <c r="AK361" s="511"/>
      <c r="AL361" s="511"/>
      <c r="AM361" s="511"/>
      <c r="AN361" s="511"/>
      <c r="AO361" s="511"/>
    </row>
    <row r="362" spans="1:41" ht="15.75" customHeight="1">
      <c r="A362" s="512" t="s">
        <v>905</v>
      </c>
      <c r="B362" s="505">
        <f>('Pivot Table for Data Exchange'!$N$402)*100</f>
        <v>72.369925173310392</v>
      </c>
      <c r="C362" s="505">
        <f>('Pivot Table for Data Exchange'!$N$405)*100</f>
        <v>7.6167447483753969</v>
      </c>
      <c r="D362" s="506">
        <f>SUM(E362:G362)</f>
        <v>20.013330078314212</v>
      </c>
      <c r="E362" s="505">
        <f>('Pivot Table for Data Exchange'!$N$408)*100</f>
        <v>16.589747464766354</v>
      </c>
      <c r="F362" s="505">
        <f>('Pivot Table for Data Exchange'!$N$411)*100</f>
        <v>1.4356959347136165</v>
      </c>
      <c r="G362" s="515">
        <f>('Pivot Table for Data Exchange'!$N$414)*100</f>
        <v>1.9878866788342382</v>
      </c>
      <c r="H362" s="505">
        <f>('Pivot Table for Data Exchange'!$N$417)*100</f>
        <v>0</v>
      </c>
      <c r="I362" s="512"/>
      <c r="J362" s="552"/>
      <c r="K362" s="552"/>
      <c r="L362" s="552"/>
      <c r="M362" s="552"/>
      <c r="N362" s="552"/>
      <c r="O362" s="552"/>
      <c r="P362" s="552"/>
      <c r="Q362" s="510">
        <f t="shared" si="74"/>
        <v>100</v>
      </c>
      <c r="R362" s="510"/>
      <c r="S362" s="511"/>
      <c r="T362" s="511"/>
      <c r="U362" s="511"/>
      <c r="V362" s="511"/>
      <c r="W362" s="511"/>
      <c r="X362" s="511"/>
      <c r="Y362" s="511"/>
      <c r="Z362" s="511"/>
      <c r="AA362" s="511"/>
      <c r="AB362" s="511"/>
      <c r="AC362" s="511"/>
      <c r="AD362" s="511"/>
      <c r="AE362" s="511"/>
      <c r="AF362" s="511"/>
      <c r="AG362" s="511"/>
      <c r="AH362" s="511"/>
      <c r="AI362" s="511"/>
      <c r="AJ362" s="511"/>
      <c r="AK362" s="511"/>
      <c r="AL362" s="511"/>
      <c r="AM362" s="511"/>
      <c r="AN362" s="511"/>
      <c r="AO362" s="511"/>
    </row>
    <row r="363" spans="1:41" ht="12" customHeight="1">
      <c r="A363" s="512"/>
      <c r="B363" s="505"/>
      <c r="C363" s="505"/>
      <c r="D363" s="506"/>
      <c r="E363" s="505"/>
      <c r="F363" s="505"/>
      <c r="G363" s="515"/>
      <c r="H363" s="505"/>
      <c r="I363" s="512"/>
      <c r="J363" s="552"/>
      <c r="K363" s="552"/>
      <c r="L363" s="552"/>
      <c r="M363" s="552"/>
      <c r="N363" s="552"/>
      <c r="O363" s="552"/>
      <c r="P363" s="552"/>
      <c r="Q363" s="510">
        <f t="shared" si="74"/>
        <v>0</v>
      </c>
      <c r="R363" s="510"/>
      <c r="S363" s="511"/>
      <c r="T363" s="511"/>
      <c r="U363" s="511"/>
      <c r="V363" s="511"/>
      <c r="W363" s="511"/>
      <c r="X363" s="511"/>
      <c r="Y363" s="511"/>
      <c r="Z363" s="511"/>
      <c r="AA363" s="511"/>
      <c r="AB363" s="511"/>
      <c r="AC363" s="511"/>
      <c r="AD363" s="511"/>
      <c r="AE363" s="511"/>
      <c r="AF363" s="511"/>
      <c r="AG363" s="511"/>
      <c r="AH363" s="511"/>
      <c r="AI363" s="511"/>
      <c r="AJ363" s="511"/>
      <c r="AK363" s="511"/>
      <c r="AL363" s="511"/>
      <c r="AM363" s="511"/>
      <c r="AN363" s="511"/>
      <c r="AO363" s="511"/>
    </row>
    <row r="364" spans="1:41" ht="15.75" customHeight="1">
      <c r="A364" s="512" t="s">
        <v>906</v>
      </c>
      <c r="B364" s="505">
        <f>('Pivot Table for Data Exchange'!$N$438)*100</f>
        <v>36.215090295051468</v>
      </c>
      <c r="C364" s="505">
        <f>('Pivot Table for Data Exchange'!$N$441)*100</f>
        <v>38.358713017452324</v>
      </c>
      <c r="D364" s="506">
        <f>SUM(E364:G364)</f>
        <v>25.0965641367874</v>
      </c>
      <c r="E364" s="505">
        <f>('Pivot Table for Data Exchange'!$N$444)*100</f>
        <v>18.461445125280594</v>
      </c>
      <c r="F364" s="505">
        <f>('Pivot Table for Data Exchange'!$N$447)*100</f>
        <v>4.554187142308237</v>
      </c>
      <c r="G364" s="515">
        <f>('Pivot Table for Data Exchange'!$N$450)*100</f>
        <v>2.0809318691985679</v>
      </c>
      <c r="H364" s="505">
        <f>('Pivot Table for Data Exchange'!$N$453)*100</f>
        <v>0.32963255070881109</v>
      </c>
      <c r="I364" s="512"/>
      <c r="J364" s="552"/>
      <c r="K364" s="552"/>
      <c r="L364" s="552"/>
      <c r="M364" s="552"/>
      <c r="N364" s="552"/>
      <c r="O364" s="552"/>
      <c r="P364" s="552"/>
      <c r="Q364" s="510">
        <f t="shared" si="74"/>
        <v>100.00000000000001</v>
      </c>
      <c r="R364" s="510"/>
      <c r="S364" s="511"/>
      <c r="T364" s="511"/>
      <c r="U364" s="511"/>
      <c r="V364" s="511"/>
      <c r="W364" s="511"/>
      <c r="X364" s="511"/>
      <c r="Y364" s="511"/>
      <c r="Z364" s="511"/>
      <c r="AA364" s="511"/>
      <c r="AB364" s="511"/>
      <c r="AC364" s="511"/>
      <c r="AD364" s="511"/>
      <c r="AE364" s="511"/>
      <c r="AF364" s="511"/>
      <c r="AG364" s="511"/>
      <c r="AH364" s="511"/>
      <c r="AI364" s="511"/>
      <c r="AJ364" s="511"/>
      <c r="AK364" s="511"/>
      <c r="AL364" s="511"/>
      <c r="AM364" s="511"/>
      <c r="AN364" s="511"/>
      <c r="AO364" s="511"/>
    </row>
    <row r="365" spans="1:41" ht="15.75" customHeight="1">
      <c r="A365" s="512" t="s">
        <v>907</v>
      </c>
      <c r="B365" s="505">
        <f>('Pivot Table for Data Exchange'!$N$474)*100</f>
        <v>52.237636705748912</v>
      </c>
      <c r="C365" s="505">
        <f>('Pivot Table for Data Exchange'!$N$477)*100</f>
        <v>14.664372517308252</v>
      </c>
      <c r="D365" s="506">
        <f>SUM(E365:G365)</f>
        <v>33.097990776942837</v>
      </c>
      <c r="E365" s="505">
        <f>('Pivot Table for Data Exchange'!$N$480)*100</f>
        <v>30.249849206139412</v>
      </c>
      <c r="F365" s="505">
        <f>('Pivot Table for Data Exchange'!$N$483)*100</f>
        <v>1.7778055468109801</v>
      </c>
      <c r="G365" s="515">
        <f>('Pivot Table for Data Exchange'!$N$486)*100</f>
        <v>1.0703360239924447</v>
      </c>
      <c r="H365" s="505">
        <f>('Pivot Table for Data Exchange'!$N$489)*100</f>
        <v>0</v>
      </c>
      <c r="I365" s="512"/>
      <c r="J365" s="552"/>
      <c r="K365" s="552"/>
      <c r="L365" s="552"/>
      <c r="M365" s="552"/>
      <c r="N365" s="552"/>
      <c r="O365" s="552"/>
      <c r="P365" s="552"/>
      <c r="Q365" s="510">
        <f t="shared" si="74"/>
        <v>100</v>
      </c>
      <c r="R365" s="510"/>
      <c r="S365" s="511"/>
      <c r="T365" s="511"/>
      <c r="U365" s="511"/>
      <c r="V365" s="511"/>
      <c r="W365" s="511"/>
      <c r="X365" s="511"/>
      <c r="Y365" s="511"/>
      <c r="Z365" s="511"/>
      <c r="AA365" s="511"/>
      <c r="AB365" s="511"/>
      <c r="AC365" s="511"/>
      <c r="AD365" s="511"/>
      <c r="AE365" s="511"/>
      <c r="AF365" s="511"/>
      <c r="AG365" s="511"/>
      <c r="AH365" s="511"/>
      <c r="AI365" s="511"/>
      <c r="AJ365" s="511"/>
      <c r="AK365" s="511"/>
      <c r="AL365" s="511"/>
      <c r="AM365" s="511"/>
      <c r="AN365" s="511"/>
      <c r="AO365" s="511"/>
    </row>
    <row r="366" spans="1:41" ht="15.75" customHeight="1">
      <c r="A366" s="512" t="s">
        <v>908</v>
      </c>
      <c r="B366" s="505">
        <f>('Pivot Table for Data Exchange'!$N$510)*100</f>
        <v>43.903714127890154</v>
      </c>
      <c r="C366" s="505">
        <f>('Pivot Table for Data Exchange'!$N$513)*100</f>
        <v>20.678578004576899</v>
      </c>
      <c r="D366" s="506">
        <f t="shared" ref="D366" si="79">SUM(E366:G366)</f>
        <v>35.417707867532947</v>
      </c>
      <c r="E366" s="505">
        <f>('Pivot Table for Data Exchange'!$N$516)*100</f>
        <v>27.851684772601732</v>
      </c>
      <c r="F366" s="505">
        <f>('Pivot Table for Data Exchange'!$N$519)*100</f>
        <v>7.5660230949312153</v>
      </c>
      <c r="G366" s="515">
        <f>('Pivot Table for Data Exchange'!$N$522)*100</f>
        <v>0</v>
      </c>
      <c r="H366" s="505">
        <f>('Pivot Table for Data Exchange'!$N$525)*100</f>
        <v>0</v>
      </c>
      <c r="I366" s="512"/>
      <c r="J366" s="552"/>
      <c r="K366" s="552"/>
      <c r="L366" s="552"/>
      <c r="M366" s="552"/>
      <c r="N366" s="552"/>
      <c r="O366" s="552"/>
      <c r="P366" s="552"/>
      <c r="Q366" s="510">
        <f t="shared" si="74"/>
        <v>100</v>
      </c>
      <c r="R366" s="510"/>
      <c r="S366" s="511"/>
      <c r="T366" s="511"/>
      <c r="U366" s="511"/>
      <c r="V366" s="511"/>
      <c r="W366" s="511"/>
      <c r="X366" s="511"/>
      <c r="Y366" s="511"/>
      <c r="Z366" s="511"/>
      <c r="AA366" s="511"/>
      <c r="AB366" s="511"/>
      <c r="AC366" s="511"/>
      <c r="AD366" s="511"/>
      <c r="AE366" s="511"/>
      <c r="AF366" s="511"/>
      <c r="AG366" s="511"/>
      <c r="AH366" s="511"/>
      <c r="AI366" s="511"/>
      <c r="AJ366" s="511"/>
      <c r="AK366" s="511"/>
      <c r="AL366" s="511"/>
      <c r="AM366" s="511"/>
      <c r="AN366" s="511"/>
      <c r="AO366" s="511"/>
    </row>
    <row r="367" spans="1:41" ht="15.75" customHeight="1">
      <c r="A367" s="484" t="s">
        <v>909</v>
      </c>
      <c r="B367" s="520">
        <f>('Pivot Table for Data Exchange'!$N$546)*100</f>
        <v>60.860155807582231</v>
      </c>
      <c r="C367" s="520">
        <f>('Pivot Table for Data Exchange'!$N$549)*100</f>
        <v>13.838713133446593</v>
      </c>
      <c r="D367" s="521">
        <f>SUM(E367:G367)</f>
        <v>25.30113105897118</v>
      </c>
      <c r="E367" s="520">
        <f>('Pivot Table for Data Exchange'!$N$552)*100</f>
        <v>22.574039212085037</v>
      </c>
      <c r="F367" s="520">
        <f>('Pivot Table for Data Exchange'!$N$555)*100</f>
        <v>2.727091846886144</v>
      </c>
      <c r="G367" s="522">
        <f>('Pivot Table for Data Exchange'!$N$558)*100</f>
        <v>0</v>
      </c>
      <c r="H367" s="520">
        <f>('Pivot Table for Data Exchange'!$N$561)*100</f>
        <v>0</v>
      </c>
      <c r="I367" s="512"/>
      <c r="J367" s="552"/>
      <c r="K367" s="552"/>
      <c r="L367" s="552"/>
      <c r="M367" s="552"/>
      <c r="N367" s="552"/>
      <c r="O367" s="552"/>
      <c r="P367" s="552"/>
      <c r="Q367" s="510">
        <f t="shared" si="74"/>
        <v>100</v>
      </c>
      <c r="R367" s="510"/>
      <c r="S367" s="511"/>
      <c r="T367" s="511"/>
      <c r="U367" s="511"/>
      <c r="V367" s="511"/>
      <c r="W367" s="511"/>
      <c r="X367" s="511"/>
      <c r="Y367" s="511"/>
      <c r="Z367" s="511"/>
      <c r="AA367" s="511"/>
      <c r="AB367" s="511"/>
      <c r="AC367" s="511"/>
      <c r="AD367" s="511"/>
      <c r="AE367" s="511"/>
      <c r="AF367" s="511"/>
      <c r="AG367" s="511"/>
      <c r="AH367" s="511"/>
      <c r="AI367" s="511"/>
      <c r="AJ367" s="511"/>
      <c r="AK367" s="511"/>
      <c r="AL367" s="511"/>
      <c r="AM367" s="511"/>
      <c r="AN367" s="511"/>
      <c r="AO367" s="511"/>
    </row>
    <row r="368" spans="1:41" s="524" customFormat="1" ht="11.25" customHeight="1">
      <c r="A368" s="525" t="s">
        <v>937</v>
      </c>
      <c r="B368" s="526"/>
      <c r="C368" s="526"/>
      <c r="D368" s="527"/>
      <c r="E368" s="526"/>
      <c r="F368" s="527"/>
      <c r="G368" s="527"/>
      <c r="H368" s="526"/>
      <c r="I368" s="546"/>
      <c r="J368" s="526"/>
      <c r="K368" s="526"/>
      <c r="L368" s="527"/>
      <c r="M368" s="526"/>
      <c r="N368" s="527"/>
      <c r="O368" s="527"/>
      <c r="P368" s="526"/>
      <c r="Q368" s="510">
        <f t="shared" si="74"/>
        <v>0</v>
      </c>
      <c r="R368" s="553"/>
      <c r="S368" s="528"/>
      <c r="T368" s="528"/>
      <c r="U368" s="528"/>
      <c r="V368" s="528"/>
      <c r="W368" s="528"/>
      <c r="X368" s="528"/>
      <c r="Y368" s="528"/>
      <c r="Z368" s="528"/>
      <c r="AA368" s="528"/>
      <c r="AB368" s="528"/>
      <c r="AC368" s="528"/>
      <c r="AD368" s="528"/>
      <c r="AE368" s="528"/>
      <c r="AF368" s="528"/>
      <c r="AG368" s="528"/>
      <c r="AH368" s="528"/>
      <c r="AI368" s="528"/>
      <c r="AJ368" s="528"/>
      <c r="AK368" s="528"/>
      <c r="AL368" s="528"/>
      <c r="AM368" s="528"/>
      <c r="AN368" s="528"/>
      <c r="AO368" s="528"/>
    </row>
    <row r="369" spans="1:41" s="524" customFormat="1" ht="24" customHeight="1">
      <c r="A369" s="655" t="s">
        <v>952</v>
      </c>
      <c r="B369" s="673"/>
      <c r="C369" s="673"/>
      <c r="D369" s="673"/>
      <c r="E369" s="673"/>
      <c r="F369" s="673"/>
      <c r="G369" s="673"/>
      <c r="H369" s="673"/>
      <c r="I369" s="546"/>
      <c r="P369" s="541"/>
      <c r="Q369" s="510">
        <f t="shared" si="74"/>
        <v>0</v>
      </c>
      <c r="R369" s="554"/>
    </row>
    <row r="370" spans="1:41" s="524" customFormat="1" ht="13.5" customHeight="1">
      <c r="A370" s="538"/>
      <c r="H370" s="540"/>
      <c r="I370" s="538"/>
      <c r="Q370" s="510">
        <f t="shared" si="74"/>
        <v>0</v>
      </c>
      <c r="R370" s="554"/>
    </row>
    <row r="371" spans="1:41" s="524" customFormat="1">
      <c r="A371" s="540"/>
      <c r="B371" s="526"/>
      <c r="C371" s="526"/>
      <c r="D371" s="527"/>
      <c r="E371" s="526"/>
      <c r="F371" s="527"/>
      <c r="G371" s="527"/>
      <c r="H371" s="532" t="s">
        <v>1015</v>
      </c>
      <c r="I371" s="558"/>
      <c r="J371" s="540"/>
      <c r="K371" s="540"/>
      <c r="L371" s="540"/>
      <c r="M371" s="540"/>
      <c r="N371" s="540"/>
      <c r="O371" s="540"/>
      <c r="P371" s="540"/>
      <c r="Q371" s="510">
        <f t="shared" si="74"/>
        <v>0</v>
      </c>
      <c r="R371" s="553"/>
      <c r="S371" s="528"/>
      <c r="T371" s="528"/>
      <c r="U371" s="528"/>
      <c r="V371" s="528"/>
      <c r="W371" s="528"/>
      <c r="X371" s="528"/>
      <c r="Y371" s="528"/>
      <c r="Z371" s="528"/>
      <c r="AA371" s="528"/>
      <c r="AB371" s="528"/>
      <c r="AC371" s="528"/>
      <c r="AD371" s="528"/>
      <c r="AE371" s="528"/>
      <c r="AF371" s="528"/>
      <c r="AG371" s="528"/>
      <c r="AH371" s="528"/>
      <c r="AI371" s="528"/>
      <c r="AJ371" s="528"/>
      <c r="AK371" s="528"/>
      <c r="AL371" s="528"/>
      <c r="AM371" s="528"/>
      <c r="AN371" s="528"/>
      <c r="AO371" s="528"/>
    </row>
    <row r="372" spans="1:41" ht="18">
      <c r="A372" s="472" t="s">
        <v>958</v>
      </c>
      <c r="B372" s="473"/>
      <c r="C372" s="473"/>
      <c r="D372" s="473"/>
      <c r="E372" s="473"/>
      <c r="F372" s="473"/>
      <c r="G372" s="473"/>
      <c r="H372" s="474"/>
      <c r="I372" s="550"/>
      <c r="J372" s="512"/>
      <c r="K372" s="512"/>
      <c r="L372" s="512"/>
      <c r="M372" s="512"/>
      <c r="N372" s="512"/>
      <c r="O372" s="512"/>
      <c r="P372" s="512"/>
      <c r="Q372" s="510">
        <f t="shared" si="74"/>
        <v>0</v>
      </c>
    </row>
    <row r="373" spans="1:41">
      <c r="A373" s="479"/>
      <c r="B373" s="475"/>
      <c r="C373" s="475"/>
      <c r="D373" s="475"/>
      <c r="E373" s="475"/>
      <c r="F373" s="475"/>
      <c r="G373" s="475"/>
      <c r="H373" s="480"/>
      <c r="I373" s="550"/>
      <c r="J373" s="512"/>
      <c r="K373" s="512"/>
      <c r="L373" s="512"/>
      <c r="M373" s="512"/>
      <c r="N373" s="512"/>
      <c r="O373" s="512"/>
      <c r="P373" s="512"/>
      <c r="Q373" s="510">
        <f t="shared" si="74"/>
        <v>0</v>
      </c>
    </row>
    <row r="374" spans="1:41" ht="15.75">
      <c r="A374" s="481" t="s">
        <v>917</v>
      </c>
      <c r="B374" s="475"/>
      <c r="C374" s="475"/>
      <c r="D374" s="475"/>
      <c r="E374" s="475"/>
      <c r="F374" s="475"/>
      <c r="G374" s="475"/>
      <c r="H374" s="480"/>
      <c r="I374" s="550"/>
      <c r="J374" s="512"/>
      <c r="K374" s="512"/>
      <c r="L374" s="512"/>
      <c r="M374" s="512"/>
      <c r="N374" s="512"/>
      <c r="O374" s="512"/>
      <c r="P374" s="512"/>
      <c r="Q374" s="510">
        <f t="shared" si="74"/>
        <v>0</v>
      </c>
    </row>
    <row r="375" spans="1:41" ht="15.75">
      <c r="A375" s="481" t="s">
        <v>974</v>
      </c>
      <c r="B375" s="475"/>
      <c r="C375" s="475"/>
      <c r="D375" s="475"/>
      <c r="E375" s="475"/>
      <c r="F375" s="475"/>
      <c r="G375" s="475"/>
      <c r="H375" s="480"/>
      <c r="I375" s="550"/>
      <c r="J375" s="512"/>
      <c r="K375" s="512"/>
      <c r="L375" s="512"/>
      <c r="M375" s="512"/>
      <c r="N375" s="512"/>
      <c r="O375" s="512"/>
      <c r="P375" s="512"/>
      <c r="Q375" s="510">
        <f t="shared" si="74"/>
        <v>0</v>
      </c>
    </row>
    <row r="376" spans="1:41">
      <c r="A376" s="484"/>
      <c r="B376" s="485"/>
      <c r="C376" s="485"/>
      <c r="D376" s="485"/>
      <c r="E376" s="485"/>
      <c r="F376" s="485"/>
      <c r="G376" s="485"/>
      <c r="H376" s="485"/>
      <c r="I376" s="550"/>
      <c r="J376" s="512"/>
      <c r="K376" s="512"/>
      <c r="L376" s="512"/>
      <c r="M376" s="512"/>
      <c r="N376" s="512"/>
      <c r="O376" s="512"/>
      <c r="P376" s="512"/>
      <c r="Q376" s="510">
        <f t="shared" si="74"/>
        <v>0</v>
      </c>
    </row>
    <row r="377" spans="1:41">
      <c r="A377" s="489"/>
      <c r="B377" s="490" t="s">
        <v>919</v>
      </c>
      <c r="C377" s="490"/>
      <c r="D377" s="490"/>
      <c r="E377" s="490"/>
      <c r="F377" s="490"/>
      <c r="G377" s="490"/>
      <c r="H377" s="491"/>
      <c r="I377" s="550"/>
      <c r="J377" s="512"/>
      <c r="K377" s="512"/>
      <c r="L377" s="512"/>
      <c r="M377" s="512"/>
      <c r="N377" s="512"/>
      <c r="O377" s="512"/>
      <c r="P377" s="512"/>
      <c r="Q377" s="510">
        <f t="shared" si="74"/>
        <v>0</v>
      </c>
    </row>
    <row r="378" spans="1:41">
      <c r="A378" s="489"/>
      <c r="B378" s="490" t="s">
        <v>920</v>
      </c>
      <c r="C378" s="490"/>
      <c r="D378" s="659" t="s">
        <v>921</v>
      </c>
      <c r="E378" s="657"/>
      <c r="F378" s="657"/>
      <c r="G378" s="657"/>
      <c r="H378" s="495" t="s">
        <v>320</v>
      </c>
      <c r="I378" s="550"/>
      <c r="J378" s="512"/>
      <c r="K378" s="512"/>
      <c r="L378" s="512"/>
      <c r="M378" s="512"/>
      <c r="N378" s="512"/>
      <c r="O378" s="512"/>
      <c r="P378" s="512"/>
      <c r="Q378" s="510">
        <f t="shared" si="74"/>
        <v>0</v>
      </c>
    </row>
    <row r="379" spans="1:41" ht="36">
      <c r="A379" s="489"/>
      <c r="B379" s="496" t="s">
        <v>922</v>
      </c>
      <c r="C379" s="497" t="s">
        <v>923</v>
      </c>
      <c r="D379" s="498" t="s">
        <v>924</v>
      </c>
      <c r="E379" s="499" t="s">
        <v>10</v>
      </c>
      <c r="F379" s="496" t="s">
        <v>925</v>
      </c>
      <c r="G379" s="500" t="s">
        <v>935</v>
      </c>
      <c r="H379" s="501" t="s">
        <v>927</v>
      </c>
      <c r="I379" s="550"/>
      <c r="J379" s="512"/>
      <c r="K379" s="512"/>
      <c r="L379" s="512"/>
      <c r="M379" s="512"/>
      <c r="N379" s="512"/>
      <c r="O379" s="512"/>
      <c r="P379" s="512"/>
      <c r="Q379" s="510">
        <f t="shared" si="74"/>
        <v>0</v>
      </c>
    </row>
    <row r="380" spans="1:41" ht="15.75" customHeight="1">
      <c r="A380" s="534" t="s">
        <v>894</v>
      </c>
      <c r="B380" s="505">
        <f>('Pivot Table for Data Exchange'!$R$6)*100</f>
        <v>91.718725509952762</v>
      </c>
      <c r="C380" s="505">
        <f>('Pivot Table for Data Exchange'!$R$9)*100</f>
        <v>5.52607420344372</v>
      </c>
      <c r="D380" s="506">
        <f>SUM(E380:G380)</f>
        <v>2.7552002866035243</v>
      </c>
      <c r="E380" s="505">
        <f>('Pivot Table for Data Exchange'!$R$12)*100</f>
        <v>2.7552002866035243</v>
      </c>
      <c r="F380" s="505">
        <f>('Pivot Table for Data Exchange'!$R$15)*100</f>
        <v>0</v>
      </c>
      <c r="G380" s="509">
        <f>('Pivot Table for Data Exchange'!$R$18)*100</f>
        <v>0</v>
      </c>
      <c r="H380" s="505">
        <f>('Pivot Table for Data Exchange'!$R$21)*100</f>
        <v>0</v>
      </c>
      <c r="I380" s="512"/>
      <c r="J380" s="552"/>
      <c r="K380" s="552"/>
      <c r="L380" s="552"/>
      <c r="M380" s="552"/>
      <c r="N380" s="552"/>
      <c r="O380" s="552"/>
      <c r="P380" s="552"/>
      <c r="Q380" s="510">
        <f t="shared" si="74"/>
        <v>100</v>
      </c>
      <c r="R380" s="510"/>
      <c r="S380" s="511"/>
      <c r="T380" s="511"/>
      <c r="U380" s="511"/>
      <c r="V380" s="511"/>
      <c r="W380" s="511"/>
      <c r="X380" s="511"/>
      <c r="Y380" s="511"/>
      <c r="Z380" s="511"/>
      <c r="AA380" s="511"/>
      <c r="AB380" s="511"/>
      <c r="AC380" s="511"/>
      <c r="AD380" s="511"/>
      <c r="AE380" s="511"/>
      <c r="AF380" s="511"/>
      <c r="AG380" s="511"/>
      <c r="AH380" s="511"/>
      <c r="AI380" s="511"/>
      <c r="AJ380" s="511"/>
      <c r="AK380" s="511"/>
      <c r="AL380" s="511"/>
      <c r="AM380" s="511"/>
      <c r="AN380" s="511"/>
      <c r="AO380" s="511"/>
    </row>
    <row r="381" spans="1:41" ht="15.75" customHeight="1">
      <c r="A381" s="512" t="s">
        <v>895</v>
      </c>
      <c r="B381" s="505">
        <f>('Pivot Table for Data Exchange'!$R$42)*100</f>
        <v>0</v>
      </c>
      <c r="C381" s="505">
        <f>('Pivot Table for Data Exchange'!$R$45)*100</f>
        <v>0</v>
      </c>
      <c r="D381" s="506">
        <f t="shared" ref="D381:D383" si="80">SUM(E381:G381)</f>
        <v>0</v>
      </c>
      <c r="E381" s="505">
        <f>('Pivot Table for Data Exchange'!$R$48)*100</f>
        <v>0</v>
      </c>
      <c r="F381" s="505">
        <f>('Pivot Table for Data Exchange'!$R$51)*100</f>
        <v>0</v>
      </c>
      <c r="G381" s="515">
        <f>('Pivot Table for Data Exchange'!$R$54)*100</f>
        <v>0</v>
      </c>
      <c r="H381" s="505">
        <f>('Pivot Table for Data Exchange'!$R$57)*100</f>
        <v>0</v>
      </c>
      <c r="I381" s="512"/>
      <c r="J381" s="552"/>
      <c r="K381" s="552"/>
      <c r="L381" s="552"/>
      <c r="M381" s="552"/>
      <c r="N381" s="552"/>
      <c r="O381" s="552"/>
      <c r="P381" s="552"/>
      <c r="Q381" s="510">
        <f t="shared" si="74"/>
        <v>0</v>
      </c>
      <c r="R381" s="510"/>
      <c r="S381" s="511"/>
      <c r="T381" s="511"/>
      <c r="U381" s="511"/>
      <c r="V381" s="511"/>
      <c r="W381" s="511"/>
      <c r="X381" s="511"/>
      <c r="Y381" s="511"/>
      <c r="Z381" s="511"/>
      <c r="AA381" s="511"/>
      <c r="AB381" s="511"/>
      <c r="AC381" s="511"/>
      <c r="AD381" s="511"/>
      <c r="AE381" s="511"/>
      <c r="AF381" s="511"/>
      <c r="AG381" s="511"/>
      <c r="AH381" s="511"/>
      <c r="AI381" s="511"/>
      <c r="AJ381" s="511"/>
      <c r="AK381" s="511"/>
      <c r="AL381" s="511"/>
      <c r="AM381" s="511"/>
      <c r="AN381" s="511"/>
      <c r="AO381" s="511"/>
    </row>
    <row r="382" spans="1:41" ht="15.75" customHeight="1">
      <c r="A382" s="512" t="s">
        <v>896</v>
      </c>
      <c r="B382" s="505">
        <f>('Pivot Table for Data Exchange'!$R$78)*100</f>
        <v>0</v>
      </c>
      <c r="C382" s="505">
        <f>('Pivot Table for Data Exchange'!$R$81)*100</f>
        <v>0</v>
      </c>
      <c r="D382" s="506">
        <f t="shared" si="80"/>
        <v>0</v>
      </c>
      <c r="E382" s="505">
        <f>('Pivot Table for Data Exchange'!$R$84)*100</f>
        <v>0</v>
      </c>
      <c r="F382" s="505">
        <f>('Pivot Table for Data Exchange'!$R$87)*100</f>
        <v>0</v>
      </c>
      <c r="G382" s="515">
        <f>('Pivot Table for Data Exchange'!$R$90)*100</f>
        <v>0</v>
      </c>
      <c r="H382" s="505">
        <f>('Pivot Table for Data Exchange'!$R$93)*100</f>
        <v>0</v>
      </c>
      <c r="I382" s="512"/>
      <c r="J382" s="552"/>
      <c r="K382" s="552"/>
      <c r="L382" s="552"/>
      <c r="M382" s="552"/>
      <c r="N382" s="552"/>
      <c r="O382" s="552"/>
      <c r="P382" s="552"/>
      <c r="Q382" s="510">
        <f t="shared" si="74"/>
        <v>0</v>
      </c>
      <c r="R382" s="510"/>
      <c r="S382" s="511"/>
      <c r="T382" s="535"/>
      <c r="U382" s="511"/>
      <c r="V382" s="511"/>
      <c r="W382" s="511"/>
      <c r="X382" s="511"/>
      <c r="Y382" s="511"/>
      <c r="Z382" s="511"/>
      <c r="AA382" s="511"/>
      <c r="AB382" s="511"/>
      <c r="AC382" s="511"/>
      <c r="AD382" s="511"/>
      <c r="AE382" s="511"/>
      <c r="AF382" s="511"/>
      <c r="AG382" s="511"/>
      <c r="AH382" s="511"/>
      <c r="AI382" s="511"/>
      <c r="AJ382" s="511"/>
      <c r="AK382" s="511"/>
      <c r="AL382" s="511"/>
      <c r="AM382" s="511"/>
      <c r="AN382" s="511"/>
      <c r="AO382" s="511"/>
    </row>
    <row r="383" spans="1:41" ht="15.75" customHeight="1">
      <c r="A383" s="512" t="s">
        <v>897</v>
      </c>
      <c r="B383" s="505">
        <f>('Pivot Table for Data Exchange'!$R$114)*100</f>
        <v>0</v>
      </c>
      <c r="C383" s="505">
        <f>('Pivot Table for Data Exchange'!$R$117)*100</f>
        <v>0</v>
      </c>
      <c r="D383" s="506">
        <f t="shared" si="80"/>
        <v>0</v>
      </c>
      <c r="E383" s="505">
        <f>('Pivot Table for Data Exchange'!$R$120)*100</f>
        <v>0</v>
      </c>
      <c r="F383" s="505">
        <f>('Pivot Table for Data Exchange'!$R$123)*100</f>
        <v>0</v>
      </c>
      <c r="G383" s="515">
        <f>('Pivot Table for Data Exchange'!$R$126)*100</f>
        <v>0</v>
      </c>
      <c r="H383" s="505">
        <f>('Pivot Table for Data Exchange'!$R$129)*100</f>
        <v>0</v>
      </c>
      <c r="I383" s="512"/>
      <c r="J383" s="552"/>
      <c r="K383" s="552"/>
      <c r="L383" s="552"/>
      <c r="M383" s="552"/>
      <c r="N383" s="552"/>
      <c r="O383" s="552"/>
      <c r="P383" s="552"/>
      <c r="Q383" s="510">
        <f t="shared" si="74"/>
        <v>0</v>
      </c>
      <c r="R383" s="510"/>
      <c r="S383" s="511"/>
      <c r="U383" s="511"/>
      <c r="V383" s="511"/>
      <c r="W383" s="511"/>
      <c r="X383" s="511"/>
      <c r="Y383" s="511"/>
      <c r="Z383" s="511"/>
      <c r="AA383" s="511"/>
      <c r="AB383" s="511"/>
      <c r="AC383" s="511"/>
      <c r="AD383" s="511"/>
      <c r="AE383" s="511"/>
      <c r="AF383" s="511"/>
      <c r="AG383" s="511"/>
      <c r="AH383" s="511"/>
      <c r="AI383" s="511"/>
      <c r="AJ383" s="511"/>
      <c r="AK383" s="511"/>
      <c r="AL383" s="511"/>
      <c r="AM383" s="511"/>
      <c r="AN383" s="511"/>
      <c r="AO383" s="511"/>
    </row>
    <row r="384" spans="1:41" ht="15.75" customHeight="1">
      <c r="A384" s="512"/>
      <c r="B384" s="505"/>
      <c r="C384" s="505"/>
      <c r="D384" s="506"/>
      <c r="E384" s="505"/>
      <c r="F384" s="505"/>
      <c r="G384" s="515"/>
      <c r="H384" s="505"/>
      <c r="I384" s="512"/>
      <c r="J384" s="552"/>
      <c r="K384" s="552"/>
      <c r="L384" s="552"/>
      <c r="M384" s="552"/>
      <c r="N384" s="552"/>
      <c r="O384" s="552"/>
      <c r="P384" s="552"/>
      <c r="Q384" s="510">
        <f t="shared" si="74"/>
        <v>0</v>
      </c>
      <c r="R384" s="510"/>
      <c r="S384" s="511"/>
      <c r="U384" s="511"/>
      <c r="V384" s="511"/>
      <c r="W384" s="511"/>
      <c r="X384" s="511"/>
      <c r="Y384" s="511"/>
      <c r="Z384" s="511"/>
      <c r="AA384" s="511"/>
      <c r="AB384" s="511"/>
      <c r="AC384" s="511"/>
      <c r="AD384" s="511"/>
      <c r="AE384" s="511"/>
      <c r="AF384" s="511"/>
      <c r="AG384" s="511"/>
      <c r="AH384" s="511"/>
      <c r="AI384" s="511"/>
      <c r="AJ384" s="511"/>
      <c r="AK384" s="511"/>
      <c r="AL384" s="511"/>
      <c r="AM384" s="511"/>
      <c r="AN384" s="511"/>
      <c r="AO384" s="511"/>
    </row>
    <row r="385" spans="1:41" ht="15.75" customHeight="1">
      <c r="A385" s="512" t="s">
        <v>898</v>
      </c>
      <c r="B385" s="505">
        <f>('Pivot Table for Data Exchange'!$R$150)*100</f>
        <v>67.398714291569135</v>
      </c>
      <c r="C385" s="505">
        <f>('Pivot Table for Data Exchange'!$R$153)*100</f>
        <v>0</v>
      </c>
      <c r="D385" s="506">
        <f t="shared" ref="D385:D388" si="81">SUM(E385:G385)</f>
        <v>32.601285708430879</v>
      </c>
      <c r="E385" s="505">
        <f>('Pivot Table for Data Exchange'!$R$156)*100</f>
        <v>32.060792410774908</v>
      </c>
      <c r="F385" s="505">
        <f>('Pivot Table for Data Exchange'!$R$159)*100</f>
        <v>0.54049329765596954</v>
      </c>
      <c r="G385" s="515">
        <f>('Pivot Table for Data Exchange'!$R$162)*100</f>
        <v>0</v>
      </c>
      <c r="H385" s="505">
        <f>('Pivot Table for Data Exchange'!$R$165)*100</f>
        <v>0</v>
      </c>
      <c r="I385" s="512"/>
      <c r="J385" s="552"/>
      <c r="K385" s="552"/>
      <c r="L385" s="552"/>
      <c r="M385" s="552"/>
      <c r="N385" s="552"/>
      <c r="O385" s="552"/>
      <c r="P385" s="552"/>
      <c r="Q385" s="510">
        <f t="shared" si="74"/>
        <v>100.00000000000001</v>
      </c>
      <c r="R385" s="510"/>
      <c r="S385" s="511"/>
      <c r="T385" s="511"/>
      <c r="U385" s="511"/>
      <c r="V385" s="511"/>
      <c r="W385" s="511"/>
      <c r="X385" s="511"/>
      <c r="Y385" s="511"/>
      <c r="Z385" s="511"/>
      <c r="AA385" s="511"/>
      <c r="AB385" s="511"/>
      <c r="AC385" s="511"/>
      <c r="AD385" s="511"/>
      <c r="AE385" s="511"/>
      <c r="AF385" s="511"/>
      <c r="AG385" s="511"/>
      <c r="AH385" s="511"/>
      <c r="AI385" s="511"/>
      <c r="AJ385" s="511"/>
      <c r="AK385" s="511"/>
      <c r="AL385" s="511"/>
      <c r="AM385" s="511"/>
      <c r="AN385" s="511"/>
      <c r="AO385" s="511"/>
    </row>
    <row r="386" spans="1:41" ht="15.75" customHeight="1">
      <c r="A386" s="512" t="s">
        <v>899</v>
      </c>
      <c r="B386" s="505">
        <f>('Pivot Table for Data Exchange'!$R$186)*100</f>
        <v>58.91504522346311</v>
      </c>
      <c r="C386" s="505">
        <f>('Pivot Table for Data Exchange'!$R$189)*100</f>
        <v>15.272531765314387</v>
      </c>
      <c r="D386" s="506">
        <f t="shared" si="81"/>
        <v>25.812423011222496</v>
      </c>
      <c r="E386" s="505">
        <f>('Pivot Table for Data Exchange'!$R$192)*100</f>
        <v>25.812423011222496</v>
      </c>
      <c r="F386" s="505">
        <f>('Pivot Table for Data Exchange'!$R$195)*100</f>
        <v>0</v>
      </c>
      <c r="G386" s="515">
        <f>('Pivot Table for Data Exchange'!$R$198)*100</f>
        <v>0</v>
      </c>
      <c r="H386" s="505">
        <f>('Pivot Table for Data Exchange'!$R$201)*100</f>
        <v>0</v>
      </c>
      <c r="I386" s="512"/>
      <c r="J386" s="552"/>
      <c r="K386" s="552"/>
      <c r="L386" s="552"/>
      <c r="M386" s="552"/>
      <c r="N386" s="552"/>
      <c r="O386" s="552"/>
      <c r="P386" s="552"/>
      <c r="Q386" s="510">
        <f t="shared" si="74"/>
        <v>99.999999999999986</v>
      </c>
      <c r="R386" s="510"/>
      <c r="S386" s="511"/>
      <c r="T386" s="511"/>
      <c r="U386" s="511"/>
      <c r="V386" s="511"/>
      <c r="W386" s="511"/>
      <c r="X386" s="511"/>
      <c r="Y386" s="511"/>
      <c r="Z386" s="511"/>
      <c r="AA386" s="511"/>
      <c r="AB386" s="511"/>
      <c r="AC386" s="511"/>
      <c r="AD386" s="511"/>
      <c r="AE386" s="511"/>
      <c r="AF386" s="511"/>
      <c r="AG386" s="511"/>
      <c r="AH386" s="511"/>
      <c r="AI386" s="511"/>
      <c r="AJ386" s="511"/>
      <c r="AK386" s="511"/>
      <c r="AL386" s="511"/>
      <c r="AM386" s="511"/>
      <c r="AN386" s="511"/>
      <c r="AO386" s="511"/>
    </row>
    <row r="387" spans="1:41" ht="15.75" customHeight="1">
      <c r="A387" s="512" t="s">
        <v>900</v>
      </c>
      <c r="B387" s="505">
        <f>('Pivot Table for Data Exchange'!$R$222)*100</f>
        <v>92.347929542899536</v>
      </c>
      <c r="C387" s="505">
        <f>('Pivot Table for Data Exchange'!$R$225)*100</f>
        <v>0</v>
      </c>
      <c r="D387" s="506">
        <f t="shared" si="81"/>
        <v>7.6520704571004643</v>
      </c>
      <c r="E387" s="505">
        <f>('Pivot Table for Data Exchange'!$R$228)*100</f>
        <v>7.6520704571004643</v>
      </c>
      <c r="F387" s="505">
        <f>('Pivot Table for Data Exchange'!$R$231)*100</f>
        <v>0</v>
      </c>
      <c r="G387" s="515">
        <f>('Pivot Table for Data Exchange'!$R$234)*100</f>
        <v>0</v>
      </c>
      <c r="H387" s="505">
        <f>('Pivot Table for Data Exchange'!$R$237)*100</f>
        <v>0</v>
      </c>
      <c r="I387" s="559"/>
      <c r="J387" s="552"/>
      <c r="K387" s="552"/>
      <c r="L387" s="552"/>
      <c r="M387" s="552"/>
      <c r="N387" s="552"/>
      <c r="O387" s="552"/>
      <c r="P387" s="552"/>
      <c r="Q387" s="510">
        <f>SUM(I387,C387,D387,H387)</f>
        <v>7.6520704571004643</v>
      </c>
      <c r="R387" s="510"/>
      <c r="S387" s="511"/>
      <c r="T387" s="535"/>
      <c r="U387" s="511"/>
      <c r="V387" s="511"/>
      <c r="W387" s="511"/>
      <c r="X387" s="511"/>
      <c r="Y387" s="511"/>
      <c r="Z387" s="511"/>
      <c r="AA387" s="511"/>
      <c r="AB387" s="511"/>
      <c r="AC387" s="511"/>
      <c r="AD387" s="511"/>
      <c r="AE387" s="511"/>
      <c r="AF387" s="511"/>
      <c r="AG387" s="511"/>
      <c r="AH387" s="511"/>
      <c r="AI387" s="511"/>
      <c r="AJ387" s="511"/>
      <c r="AK387" s="511"/>
      <c r="AL387" s="511"/>
      <c r="AM387" s="511"/>
      <c r="AN387" s="511"/>
      <c r="AO387" s="511"/>
    </row>
    <row r="388" spans="1:41" ht="15.75" customHeight="1">
      <c r="A388" s="512" t="s">
        <v>901</v>
      </c>
      <c r="B388" s="505">
        <f>('Pivot Table for Data Exchange'!$R$258)*100</f>
        <v>0</v>
      </c>
      <c r="C388" s="505">
        <f>('Pivot Table for Data Exchange'!$R$261)*100</f>
        <v>0</v>
      </c>
      <c r="D388" s="506">
        <f t="shared" si="81"/>
        <v>0</v>
      </c>
      <c r="E388" s="505">
        <f>('Pivot Table for Data Exchange'!$R$264)*100</f>
        <v>0</v>
      </c>
      <c r="F388" s="505">
        <f>('Pivot Table for Data Exchange'!$R$267)*100</f>
        <v>0</v>
      </c>
      <c r="G388" s="515">
        <f>('Pivot Table for Data Exchange'!$R$270)*100</f>
        <v>0</v>
      </c>
      <c r="H388" s="505">
        <f>('Pivot Table for Data Exchange'!$R$273)*100</f>
        <v>0</v>
      </c>
      <c r="I388" s="512"/>
      <c r="J388" s="552"/>
      <c r="K388" s="552"/>
      <c r="L388" s="552"/>
      <c r="M388" s="552"/>
      <c r="N388" s="552"/>
      <c r="O388" s="552"/>
      <c r="P388" s="552"/>
      <c r="Q388" s="510">
        <f t="shared" si="74"/>
        <v>0</v>
      </c>
      <c r="R388" s="510"/>
      <c r="S388" s="511"/>
      <c r="U388" s="511"/>
      <c r="V388" s="511"/>
      <c r="W388" s="511"/>
      <c r="X388" s="511"/>
      <c r="Y388" s="511"/>
      <c r="Z388" s="511"/>
      <c r="AA388" s="511"/>
      <c r="AB388" s="511"/>
      <c r="AC388" s="511"/>
      <c r="AD388" s="511"/>
      <c r="AE388" s="511"/>
      <c r="AF388" s="511"/>
      <c r="AG388" s="511"/>
      <c r="AH388" s="511"/>
      <c r="AI388" s="511"/>
      <c r="AJ388" s="511"/>
      <c r="AK388" s="511"/>
      <c r="AL388" s="511"/>
      <c r="AM388" s="511"/>
      <c r="AN388" s="511"/>
      <c r="AO388" s="511"/>
    </row>
    <row r="389" spans="1:41" ht="15.75" customHeight="1">
      <c r="A389" s="512"/>
      <c r="B389" s="505"/>
      <c r="C389" s="505"/>
      <c r="D389" s="506"/>
      <c r="E389" s="505"/>
      <c r="F389" s="505"/>
      <c r="G389" s="515"/>
      <c r="H389" s="505"/>
      <c r="I389" s="512"/>
      <c r="J389" s="552"/>
      <c r="K389" s="552"/>
      <c r="L389" s="552"/>
      <c r="M389" s="552"/>
      <c r="N389" s="552"/>
      <c r="O389" s="552"/>
      <c r="P389" s="552"/>
      <c r="Q389" s="510">
        <f t="shared" si="74"/>
        <v>0</v>
      </c>
      <c r="R389" s="510"/>
      <c r="S389" s="511"/>
      <c r="U389" s="511"/>
      <c r="V389" s="511"/>
      <c r="W389" s="511"/>
      <c r="X389" s="511"/>
      <c r="Y389" s="511"/>
      <c r="Z389" s="511"/>
      <c r="AA389" s="511"/>
      <c r="AB389" s="511"/>
      <c r="AC389" s="511"/>
      <c r="AD389" s="511"/>
      <c r="AE389" s="511"/>
      <c r="AF389" s="511"/>
      <c r="AG389" s="511"/>
      <c r="AH389" s="511"/>
      <c r="AI389" s="511"/>
      <c r="AJ389" s="511"/>
      <c r="AK389" s="511"/>
      <c r="AL389" s="511"/>
      <c r="AM389" s="511"/>
      <c r="AN389" s="511"/>
      <c r="AO389" s="511"/>
    </row>
    <row r="390" spans="1:41" ht="15.75" customHeight="1">
      <c r="A390" s="512" t="s">
        <v>902</v>
      </c>
      <c r="B390" s="505">
        <f>('Pivot Table for Data Exchange'!$R$294)*100</f>
        <v>0</v>
      </c>
      <c r="C390" s="505">
        <f>('Pivot Table for Data Exchange'!$R$297)*100</f>
        <v>0</v>
      </c>
      <c r="D390" s="506">
        <f t="shared" ref="D390:D392" si="82">SUM(E390:G390)</f>
        <v>0</v>
      </c>
      <c r="E390" s="505">
        <f>('Pivot Table for Data Exchange'!$R$300)*100</f>
        <v>0</v>
      </c>
      <c r="F390" s="505">
        <f>('Pivot Table for Data Exchange'!$R$303)*100</f>
        <v>0</v>
      </c>
      <c r="G390" s="515">
        <f>('Pivot Table for Data Exchange'!$R$306)*100</f>
        <v>0</v>
      </c>
      <c r="H390" s="505">
        <f>('Pivot Table for Data Exchange'!$R$309)*100</f>
        <v>0</v>
      </c>
      <c r="I390" s="512"/>
      <c r="J390" s="552"/>
      <c r="K390" s="552"/>
      <c r="L390" s="552"/>
      <c r="M390" s="552"/>
      <c r="N390" s="552"/>
      <c r="O390" s="552"/>
      <c r="P390" s="552"/>
      <c r="Q390" s="510">
        <f t="shared" si="74"/>
        <v>0</v>
      </c>
      <c r="R390" s="510"/>
      <c r="S390" s="511"/>
      <c r="T390" s="511"/>
      <c r="U390" s="511"/>
      <c r="V390" s="511"/>
      <c r="W390" s="511"/>
      <c r="X390" s="511"/>
      <c r="Y390" s="511"/>
      <c r="Z390" s="511"/>
      <c r="AA390" s="511"/>
      <c r="AB390" s="511"/>
      <c r="AC390" s="511"/>
      <c r="AD390" s="511"/>
      <c r="AE390" s="511"/>
      <c r="AF390" s="511"/>
      <c r="AG390" s="511"/>
      <c r="AH390" s="511"/>
      <c r="AI390" s="511"/>
      <c r="AJ390" s="511"/>
      <c r="AK390" s="511"/>
      <c r="AL390" s="511"/>
      <c r="AM390" s="511"/>
      <c r="AN390" s="511"/>
      <c r="AO390" s="511"/>
    </row>
    <row r="391" spans="1:41" ht="15.75" customHeight="1">
      <c r="A391" s="512" t="s">
        <v>903</v>
      </c>
      <c r="B391" s="505">
        <f>('Pivot Table for Data Exchange'!$R$330)*100</f>
        <v>0</v>
      </c>
      <c r="C391" s="505">
        <f>('Pivot Table for Data Exchange'!$R$333)*100</f>
        <v>0</v>
      </c>
      <c r="D391" s="506">
        <f t="shared" si="82"/>
        <v>0</v>
      </c>
      <c r="E391" s="505">
        <f>('Pivot Table for Data Exchange'!$R$336)*100</f>
        <v>0</v>
      </c>
      <c r="F391" s="505">
        <f>('Pivot Table for Data Exchange'!$R$339)*100</f>
        <v>0</v>
      </c>
      <c r="G391" s="515">
        <f>('Pivot Table for Data Exchange'!$R$342)*100</f>
        <v>0</v>
      </c>
      <c r="H391" s="505">
        <f>('Pivot Table for Data Exchange'!$R$345)*100</f>
        <v>0</v>
      </c>
      <c r="I391" s="512"/>
      <c r="J391" s="552"/>
      <c r="K391" s="552"/>
      <c r="L391" s="552"/>
      <c r="M391" s="552"/>
      <c r="N391" s="552"/>
      <c r="O391" s="552"/>
      <c r="P391" s="552"/>
      <c r="Q391" s="510">
        <f t="shared" si="74"/>
        <v>0</v>
      </c>
      <c r="R391" s="510"/>
      <c r="S391" s="511"/>
      <c r="T391" s="511"/>
      <c r="U391" s="511"/>
      <c r="V391" s="511"/>
      <c r="W391" s="511"/>
      <c r="X391" s="511"/>
      <c r="Y391" s="511"/>
      <c r="Z391" s="511"/>
      <c r="AA391" s="511"/>
      <c r="AB391" s="511"/>
      <c r="AC391" s="511"/>
      <c r="AD391" s="511"/>
      <c r="AE391" s="511"/>
      <c r="AF391" s="511"/>
      <c r="AG391" s="511"/>
      <c r="AH391" s="511"/>
      <c r="AI391" s="511"/>
      <c r="AJ391" s="511"/>
      <c r="AK391" s="511"/>
      <c r="AL391" s="511"/>
      <c r="AM391" s="511"/>
      <c r="AN391" s="511"/>
      <c r="AO391" s="511"/>
    </row>
    <row r="392" spans="1:41" ht="15.75" customHeight="1">
      <c r="A392" s="512" t="s">
        <v>904</v>
      </c>
      <c r="B392" s="505">
        <f>('Pivot Table for Data Exchange'!$R$366)*100</f>
        <v>0</v>
      </c>
      <c r="C392" s="505">
        <f>('Pivot Table for Data Exchange'!$R$369)*100</f>
        <v>0</v>
      </c>
      <c r="D392" s="506">
        <f t="shared" si="82"/>
        <v>0</v>
      </c>
      <c r="E392" s="505">
        <f>('Pivot Table for Data Exchange'!$R$372)*100</f>
        <v>0</v>
      </c>
      <c r="F392" s="505">
        <f>('Pivot Table for Data Exchange'!$R$375)*100</f>
        <v>0</v>
      </c>
      <c r="G392" s="515">
        <f>('Pivot Table for Data Exchange'!$R$378)*100</f>
        <v>0</v>
      </c>
      <c r="H392" s="505">
        <f>('Pivot Table for Data Exchange'!$R$381)*100</f>
        <v>0</v>
      </c>
      <c r="I392" s="512"/>
      <c r="J392" s="552"/>
      <c r="K392" s="552"/>
      <c r="L392" s="552"/>
      <c r="M392" s="552"/>
      <c r="N392" s="552"/>
      <c r="O392" s="552"/>
      <c r="P392" s="552"/>
      <c r="Q392" s="510">
        <f t="shared" si="74"/>
        <v>0</v>
      </c>
      <c r="R392" s="510"/>
      <c r="S392" s="511"/>
      <c r="T392" s="535"/>
      <c r="U392" s="511"/>
      <c r="V392" s="511"/>
      <c r="W392" s="511"/>
      <c r="X392" s="511"/>
      <c r="Y392" s="511"/>
      <c r="Z392" s="511"/>
      <c r="AA392" s="511"/>
      <c r="AB392" s="511"/>
      <c r="AC392" s="511"/>
      <c r="AD392" s="511"/>
      <c r="AE392" s="511"/>
      <c r="AF392" s="511"/>
      <c r="AG392" s="511"/>
      <c r="AH392" s="511"/>
      <c r="AI392" s="511"/>
      <c r="AJ392" s="511"/>
      <c r="AK392" s="511"/>
      <c r="AL392" s="511"/>
      <c r="AM392" s="511"/>
      <c r="AN392" s="511"/>
      <c r="AO392" s="511"/>
    </row>
    <row r="393" spans="1:41" ht="15.75" customHeight="1">
      <c r="A393" s="512" t="s">
        <v>905</v>
      </c>
      <c r="B393" s="505">
        <f>('Pivot Table for Data Exchange'!$R$402)*100</f>
        <v>0</v>
      </c>
      <c r="C393" s="505">
        <f>('Pivot Table for Data Exchange'!$R$405)*100</f>
        <v>0</v>
      </c>
      <c r="D393" s="506">
        <f>SUM(E393:G393)</f>
        <v>0</v>
      </c>
      <c r="E393" s="505">
        <f>('Pivot Table for Data Exchange'!$R$408)*100</f>
        <v>0</v>
      </c>
      <c r="F393" s="505">
        <f>('Pivot Table for Data Exchange'!$R$411)*100</f>
        <v>0</v>
      </c>
      <c r="G393" s="515">
        <f>('Pivot Table for Data Exchange'!$R$414)*100</f>
        <v>0</v>
      </c>
      <c r="H393" s="505">
        <f>('Pivot Table for Data Exchange'!$R$417)*100</f>
        <v>0</v>
      </c>
      <c r="I393" s="512"/>
      <c r="J393" s="552"/>
      <c r="K393" s="552"/>
      <c r="L393" s="552"/>
      <c r="M393" s="552"/>
      <c r="N393" s="552"/>
      <c r="O393" s="552"/>
      <c r="P393" s="552"/>
      <c r="Q393" s="510">
        <f t="shared" si="74"/>
        <v>0</v>
      </c>
      <c r="R393" s="510"/>
      <c r="S393" s="511"/>
      <c r="T393" s="511"/>
      <c r="U393" s="511"/>
      <c r="V393" s="511"/>
      <c r="W393" s="511"/>
      <c r="X393" s="511"/>
      <c r="Y393" s="511"/>
      <c r="Z393" s="511"/>
      <c r="AA393" s="511"/>
      <c r="AB393" s="511"/>
      <c r="AC393" s="511"/>
      <c r="AD393" s="511"/>
      <c r="AE393" s="511"/>
      <c r="AF393" s="511"/>
      <c r="AG393" s="511"/>
      <c r="AH393" s="511"/>
      <c r="AI393" s="511"/>
      <c r="AJ393" s="511"/>
      <c r="AK393" s="511"/>
      <c r="AL393" s="511"/>
      <c r="AM393" s="511"/>
      <c r="AN393" s="511"/>
      <c r="AO393" s="511"/>
    </row>
    <row r="394" spans="1:41" ht="15.75" customHeight="1">
      <c r="A394" s="512"/>
      <c r="B394" s="505"/>
      <c r="C394" s="505"/>
      <c r="D394" s="506"/>
      <c r="E394" s="505"/>
      <c r="F394" s="505"/>
      <c r="G394" s="515"/>
      <c r="H394" s="505"/>
      <c r="I394" s="512"/>
      <c r="J394" s="552"/>
      <c r="K394" s="552"/>
      <c r="L394" s="552"/>
      <c r="M394" s="552"/>
      <c r="N394" s="552"/>
      <c r="O394" s="552"/>
      <c r="P394" s="552"/>
      <c r="Q394" s="510">
        <f t="shared" si="74"/>
        <v>0</v>
      </c>
      <c r="R394" s="510"/>
      <c r="S394" s="511"/>
      <c r="T394" s="511"/>
      <c r="U394" s="511"/>
      <c r="V394" s="511"/>
      <c r="W394" s="511"/>
      <c r="X394" s="511"/>
      <c r="Y394" s="511"/>
      <c r="Z394" s="511"/>
      <c r="AA394" s="511"/>
      <c r="AB394" s="511"/>
      <c r="AC394" s="511"/>
      <c r="AD394" s="511"/>
      <c r="AE394" s="511"/>
      <c r="AF394" s="511"/>
      <c r="AG394" s="511"/>
      <c r="AH394" s="511"/>
      <c r="AI394" s="511"/>
      <c r="AJ394" s="511"/>
      <c r="AK394" s="511"/>
      <c r="AL394" s="511"/>
      <c r="AM394" s="511"/>
      <c r="AN394" s="511"/>
      <c r="AO394" s="511"/>
    </row>
    <row r="395" spans="1:41" ht="15.75" customHeight="1">
      <c r="A395" s="512" t="s">
        <v>906</v>
      </c>
      <c r="B395" s="505">
        <f>('Pivot Table for Data Exchange'!$R$438)*100</f>
        <v>0</v>
      </c>
      <c r="C395" s="505">
        <f>('Pivot Table for Data Exchange'!$R$441)*100</f>
        <v>0</v>
      </c>
      <c r="D395" s="506">
        <f>SUM(E395:G395)</f>
        <v>0</v>
      </c>
      <c r="E395" s="505">
        <f>('Pivot Table for Data Exchange'!$R$444)*100</f>
        <v>0</v>
      </c>
      <c r="F395" s="505">
        <f>('Pivot Table for Data Exchange'!$R$447)*100</f>
        <v>0</v>
      </c>
      <c r="G395" s="515">
        <f>('Pivot Table for Data Exchange'!$R$450)*100</f>
        <v>0</v>
      </c>
      <c r="H395" s="505">
        <f>('Pivot Table for Data Exchange'!$R$453)*100</f>
        <v>0</v>
      </c>
      <c r="I395" s="512"/>
      <c r="J395" s="552"/>
      <c r="K395" s="552"/>
      <c r="L395" s="552"/>
      <c r="M395" s="552"/>
      <c r="N395" s="552"/>
      <c r="O395" s="552"/>
      <c r="P395" s="552"/>
      <c r="Q395" s="510">
        <f t="shared" si="74"/>
        <v>0</v>
      </c>
      <c r="R395" s="510"/>
      <c r="S395" s="511"/>
      <c r="T395" s="511"/>
      <c r="U395" s="511"/>
      <c r="V395" s="511"/>
      <c r="W395" s="511"/>
      <c r="X395" s="511"/>
      <c r="Y395" s="511"/>
      <c r="Z395" s="511"/>
      <c r="AA395" s="511"/>
      <c r="AB395" s="511"/>
      <c r="AC395" s="511"/>
      <c r="AD395" s="511"/>
      <c r="AE395" s="511"/>
      <c r="AF395" s="511"/>
      <c r="AG395" s="511"/>
      <c r="AH395" s="511"/>
      <c r="AI395" s="511"/>
      <c r="AJ395" s="511"/>
      <c r="AK395" s="511"/>
      <c r="AL395" s="511"/>
      <c r="AM395" s="511"/>
      <c r="AN395" s="511"/>
      <c r="AO395" s="511"/>
    </row>
    <row r="396" spans="1:41" ht="15.75" customHeight="1">
      <c r="A396" s="512" t="s">
        <v>907</v>
      </c>
      <c r="B396" s="505">
        <f>('Pivot Table for Data Exchange'!$R$474)*100</f>
        <v>0</v>
      </c>
      <c r="C396" s="505">
        <f>('Pivot Table for Data Exchange'!$R$477)*100</f>
        <v>0</v>
      </c>
      <c r="D396" s="506">
        <f>SUM(E396:G396)</f>
        <v>0</v>
      </c>
      <c r="E396" s="505">
        <f>('Pivot Table for Data Exchange'!$R$480)*100</f>
        <v>0</v>
      </c>
      <c r="F396" s="505">
        <f>('Pivot Table for Data Exchange'!$R$483)*100</f>
        <v>0</v>
      </c>
      <c r="G396" s="515">
        <f>('Pivot Table for Data Exchange'!$R$486)*100</f>
        <v>0</v>
      </c>
      <c r="H396" s="505">
        <f>('Pivot Table for Data Exchange'!$R$489)*100</f>
        <v>0</v>
      </c>
      <c r="I396" s="512"/>
      <c r="J396" s="552"/>
      <c r="K396" s="552"/>
      <c r="L396" s="552"/>
      <c r="M396" s="552"/>
      <c r="N396" s="552"/>
      <c r="O396" s="552"/>
      <c r="P396" s="552"/>
      <c r="Q396" s="510">
        <f t="shared" ref="Q396:Q457" si="83">SUM(B396,C396,D396,H396)</f>
        <v>0</v>
      </c>
      <c r="R396" s="510"/>
      <c r="S396" s="511"/>
      <c r="T396" s="511"/>
      <c r="U396" s="511"/>
      <c r="V396" s="511"/>
      <c r="W396" s="511"/>
      <c r="X396" s="511"/>
      <c r="Y396" s="511"/>
      <c r="Z396" s="511"/>
      <c r="AA396" s="511"/>
      <c r="AB396" s="511"/>
      <c r="AC396" s="511"/>
      <c r="AD396" s="511"/>
      <c r="AE396" s="511"/>
      <c r="AF396" s="511"/>
      <c r="AG396" s="511"/>
      <c r="AH396" s="511"/>
      <c r="AI396" s="511"/>
      <c r="AJ396" s="511"/>
      <c r="AK396" s="511"/>
      <c r="AL396" s="511"/>
      <c r="AM396" s="511"/>
      <c r="AN396" s="511"/>
      <c r="AO396" s="511"/>
    </row>
    <row r="397" spans="1:41" ht="15.75" customHeight="1">
      <c r="A397" s="512" t="s">
        <v>908</v>
      </c>
      <c r="B397" s="505">
        <f>('Pivot Table for Data Exchange'!$R$510)*100</f>
        <v>0</v>
      </c>
      <c r="C397" s="505">
        <f>('Pivot Table for Data Exchange'!$R$513)*100</f>
        <v>0</v>
      </c>
      <c r="D397" s="506">
        <f t="shared" ref="D397" si="84">SUM(E397:G397)</f>
        <v>0</v>
      </c>
      <c r="E397" s="505">
        <f>('Pivot Table for Data Exchange'!$R$516)*100</f>
        <v>0</v>
      </c>
      <c r="F397" s="505">
        <f>('Pivot Table for Data Exchange'!$R$519)*100</f>
        <v>0</v>
      </c>
      <c r="G397" s="515">
        <f>('Pivot Table for Data Exchange'!$R$522)*100</f>
        <v>0</v>
      </c>
      <c r="H397" s="505">
        <f>('Pivot Table for Data Exchange'!$R$525)*100</f>
        <v>0</v>
      </c>
      <c r="I397" s="512"/>
      <c r="J397" s="552"/>
      <c r="K397" s="552"/>
      <c r="L397" s="552"/>
      <c r="M397" s="552"/>
      <c r="N397" s="552"/>
      <c r="O397" s="552"/>
      <c r="P397" s="552"/>
      <c r="Q397" s="510">
        <f t="shared" si="83"/>
        <v>0</v>
      </c>
      <c r="R397" s="510"/>
      <c r="S397" s="511"/>
      <c r="T397" s="511"/>
      <c r="U397" s="511"/>
      <c r="V397" s="511"/>
      <c r="W397" s="511"/>
      <c r="X397" s="511"/>
      <c r="Y397" s="511"/>
      <c r="Z397" s="511"/>
      <c r="AA397" s="511"/>
      <c r="AB397" s="511"/>
      <c r="AC397" s="511"/>
      <c r="AD397" s="511"/>
      <c r="AE397" s="511"/>
      <c r="AF397" s="511"/>
      <c r="AG397" s="511"/>
      <c r="AH397" s="511"/>
      <c r="AI397" s="511"/>
      <c r="AJ397" s="511"/>
      <c r="AK397" s="511"/>
      <c r="AL397" s="511"/>
      <c r="AM397" s="511"/>
      <c r="AN397" s="511"/>
      <c r="AO397" s="511"/>
    </row>
    <row r="398" spans="1:41" ht="15.75" customHeight="1">
      <c r="A398" s="484" t="s">
        <v>909</v>
      </c>
      <c r="B398" s="520">
        <f>('Pivot Table for Data Exchange'!$R$546)*100</f>
        <v>0</v>
      </c>
      <c r="C398" s="520">
        <f>('Pivot Table for Data Exchange'!$R$549)*100</f>
        <v>0</v>
      </c>
      <c r="D398" s="521">
        <f>SUM(E398:G398)</f>
        <v>0</v>
      </c>
      <c r="E398" s="520">
        <f>('Pivot Table for Data Exchange'!$R$552)*100</f>
        <v>0</v>
      </c>
      <c r="F398" s="520">
        <f>('Pivot Table for Data Exchange'!$R$555)*100</f>
        <v>0</v>
      </c>
      <c r="G398" s="522">
        <f>('Pivot Table for Data Exchange'!$R$558)*100</f>
        <v>0</v>
      </c>
      <c r="H398" s="520">
        <f>('Pivot Table for Data Exchange'!$R$561)*100</f>
        <v>0</v>
      </c>
      <c r="I398" s="512"/>
      <c r="J398" s="552"/>
      <c r="K398" s="552"/>
      <c r="L398" s="552"/>
      <c r="M398" s="552"/>
      <c r="N398" s="552"/>
      <c r="O398" s="552"/>
      <c r="P398" s="552"/>
      <c r="Q398" s="510">
        <f t="shared" si="83"/>
        <v>0</v>
      </c>
      <c r="R398" s="510"/>
      <c r="S398" s="511"/>
      <c r="T398" s="511"/>
      <c r="U398" s="511"/>
      <c r="V398" s="511"/>
      <c r="W398" s="511"/>
      <c r="X398" s="511"/>
      <c r="Y398" s="511"/>
      <c r="Z398" s="511"/>
      <c r="AA398" s="511"/>
      <c r="AB398" s="511"/>
      <c r="AC398" s="511"/>
      <c r="AD398" s="511"/>
      <c r="AE398" s="511"/>
      <c r="AF398" s="511"/>
      <c r="AG398" s="511"/>
      <c r="AH398" s="511"/>
      <c r="AI398" s="511"/>
      <c r="AJ398" s="511"/>
      <c r="AK398" s="511"/>
      <c r="AL398" s="511"/>
      <c r="AM398" s="511"/>
      <c r="AN398" s="511"/>
      <c r="AO398" s="511"/>
    </row>
    <row r="399" spans="1:41" s="524" customFormat="1" ht="12" customHeight="1">
      <c r="A399" s="525" t="s">
        <v>937</v>
      </c>
      <c r="B399" s="526"/>
      <c r="C399" s="526"/>
      <c r="D399" s="527"/>
      <c r="E399" s="526"/>
      <c r="F399" s="527"/>
      <c r="G399" s="527"/>
      <c r="H399" s="526"/>
      <c r="I399" s="546"/>
      <c r="J399" s="526"/>
      <c r="K399" s="526"/>
      <c r="L399" s="527"/>
      <c r="M399" s="526"/>
      <c r="N399" s="527"/>
      <c r="O399" s="527"/>
      <c r="P399" s="526"/>
      <c r="Q399" s="510">
        <f t="shared" si="83"/>
        <v>0</v>
      </c>
      <c r="R399" s="553"/>
      <c r="S399" s="528"/>
      <c r="T399" s="528"/>
      <c r="U399" s="528"/>
      <c r="V399" s="528"/>
      <c r="W399" s="528"/>
      <c r="X399" s="528"/>
      <c r="Y399" s="528"/>
      <c r="Z399" s="528"/>
      <c r="AA399" s="528"/>
      <c r="AB399" s="528"/>
      <c r="AC399" s="528"/>
      <c r="AD399" s="528"/>
      <c r="AE399" s="528"/>
      <c r="AF399" s="528"/>
      <c r="AG399" s="528"/>
      <c r="AH399" s="528"/>
      <c r="AI399" s="528"/>
      <c r="AJ399" s="528"/>
      <c r="AK399" s="528"/>
      <c r="AL399" s="528"/>
      <c r="AM399" s="528"/>
      <c r="AN399" s="528"/>
      <c r="AO399" s="528"/>
    </row>
    <row r="400" spans="1:41" s="524" customFormat="1" ht="13.5" customHeight="1">
      <c r="A400" s="546"/>
      <c r="B400" s="526"/>
      <c r="C400" s="526"/>
      <c r="D400" s="527"/>
      <c r="E400" s="526"/>
      <c r="F400" s="527"/>
      <c r="G400" s="527"/>
      <c r="H400" s="526"/>
      <c r="I400" s="546"/>
      <c r="J400" s="526"/>
      <c r="K400" s="526"/>
      <c r="L400" s="527"/>
      <c r="M400" s="526"/>
      <c r="N400" s="527"/>
      <c r="O400" s="527"/>
      <c r="P400" s="526"/>
      <c r="Q400" s="510">
        <f t="shared" si="83"/>
        <v>0</v>
      </c>
      <c r="R400" s="553"/>
      <c r="S400" s="528"/>
      <c r="T400" s="528"/>
      <c r="U400" s="528"/>
      <c r="V400" s="528"/>
      <c r="W400" s="528"/>
      <c r="X400" s="528"/>
      <c r="Y400" s="528"/>
      <c r="Z400" s="528"/>
      <c r="AA400" s="528"/>
      <c r="AB400" s="528"/>
      <c r="AC400" s="528"/>
      <c r="AD400" s="528"/>
      <c r="AE400" s="528"/>
      <c r="AF400" s="528"/>
      <c r="AG400" s="528"/>
      <c r="AH400" s="528"/>
      <c r="AI400" s="528"/>
      <c r="AJ400" s="528"/>
      <c r="AK400" s="528"/>
      <c r="AL400" s="528"/>
      <c r="AM400" s="528"/>
      <c r="AN400" s="528"/>
      <c r="AO400" s="528"/>
    </row>
    <row r="401" spans="1:41" s="512" customFormat="1" ht="15.75" customHeight="1">
      <c r="B401" s="555"/>
      <c r="C401" s="555"/>
      <c r="D401" s="555"/>
      <c r="E401" s="555"/>
      <c r="F401" s="555"/>
      <c r="G401" s="555"/>
      <c r="H401" s="532" t="s">
        <v>1015</v>
      </c>
      <c r="J401" s="552"/>
      <c r="K401" s="552"/>
      <c r="L401" s="552"/>
      <c r="M401" s="552"/>
      <c r="N401" s="552"/>
      <c r="O401" s="552"/>
      <c r="P401" s="552"/>
      <c r="Q401" s="510">
        <f t="shared" si="83"/>
        <v>0</v>
      </c>
      <c r="R401" s="510"/>
      <c r="S401" s="514"/>
      <c r="T401" s="514"/>
      <c r="U401" s="514"/>
      <c r="V401" s="514"/>
      <c r="W401" s="514"/>
      <c r="X401" s="514"/>
      <c r="Y401" s="514"/>
      <c r="Z401" s="514"/>
      <c r="AA401" s="514"/>
      <c r="AB401" s="514"/>
      <c r="AC401" s="514"/>
      <c r="AD401" s="514"/>
      <c r="AE401" s="514"/>
      <c r="AF401" s="514"/>
      <c r="AG401" s="514"/>
      <c r="AH401" s="514"/>
      <c r="AI401" s="514"/>
      <c r="AJ401" s="514"/>
      <c r="AK401" s="514"/>
      <c r="AL401" s="514"/>
      <c r="AM401" s="514"/>
      <c r="AN401" s="514"/>
      <c r="AO401" s="514"/>
    </row>
    <row r="402" spans="1:41" ht="18">
      <c r="A402" s="472" t="s">
        <v>959</v>
      </c>
      <c r="B402" s="473"/>
      <c r="C402" s="473"/>
      <c r="D402" s="473"/>
      <c r="E402" s="473"/>
      <c r="F402" s="473"/>
      <c r="G402" s="473"/>
      <c r="H402" s="474"/>
      <c r="I402" s="550"/>
      <c r="J402" s="512"/>
      <c r="K402" s="512"/>
      <c r="L402" s="512"/>
      <c r="M402" s="512"/>
      <c r="N402" s="512"/>
      <c r="O402" s="512"/>
      <c r="P402" s="512"/>
      <c r="Q402" s="510">
        <f t="shared" si="83"/>
        <v>0</v>
      </c>
    </row>
    <row r="403" spans="1:41">
      <c r="A403" s="479"/>
      <c r="B403" s="475"/>
      <c r="C403" s="475"/>
      <c r="D403" s="475"/>
      <c r="E403" s="475"/>
      <c r="F403" s="475"/>
      <c r="G403" s="475"/>
      <c r="H403" s="480"/>
      <c r="I403" s="550"/>
      <c r="J403" s="512"/>
      <c r="K403" s="512"/>
      <c r="L403" s="512"/>
      <c r="M403" s="512"/>
      <c r="N403" s="512"/>
      <c r="O403" s="512"/>
      <c r="P403" s="512"/>
      <c r="Q403" s="510">
        <f t="shared" si="83"/>
        <v>0</v>
      </c>
    </row>
    <row r="404" spans="1:41" ht="15.75">
      <c r="A404" s="481" t="s">
        <v>917</v>
      </c>
      <c r="B404" s="475"/>
      <c r="C404" s="475"/>
      <c r="D404" s="475"/>
      <c r="E404" s="475"/>
      <c r="F404" s="475"/>
      <c r="G404" s="475"/>
      <c r="H404" s="480"/>
      <c r="I404" s="550"/>
      <c r="J404" s="512"/>
      <c r="K404" s="512"/>
      <c r="L404" s="512"/>
      <c r="M404" s="512"/>
      <c r="N404" s="512"/>
      <c r="O404" s="512"/>
      <c r="P404" s="512"/>
      <c r="Q404" s="510">
        <f t="shared" si="83"/>
        <v>0</v>
      </c>
    </row>
    <row r="405" spans="1:41" ht="15.75">
      <c r="A405" s="481" t="s">
        <v>975</v>
      </c>
      <c r="B405" s="475"/>
      <c r="C405" s="475"/>
      <c r="D405" s="475"/>
      <c r="E405" s="475"/>
      <c r="F405" s="475"/>
      <c r="G405" s="475"/>
      <c r="H405" s="480"/>
      <c r="I405" s="550"/>
      <c r="J405" s="512"/>
      <c r="K405" s="512"/>
      <c r="L405" s="512"/>
      <c r="M405" s="512"/>
      <c r="N405" s="512"/>
      <c r="O405" s="512"/>
      <c r="P405" s="512"/>
      <c r="Q405" s="510">
        <f t="shared" si="83"/>
        <v>0</v>
      </c>
    </row>
    <row r="406" spans="1:41">
      <c r="A406" s="484"/>
      <c r="B406" s="485"/>
      <c r="C406" s="485"/>
      <c r="D406" s="485"/>
      <c r="E406" s="485"/>
      <c r="F406" s="485"/>
      <c r="G406" s="485"/>
      <c r="H406" s="485"/>
      <c r="I406" s="550"/>
      <c r="J406" s="512"/>
      <c r="K406" s="512"/>
      <c r="L406" s="512"/>
      <c r="M406" s="512"/>
      <c r="N406" s="512"/>
      <c r="O406" s="512"/>
      <c r="P406" s="512"/>
      <c r="Q406" s="510">
        <f t="shared" si="83"/>
        <v>0</v>
      </c>
    </row>
    <row r="407" spans="1:41">
      <c r="A407" s="489"/>
      <c r="B407" s="490" t="s">
        <v>919</v>
      </c>
      <c r="C407" s="490"/>
      <c r="D407" s="490"/>
      <c r="E407" s="490"/>
      <c r="F407" s="490"/>
      <c r="G407" s="490"/>
      <c r="H407" s="491"/>
      <c r="I407" s="550"/>
      <c r="J407" s="512"/>
      <c r="K407" s="512"/>
      <c r="L407" s="512"/>
      <c r="M407" s="512"/>
      <c r="N407" s="512"/>
      <c r="O407" s="512"/>
      <c r="P407" s="512"/>
      <c r="Q407" s="510">
        <f t="shared" si="83"/>
        <v>0</v>
      </c>
    </row>
    <row r="408" spans="1:41">
      <c r="A408" s="489"/>
      <c r="B408" s="490" t="s">
        <v>920</v>
      </c>
      <c r="C408" s="490"/>
      <c r="D408" s="659" t="s">
        <v>921</v>
      </c>
      <c r="E408" s="657"/>
      <c r="F408" s="657"/>
      <c r="G408" s="657"/>
      <c r="H408" s="495" t="s">
        <v>320</v>
      </c>
      <c r="I408" s="550"/>
      <c r="J408" s="512"/>
      <c r="K408" s="512"/>
      <c r="L408" s="512"/>
      <c r="M408" s="512"/>
      <c r="N408" s="512"/>
      <c r="O408" s="512"/>
      <c r="P408" s="512"/>
      <c r="Q408" s="510">
        <f t="shared" si="83"/>
        <v>0</v>
      </c>
    </row>
    <row r="409" spans="1:41" ht="36">
      <c r="A409" s="489"/>
      <c r="B409" s="496" t="s">
        <v>922</v>
      </c>
      <c r="C409" s="497" t="s">
        <v>923</v>
      </c>
      <c r="D409" s="498" t="s">
        <v>924</v>
      </c>
      <c r="E409" s="499" t="s">
        <v>10</v>
      </c>
      <c r="F409" s="496" t="s">
        <v>925</v>
      </c>
      <c r="G409" s="500" t="s">
        <v>935</v>
      </c>
      <c r="H409" s="501" t="s">
        <v>927</v>
      </c>
      <c r="I409" s="550"/>
      <c r="J409" s="512"/>
      <c r="K409" s="512"/>
      <c r="L409" s="512"/>
      <c r="M409" s="512"/>
      <c r="N409" s="512"/>
      <c r="O409" s="512"/>
      <c r="P409" s="512"/>
      <c r="Q409" s="510">
        <f t="shared" si="83"/>
        <v>0</v>
      </c>
    </row>
    <row r="410" spans="1:41" ht="15.75" customHeight="1">
      <c r="A410" s="534" t="s">
        <v>894</v>
      </c>
      <c r="B410" s="505">
        <f>('Pivot Table for Data Exchange'!$P$6)*100</f>
        <v>86.917726605148673</v>
      </c>
      <c r="C410" s="505">
        <f>('Pivot Table for Data Exchange'!$P$9)*100</f>
        <v>6.2626430570565574</v>
      </c>
      <c r="D410" s="506">
        <f>SUM(E410:G410)</f>
        <v>6.8196303377947745</v>
      </c>
      <c r="E410" s="505">
        <f>('Pivot Table for Data Exchange'!$P$12)*100</f>
        <v>6.8196303377947745</v>
      </c>
      <c r="F410" s="505">
        <f>('Pivot Table for Data Exchange'!$P$15)*100</f>
        <v>0</v>
      </c>
      <c r="G410" s="509">
        <f>('Pivot Table for Data Exchange'!$P$18)*100</f>
        <v>0</v>
      </c>
      <c r="H410" s="505">
        <f>('Pivot Table for Data Exchange'!$P$21)*100</f>
        <v>0</v>
      </c>
      <c r="I410" s="512"/>
      <c r="J410" s="552"/>
      <c r="K410" s="552"/>
      <c r="L410" s="552"/>
      <c r="M410" s="552"/>
      <c r="N410" s="552"/>
      <c r="O410" s="552"/>
      <c r="P410" s="552"/>
      <c r="Q410" s="510">
        <f t="shared" si="83"/>
        <v>100.00000000000001</v>
      </c>
      <c r="R410" s="510"/>
      <c r="S410" s="511"/>
      <c r="T410" s="511"/>
      <c r="U410" s="511"/>
      <c r="V410" s="511"/>
      <c r="W410" s="511"/>
      <c r="X410" s="511"/>
      <c r="Y410" s="511"/>
      <c r="Z410" s="511"/>
      <c r="AA410" s="511"/>
      <c r="AB410" s="511"/>
      <c r="AC410" s="511"/>
      <c r="AD410" s="511"/>
      <c r="AE410" s="511"/>
      <c r="AF410" s="511"/>
      <c r="AG410" s="511"/>
      <c r="AH410" s="511"/>
      <c r="AI410" s="511"/>
      <c r="AJ410" s="511"/>
      <c r="AK410" s="511"/>
      <c r="AL410" s="511"/>
      <c r="AM410" s="511"/>
      <c r="AN410" s="511"/>
      <c r="AO410" s="511"/>
    </row>
    <row r="411" spans="1:41" ht="15.75" customHeight="1">
      <c r="A411" s="512" t="s">
        <v>895</v>
      </c>
      <c r="B411" s="505">
        <f>('Pivot Table for Data Exchange'!$P$42)*100</f>
        <v>0</v>
      </c>
      <c r="C411" s="505">
        <f>('Pivot Table for Data Exchange'!$P$45)*100</f>
        <v>0</v>
      </c>
      <c r="D411" s="506">
        <f t="shared" ref="D411:D413" si="85">SUM(E411:G411)</f>
        <v>0</v>
      </c>
      <c r="E411" s="505">
        <f>('Pivot Table for Data Exchange'!$P$48)*100</f>
        <v>0</v>
      </c>
      <c r="F411" s="505">
        <f>('Pivot Table for Data Exchange'!$P$51)*100</f>
        <v>0</v>
      </c>
      <c r="G411" s="515">
        <f>('Pivot Table for Data Exchange'!$P$54)*100</f>
        <v>0</v>
      </c>
      <c r="H411" s="505">
        <f>('Pivot Table for Data Exchange'!$P$57)*100</f>
        <v>0</v>
      </c>
      <c r="I411" s="512"/>
      <c r="J411" s="552"/>
      <c r="K411" s="552"/>
      <c r="L411" s="552"/>
      <c r="M411" s="552"/>
      <c r="N411" s="552"/>
      <c r="O411" s="552"/>
      <c r="P411" s="552"/>
      <c r="Q411" s="510">
        <f t="shared" si="83"/>
        <v>0</v>
      </c>
      <c r="R411" s="510"/>
      <c r="S411" s="511"/>
      <c r="T411" s="511"/>
      <c r="U411" s="511"/>
      <c r="V411" s="511"/>
      <c r="W411" s="511"/>
      <c r="X411" s="511"/>
      <c r="Y411" s="511"/>
      <c r="Z411" s="511"/>
      <c r="AA411" s="511"/>
      <c r="AB411" s="511"/>
      <c r="AC411" s="511"/>
      <c r="AD411" s="511"/>
      <c r="AE411" s="511"/>
      <c r="AF411" s="511"/>
      <c r="AG411" s="511"/>
      <c r="AH411" s="511"/>
      <c r="AI411" s="511"/>
      <c r="AJ411" s="511"/>
      <c r="AK411" s="511"/>
      <c r="AL411" s="511"/>
      <c r="AM411" s="511"/>
      <c r="AN411" s="511"/>
      <c r="AO411" s="511"/>
    </row>
    <row r="412" spans="1:41" ht="15.75" customHeight="1">
      <c r="A412" s="512" t="s">
        <v>896</v>
      </c>
      <c r="B412" s="505">
        <f>('Pivot Table for Data Exchange'!$P$78)*100</f>
        <v>0</v>
      </c>
      <c r="C412" s="505">
        <f>('Pivot Table for Data Exchange'!$P$81)*100</f>
        <v>0</v>
      </c>
      <c r="D412" s="506">
        <f t="shared" si="85"/>
        <v>0</v>
      </c>
      <c r="E412" s="505">
        <f>('Pivot Table for Data Exchange'!$P$84)*100</f>
        <v>0</v>
      </c>
      <c r="F412" s="505">
        <f>('Pivot Table for Data Exchange'!$P$87)*100</f>
        <v>0</v>
      </c>
      <c r="G412" s="515">
        <f>('Pivot Table for Data Exchange'!$P$90)*100</f>
        <v>0</v>
      </c>
      <c r="H412" s="505">
        <f>('Pivot Table for Data Exchange'!$P$93)*100</f>
        <v>0</v>
      </c>
      <c r="I412" s="512"/>
      <c r="J412" s="552"/>
      <c r="K412" s="552"/>
      <c r="L412" s="552"/>
      <c r="M412" s="552"/>
      <c r="N412" s="552"/>
      <c r="O412" s="552"/>
      <c r="P412" s="552"/>
      <c r="Q412" s="510">
        <f t="shared" si="83"/>
        <v>0</v>
      </c>
      <c r="R412" s="510"/>
      <c r="S412" s="511"/>
      <c r="T412" s="535"/>
      <c r="U412" s="511"/>
      <c r="V412" s="511"/>
      <c r="W412" s="511"/>
      <c r="X412" s="511"/>
      <c r="Y412" s="511"/>
      <c r="Z412" s="511"/>
      <c r="AA412" s="511"/>
      <c r="AB412" s="511"/>
      <c r="AC412" s="511"/>
      <c r="AD412" s="511"/>
      <c r="AE412" s="511"/>
      <c r="AF412" s="511"/>
      <c r="AG412" s="511"/>
      <c r="AH412" s="511"/>
      <c r="AI412" s="511"/>
      <c r="AJ412" s="511"/>
      <c r="AK412" s="511"/>
      <c r="AL412" s="511"/>
      <c r="AM412" s="511"/>
      <c r="AN412" s="511"/>
      <c r="AO412" s="511"/>
    </row>
    <row r="413" spans="1:41" ht="15.75" customHeight="1">
      <c r="A413" s="512" t="s">
        <v>897</v>
      </c>
      <c r="B413" s="505">
        <f>('Pivot Table for Data Exchange'!$P$114)*100</f>
        <v>0</v>
      </c>
      <c r="C413" s="505">
        <f>('Pivot Table for Data Exchange'!$P$117)*100</f>
        <v>0</v>
      </c>
      <c r="D413" s="506">
        <f t="shared" si="85"/>
        <v>0</v>
      </c>
      <c r="E413" s="505">
        <f>('Pivot Table for Data Exchange'!$P$120)*100</f>
        <v>0</v>
      </c>
      <c r="F413" s="505">
        <f>('Pivot Table for Data Exchange'!$P$123)*100</f>
        <v>0</v>
      </c>
      <c r="G413" s="515">
        <f>('Pivot Table for Data Exchange'!$P$126)*100</f>
        <v>0</v>
      </c>
      <c r="H413" s="505">
        <f>('Pivot Table for Data Exchange'!$P$129)*100</f>
        <v>0</v>
      </c>
      <c r="I413" s="512"/>
      <c r="J413" s="552"/>
      <c r="K413" s="552"/>
      <c r="L413" s="552"/>
      <c r="M413" s="552"/>
      <c r="N413" s="552"/>
      <c r="O413" s="552"/>
      <c r="P413" s="552"/>
      <c r="Q413" s="510">
        <f t="shared" si="83"/>
        <v>0</v>
      </c>
      <c r="R413" s="510"/>
      <c r="S413" s="511"/>
      <c r="U413" s="511"/>
      <c r="V413" s="511"/>
      <c r="W413" s="511"/>
      <c r="X413" s="511"/>
      <c r="Y413" s="511"/>
      <c r="Z413" s="511"/>
      <c r="AA413" s="511"/>
      <c r="AB413" s="511"/>
      <c r="AC413" s="511"/>
      <c r="AD413" s="511"/>
      <c r="AE413" s="511"/>
      <c r="AF413" s="511"/>
      <c r="AG413" s="511"/>
      <c r="AH413" s="511"/>
      <c r="AI413" s="511"/>
      <c r="AJ413" s="511"/>
      <c r="AK413" s="511"/>
      <c r="AL413" s="511"/>
      <c r="AM413" s="511"/>
      <c r="AN413" s="511"/>
      <c r="AO413" s="511"/>
    </row>
    <row r="414" spans="1:41" ht="15.75" customHeight="1">
      <c r="A414" s="512"/>
      <c r="B414" s="505"/>
      <c r="C414" s="505"/>
      <c r="D414" s="506"/>
      <c r="E414" s="505"/>
      <c r="F414" s="505"/>
      <c r="G414" s="515"/>
      <c r="H414" s="505"/>
      <c r="I414" s="512"/>
      <c r="J414" s="552"/>
      <c r="K414" s="552"/>
      <c r="L414" s="552"/>
      <c r="M414" s="552"/>
      <c r="N414" s="552"/>
      <c r="O414" s="552"/>
      <c r="P414" s="552"/>
      <c r="Q414" s="510">
        <f t="shared" si="83"/>
        <v>0</v>
      </c>
      <c r="R414" s="510"/>
      <c r="S414" s="511"/>
      <c r="U414" s="511"/>
      <c r="V414" s="511"/>
      <c r="W414" s="511"/>
      <c r="X414" s="511"/>
      <c r="Y414" s="511"/>
      <c r="Z414" s="511"/>
      <c r="AA414" s="511"/>
      <c r="AB414" s="511"/>
      <c r="AC414" s="511"/>
      <c r="AD414" s="511"/>
      <c r="AE414" s="511"/>
      <c r="AF414" s="511"/>
      <c r="AG414" s="511"/>
      <c r="AH414" s="511"/>
      <c r="AI414" s="511"/>
      <c r="AJ414" s="511"/>
      <c r="AK414" s="511"/>
      <c r="AL414" s="511"/>
      <c r="AM414" s="511"/>
      <c r="AN414" s="511"/>
      <c r="AO414" s="511"/>
    </row>
    <row r="415" spans="1:41" ht="15.75" customHeight="1">
      <c r="A415" s="512" t="s">
        <v>898</v>
      </c>
      <c r="B415" s="505">
        <f>('Pivot Table for Data Exchange'!$P$150)*100</f>
        <v>67.398714291569135</v>
      </c>
      <c r="C415" s="505">
        <f>('Pivot Table for Data Exchange'!$P$153)*100</f>
        <v>0</v>
      </c>
      <c r="D415" s="506">
        <f t="shared" ref="D415:D418" si="86">SUM(E415:G415)</f>
        <v>32.601285708430879</v>
      </c>
      <c r="E415" s="505">
        <f>('Pivot Table for Data Exchange'!$P$156)*100</f>
        <v>32.060792410774908</v>
      </c>
      <c r="F415" s="505">
        <f>('Pivot Table for Data Exchange'!$P$159)*100</f>
        <v>0.54049329765596954</v>
      </c>
      <c r="G415" s="515">
        <f>('Pivot Table for Data Exchange'!$P$162)*100</f>
        <v>0</v>
      </c>
      <c r="H415" s="505">
        <f>('Pivot Table for Data Exchange'!$P$165)*100</f>
        <v>0</v>
      </c>
      <c r="I415" s="512"/>
      <c r="J415" s="552"/>
      <c r="K415" s="552"/>
      <c r="L415" s="552"/>
      <c r="M415" s="552"/>
      <c r="N415" s="552"/>
      <c r="O415" s="552"/>
      <c r="P415" s="552"/>
      <c r="Q415" s="510">
        <f t="shared" si="83"/>
        <v>100.00000000000001</v>
      </c>
      <c r="R415" s="510"/>
      <c r="S415" s="511"/>
      <c r="T415" s="511"/>
      <c r="U415" s="511"/>
      <c r="V415" s="511"/>
      <c r="W415" s="511"/>
      <c r="X415" s="511"/>
      <c r="Y415" s="511"/>
      <c r="Z415" s="511"/>
      <c r="AA415" s="511"/>
      <c r="AB415" s="511"/>
      <c r="AC415" s="511"/>
      <c r="AD415" s="511"/>
      <c r="AE415" s="511"/>
      <c r="AF415" s="511"/>
      <c r="AG415" s="511"/>
      <c r="AH415" s="511"/>
      <c r="AI415" s="511"/>
      <c r="AJ415" s="511"/>
      <c r="AK415" s="511"/>
      <c r="AL415" s="511"/>
      <c r="AM415" s="511"/>
      <c r="AN415" s="511"/>
      <c r="AO415" s="511"/>
    </row>
    <row r="416" spans="1:41" ht="15.75" customHeight="1">
      <c r="A416" s="512" t="s">
        <v>899</v>
      </c>
      <c r="B416" s="505">
        <f>('Pivot Table for Data Exchange'!$P$186)*100</f>
        <v>58.91504522346311</v>
      </c>
      <c r="C416" s="505">
        <f>('Pivot Table for Data Exchange'!$P$189)*100</f>
        <v>15.272531765314387</v>
      </c>
      <c r="D416" s="506">
        <f t="shared" si="86"/>
        <v>25.812423011222496</v>
      </c>
      <c r="E416" s="505">
        <f>('Pivot Table for Data Exchange'!$P$192)*100</f>
        <v>25.812423011222496</v>
      </c>
      <c r="F416" s="505">
        <f>('Pivot Table for Data Exchange'!$P$195)*100</f>
        <v>0</v>
      </c>
      <c r="G416" s="515">
        <f>('Pivot Table for Data Exchange'!$P$198)*100</f>
        <v>0</v>
      </c>
      <c r="H416" s="505">
        <f>('Pivot Table for Data Exchange'!$P$201)*100</f>
        <v>0</v>
      </c>
      <c r="I416" s="512"/>
      <c r="J416" s="552"/>
      <c r="K416" s="552"/>
      <c r="L416" s="552"/>
      <c r="M416" s="552"/>
      <c r="N416" s="552"/>
      <c r="O416" s="552"/>
      <c r="P416" s="552"/>
      <c r="Q416" s="510">
        <f t="shared" si="83"/>
        <v>99.999999999999986</v>
      </c>
      <c r="R416" s="510"/>
      <c r="S416" s="511"/>
      <c r="T416" s="511"/>
      <c r="U416" s="511"/>
      <c r="V416" s="511"/>
      <c r="W416" s="511"/>
      <c r="X416" s="511"/>
      <c r="Y416" s="511"/>
      <c r="Z416" s="511"/>
      <c r="AA416" s="511"/>
      <c r="AB416" s="511"/>
      <c r="AC416" s="511"/>
      <c r="AD416" s="511"/>
      <c r="AE416" s="511"/>
      <c r="AF416" s="511"/>
      <c r="AG416" s="511"/>
      <c r="AH416" s="511"/>
      <c r="AI416" s="511"/>
      <c r="AJ416" s="511"/>
      <c r="AK416" s="511"/>
      <c r="AL416" s="511"/>
      <c r="AM416" s="511"/>
      <c r="AN416" s="511"/>
      <c r="AO416" s="511"/>
    </row>
    <row r="417" spans="1:41" ht="15.75" customHeight="1">
      <c r="A417" s="512" t="s">
        <v>900</v>
      </c>
      <c r="B417" s="505">
        <f>('Pivot Table for Data Exchange'!$P$222)*100</f>
        <v>92.347929542899536</v>
      </c>
      <c r="C417" s="505">
        <f>('Pivot Table for Data Exchange'!$P$225)*100</f>
        <v>0</v>
      </c>
      <c r="D417" s="506">
        <f t="shared" si="86"/>
        <v>7.6520704571004643</v>
      </c>
      <c r="E417" s="505">
        <f>('Pivot Table for Data Exchange'!$P$228)*100</f>
        <v>7.6520704571004643</v>
      </c>
      <c r="F417" s="505">
        <f>('Pivot Table for Data Exchange'!$P$231)*100</f>
        <v>0</v>
      </c>
      <c r="G417" s="515">
        <f>('Pivot Table for Data Exchange'!$P$234)*100</f>
        <v>0</v>
      </c>
      <c r="H417" s="505">
        <f>('Pivot Table for Data Exchange'!$P$237)*100</f>
        <v>0</v>
      </c>
      <c r="I417" s="559"/>
      <c r="J417" s="552"/>
      <c r="K417" s="552"/>
      <c r="L417" s="552"/>
      <c r="M417" s="552"/>
      <c r="N417" s="552"/>
      <c r="O417" s="552"/>
      <c r="P417" s="552"/>
      <c r="Q417" s="510">
        <f>SUM(I417,C417,D417,H417)</f>
        <v>7.6520704571004643</v>
      </c>
      <c r="R417" s="510"/>
      <c r="S417" s="511"/>
      <c r="T417" s="535"/>
      <c r="U417" s="511"/>
      <c r="V417" s="511"/>
      <c r="W417" s="511"/>
      <c r="X417" s="511"/>
      <c r="Y417" s="511"/>
      <c r="Z417" s="511"/>
      <c r="AA417" s="511"/>
      <c r="AB417" s="511"/>
      <c r="AC417" s="511"/>
      <c r="AD417" s="511"/>
      <c r="AE417" s="511"/>
      <c r="AF417" s="511"/>
      <c r="AG417" s="511"/>
      <c r="AH417" s="511"/>
      <c r="AI417" s="511"/>
      <c r="AJ417" s="511"/>
      <c r="AK417" s="511"/>
      <c r="AL417" s="511"/>
      <c r="AM417" s="511"/>
      <c r="AN417" s="511"/>
      <c r="AO417" s="511"/>
    </row>
    <row r="418" spans="1:41" ht="15.75" customHeight="1">
      <c r="A418" s="512" t="s">
        <v>901</v>
      </c>
      <c r="B418" s="505">
        <f>('Pivot Table for Data Exchange'!$P$258)*100</f>
        <v>0</v>
      </c>
      <c r="C418" s="505">
        <f>('Pivot Table for Data Exchange'!$P$261)*100</f>
        <v>0</v>
      </c>
      <c r="D418" s="506">
        <f t="shared" si="86"/>
        <v>0</v>
      </c>
      <c r="E418" s="505">
        <f>('Pivot Table for Data Exchange'!$P$264)*100</f>
        <v>0</v>
      </c>
      <c r="F418" s="505">
        <f>('Pivot Table for Data Exchange'!$P$267)*100</f>
        <v>0</v>
      </c>
      <c r="G418" s="515">
        <f>('Pivot Table for Data Exchange'!$P$270)*100</f>
        <v>0</v>
      </c>
      <c r="H418" s="505">
        <f>('Pivot Table for Data Exchange'!$P$273)*100</f>
        <v>0</v>
      </c>
      <c r="I418" s="512"/>
      <c r="J418" s="552"/>
      <c r="K418" s="552"/>
      <c r="L418" s="552"/>
      <c r="M418" s="552"/>
      <c r="N418" s="552"/>
      <c r="O418" s="552"/>
      <c r="P418" s="552"/>
      <c r="Q418" s="510">
        <f t="shared" si="83"/>
        <v>0</v>
      </c>
      <c r="R418" s="510"/>
      <c r="S418" s="511"/>
      <c r="U418" s="511"/>
      <c r="V418" s="511"/>
      <c r="W418" s="511"/>
      <c r="X418" s="511"/>
      <c r="Y418" s="511"/>
      <c r="Z418" s="511"/>
      <c r="AA418" s="511"/>
      <c r="AB418" s="511"/>
      <c r="AC418" s="511"/>
      <c r="AD418" s="511"/>
      <c r="AE418" s="511"/>
      <c r="AF418" s="511"/>
      <c r="AG418" s="511"/>
      <c r="AH418" s="511"/>
      <c r="AI418" s="511"/>
      <c r="AJ418" s="511"/>
      <c r="AK418" s="511"/>
      <c r="AL418" s="511"/>
      <c r="AM418" s="511"/>
      <c r="AN418" s="511"/>
      <c r="AO418" s="511"/>
    </row>
    <row r="419" spans="1:41" ht="15.75" customHeight="1">
      <c r="A419" s="512"/>
      <c r="B419" s="505"/>
      <c r="C419" s="505"/>
      <c r="D419" s="506"/>
      <c r="E419" s="505"/>
      <c r="F419" s="505"/>
      <c r="G419" s="515"/>
      <c r="H419" s="505"/>
      <c r="I419" s="512"/>
      <c r="J419" s="552"/>
      <c r="K419" s="552"/>
      <c r="L419" s="552"/>
      <c r="M419" s="552"/>
      <c r="N419" s="552"/>
      <c r="O419" s="552"/>
      <c r="P419" s="552"/>
      <c r="Q419" s="510">
        <f t="shared" si="83"/>
        <v>0</v>
      </c>
      <c r="R419" s="510"/>
      <c r="S419" s="511"/>
      <c r="U419" s="511"/>
      <c r="V419" s="511"/>
      <c r="W419" s="511"/>
      <c r="X419" s="511"/>
      <c r="Y419" s="511"/>
      <c r="Z419" s="511"/>
      <c r="AA419" s="511"/>
      <c r="AB419" s="511"/>
      <c r="AC419" s="511"/>
      <c r="AD419" s="511"/>
      <c r="AE419" s="511"/>
      <c r="AF419" s="511"/>
      <c r="AG419" s="511"/>
      <c r="AH419" s="511"/>
      <c r="AI419" s="511"/>
      <c r="AJ419" s="511"/>
      <c r="AK419" s="511"/>
      <c r="AL419" s="511"/>
      <c r="AM419" s="511"/>
      <c r="AN419" s="511"/>
      <c r="AO419" s="511"/>
    </row>
    <row r="420" spans="1:41" ht="15.75" customHeight="1">
      <c r="A420" s="512" t="s">
        <v>902</v>
      </c>
      <c r="B420" s="505">
        <f>('Pivot Table for Data Exchange'!$P$294)*100</f>
        <v>0</v>
      </c>
      <c r="C420" s="505">
        <f>('Pivot Table for Data Exchange'!$P$297)*100</f>
        <v>0</v>
      </c>
      <c r="D420" s="506">
        <f t="shared" ref="D420:D422" si="87">SUM(E420:G420)</f>
        <v>0</v>
      </c>
      <c r="E420" s="505">
        <f>('Pivot Table for Data Exchange'!$P$300)*100</f>
        <v>0</v>
      </c>
      <c r="F420" s="505">
        <f>('Pivot Table for Data Exchange'!$P$303)*100</f>
        <v>0</v>
      </c>
      <c r="G420" s="515">
        <f>('Pivot Table for Data Exchange'!$P$306)*100</f>
        <v>0</v>
      </c>
      <c r="H420" s="505">
        <f>('Pivot Table for Data Exchange'!$P$309)*100</f>
        <v>0</v>
      </c>
      <c r="I420" s="512"/>
      <c r="J420" s="552"/>
      <c r="K420" s="552"/>
      <c r="L420" s="552"/>
      <c r="M420" s="552"/>
      <c r="N420" s="552"/>
      <c r="O420" s="552"/>
      <c r="P420" s="552"/>
      <c r="Q420" s="510">
        <f t="shared" si="83"/>
        <v>0</v>
      </c>
      <c r="R420" s="510"/>
      <c r="S420" s="511"/>
      <c r="T420" s="511"/>
      <c r="U420" s="511"/>
      <c r="V420" s="511"/>
      <c r="W420" s="511"/>
      <c r="X420" s="511"/>
      <c r="Y420" s="511"/>
      <c r="Z420" s="511"/>
      <c r="AA420" s="511"/>
      <c r="AB420" s="511"/>
      <c r="AC420" s="511"/>
      <c r="AD420" s="511"/>
      <c r="AE420" s="511"/>
      <c r="AF420" s="511"/>
      <c r="AG420" s="511"/>
      <c r="AH420" s="511"/>
      <c r="AI420" s="511"/>
      <c r="AJ420" s="511"/>
      <c r="AK420" s="511"/>
      <c r="AL420" s="511"/>
      <c r="AM420" s="511"/>
      <c r="AN420" s="511"/>
      <c r="AO420" s="511"/>
    </row>
    <row r="421" spans="1:41" ht="15.75" customHeight="1">
      <c r="A421" s="512" t="s">
        <v>903</v>
      </c>
      <c r="B421" s="505">
        <f>('Pivot Table for Data Exchange'!$P$330)*100</f>
        <v>0</v>
      </c>
      <c r="C421" s="505">
        <f>('Pivot Table for Data Exchange'!$P$333)*100</f>
        <v>0</v>
      </c>
      <c r="D421" s="506">
        <f t="shared" si="87"/>
        <v>0</v>
      </c>
      <c r="E421" s="505">
        <f>('Pivot Table for Data Exchange'!$P$336)*100</f>
        <v>0</v>
      </c>
      <c r="F421" s="505">
        <f>('Pivot Table for Data Exchange'!$P$339)*100</f>
        <v>0</v>
      </c>
      <c r="G421" s="515">
        <f>('Pivot Table for Data Exchange'!$P$342)*100</f>
        <v>0</v>
      </c>
      <c r="H421" s="505">
        <f>('Pivot Table for Data Exchange'!$P$345)*100</f>
        <v>0</v>
      </c>
      <c r="I421" s="512"/>
      <c r="J421" s="552"/>
      <c r="K421" s="552"/>
      <c r="L421" s="552"/>
      <c r="M421" s="552"/>
      <c r="N421" s="552"/>
      <c r="O421" s="552"/>
      <c r="P421" s="552"/>
      <c r="Q421" s="510">
        <f t="shared" si="83"/>
        <v>0</v>
      </c>
      <c r="R421" s="510"/>
      <c r="S421" s="511"/>
      <c r="T421" s="511"/>
      <c r="U421" s="511"/>
      <c r="V421" s="511"/>
      <c r="W421" s="511"/>
      <c r="X421" s="511"/>
      <c r="Y421" s="511"/>
      <c r="Z421" s="511"/>
      <c r="AA421" s="511"/>
      <c r="AB421" s="511"/>
      <c r="AC421" s="511"/>
      <c r="AD421" s="511"/>
      <c r="AE421" s="511"/>
      <c r="AF421" s="511"/>
      <c r="AG421" s="511"/>
      <c r="AH421" s="511"/>
      <c r="AI421" s="511"/>
      <c r="AJ421" s="511"/>
      <c r="AK421" s="511"/>
      <c r="AL421" s="511"/>
      <c r="AM421" s="511"/>
      <c r="AN421" s="511"/>
      <c r="AO421" s="511"/>
    </row>
    <row r="422" spans="1:41" ht="15.75" customHeight="1">
      <c r="A422" s="512" t="s">
        <v>904</v>
      </c>
      <c r="B422" s="505">
        <f>('Pivot Table for Data Exchange'!$P$366)*100</f>
        <v>0</v>
      </c>
      <c r="C422" s="505">
        <f>('Pivot Table for Data Exchange'!$P$369)*100</f>
        <v>0</v>
      </c>
      <c r="D422" s="506">
        <f t="shared" si="87"/>
        <v>0</v>
      </c>
      <c r="E422" s="505">
        <f>('Pivot Table for Data Exchange'!$P$372)*100</f>
        <v>0</v>
      </c>
      <c r="F422" s="505">
        <f>('Pivot Table for Data Exchange'!$P$375)*100</f>
        <v>0</v>
      </c>
      <c r="G422" s="515">
        <f>('Pivot Table for Data Exchange'!$P$378)*100</f>
        <v>0</v>
      </c>
      <c r="H422" s="505">
        <f>('Pivot Table for Data Exchange'!$P$381)*100</f>
        <v>0</v>
      </c>
      <c r="I422" s="512"/>
      <c r="J422" s="552"/>
      <c r="K422" s="552"/>
      <c r="L422" s="552"/>
      <c r="M422" s="552"/>
      <c r="N422" s="552"/>
      <c r="O422" s="552"/>
      <c r="P422" s="552"/>
      <c r="Q422" s="510">
        <f t="shared" si="83"/>
        <v>0</v>
      </c>
      <c r="R422" s="510"/>
      <c r="S422" s="511"/>
      <c r="T422" s="535"/>
      <c r="U422" s="511"/>
      <c r="V422" s="511"/>
      <c r="W422" s="511"/>
      <c r="X422" s="511"/>
      <c r="Y422" s="511"/>
      <c r="Z422" s="511"/>
      <c r="AA422" s="511"/>
      <c r="AB422" s="511"/>
      <c r="AC422" s="511"/>
      <c r="AD422" s="511"/>
      <c r="AE422" s="511"/>
      <c r="AF422" s="511"/>
      <c r="AG422" s="511"/>
      <c r="AH422" s="511"/>
      <c r="AI422" s="511"/>
      <c r="AJ422" s="511"/>
      <c r="AK422" s="511"/>
      <c r="AL422" s="511"/>
      <c r="AM422" s="511"/>
      <c r="AN422" s="511"/>
      <c r="AO422" s="511"/>
    </row>
    <row r="423" spans="1:41" ht="15.75" customHeight="1">
      <c r="A423" s="512" t="s">
        <v>905</v>
      </c>
      <c r="B423" s="505">
        <f>('Pivot Table for Data Exchange'!$P$402)*100</f>
        <v>0</v>
      </c>
      <c r="C423" s="505">
        <f>('Pivot Table for Data Exchange'!$P$405)*100</f>
        <v>0</v>
      </c>
      <c r="D423" s="506">
        <f>SUM(E423:G423)</f>
        <v>0</v>
      </c>
      <c r="E423" s="505">
        <f>('Pivot Table for Data Exchange'!$P$408)*100</f>
        <v>0</v>
      </c>
      <c r="F423" s="505">
        <f>('Pivot Table for Data Exchange'!$P$411)*100</f>
        <v>0</v>
      </c>
      <c r="G423" s="515">
        <f>('Pivot Table for Data Exchange'!$P$414)*100</f>
        <v>0</v>
      </c>
      <c r="H423" s="505">
        <f>('Pivot Table for Data Exchange'!$P$417)*100</f>
        <v>0</v>
      </c>
      <c r="I423" s="512"/>
      <c r="J423" s="552"/>
      <c r="K423" s="552"/>
      <c r="L423" s="552"/>
      <c r="M423" s="552"/>
      <c r="N423" s="552"/>
      <c r="O423" s="552"/>
      <c r="P423" s="552"/>
      <c r="Q423" s="510">
        <f t="shared" si="83"/>
        <v>0</v>
      </c>
      <c r="R423" s="510"/>
      <c r="S423" s="511"/>
      <c r="T423" s="511"/>
      <c r="U423" s="511"/>
      <c r="V423" s="511"/>
      <c r="W423" s="511"/>
      <c r="X423" s="511"/>
      <c r="Y423" s="511"/>
      <c r="Z423" s="511"/>
      <c r="AA423" s="511"/>
      <c r="AB423" s="511"/>
      <c r="AC423" s="511"/>
      <c r="AD423" s="511"/>
      <c r="AE423" s="511"/>
      <c r="AF423" s="511"/>
      <c r="AG423" s="511"/>
      <c r="AH423" s="511"/>
      <c r="AI423" s="511"/>
      <c r="AJ423" s="511"/>
      <c r="AK423" s="511"/>
      <c r="AL423" s="511"/>
      <c r="AM423" s="511"/>
      <c r="AN423" s="511"/>
      <c r="AO423" s="511"/>
    </row>
    <row r="424" spans="1:41" ht="15.75" customHeight="1">
      <c r="A424" s="512"/>
      <c r="B424" s="505"/>
      <c r="C424" s="505"/>
      <c r="D424" s="506"/>
      <c r="E424" s="505"/>
      <c r="F424" s="505"/>
      <c r="G424" s="515"/>
      <c r="H424" s="505"/>
      <c r="I424" s="512"/>
      <c r="J424" s="552"/>
      <c r="K424" s="552"/>
      <c r="L424" s="552"/>
      <c r="M424" s="552"/>
      <c r="N424" s="552"/>
      <c r="O424" s="552"/>
      <c r="P424" s="552"/>
      <c r="Q424" s="510">
        <f t="shared" si="83"/>
        <v>0</v>
      </c>
      <c r="R424" s="510"/>
      <c r="S424" s="511"/>
      <c r="T424" s="511"/>
      <c r="U424" s="511"/>
      <c r="V424" s="511"/>
      <c r="W424" s="511"/>
      <c r="X424" s="511"/>
      <c r="Y424" s="511"/>
      <c r="Z424" s="511"/>
      <c r="AA424" s="511"/>
      <c r="AB424" s="511"/>
      <c r="AC424" s="511"/>
      <c r="AD424" s="511"/>
      <c r="AE424" s="511"/>
      <c r="AF424" s="511"/>
      <c r="AG424" s="511"/>
      <c r="AH424" s="511"/>
      <c r="AI424" s="511"/>
      <c r="AJ424" s="511"/>
      <c r="AK424" s="511"/>
      <c r="AL424" s="511"/>
      <c r="AM424" s="511"/>
      <c r="AN424" s="511"/>
      <c r="AO424" s="511"/>
    </row>
    <row r="425" spans="1:41" ht="15.75" customHeight="1">
      <c r="A425" s="512" t="s">
        <v>906</v>
      </c>
      <c r="B425" s="505">
        <f>('Pivot Table for Data Exchange'!$P$438)*100</f>
        <v>0</v>
      </c>
      <c r="C425" s="505">
        <f>('Pivot Table for Data Exchange'!$P$441)*100</f>
        <v>0</v>
      </c>
      <c r="D425" s="506">
        <f>SUM(E425:G425)</f>
        <v>0</v>
      </c>
      <c r="E425" s="505">
        <f>('Pivot Table for Data Exchange'!$P$444)*100</f>
        <v>0</v>
      </c>
      <c r="F425" s="505">
        <f>('Pivot Table for Data Exchange'!$P$447)*100</f>
        <v>0</v>
      </c>
      <c r="G425" s="515">
        <f>('Pivot Table for Data Exchange'!$P$450)*100</f>
        <v>0</v>
      </c>
      <c r="H425" s="505">
        <f>('Pivot Table for Data Exchange'!$P$453)*100</f>
        <v>0</v>
      </c>
      <c r="I425" s="512"/>
      <c r="J425" s="552"/>
      <c r="K425" s="552"/>
      <c r="L425" s="552"/>
      <c r="M425" s="552"/>
      <c r="N425" s="552"/>
      <c r="O425" s="552"/>
      <c r="P425" s="552"/>
      <c r="Q425" s="510">
        <f t="shared" si="83"/>
        <v>0</v>
      </c>
      <c r="R425" s="510"/>
      <c r="S425" s="511"/>
      <c r="T425" s="511"/>
      <c r="U425" s="511"/>
      <c r="V425" s="511"/>
      <c r="W425" s="511"/>
      <c r="X425" s="511"/>
      <c r="Y425" s="511"/>
      <c r="Z425" s="511"/>
      <c r="AA425" s="511"/>
      <c r="AB425" s="511"/>
      <c r="AC425" s="511"/>
      <c r="AD425" s="511"/>
      <c r="AE425" s="511"/>
      <c r="AF425" s="511"/>
      <c r="AG425" s="511"/>
      <c r="AH425" s="511"/>
      <c r="AI425" s="511"/>
      <c r="AJ425" s="511"/>
      <c r="AK425" s="511"/>
      <c r="AL425" s="511"/>
      <c r="AM425" s="511"/>
      <c r="AN425" s="511"/>
      <c r="AO425" s="511"/>
    </row>
    <row r="426" spans="1:41" ht="15.75" customHeight="1">
      <c r="A426" s="512" t="s">
        <v>907</v>
      </c>
      <c r="B426" s="505">
        <f>('Pivot Table for Data Exchange'!$P$474)*100</f>
        <v>0</v>
      </c>
      <c r="C426" s="505">
        <f>('Pivot Table for Data Exchange'!$P$477)*100</f>
        <v>0</v>
      </c>
      <c r="D426" s="506">
        <f>SUM(E426:G426)</f>
        <v>0</v>
      </c>
      <c r="E426" s="505">
        <f>('Pivot Table for Data Exchange'!$P$480)*100</f>
        <v>0</v>
      </c>
      <c r="F426" s="505">
        <f>('Pivot Table for Data Exchange'!$P$483)*100</f>
        <v>0</v>
      </c>
      <c r="G426" s="515">
        <f>('Pivot Table for Data Exchange'!$P$486)*100</f>
        <v>0</v>
      </c>
      <c r="H426" s="505">
        <f>('Pivot Table for Data Exchange'!$P$489)*100</f>
        <v>0</v>
      </c>
      <c r="I426" s="512"/>
      <c r="J426" s="552"/>
      <c r="K426" s="552"/>
      <c r="L426" s="552"/>
      <c r="M426" s="552"/>
      <c r="N426" s="552"/>
      <c r="O426" s="552"/>
      <c r="P426" s="552"/>
      <c r="Q426" s="510">
        <f t="shared" si="83"/>
        <v>0</v>
      </c>
      <c r="R426" s="510"/>
      <c r="S426" s="511"/>
      <c r="T426" s="511"/>
      <c r="U426" s="511"/>
      <c r="V426" s="511"/>
      <c r="W426" s="511"/>
      <c r="X426" s="511"/>
      <c r="Y426" s="511"/>
      <c r="Z426" s="511"/>
      <c r="AA426" s="511"/>
      <c r="AB426" s="511"/>
      <c r="AC426" s="511"/>
      <c r="AD426" s="511"/>
      <c r="AE426" s="511"/>
      <c r="AF426" s="511"/>
      <c r="AG426" s="511"/>
      <c r="AH426" s="511"/>
      <c r="AI426" s="511"/>
      <c r="AJ426" s="511"/>
      <c r="AK426" s="511"/>
      <c r="AL426" s="511"/>
      <c r="AM426" s="511"/>
      <c r="AN426" s="511"/>
      <c r="AO426" s="511"/>
    </row>
    <row r="427" spans="1:41" ht="15.75" customHeight="1">
      <c r="A427" s="512" t="s">
        <v>908</v>
      </c>
      <c r="B427" s="505">
        <f>('Pivot Table for Data Exchange'!$P$510)*100</f>
        <v>0</v>
      </c>
      <c r="C427" s="505">
        <f>('Pivot Table for Data Exchange'!$P$513)*100</f>
        <v>0</v>
      </c>
      <c r="D427" s="506">
        <f t="shared" ref="D427" si="88">SUM(E427:G427)</f>
        <v>0</v>
      </c>
      <c r="E427" s="505">
        <f>('Pivot Table for Data Exchange'!$P$516)*100</f>
        <v>0</v>
      </c>
      <c r="F427" s="505">
        <f>('Pivot Table for Data Exchange'!$P$519)*100</f>
        <v>0</v>
      </c>
      <c r="G427" s="515">
        <f>('Pivot Table for Data Exchange'!$P$522)*100</f>
        <v>0</v>
      </c>
      <c r="H427" s="505">
        <f>('Pivot Table for Data Exchange'!$P$525)*100</f>
        <v>0</v>
      </c>
      <c r="I427" s="512"/>
      <c r="J427" s="552"/>
      <c r="K427" s="552"/>
      <c r="L427" s="552"/>
      <c r="M427" s="552"/>
      <c r="N427" s="552"/>
      <c r="O427" s="552"/>
      <c r="P427" s="552"/>
      <c r="Q427" s="510">
        <f t="shared" si="83"/>
        <v>0</v>
      </c>
      <c r="R427" s="510"/>
      <c r="S427" s="511"/>
      <c r="T427" s="511"/>
      <c r="U427" s="511"/>
      <c r="V427" s="511"/>
      <c r="W427" s="511"/>
      <c r="X427" s="511"/>
      <c r="Y427" s="511"/>
      <c r="Z427" s="511"/>
      <c r="AA427" s="511"/>
      <c r="AB427" s="511"/>
      <c r="AC427" s="511"/>
      <c r="AD427" s="511"/>
      <c r="AE427" s="511"/>
      <c r="AF427" s="511"/>
      <c r="AG427" s="511"/>
      <c r="AH427" s="511"/>
      <c r="AI427" s="511"/>
      <c r="AJ427" s="511"/>
      <c r="AK427" s="511"/>
      <c r="AL427" s="511"/>
      <c r="AM427" s="511"/>
      <c r="AN427" s="511"/>
      <c r="AO427" s="511"/>
    </row>
    <row r="428" spans="1:41" ht="15.75" customHeight="1">
      <c r="A428" s="484" t="s">
        <v>909</v>
      </c>
      <c r="B428" s="520">
        <f>('Pivot Table for Data Exchange'!$P$546)*100</f>
        <v>0</v>
      </c>
      <c r="C428" s="520">
        <f>('Pivot Table for Data Exchange'!$P$549)*100</f>
        <v>0</v>
      </c>
      <c r="D428" s="521">
        <f>SUM(E428:G428)</f>
        <v>0</v>
      </c>
      <c r="E428" s="520">
        <f>('Pivot Table for Data Exchange'!$P$552)*100</f>
        <v>0</v>
      </c>
      <c r="F428" s="520">
        <f>('Pivot Table for Data Exchange'!$P$555)*100</f>
        <v>0</v>
      </c>
      <c r="G428" s="522">
        <f>('Pivot Table for Data Exchange'!$P$558)*100</f>
        <v>0</v>
      </c>
      <c r="H428" s="520">
        <f>('Pivot Table for Data Exchange'!$P$561)*100</f>
        <v>0</v>
      </c>
      <c r="I428" s="512"/>
      <c r="J428" s="552"/>
      <c r="K428" s="552"/>
      <c r="L428" s="552"/>
      <c r="M428" s="552"/>
      <c r="N428" s="552"/>
      <c r="O428" s="552"/>
      <c r="P428" s="552"/>
      <c r="Q428" s="510">
        <f t="shared" si="83"/>
        <v>0</v>
      </c>
      <c r="R428" s="510"/>
      <c r="S428" s="511"/>
      <c r="T428" s="511"/>
      <c r="U428" s="511"/>
      <c r="V428" s="511"/>
      <c r="W428" s="511"/>
      <c r="X428" s="511"/>
      <c r="Y428" s="511"/>
      <c r="Z428" s="511"/>
      <c r="AA428" s="511"/>
      <c r="AB428" s="511"/>
      <c r="AC428" s="511"/>
      <c r="AD428" s="511"/>
      <c r="AE428" s="511"/>
      <c r="AF428" s="511"/>
      <c r="AG428" s="511"/>
      <c r="AH428" s="511"/>
      <c r="AI428" s="511"/>
      <c r="AJ428" s="511"/>
      <c r="AK428" s="511"/>
      <c r="AL428" s="511"/>
      <c r="AM428" s="511"/>
      <c r="AN428" s="511"/>
      <c r="AO428" s="511"/>
    </row>
    <row r="429" spans="1:41" s="524" customFormat="1" ht="12" customHeight="1">
      <c r="A429" s="525" t="s">
        <v>937</v>
      </c>
      <c r="B429" s="526"/>
      <c r="C429" s="526"/>
      <c r="D429" s="527"/>
      <c r="E429" s="526"/>
      <c r="F429" s="527"/>
      <c r="G429" s="527"/>
      <c r="H429" s="526"/>
      <c r="I429" s="546"/>
      <c r="J429" s="526"/>
      <c r="K429" s="526"/>
      <c r="L429" s="527"/>
      <c r="M429" s="526"/>
      <c r="N429" s="527"/>
      <c r="O429" s="527"/>
      <c r="P429" s="526"/>
      <c r="Q429" s="510">
        <f t="shared" si="83"/>
        <v>0</v>
      </c>
      <c r="R429" s="553"/>
      <c r="S429" s="528"/>
      <c r="T429" s="528"/>
      <c r="U429" s="528"/>
      <c r="V429" s="528"/>
      <c r="W429" s="528"/>
      <c r="X429" s="528"/>
      <c r="Y429" s="528"/>
      <c r="Z429" s="528"/>
      <c r="AA429" s="528"/>
      <c r="AB429" s="528"/>
      <c r="AC429" s="528"/>
      <c r="AD429" s="528"/>
      <c r="AE429" s="528"/>
      <c r="AF429" s="528"/>
      <c r="AG429" s="528"/>
      <c r="AH429" s="528"/>
      <c r="AI429" s="528"/>
      <c r="AJ429" s="528"/>
      <c r="AK429" s="528"/>
      <c r="AL429" s="528"/>
      <c r="AM429" s="528"/>
      <c r="AN429" s="528"/>
      <c r="AO429" s="528"/>
    </row>
    <row r="430" spans="1:41" s="524" customFormat="1" ht="13.5" customHeight="1">
      <c r="A430" s="546"/>
      <c r="B430" s="539"/>
      <c r="I430" s="546"/>
      <c r="P430" s="541"/>
      <c r="Q430" s="510">
        <f t="shared" si="83"/>
        <v>0</v>
      </c>
      <c r="R430" s="554"/>
    </row>
    <row r="431" spans="1:41" s="524" customFormat="1" ht="13.5" customHeight="1">
      <c r="A431" s="538"/>
      <c r="H431" s="532" t="s">
        <v>1015</v>
      </c>
      <c r="I431" s="538"/>
      <c r="Q431" s="510">
        <f t="shared" si="83"/>
        <v>0</v>
      </c>
      <c r="R431" s="554"/>
    </row>
    <row r="432" spans="1:41" ht="18">
      <c r="A432" s="472" t="s">
        <v>960</v>
      </c>
      <c r="B432" s="473"/>
      <c r="C432" s="473"/>
      <c r="D432" s="473"/>
      <c r="E432" s="473"/>
      <c r="F432" s="473"/>
      <c r="G432" s="473"/>
      <c r="H432" s="474"/>
      <c r="I432" s="550"/>
      <c r="J432" s="512"/>
      <c r="K432" s="512"/>
      <c r="L432" s="512"/>
      <c r="M432" s="512"/>
      <c r="N432" s="512"/>
      <c r="O432" s="512"/>
      <c r="P432" s="512"/>
      <c r="Q432" s="510">
        <f t="shared" si="83"/>
        <v>0</v>
      </c>
    </row>
    <row r="433" spans="1:41">
      <c r="A433" s="479"/>
      <c r="B433" s="475"/>
      <c r="C433" s="475"/>
      <c r="D433" s="475"/>
      <c r="E433" s="475"/>
      <c r="F433" s="475"/>
      <c r="G433" s="475"/>
      <c r="H433" s="480"/>
      <c r="I433" s="550"/>
      <c r="J433" s="512"/>
      <c r="K433" s="512"/>
      <c r="L433" s="512"/>
      <c r="M433" s="512"/>
      <c r="N433" s="512"/>
      <c r="O433" s="512"/>
      <c r="P433" s="512"/>
      <c r="Q433" s="510">
        <f t="shared" si="83"/>
        <v>0</v>
      </c>
    </row>
    <row r="434" spans="1:41" ht="15.75">
      <c r="A434" s="481" t="s">
        <v>917</v>
      </c>
      <c r="B434" s="475"/>
      <c r="C434" s="475"/>
      <c r="D434" s="475"/>
      <c r="E434" s="475"/>
      <c r="F434" s="475"/>
      <c r="G434" s="475"/>
      <c r="H434" s="480"/>
      <c r="I434" s="550"/>
      <c r="J434" s="512"/>
      <c r="K434" s="512"/>
      <c r="L434" s="512"/>
      <c r="M434" s="512"/>
      <c r="N434" s="512"/>
      <c r="O434" s="512"/>
      <c r="P434" s="512"/>
      <c r="Q434" s="510">
        <f t="shared" si="83"/>
        <v>0</v>
      </c>
    </row>
    <row r="435" spans="1:41" ht="15.75">
      <c r="A435" s="481" t="s">
        <v>976</v>
      </c>
      <c r="B435" s="475"/>
      <c r="C435" s="475"/>
      <c r="D435" s="475"/>
      <c r="E435" s="475"/>
      <c r="F435" s="475"/>
      <c r="G435" s="475"/>
      <c r="H435" s="480"/>
      <c r="I435" s="550"/>
      <c r="J435" s="512"/>
      <c r="K435" s="512"/>
      <c r="L435" s="512"/>
      <c r="M435" s="512"/>
      <c r="N435" s="512"/>
      <c r="O435" s="512"/>
      <c r="P435" s="512"/>
      <c r="Q435" s="510">
        <f t="shared" si="83"/>
        <v>0</v>
      </c>
    </row>
    <row r="436" spans="1:41">
      <c r="A436" s="484"/>
      <c r="B436" s="485"/>
      <c r="C436" s="485"/>
      <c r="D436" s="485"/>
      <c r="E436" s="485"/>
      <c r="F436" s="485"/>
      <c r="G436" s="485"/>
      <c r="H436" s="485"/>
      <c r="I436" s="550"/>
      <c r="J436" s="512"/>
      <c r="K436" s="512"/>
      <c r="L436" s="512"/>
      <c r="M436" s="512"/>
      <c r="N436" s="512"/>
      <c r="O436" s="512"/>
      <c r="P436" s="512"/>
      <c r="Q436" s="510">
        <f t="shared" si="83"/>
        <v>0</v>
      </c>
    </row>
    <row r="437" spans="1:41">
      <c r="A437" s="489"/>
      <c r="B437" s="490" t="s">
        <v>919</v>
      </c>
      <c r="C437" s="490"/>
      <c r="D437" s="490"/>
      <c r="E437" s="490"/>
      <c r="F437" s="490"/>
      <c r="G437" s="490"/>
      <c r="H437" s="491"/>
      <c r="I437" s="550"/>
      <c r="J437" s="512"/>
      <c r="K437" s="512"/>
      <c r="L437" s="512"/>
      <c r="M437" s="512"/>
      <c r="N437" s="512"/>
      <c r="O437" s="512"/>
      <c r="P437" s="512"/>
      <c r="Q437" s="510">
        <f t="shared" si="83"/>
        <v>0</v>
      </c>
    </row>
    <row r="438" spans="1:41">
      <c r="A438" s="489"/>
      <c r="B438" s="490" t="s">
        <v>920</v>
      </c>
      <c r="C438" s="490"/>
      <c r="D438" s="659" t="s">
        <v>921</v>
      </c>
      <c r="E438" s="657"/>
      <c r="F438" s="657"/>
      <c r="G438" s="657"/>
      <c r="H438" s="495" t="s">
        <v>320</v>
      </c>
      <c r="I438" s="550"/>
      <c r="J438" s="512"/>
      <c r="K438" s="512"/>
      <c r="L438" s="512"/>
      <c r="M438" s="512"/>
      <c r="N438" s="512"/>
      <c r="O438" s="512"/>
      <c r="P438" s="512"/>
      <c r="Q438" s="510">
        <f t="shared" si="83"/>
        <v>0</v>
      </c>
    </row>
    <row r="439" spans="1:41" ht="36">
      <c r="A439" s="489"/>
      <c r="B439" s="496" t="s">
        <v>922</v>
      </c>
      <c r="C439" s="497" t="s">
        <v>923</v>
      </c>
      <c r="D439" s="498" t="s">
        <v>924</v>
      </c>
      <c r="E439" s="499" t="s">
        <v>10</v>
      </c>
      <c r="F439" s="496" t="s">
        <v>925</v>
      </c>
      <c r="G439" s="500" t="s">
        <v>935</v>
      </c>
      <c r="H439" s="501" t="s">
        <v>927</v>
      </c>
      <c r="I439" s="550"/>
      <c r="J439" s="512"/>
      <c r="K439" s="512"/>
      <c r="L439" s="512"/>
      <c r="M439" s="512"/>
      <c r="N439" s="512"/>
      <c r="O439" s="512"/>
      <c r="P439" s="512"/>
      <c r="Q439" s="510">
        <f t="shared" si="83"/>
        <v>0</v>
      </c>
    </row>
    <row r="440" spans="1:41" ht="15.75" customHeight="1">
      <c r="A440" s="534" t="s">
        <v>894</v>
      </c>
      <c r="B440" s="505">
        <f>('Pivot Table for Data Exchange'!$Q$6)*100</f>
        <v>94.973231896308818</v>
      </c>
      <c r="C440" s="505">
        <f>('Pivot Table for Data Exchange'!$Q$9)*100</f>
        <v>5.0267681036911807</v>
      </c>
      <c r="D440" s="506">
        <f>SUM(E440:G440)</f>
        <v>0</v>
      </c>
      <c r="E440" s="505">
        <f>('Pivot Table for Data Exchange'!$Q$12)*100</f>
        <v>0</v>
      </c>
      <c r="F440" s="505">
        <f>('Pivot Table for Data Exchange'!$Q$15)*100</f>
        <v>0</v>
      </c>
      <c r="G440" s="509">
        <f>('Pivot Table for Data Exchange'!$Q$18)*100</f>
        <v>0</v>
      </c>
      <c r="H440" s="505">
        <f>('Pivot Table for Data Exchange'!$Q$21)*100</f>
        <v>0</v>
      </c>
      <c r="I440" s="512"/>
      <c r="J440" s="552"/>
      <c r="K440" s="552"/>
      <c r="L440" s="552"/>
      <c r="M440" s="552"/>
      <c r="N440" s="552"/>
      <c r="O440" s="552"/>
      <c r="P440" s="552"/>
      <c r="Q440" s="510">
        <f t="shared" si="83"/>
        <v>100</v>
      </c>
      <c r="R440" s="510"/>
      <c r="S440" s="511"/>
      <c r="T440" s="511"/>
      <c r="U440" s="511"/>
      <c r="V440" s="511"/>
      <c r="W440" s="511"/>
      <c r="X440" s="511"/>
      <c r="Y440" s="511"/>
      <c r="Z440" s="511"/>
      <c r="AA440" s="511"/>
      <c r="AB440" s="511"/>
      <c r="AC440" s="511"/>
      <c r="AD440" s="511"/>
      <c r="AE440" s="511"/>
      <c r="AF440" s="511"/>
      <c r="AG440" s="511"/>
      <c r="AH440" s="511"/>
      <c r="AI440" s="511"/>
      <c r="AJ440" s="511"/>
      <c r="AK440" s="511"/>
      <c r="AL440" s="511"/>
      <c r="AM440" s="511"/>
      <c r="AN440" s="511"/>
      <c r="AO440" s="511"/>
    </row>
    <row r="441" spans="1:41" ht="15.75" customHeight="1">
      <c r="A441" s="512" t="s">
        <v>895</v>
      </c>
      <c r="B441" s="505">
        <f>('Pivot Table for Data Exchange'!$Q$42)*100</f>
        <v>0</v>
      </c>
      <c r="C441" s="505">
        <f>('Pivot Table for Data Exchange'!$Q$45)*100</f>
        <v>0</v>
      </c>
      <c r="D441" s="506">
        <f t="shared" ref="D441:D443" si="89">SUM(E441:G441)</f>
        <v>0</v>
      </c>
      <c r="E441" s="505">
        <f>('Pivot Table for Data Exchange'!$Q$48)*100</f>
        <v>0</v>
      </c>
      <c r="F441" s="505">
        <f>('Pivot Table for Data Exchange'!$Q$51)*100</f>
        <v>0</v>
      </c>
      <c r="G441" s="515">
        <f>('Pivot Table for Data Exchange'!$Q$54)*100</f>
        <v>0</v>
      </c>
      <c r="H441" s="505">
        <f>('Pivot Table for Data Exchange'!$Q$57)*100</f>
        <v>0</v>
      </c>
      <c r="I441" s="512"/>
      <c r="J441" s="552"/>
      <c r="K441" s="552"/>
      <c r="L441" s="552"/>
      <c r="M441" s="552"/>
      <c r="N441" s="552"/>
      <c r="O441" s="552"/>
      <c r="P441" s="552"/>
      <c r="Q441" s="510">
        <f t="shared" si="83"/>
        <v>0</v>
      </c>
      <c r="R441" s="510"/>
      <c r="S441" s="511"/>
      <c r="T441" s="511"/>
      <c r="U441" s="511"/>
      <c r="V441" s="511"/>
      <c r="W441" s="511"/>
      <c r="X441" s="511"/>
      <c r="Y441" s="511"/>
      <c r="Z441" s="511"/>
      <c r="AA441" s="511"/>
      <c r="AB441" s="511"/>
      <c r="AC441" s="511"/>
      <c r="AD441" s="511"/>
      <c r="AE441" s="511"/>
      <c r="AF441" s="511"/>
      <c r="AG441" s="511"/>
      <c r="AH441" s="511"/>
      <c r="AI441" s="511"/>
      <c r="AJ441" s="511"/>
      <c r="AK441" s="511"/>
      <c r="AL441" s="511"/>
      <c r="AM441" s="511"/>
      <c r="AN441" s="511"/>
      <c r="AO441" s="511"/>
    </row>
    <row r="442" spans="1:41" ht="15.75" customHeight="1">
      <c r="A442" s="512" t="s">
        <v>896</v>
      </c>
      <c r="B442" s="505">
        <f>('Pivot Table for Data Exchange'!$Q$78)*100</f>
        <v>0</v>
      </c>
      <c r="C442" s="505">
        <f>('Pivot Table for Data Exchange'!$Q$81)*100</f>
        <v>0</v>
      </c>
      <c r="D442" s="506">
        <f t="shared" si="89"/>
        <v>0</v>
      </c>
      <c r="E442" s="505">
        <f>('Pivot Table for Data Exchange'!$Q$84)*100</f>
        <v>0</v>
      </c>
      <c r="F442" s="505">
        <f>('Pivot Table for Data Exchange'!$Q$87)*100</f>
        <v>0</v>
      </c>
      <c r="G442" s="515">
        <f>('Pivot Table for Data Exchange'!$Q$90)*100</f>
        <v>0</v>
      </c>
      <c r="H442" s="505">
        <f>('Pivot Table for Data Exchange'!$Q$93)*100</f>
        <v>0</v>
      </c>
      <c r="I442" s="512"/>
      <c r="J442" s="552"/>
      <c r="K442" s="552"/>
      <c r="L442" s="552"/>
      <c r="M442" s="552"/>
      <c r="N442" s="552"/>
      <c r="O442" s="552"/>
      <c r="P442" s="552"/>
      <c r="Q442" s="510">
        <f t="shared" si="83"/>
        <v>0</v>
      </c>
      <c r="R442" s="510"/>
      <c r="S442" s="511"/>
      <c r="T442" s="535"/>
      <c r="U442" s="511"/>
      <c r="V442" s="511"/>
      <c r="W442" s="511"/>
      <c r="X442" s="511"/>
      <c r="Y442" s="511"/>
      <c r="Z442" s="511"/>
      <c r="AA442" s="511"/>
      <c r="AB442" s="511"/>
      <c r="AC442" s="511"/>
      <c r="AD442" s="511"/>
      <c r="AE442" s="511"/>
      <c r="AF442" s="511"/>
      <c r="AG442" s="511"/>
      <c r="AH442" s="511"/>
      <c r="AI442" s="511"/>
      <c r="AJ442" s="511"/>
      <c r="AK442" s="511"/>
      <c r="AL442" s="511"/>
      <c r="AM442" s="511"/>
      <c r="AN442" s="511"/>
      <c r="AO442" s="511"/>
    </row>
    <row r="443" spans="1:41" ht="15.75" customHeight="1">
      <c r="A443" s="512" t="s">
        <v>897</v>
      </c>
      <c r="B443" s="505">
        <f>('Pivot Table for Data Exchange'!$Q$114)*100</f>
        <v>0</v>
      </c>
      <c r="C443" s="505">
        <f>('Pivot Table for Data Exchange'!$Q$117)*100</f>
        <v>0</v>
      </c>
      <c r="D443" s="506">
        <f t="shared" si="89"/>
        <v>0</v>
      </c>
      <c r="E443" s="505">
        <f>('Pivot Table for Data Exchange'!$Q$120)*100</f>
        <v>0</v>
      </c>
      <c r="F443" s="505">
        <f>('Pivot Table for Data Exchange'!$Q$123)*100</f>
        <v>0</v>
      </c>
      <c r="G443" s="515">
        <f>('Pivot Table for Data Exchange'!$Q$126)*100</f>
        <v>0</v>
      </c>
      <c r="H443" s="505">
        <f>('Pivot Table for Data Exchange'!$Q$129)*100</f>
        <v>0</v>
      </c>
      <c r="I443" s="512"/>
      <c r="J443" s="552"/>
      <c r="K443" s="552"/>
      <c r="L443" s="552"/>
      <c r="M443" s="552"/>
      <c r="N443" s="552"/>
      <c r="O443" s="552"/>
      <c r="P443" s="552"/>
      <c r="Q443" s="510">
        <f t="shared" si="83"/>
        <v>0</v>
      </c>
      <c r="R443" s="510"/>
      <c r="S443" s="511"/>
      <c r="U443" s="511"/>
      <c r="V443" s="511"/>
      <c r="W443" s="511"/>
      <c r="X443" s="511"/>
      <c r="Y443" s="511"/>
      <c r="Z443" s="511"/>
      <c r="AA443" s="511"/>
      <c r="AB443" s="511"/>
      <c r="AC443" s="511"/>
      <c r="AD443" s="511"/>
      <c r="AE443" s="511"/>
      <c r="AF443" s="511"/>
      <c r="AG443" s="511"/>
      <c r="AH443" s="511"/>
      <c r="AI443" s="511"/>
      <c r="AJ443" s="511"/>
      <c r="AK443" s="511"/>
      <c r="AL443" s="511"/>
      <c r="AM443" s="511"/>
      <c r="AN443" s="511"/>
      <c r="AO443" s="511"/>
    </row>
    <row r="444" spans="1:41" ht="15.75" customHeight="1">
      <c r="A444" s="512"/>
      <c r="B444" s="505"/>
      <c r="C444" s="505"/>
      <c r="D444" s="506"/>
      <c r="E444" s="505"/>
      <c r="F444" s="505"/>
      <c r="G444" s="515"/>
      <c r="H444" s="505"/>
      <c r="I444" s="512"/>
      <c r="J444" s="552"/>
      <c r="K444" s="552"/>
      <c r="L444" s="552"/>
      <c r="M444" s="552"/>
      <c r="N444" s="552"/>
      <c r="O444" s="552"/>
      <c r="P444" s="552"/>
      <c r="Q444" s="510">
        <f t="shared" si="83"/>
        <v>0</v>
      </c>
      <c r="R444" s="510"/>
      <c r="S444" s="511"/>
      <c r="U444" s="511"/>
      <c r="V444" s="511"/>
      <c r="W444" s="511"/>
      <c r="X444" s="511"/>
      <c r="Y444" s="511"/>
      <c r="Z444" s="511"/>
      <c r="AA444" s="511"/>
      <c r="AB444" s="511"/>
      <c r="AC444" s="511"/>
      <c r="AD444" s="511"/>
      <c r="AE444" s="511"/>
      <c r="AF444" s="511"/>
      <c r="AG444" s="511"/>
      <c r="AH444" s="511"/>
      <c r="AI444" s="511"/>
      <c r="AJ444" s="511"/>
      <c r="AK444" s="511"/>
      <c r="AL444" s="511"/>
      <c r="AM444" s="511"/>
      <c r="AN444" s="511"/>
      <c r="AO444" s="511"/>
    </row>
    <row r="445" spans="1:41" ht="15.75" customHeight="1">
      <c r="A445" s="512" t="s">
        <v>898</v>
      </c>
      <c r="B445" s="505">
        <f>('Pivot Table for Data Exchange'!$Q$150)*100</f>
        <v>0</v>
      </c>
      <c r="C445" s="505">
        <f>('Pivot Table for Data Exchange'!$Q$153)*100</f>
        <v>0</v>
      </c>
      <c r="D445" s="506">
        <f t="shared" ref="D445:D448" si="90">SUM(E445:G445)</f>
        <v>0</v>
      </c>
      <c r="E445" s="505">
        <f>('Pivot Table for Data Exchange'!$Q$156)*100</f>
        <v>0</v>
      </c>
      <c r="F445" s="505">
        <f>('Pivot Table for Data Exchange'!$Q$159)*100</f>
        <v>0</v>
      </c>
      <c r="G445" s="515">
        <f>('Pivot Table for Data Exchange'!$Q$162)*100</f>
        <v>0</v>
      </c>
      <c r="H445" s="505">
        <f>('Pivot Table for Data Exchange'!$Q$165)*100</f>
        <v>0</v>
      </c>
      <c r="I445" s="512"/>
      <c r="J445" s="552"/>
      <c r="K445" s="552"/>
      <c r="L445" s="552"/>
      <c r="M445" s="552"/>
      <c r="N445" s="552"/>
      <c r="O445" s="552"/>
      <c r="P445" s="552"/>
      <c r="Q445" s="510">
        <f t="shared" si="83"/>
        <v>0</v>
      </c>
      <c r="R445" s="510"/>
      <c r="S445" s="511"/>
      <c r="T445" s="511"/>
      <c r="U445" s="511"/>
      <c r="V445" s="511"/>
      <c r="W445" s="511"/>
      <c r="X445" s="511"/>
      <c r="Y445" s="511"/>
      <c r="Z445" s="511"/>
      <c r="AA445" s="511"/>
      <c r="AB445" s="511"/>
      <c r="AC445" s="511"/>
      <c r="AD445" s="511"/>
      <c r="AE445" s="511"/>
      <c r="AF445" s="511"/>
      <c r="AG445" s="511"/>
      <c r="AH445" s="511"/>
      <c r="AI445" s="511"/>
      <c r="AJ445" s="511"/>
      <c r="AK445" s="511"/>
      <c r="AL445" s="511"/>
      <c r="AM445" s="511"/>
      <c r="AN445" s="511"/>
      <c r="AO445" s="511"/>
    </row>
    <row r="446" spans="1:41" ht="15.75" customHeight="1">
      <c r="A446" s="512" t="s">
        <v>899</v>
      </c>
      <c r="B446" s="505">
        <f>('Pivot Table for Data Exchange'!$Q$186)*100</f>
        <v>0</v>
      </c>
      <c r="C446" s="505">
        <f>('Pivot Table for Data Exchange'!$Q$189)*100</f>
        <v>0</v>
      </c>
      <c r="D446" s="506">
        <f t="shared" si="90"/>
        <v>0</v>
      </c>
      <c r="E446" s="505">
        <f>('Pivot Table for Data Exchange'!$Q$192)*100</f>
        <v>0</v>
      </c>
      <c r="F446" s="505">
        <f>('Pivot Table for Data Exchange'!$Q$195)*100</f>
        <v>0</v>
      </c>
      <c r="G446" s="515">
        <f>('Pivot Table for Data Exchange'!$Q$198)*100</f>
        <v>0</v>
      </c>
      <c r="H446" s="505">
        <f>('Pivot Table for Data Exchange'!$Q$201)*100</f>
        <v>0</v>
      </c>
      <c r="I446" s="512"/>
      <c r="J446" s="552"/>
      <c r="K446" s="552"/>
      <c r="L446" s="552"/>
      <c r="M446" s="552"/>
      <c r="N446" s="552"/>
      <c r="O446" s="552"/>
      <c r="P446" s="552"/>
      <c r="Q446" s="510">
        <f t="shared" si="83"/>
        <v>0</v>
      </c>
      <c r="R446" s="510"/>
      <c r="S446" s="511"/>
      <c r="T446" s="511"/>
      <c r="U446" s="511"/>
      <c r="V446" s="511"/>
      <c r="W446" s="511"/>
      <c r="X446" s="511"/>
      <c r="Y446" s="511"/>
      <c r="Z446" s="511"/>
      <c r="AA446" s="511"/>
      <c r="AB446" s="511"/>
      <c r="AC446" s="511"/>
      <c r="AD446" s="511"/>
      <c r="AE446" s="511"/>
      <c r="AF446" s="511"/>
      <c r="AG446" s="511"/>
      <c r="AH446" s="511"/>
      <c r="AI446" s="511"/>
      <c r="AJ446" s="511"/>
      <c r="AK446" s="511"/>
      <c r="AL446" s="511"/>
      <c r="AM446" s="511"/>
      <c r="AN446" s="511"/>
      <c r="AO446" s="511"/>
    </row>
    <row r="447" spans="1:41" ht="15.75" customHeight="1">
      <c r="A447" s="512" t="s">
        <v>900</v>
      </c>
      <c r="B447" s="505">
        <f>('Pivot Table for Data Exchange'!$Q$222)*100</f>
        <v>0</v>
      </c>
      <c r="C447" s="505">
        <f>('Pivot Table for Data Exchange'!$Q$225)*100</f>
        <v>0</v>
      </c>
      <c r="D447" s="506">
        <f t="shared" si="90"/>
        <v>0</v>
      </c>
      <c r="E447" s="505">
        <f>('Pivot Table for Data Exchange'!$Q$228)*100</f>
        <v>0</v>
      </c>
      <c r="F447" s="505">
        <f>('Pivot Table for Data Exchange'!$Q$231)*100</f>
        <v>0</v>
      </c>
      <c r="G447" s="515">
        <f>('Pivot Table for Data Exchange'!$Q$234)*100</f>
        <v>0</v>
      </c>
      <c r="H447" s="505">
        <f>('Pivot Table for Data Exchange'!$Q$237)*100</f>
        <v>0</v>
      </c>
      <c r="I447" s="559"/>
      <c r="J447" s="552"/>
      <c r="K447" s="552"/>
      <c r="L447" s="552"/>
      <c r="M447" s="552"/>
      <c r="N447" s="552"/>
      <c r="O447" s="552"/>
      <c r="P447" s="552"/>
      <c r="Q447" s="510">
        <f>SUM(I447,C447,D447,H447)</f>
        <v>0</v>
      </c>
      <c r="R447" s="510"/>
      <c r="S447" s="511"/>
      <c r="T447" s="535"/>
      <c r="U447" s="511"/>
      <c r="V447" s="511"/>
      <c r="W447" s="511"/>
      <c r="X447" s="511"/>
      <c r="Y447" s="511"/>
      <c r="Z447" s="511"/>
      <c r="AA447" s="511"/>
      <c r="AB447" s="511"/>
      <c r="AC447" s="511"/>
      <c r="AD447" s="511"/>
      <c r="AE447" s="511"/>
      <c r="AF447" s="511"/>
      <c r="AG447" s="511"/>
      <c r="AH447" s="511"/>
      <c r="AI447" s="511"/>
      <c r="AJ447" s="511"/>
      <c r="AK447" s="511"/>
      <c r="AL447" s="511"/>
      <c r="AM447" s="511"/>
      <c r="AN447" s="511"/>
      <c r="AO447" s="511"/>
    </row>
    <row r="448" spans="1:41" ht="15.75" customHeight="1">
      <c r="A448" s="512" t="s">
        <v>901</v>
      </c>
      <c r="B448" s="505">
        <f>('Pivot Table for Data Exchange'!$Q$258)*100</f>
        <v>0</v>
      </c>
      <c r="C448" s="505">
        <f>('Pivot Table for Data Exchange'!$Q$261)*100</f>
        <v>0</v>
      </c>
      <c r="D448" s="506">
        <f t="shared" si="90"/>
        <v>0</v>
      </c>
      <c r="E448" s="505">
        <f>('Pivot Table for Data Exchange'!$Q$264)*100</f>
        <v>0</v>
      </c>
      <c r="F448" s="505">
        <f>('Pivot Table for Data Exchange'!$Q$267)*100</f>
        <v>0</v>
      </c>
      <c r="G448" s="515">
        <f>('Pivot Table for Data Exchange'!$Q$270)*100</f>
        <v>0</v>
      </c>
      <c r="H448" s="505">
        <f>('Pivot Table for Data Exchange'!$Q$273)*100</f>
        <v>0</v>
      </c>
      <c r="I448" s="512"/>
      <c r="J448" s="552"/>
      <c r="K448" s="552"/>
      <c r="L448" s="552"/>
      <c r="M448" s="552"/>
      <c r="N448" s="552"/>
      <c r="O448" s="552"/>
      <c r="P448" s="552"/>
      <c r="Q448" s="510">
        <f t="shared" si="83"/>
        <v>0</v>
      </c>
      <c r="R448" s="510"/>
      <c r="S448" s="511"/>
      <c r="U448" s="511"/>
      <c r="V448" s="511"/>
      <c r="W448" s="511"/>
      <c r="X448" s="511"/>
      <c r="Y448" s="511"/>
      <c r="Z448" s="511"/>
      <c r="AA448" s="511"/>
      <c r="AB448" s="511"/>
      <c r="AC448" s="511"/>
      <c r="AD448" s="511"/>
      <c r="AE448" s="511"/>
      <c r="AF448" s="511"/>
      <c r="AG448" s="511"/>
      <c r="AH448" s="511"/>
      <c r="AI448" s="511"/>
      <c r="AJ448" s="511"/>
      <c r="AK448" s="511"/>
      <c r="AL448" s="511"/>
      <c r="AM448" s="511"/>
      <c r="AN448" s="511"/>
      <c r="AO448" s="511"/>
    </row>
    <row r="449" spans="1:41" ht="15.75" customHeight="1">
      <c r="A449" s="512"/>
      <c r="B449" s="505"/>
      <c r="C449" s="505"/>
      <c r="D449" s="506"/>
      <c r="E449" s="505"/>
      <c r="F449" s="505"/>
      <c r="G449" s="515"/>
      <c r="H449" s="505"/>
      <c r="I449" s="512"/>
      <c r="J449" s="552"/>
      <c r="K449" s="552"/>
      <c r="L449" s="552"/>
      <c r="M449" s="552"/>
      <c r="N449" s="552"/>
      <c r="O449" s="552"/>
      <c r="P449" s="552"/>
      <c r="Q449" s="510">
        <f t="shared" si="83"/>
        <v>0</v>
      </c>
      <c r="R449" s="510"/>
      <c r="S449" s="511"/>
      <c r="U449" s="511"/>
      <c r="V449" s="511"/>
      <c r="W449" s="511"/>
      <c r="X449" s="511"/>
      <c r="Y449" s="511"/>
      <c r="Z449" s="511"/>
      <c r="AA449" s="511"/>
      <c r="AB449" s="511"/>
      <c r="AC449" s="511"/>
      <c r="AD449" s="511"/>
      <c r="AE449" s="511"/>
      <c r="AF449" s="511"/>
      <c r="AG449" s="511"/>
      <c r="AH449" s="511"/>
      <c r="AI449" s="511"/>
      <c r="AJ449" s="511"/>
      <c r="AK449" s="511"/>
      <c r="AL449" s="511"/>
      <c r="AM449" s="511"/>
      <c r="AN449" s="511"/>
      <c r="AO449" s="511"/>
    </row>
    <row r="450" spans="1:41" ht="15.75" customHeight="1">
      <c r="A450" s="512" t="s">
        <v>902</v>
      </c>
      <c r="B450" s="505">
        <f>('Pivot Table for Data Exchange'!$Q$294)*100</f>
        <v>0</v>
      </c>
      <c r="C450" s="505">
        <f>('Pivot Table for Data Exchange'!$Q$297)*100</f>
        <v>0</v>
      </c>
      <c r="D450" s="506">
        <f t="shared" ref="D450:D452" si="91">SUM(E450:G450)</f>
        <v>0</v>
      </c>
      <c r="E450" s="505">
        <f>('Pivot Table for Data Exchange'!$Q$300)*100</f>
        <v>0</v>
      </c>
      <c r="F450" s="505">
        <f>('Pivot Table for Data Exchange'!$Q$303)*100</f>
        <v>0</v>
      </c>
      <c r="G450" s="515">
        <f>('Pivot Table for Data Exchange'!$Q$306)*100</f>
        <v>0</v>
      </c>
      <c r="H450" s="505">
        <f>('Pivot Table for Data Exchange'!$Q$309)*100</f>
        <v>0</v>
      </c>
      <c r="I450" s="512"/>
      <c r="J450" s="552"/>
      <c r="K450" s="552"/>
      <c r="L450" s="552"/>
      <c r="M450" s="552"/>
      <c r="N450" s="552"/>
      <c r="O450" s="552"/>
      <c r="P450" s="552"/>
      <c r="Q450" s="510">
        <f t="shared" si="83"/>
        <v>0</v>
      </c>
      <c r="R450" s="510"/>
      <c r="S450" s="511"/>
      <c r="T450" s="511"/>
      <c r="U450" s="511"/>
      <c r="V450" s="511"/>
      <c r="W450" s="511"/>
      <c r="X450" s="511"/>
      <c r="Y450" s="511"/>
      <c r="Z450" s="511"/>
      <c r="AA450" s="511"/>
      <c r="AB450" s="511"/>
      <c r="AC450" s="511"/>
      <c r="AD450" s="511"/>
      <c r="AE450" s="511"/>
      <c r="AF450" s="511"/>
      <c r="AG450" s="511"/>
      <c r="AH450" s="511"/>
      <c r="AI450" s="511"/>
      <c r="AJ450" s="511"/>
      <c r="AK450" s="511"/>
      <c r="AL450" s="511"/>
      <c r="AM450" s="511"/>
      <c r="AN450" s="511"/>
      <c r="AO450" s="511"/>
    </row>
    <row r="451" spans="1:41" ht="15.75" customHeight="1">
      <c r="A451" s="512" t="s">
        <v>903</v>
      </c>
      <c r="B451" s="505">
        <f>('Pivot Table for Data Exchange'!$Q$330)*100</f>
        <v>0</v>
      </c>
      <c r="C451" s="505">
        <f>('Pivot Table for Data Exchange'!$Q$333)*100</f>
        <v>0</v>
      </c>
      <c r="D451" s="506">
        <f t="shared" si="91"/>
        <v>0</v>
      </c>
      <c r="E451" s="505">
        <f>('Pivot Table for Data Exchange'!$Q$336)*100</f>
        <v>0</v>
      </c>
      <c r="F451" s="505">
        <f>('Pivot Table for Data Exchange'!$Q$339)*100</f>
        <v>0</v>
      </c>
      <c r="G451" s="515">
        <f>('Pivot Table for Data Exchange'!$Q$342)*100</f>
        <v>0</v>
      </c>
      <c r="H451" s="505">
        <f>('Pivot Table for Data Exchange'!$Q$345)*100</f>
        <v>0</v>
      </c>
      <c r="I451" s="512"/>
      <c r="J451" s="552"/>
      <c r="K451" s="552"/>
      <c r="L451" s="552"/>
      <c r="M451" s="552"/>
      <c r="N451" s="552"/>
      <c r="O451" s="552"/>
      <c r="P451" s="552"/>
      <c r="Q451" s="510">
        <f t="shared" si="83"/>
        <v>0</v>
      </c>
      <c r="R451" s="510"/>
      <c r="S451" s="511"/>
      <c r="T451" s="511"/>
      <c r="U451" s="511"/>
      <c r="V451" s="511"/>
      <c r="W451" s="511"/>
      <c r="X451" s="511"/>
      <c r="Y451" s="511"/>
      <c r="Z451" s="511"/>
      <c r="AA451" s="511"/>
      <c r="AB451" s="511"/>
      <c r="AC451" s="511"/>
      <c r="AD451" s="511"/>
      <c r="AE451" s="511"/>
      <c r="AF451" s="511"/>
      <c r="AG451" s="511"/>
      <c r="AH451" s="511"/>
      <c r="AI451" s="511"/>
      <c r="AJ451" s="511"/>
      <c r="AK451" s="511"/>
      <c r="AL451" s="511"/>
      <c r="AM451" s="511"/>
      <c r="AN451" s="511"/>
      <c r="AO451" s="511"/>
    </row>
    <row r="452" spans="1:41" ht="15.75" customHeight="1">
      <c r="A452" s="512" t="s">
        <v>904</v>
      </c>
      <c r="B452" s="505">
        <f>('Pivot Table for Data Exchange'!$Q$366)*100</f>
        <v>0</v>
      </c>
      <c r="C452" s="505">
        <f>('Pivot Table for Data Exchange'!$Q$369)*100</f>
        <v>0</v>
      </c>
      <c r="D452" s="506">
        <f t="shared" si="91"/>
        <v>0</v>
      </c>
      <c r="E452" s="505">
        <f>('Pivot Table for Data Exchange'!$Q$372)*100</f>
        <v>0</v>
      </c>
      <c r="F452" s="505">
        <f>('Pivot Table for Data Exchange'!$Q$375)*100</f>
        <v>0</v>
      </c>
      <c r="G452" s="515">
        <f>('Pivot Table for Data Exchange'!$Q$378)*100</f>
        <v>0</v>
      </c>
      <c r="H452" s="505">
        <f>('Pivot Table for Data Exchange'!$Q$381)*100</f>
        <v>0</v>
      </c>
      <c r="I452" s="512"/>
      <c r="J452" s="552"/>
      <c r="K452" s="552"/>
      <c r="L452" s="552"/>
      <c r="M452" s="552"/>
      <c r="N452" s="552"/>
      <c r="O452" s="552"/>
      <c r="P452" s="552"/>
      <c r="Q452" s="510">
        <f t="shared" si="83"/>
        <v>0</v>
      </c>
      <c r="R452" s="510"/>
      <c r="S452" s="511"/>
      <c r="T452" s="535"/>
      <c r="U452" s="511"/>
      <c r="V452" s="511"/>
      <c r="W452" s="511"/>
      <c r="X452" s="511"/>
      <c r="Y452" s="511"/>
      <c r="Z452" s="511"/>
      <c r="AA452" s="511"/>
      <c r="AB452" s="511"/>
      <c r="AC452" s="511"/>
      <c r="AD452" s="511"/>
      <c r="AE452" s="511"/>
      <c r="AF452" s="511"/>
      <c r="AG452" s="511"/>
      <c r="AH452" s="511"/>
      <c r="AI452" s="511"/>
      <c r="AJ452" s="511"/>
      <c r="AK452" s="511"/>
      <c r="AL452" s="511"/>
      <c r="AM452" s="511"/>
      <c r="AN452" s="511"/>
      <c r="AO452" s="511"/>
    </row>
    <row r="453" spans="1:41" ht="15.75" customHeight="1">
      <c r="A453" s="512" t="s">
        <v>905</v>
      </c>
      <c r="B453" s="505">
        <f>('Pivot Table for Data Exchange'!$Q$402)*100</f>
        <v>0</v>
      </c>
      <c r="C453" s="505">
        <f>('Pivot Table for Data Exchange'!$Q$405)*100</f>
        <v>0</v>
      </c>
      <c r="D453" s="506">
        <f>SUM(E453:G453)</f>
        <v>0</v>
      </c>
      <c r="E453" s="505">
        <f>('Pivot Table for Data Exchange'!$Q$408)*100</f>
        <v>0</v>
      </c>
      <c r="F453" s="505">
        <f>('Pivot Table for Data Exchange'!$Q$411)*100</f>
        <v>0</v>
      </c>
      <c r="G453" s="515">
        <f>('Pivot Table for Data Exchange'!$Q$414)*100</f>
        <v>0</v>
      </c>
      <c r="H453" s="505">
        <f>('Pivot Table for Data Exchange'!$Q$417)*100</f>
        <v>0</v>
      </c>
      <c r="I453" s="512"/>
      <c r="J453" s="552"/>
      <c r="K453" s="552"/>
      <c r="L453" s="552"/>
      <c r="M453" s="552"/>
      <c r="N453" s="552"/>
      <c r="O453" s="552"/>
      <c r="P453" s="552"/>
      <c r="Q453" s="510">
        <f t="shared" si="83"/>
        <v>0</v>
      </c>
      <c r="R453" s="510"/>
      <c r="S453" s="511"/>
      <c r="T453" s="511"/>
      <c r="U453" s="511"/>
      <c r="V453" s="511"/>
      <c r="W453" s="511"/>
      <c r="X453" s="511"/>
      <c r="Y453" s="511"/>
      <c r="Z453" s="511"/>
      <c r="AA453" s="511"/>
      <c r="AB453" s="511"/>
      <c r="AC453" s="511"/>
      <c r="AD453" s="511"/>
      <c r="AE453" s="511"/>
      <c r="AF453" s="511"/>
      <c r="AG453" s="511"/>
      <c r="AH453" s="511"/>
      <c r="AI453" s="511"/>
      <c r="AJ453" s="511"/>
      <c r="AK453" s="511"/>
      <c r="AL453" s="511"/>
      <c r="AM453" s="511"/>
      <c r="AN453" s="511"/>
      <c r="AO453" s="511"/>
    </row>
    <row r="454" spans="1:41" ht="15.75" customHeight="1">
      <c r="A454" s="512"/>
      <c r="B454" s="505"/>
      <c r="C454" s="505"/>
      <c r="D454" s="506"/>
      <c r="E454" s="505"/>
      <c r="F454" s="505"/>
      <c r="G454" s="515"/>
      <c r="H454" s="505"/>
      <c r="I454" s="512"/>
      <c r="J454" s="552"/>
      <c r="K454" s="552"/>
      <c r="L454" s="552"/>
      <c r="M454" s="552"/>
      <c r="N454" s="552"/>
      <c r="O454" s="552"/>
      <c r="P454" s="552"/>
      <c r="Q454" s="510">
        <f t="shared" si="83"/>
        <v>0</v>
      </c>
      <c r="R454" s="510"/>
      <c r="S454" s="511"/>
      <c r="T454" s="511"/>
      <c r="U454" s="511"/>
      <c r="V454" s="511"/>
      <c r="W454" s="511"/>
      <c r="X454" s="511"/>
      <c r="Y454" s="511"/>
      <c r="Z454" s="511"/>
      <c r="AA454" s="511"/>
      <c r="AB454" s="511"/>
      <c r="AC454" s="511"/>
      <c r="AD454" s="511"/>
      <c r="AE454" s="511"/>
      <c r="AF454" s="511"/>
      <c r="AG454" s="511"/>
      <c r="AH454" s="511"/>
      <c r="AI454" s="511"/>
      <c r="AJ454" s="511"/>
      <c r="AK454" s="511"/>
      <c r="AL454" s="511"/>
      <c r="AM454" s="511"/>
      <c r="AN454" s="511"/>
      <c r="AO454" s="511"/>
    </row>
    <row r="455" spans="1:41" ht="15.75" customHeight="1">
      <c r="A455" s="512" t="s">
        <v>906</v>
      </c>
      <c r="B455" s="505">
        <f>('Pivot Table for Data Exchange'!$Q$438)*100</f>
        <v>0</v>
      </c>
      <c r="C455" s="505">
        <f>('Pivot Table for Data Exchange'!$Q$441)*100</f>
        <v>0</v>
      </c>
      <c r="D455" s="506">
        <f>SUM(E455:G455)</f>
        <v>0</v>
      </c>
      <c r="E455" s="505">
        <f>('Pivot Table for Data Exchange'!$Q$444)*100</f>
        <v>0</v>
      </c>
      <c r="F455" s="505">
        <f>('Pivot Table for Data Exchange'!$Q$447)*100</f>
        <v>0</v>
      </c>
      <c r="G455" s="515">
        <f>('Pivot Table for Data Exchange'!$Q$450)*100</f>
        <v>0</v>
      </c>
      <c r="H455" s="505">
        <f>('Pivot Table for Data Exchange'!$Q$453)*100</f>
        <v>0</v>
      </c>
      <c r="I455" s="512"/>
      <c r="J455" s="552"/>
      <c r="K455" s="552"/>
      <c r="L455" s="552"/>
      <c r="M455" s="552"/>
      <c r="N455" s="552"/>
      <c r="O455" s="552"/>
      <c r="P455" s="552"/>
      <c r="Q455" s="510">
        <f t="shared" si="83"/>
        <v>0</v>
      </c>
      <c r="R455" s="510"/>
      <c r="S455" s="511"/>
      <c r="T455" s="511"/>
      <c r="U455" s="511"/>
      <c r="V455" s="511"/>
      <c r="W455" s="511"/>
      <c r="X455" s="511"/>
      <c r="Y455" s="511"/>
      <c r="Z455" s="511"/>
      <c r="AA455" s="511"/>
      <c r="AB455" s="511"/>
      <c r="AC455" s="511"/>
      <c r="AD455" s="511"/>
      <c r="AE455" s="511"/>
      <c r="AF455" s="511"/>
      <c r="AG455" s="511"/>
      <c r="AH455" s="511"/>
      <c r="AI455" s="511"/>
      <c r="AJ455" s="511"/>
      <c r="AK455" s="511"/>
      <c r="AL455" s="511"/>
      <c r="AM455" s="511"/>
      <c r="AN455" s="511"/>
      <c r="AO455" s="511"/>
    </row>
    <row r="456" spans="1:41" ht="15.75" customHeight="1">
      <c r="A456" s="512" t="s">
        <v>907</v>
      </c>
      <c r="B456" s="505">
        <f>('Pivot Table for Data Exchange'!$Q$474)*100</f>
        <v>0</v>
      </c>
      <c r="C456" s="505">
        <f>('Pivot Table for Data Exchange'!$Q$477)*100</f>
        <v>0</v>
      </c>
      <c r="D456" s="506">
        <f>SUM(E456:G456)</f>
        <v>0</v>
      </c>
      <c r="E456" s="505">
        <f>('Pivot Table for Data Exchange'!$Q$480)*100</f>
        <v>0</v>
      </c>
      <c r="F456" s="505">
        <f>('Pivot Table for Data Exchange'!$Q$483)*100</f>
        <v>0</v>
      </c>
      <c r="G456" s="515">
        <f>('Pivot Table for Data Exchange'!$Q$486)*100</f>
        <v>0</v>
      </c>
      <c r="H456" s="505">
        <f>('Pivot Table for Data Exchange'!$Q$489)*100</f>
        <v>0</v>
      </c>
      <c r="I456" s="512"/>
      <c r="J456" s="552"/>
      <c r="K456" s="552"/>
      <c r="L456" s="552"/>
      <c r="M456" s="552"/>
      <c r="N456" s="552"/>
      <c r="O456" s="552"/>
      <c r="P456" s="552"/>
      <c r="Q456" s="510">
        <f t="shared" si="83"/>
        <v>0</v>
      </c>
      <c r="R456" s="510"/>
      <c r="S456" s="511"/>
      <c r="T456" s="511"/>
      <c r="U456" s="511"/>
      <c r="V456" s="511"/>
      <c r="W456" s="511"/>
      <c r="X456" s="511"/>
      <c r="Y456" s="511"/>
      <c r="Z456" s="511"/>
      <c r="AA456" s="511"/>
      <c r="AB456" s="511"/>
      <c r="AC456" s="511"/>
      <c r="AD456" s="511"/>
      <c r="AE456" s="511"/>
      <c r="AF456" s="511"/>
      <c r="AG456" s="511"/>
      <c r="AH456" s="511"/>
      <c r="AI456" s="511"/>
      <c r="AJ456" s="511"/>
      <c r="AK456" s="511"/>
      <c r="AL456" s="511"/>
      <c r="AM456" s="511"/>
      <c r="AN456" s="511"/>
      <c r="AO456" s="511"/>
    </row>
    <row r="457" spans="1:41" ht="15.75" customHeight="1">
      <c r="A457" s="512" t="s">
        <v>908</v>
      </c>
      <c r="B457" s="505">
        <f>('Pivot Table for Data Exchange'!$Q$510)*100</f>
        <v>0</v>
      </c>
      <c r="C457" s="505">
        <f>('Pivot Table for Data Exchange'!$Q$513)*100</f>
        <v>0</v>
      </c>
      <c r="D457" s="506">
        <f t="shared" ref="D457" si="92">SUM(E457:G457)</f>
        <v>0</v>
      </c>
      <c r="E457" s="505">
        <f>('Pivot Table for Data Exchange'!$Q$516)*100</f>
        <v>0</v>
      </c>
      <c r="F457" s="505">
        <f>('Pivot Table for Data Exchange'!$Q$519)*100</f>
        <v>0</v>
      </c>
      <c r="G457" s="515">
        <f>('Pivot Table for Data Exchange'!$Q$522)*100</f>
        <v>0</v>
      </c>
      <c r="H457" s="505">
        <f>('Pivot Table for Data Exchange'!$Q$525)*100</f>
        <v>0</v>
      </c>
      <c r="I457" s="512"/>
      <c r="J457" s="552"/>
      <c r="K457" s="552"/>
      <c r="L457" s="552"/>
      <c r="M457" s="552"/>
      <c r="N457" s="552"/>
      <c r="O457" s="552"/>
      <c r="P457" s="552"/>
      <c r="Q457" s="510">
        <f t="shared" si="83"/>
        <v>0</v>
      </c>
      <c r="R457" s="510"/>
      <c r="S457" s="511"/>
      <c r="T457" s="511"/>
      <c r="U457" s="511"/>
      <c r="V457" s="511"/>
      <c r="W457" s="511"/>
      <c r="X457" s="511"/>
      <c r="Y457" s="511"/>
      <c r="Z457" s="511"/>
      <c r="AA457" s="511"/>
      <c r="AB457" s="511"/>
      <c r="AC457" s="511"/>
      <c r="AD457" s="511"/>
      <c r="AE457" s="511"/>
      <c r="AF457" s="511"/>
      <c r="AG457" s="511"/>
      <c r="AH457" s="511"/>
      <c r="AI457" s="511"/>
      <c r="AJ457" s="511"/>
      <c r="AK457" s="511"/>
      <c r="AL457" s="511"/>
      <c r="AM457" s="511"/>
      <c r="AN457" s="511"/>
      <c r="AO457" s="511"/>
    </row>
    <row r="458" spans="1:41" ht="15.75" customHeight="1">
      <c r="A458" s="484" t="s">
        <v>909</v>
      </c>
      <c r="B458" s="520">
        <f>('Pivot Table for Data Exchange'!$Q$546)*100</f>
        <v>0</v>
      </c>
      <c r="C458" s="520">
        <f>('Pivot Table for Data Exchange'!$Q$549)*100</f>
        <v>0</v>
      </c>
      <c r="D458" s="521">
        <f>SUM(E458:G458)</f>
        <v>0</v>
      </c>
      <c r="E458" s="520">
        <f>('Pivot Table for Data Exchange'!$Q$552)*100</f>
        <v>0</v>
      </c>
      <c r="F458" s="520">
        <f>('Pivot Table for Data Exchange'!$Q$555)*100</f>
        <v>0</v>
      </c>
      <c r="G458" s="522">
        <f>('Pivot Table for Data Exchange'!$Q$558)*100</f>
        <v>0</v>
      </c>
      <c r="H458" s="520">
        <f>('Pivot Table for Data Exchange'!$Q$561)*100</f>
        <v>0</v>
      </c>
      <c r="I458" s="512"/>
      <c r="J458" s="552"/>
      <c r="K458" s="552"/>
      <c r="L458" s="552"/>
      <c r="M458" s="552"/>
      <c r="N458" s="552"/>
      <c r="O458" s="552"/>
      <c r="P458" s="552"/>
      <c r="Q458" s="510">
        <f>SUM(B458,C458,D458,H458)</f>
        <v>0</v>
      </c>
      <c r="R458" s="510"/>
      <c r="S458" s="511"/>
      <c r="T458" s="511"/>
      <c r="U458" s="511"/>
      <c r="V458" s="511"/>
      <c r="W458" s="511"/>
      <c r="X458" s="511"/>
      <c r="Y458" s="511"/>
      <c r="Z458" s="511"/>
      <c r="AA458" s="511"/>
      <c r="AB458" s="511"/>
      <c r="AC458" s="511"/>
      <c r="AD458" s="511"/>
      <c r="AE458" s="511"/>
      <c r="AF458" s="511"/>
      <c r="AG458" s="511"/>
      <c r="AH458" s="511"/>
      <c r="AI458" s="511"/>
      <c r="AJ458" s="511"/>
      <c r="AK458" s="511"/>
      <c r="AL458" s="511"/>
      <c r="AM458" s="511"/>
      <c r="AN458" s="511"/>
      <c r="AO458" s="511"/>
    </row>
    <row r="459" spans="1:41" s="524" customFormat="1" ht="12.75" customHeight="1">
      <c r="A459" s="525" t="s">
        <v>937</v>
      </c>
      <c r="B459" s="526"/>
      <c r="C459" s="526"/>
      <c r="D459" s="527"/>
      <c r="E459" s="526"/>
      <c r="F459" s="527"/>
      <c r="G459" s="527"/>
      <c r="H459" s="526"/>
      <c r="I459" s="546"/>
      <c r="J459" s="526"/>
      <c r="K459" s="526"/>
      <c r="L459" s="527"/>
      <c r="M459" s="526"/>
      <c r="N459" s="527"/>
      <c r="O459" s="527"/>
      <c r="P459" s="526"/>
      <c r="Q459" s="553"/>
      <c r="R459" s="553"/>
      <c r="S459" s="528"/>
      <c r="T459" s="528"/>
      <c r="U459" s="528"/>
      <c r="V459" s="528"/>
      <c r="W459" s="528"/>
      <c r="X459" s="528"/>
      <c r="Y459" s="528"/>
      <c r="Z459" s="528"/>
      <c r="AA459" s="528"/>
      <c r="AB459" s="528"/>
      <c r="AC459" s="528"/>
      <c r="AD459" s="528"/>
      <c r="AE459" s="528"/>
      <c r="AF459" s="528"/>
      <c r="AG459" s="528"/>
      <c r="AH459" s="528"/>
      <c r="AI459" s="528"/>
      <c r="AJ459" s="528"/>
      <c r="AK459" s="528"/>
      <c r="AL459" s="528"/>
      <c r="AM459" s="528"/>
      <c r="AN459" s="528"/>
      <c r="AO459" s="528"/>
    </row>
    <row r="460" spans="1:41" s="524" customFormat="1" ht="13.5" customHeight="1">
      <c r="A460" s="546"/>
      <c r="B460" s="526"/>
      <c r="C460" s="526"/>
      <c r="D460" s="527"/>
      <c r="E460" s="526"/>
      <c r="F460" s="527"/>
      <c r="G460" s="527"/>
      <c r="H460" s="526"/>
      <c r="I460" s="546"/>
      <c r="J460" s="526"/>
      <c r="K460" s="526"/>
      <c r="L460" s="527"/>
      <c r="M460" s="526"/>
      <c r="N460" s="527"/>
      <c r="O460" s="527"/>
      <c r="P460" s="526"/>
      <c r="Q460" s="553"/>
      <c r="R460" s="553"/>
      <c r="S460" s="528"/>
      <c r="T460" s="528"/>
      <c r="U460" s="528"/>
      <c r="V460" s="528"/>
      <c r="W460" s="528"/>
      <c r="X460" s="528"/>
      <c r="Y460" s="528"/>
      <c r="Z460" s="528"/>
      <c r="AA460" s="528"/>
      <c r="AB460" s="528"/>
      <c r="AC460" s="528"/>
      <c r="AD460" s="528"/>
      <c r="AE460" s="528"/>
      <c r="AF460" s="528"/>
      <c r="AG460" s="528"/>
      <c r="AH460" s="528"/>
      <c r="AI460" s="528"/>
      <c r="AJ460" s="528"/>
      <c r="AK460" s="528"/>
      <c r="AL460" s="528"/>
      <c r="AM460" s="528"/>
      <c r="AN460" s="528"/>
      <c r="AO460" s="528"/>
    </row>
    <row r="461" spans="1:41" s="524" customFormat="1" ht="13.5" customHeight="1">
      <c r="A461" s="546"/>
      <c r="B461" s="539"/>
      <c r="H461" s="532" t="s">
        <v>1015</v>
      </c>
      <c r="I461" s="546"/>
      <c r="P461" s="541"/>
      <c r="Q461" s="561"/>
      <c r="R461" s="554"/>
    </row>
    <row r="462" spans="1:41" s="524" customFormat="1" ht="13.5" customHeight="1">
      <c r="A462" s="538"/>
      <c r="H462" s="540"/>
      <c r="I462" s="538"/>
      <c r="Q462" s="561"/>
      <c r="R462" s="554"/>
    </row>
    <row r="463" spans="1:41" s="524" customFormat="1" ht="13.5" customHeight="1">
      <c r="A463" s="538"/>
      <c r="H463" s="540"/>
      <c r="I463" s="538"/>
      <c r="Q463" s="561"/>
      <c r="R463" s="554"/>
    </row>
    <row r="464" spans="1:41">
      <c r="I464" s="550"/>
      <c r="J464" s="512"/>
      <c r="K464" s="512"/>
      <c r="L464" s="512"/>
      <c r="M464" s="512"/>
      <c r="N464" s="512"/>
      <c r="O464" s="512"/>
      <c r="P464" s="512"/>
    </row>
    <row r="465" spans="8:18" s="562" customFormat="1">
      <c r="H465" s="512"/>
      <c r="I465" s="550"/>
      <c r="J465" s="512"/>
      <c r="K465" s="512"/>
      <c r="L465" s="512"/>
      <c r="M465" s="512"/>
      <c r="N465" s="512"/>
      <c r="O465" s="512"/>
      <c r="P465" s="512"/>
      <c r="Q465" s="482"/>
      <c r="R465" s="488"/>
    </row>
    <row r="466" spans="8:18" s="562" customFormat="1">
      <c r="H466" s="512"/>
      <c r="I466" s="550"/>
      <c r="J466" s="512"/>
      <c r="K466" s="512"/>
      <c r="L466" s="512"/>
      <c r="M466" s="512"/>
      <c r="N466" s="512"/>
      <c r="O466" s="512"/>
      <c r="P466" s="512"/>
      <c r="Q466" s="482"/>
      <c r="R466" s="488"/>
    </row>
    <row r="467" spans="8:18" s="562" customFormat="1">
      <c r="H467" s="512"/>
      <c r="I467" s="550"/>
      <c r="J467" s="512"/>
      <c r="K467" s="512"/>
      <c r="L467" s="512"/>
      <c r="M467" s="512"/>
      <c r="N467" s="512"/>
      <c r="O467" s="512"/>
      <c r="P467" s="512"/>
      <c r="Q467" s="482"/>
      <c r="R467" s="488"/>
    </row>
    <row r="468" spans="8:18" s="562" customFormat="1">
      <c r="H468" s="512"/>
      <c r="I468" s="550"/>
      <c r="J468" s="512"/>
      <c r="K468" s="512"/>
      <c r="L468" s="512"/>
      <c r="M468" s="512"/>
      <c r="N468" s="512"/>
      <c r="O468" s="512"/>
      <c r="P468" s="512"/>
      <c r="Q468" s="482"/>
      <c r="R468" s="488"/>
    </row>
    <row r="469" spans="8:18" s="562" customFormat="1">
      <c r="H469" s="512"/>
      <c r="I469" s="550"/>
      <c r="J469" s="512"/>
      <c r="K469" s="512"/>
      <c r="L469" s="512"/>
      <c r="M469" s="512"/>
      <c r="N469" s="512"/>
      <c r="O469" s="512"/>
      <c r="P469" s="512"/>
      <c r="Q469" s="482"/>
      <c r="R469" s="488"/>
    </row>
    <row r="470" spans="8:18" s="562" customFormat="1">
      <c r="H470" s="512"/>
      <c r="I470" s="550"/>
      <c r="J470" s="512"/>
      <c r="K470" s="512"/>
      <c r="L470" s="512"/>
      <c r="M470" s="512"/>
      <c r="N470" s="512"/>
      <c r="O470" s="512"/>
      <c r="P470" s="512"/>
      <c r="Q470" s="482"/>
      <c r="R470" s="488"/>
    </row>
    <row r="471" spans="8:18" s="562" customFormat="1">
      <c r="H471" s="512"/>
      <c r="I471" s="550"/>
      <c r="J471" s="512"/>
      <c r="K471" s="512"/>
      <c r="L471" s="512"/>
      <c r="M471" s="512"/>
      <c r="N471" s="512"/>
      <c r="O471" s="512"/>
      <c r="P471" s="512"/>
      <c r="Q471" s="482"/>
      <c r="R471" s="488"/>
    </row>
    <row r="472" spans="8:18" s="562" customFormat="1">
      <c r="H472" s="512"/>
      <c r="I472" s="550"/>
      <c r="J472" s="512"/>
      <c r="K472" s="512"/>
      <c r="L472" s="512"/>
      <c r="M472" s="512"/>
      <c r="N472" s="512"/>
      <c r="O472" s="512"/>
      <c r="P472" s="512"/>
      <c r="Q472" s="482"/>
      <c r="R472" s="488"/>
    </row>
    <row r="473" spans="8:18" s="562" customFormat="1">
      <c r="H473" s="512"/>
      <c r="I473" s="550"/>
      <c r="J473" s="512"/>
      <c r="K473" s="512"/>
      <c r="L473" s="512"/>
      <c r="M473" s="512"/>
      <c r="N473" s="512"/>
      <c r="O473" s="512"/>
      <c r="P473" s="512"/>
      <c r="Q473" s="482"/>
      <c r="R473" s="488"/>
    </row>
    <row r="474" spans="8:18" s="562" customFormat="1">
      <c r="H474" s="512"/>
      <c r="I474" s="550"/>
      <c r="J474" s="512"/>
      <c r="K474" s="512"/>
      <c r="L474" s="512"/>
      <c r="M474" s="512"/>
      <c r="N474" s="512"/>
      <c r="O474" s="512"/>
      <c r="P474" s="512"/>
      <c r="Q474" s="482"/>
      <c r="R474" s="488"/>
    </row>
    <row r="475" spans="8:18" s="562" customFormat="1">
      <c r="H475" s="512"/>
      <c r="I475" s="550"/>
      <c r="J475" s="512"/>
      <c r="K475" s="512"/>
      <c r="L475" s="512"/>
      <c r="M475" s="512"/>
      <c r="N475" s="512"/>
      <c r="O475" s="512"/>
      <c r="P475" s="512"/>
      <c r="Q475" s="482"/>
      <c r="R475" s="488"/>
    </row>
    <row r="476" spans="8:18" s="562" customFormat="1">
      <c r="H476" s="512"/>
      <c r="I476" s="550"/>
      <c r="J476" s="512"/>
      <c r="K476" s="512"/>
      <c r="L476" s="512"/>
      <c r="M476" s="512"/>
      <c r="N476" s="512"/>
      <c r="O476" s="512"/>
      <c r="P476" s="512"/>
      <c r="Q476" s="482"/>
      <c r="R476" s="488"/>
    </row>
    <row r="477" spans="8:18" s="562" customFormat="1">
      <c r="H477" s="512"/>
      <c r="I477" s="550"/>
      <c r="J477" s="512"/>
      <c r="K477" s="512"/>
      <c r="L477" s="512"/>
      <c r="M477" s="512"/>
      <c r="N477" s="512"/>
      <c r="O477" s="512"/>
      <c r="P477" s="512"/>
      <c r="Q477" s="482"/>
      <c r="R477" s="488"/>
    </row>
    <row r="478" spans="8:18" s="562" customFormat="1">
      <c r="H478" s="512"/>
      <c r="I478" s="550"/>
      <c r="J478" s="512"/>
      <c r="K478" s="512"/>
      <c r="L478" s="512"/>
      <c r="M478" s="512"/>
      <c r="N478" s="512"/>
      <c r="O478" s="512"/>
      <c r="P478" s="512"/>
      <c r="Q478" s="482"/>
      <c r="R478" s="488"/>
    </row>
    <row r="479" spans="8:18" s="562" customFormat="1">
      <c r="H479" s="512"/>
      <c r="I479" s="550"/>
      <c r="J479" s="512"/>
      <c r="K479" s="512"/>
      <c r="L479" s="512"/>
      <c r="M479" s="512"/>
      <c r="N479" s="512"/>
      <c r="O479" s="512"/>
      <c r="P479" s="512"/>
      <c r="Q479" s="482"/>
      <c r="R479" s="488"/>
    </row>
    <row r="480" spans="8:18" s="562" customFormat="1">
      <c r="H480" s="512"/>
      <c r="I480" s="550"/>
      <c r="J480" s="512"/>
      <c r="K480" s="512"/>
      <c r="L480" s="512"/>
      <c r="M480" s="512"/>
      <c r="N480" s="512"/>
      <c r="O480" s="512"/>
      <c r="P480" s="512"/>
      <c r="Q480" s="482"/>
      <c r="R480" s="488"/>
    </row>
    <row r="481" spans="8:18" s="562" customFormat="1">
      <c r="H481" s="512"/>
      <c r="I481" s="550"/>
      <c r="J481" s="512"/>
      <c r="K481" s="512"/>
      <c r="L481" s="512"/>
      <c r="M481" s="512"/>
      <c r="N481" s="512"/>
      <c r="O481" s="512"/>
      <c r="P481" s="512"/>
      <c r="Q481" s="482"/>
      <c r="R481" s="488"/>
    </row>
    <row r="482" spans="8:18" s="562" customFormat="1">
      <c r="H482" s="512"/>
      <c r="I482" s="550"/>
      <c r="J482" s="512"/>
      <c r="K482" s="512"/>
      <c r="L482" s="512"/>
      <c r="M482" s="512"/>
      <c r="N482" s="512"/>
      <c r="O482" s="512"/>
      <c r="P482" s="512"/>
      <c r="Q482" s="482"/>
      <c r="R482" s="488"/>
    </row>
    <row r="483" spans="8:18" s="562" customFormat="1">
      <c r="H483" s="512"/>
      <c r="I483" s="550"/>
      <c r="J483" s="512"/>
      <c r="K483" s="512"/>
      <c r="L483" s="512"/>
      <c r="M483" s="512"/>
      <c r="N483" s="512"/>
      <c r="O483" s="512"/>
      <c r="P483" s="512"/>
      <c r="Q483" s="482"/>
      <c r="R483" s="488"/>
    </row>
    <row r="484" spans="8:18" s="562" customFormat="1">
      <c r="H484" s="512"/>
      <c r="I484" s="550"/>
      <c r="J484" s="512"/>
      <c r="K484" s="512"/>
      <c r="L484" s="512"/>
      <c r="M484" s="512"/>
      <c r="N484" s="512"/>
      <c r="O484" s="512"/>
      <c r="P484" s="512"/>
      <c r="Q484" s="482"/>
      <c r="R484" s="488"/>
    </row>
    <row r="485" spans="8:18" s="562" customFormat="1">
      <c r="H485" s="512"/>
      <c r="I485" s="550"/>
      <c r="J485" s="512"/>
      <c r="K485" s="512"/>
      <c r="L485" s="512"/>
      <c r="M485" s="512"/>
      <c r="N485" s="512"/>
      <c r="O485" s="512"/>
      <c r="P485" s="512"/>
      <c r="Q485" s="482"/>
      <c r="R485" s="488"/>
    </row>
    <row r="486" spans="8:18" s="562" customFormat="1">
      <c r="H486" s="512"/>
      <c r="I486" s="550"/>
      <c r="J486" s="512"/>
      <c r="K486" s="512"/>
      <c r="L486" s="512"/>
      <c r="M486" s="512"/>
      <c r="N486" s="512"/>
      <c r="O486" s="512"/>
      <c r="P486" s="512"/>
      <c r="Q486" s="482"/>
      <c r="R486" s="488"/>
    </row>
    <row r="487" spans="8:18" s="562" customFormat="1">
      <c r="H487" s="512"/>
      <c r="I487" s="550"/>
      <c r="J487" s="512"/>
      <c r="K487" s="512"/>
      <c r="L487" s="512"/>
      <c r="M487" s="512"/>
      <c r="N487" s="512"/>
      <c r="O487" s="512"/>
      <c r="P487" s="512"/>
      <c r="Q487" s="482"/>
      <c r="R487" s="488"/>
    </row>
    <row r="488" spans="8:18" s="562" customFormat="1">
      <c r="H488" s="512"/>
      <c r="I488" s="550"/>
      <c r="J488" s="512"/>
      <c r="K488" s="512"/>
      <c r="L488" s="512"/>
      <c r="M488" s="512"/>
      <c r="N488" s="512"/>
      <c r="O488" s="512"/>
      <c r="P488" s="512"/>
      <c r="Q488" s="482"/>
      <c r="R488" s="488"/>
    </row>
    <row r="489" spans="8:18" s="562" customFormat="1">
      <c r="H489" s="512"/>
      <c r="I489" s="550"/>
      <c r="J489" s="512"/>
      <c r="K489" s="512"/>
      <c r="L489" s="512"/>
      <c r="M489" s="512"/>
      <c r="N489" s="512"/>
      <c r="O489" s="512"/>
      <c r="P489" s="512"/>
      <c r="Q489" s="482"/>
      <c r="R489" s="488"/>
    </row>
    <row r="490" spans="8:18" s="562" customFormat="1">
      <c r="H490" s="512"/>
      <c r="I490" s="550"/>
      <c r="J490" s="512"/>
      <c r="K490" s="512"/>
      <c r="L490" s="512"/>
      <c r="M490" s="512"/>
      <c r="N490" s="512"/>
      <c r="O490" s="512"/>
      <c r="P490" s="512"/>
      <c r="Q490" s="482"/>
      <c r="R490" s="488"/>
    </row>
    <row r="491" spans="8:18" s="562" customFormat="1">
      <c r="H491" s="512"/>
      <c r="I491" s="550"/>
      <c r="J491" s="512"/>
      <c r="K491" s="512"/>
      <c r="L491" s="512"/>
      <c r="M491" s="512"/>
      <c r="N491" s="512"/>
      <c r="O491" s="512"/>
      <c r="P491" s="512"/>
      <c r="Q491" s="482"/>
      <c r="R491" s="488"/>
    </row>
    <row r="492" spans="8:18" s="562" customFormat="1">
      <c r="H492" s="512"/>
      <c r="I492" s="550"/>
      <c r="J492" s="512"/>
      <c r="K492" s="512"/>
      <c r="L492" s="512"/>
      <c r="M492" s="512"/>
      <c r="N492" s="512"/>
      <c r="O492" s="512"/>
      <c r="P492" s="512"/>
      <c r="Q492" s="482"/>
      <c r="R492" s="488"/>
    </row>
    <row r="493" spans="8:18" s="562" customFormat="1">
      <c r="H493" s="512"/>
      <c r="I493" s="550"/>
      <c r="J493" s="512"/>
      <c r="K493" s="512"/>
      <c r="L493" s="512"/>
      <c r="M493" s="512"/>
      <c r="N493" s="512"/>
      <c r="O493" s="512"/>
      <c r="P493" s="512"/>
      <c r="Q493" s="482"/>
      <c r="R493" s="488"/>
    </row>
    <row r="494" spans="8:18" s="562" customFormat="1">
      <c r="H494" s="512"/>
      <c r="I494" s="550"/>
      <c r="J494" s="512"/>
      <c r="K494" s="512"/>
      <c r="L494" s="512"/>
      <c r="M494" s="512"/>
      <c r="N494" s="512"/>
      <c r="O494" s="512"/>
      <c r="P494" s="512"/>
      <c r="Q494" s="482"/>
      <c r="R494" s="488"/>
    </row>
    <row r="495" spans="8:18" s="562" customFormat="1">
      <c r="H495" s="512"/>
      <c r="I495" s="550"/>
      <c r="J495" s="512"/>
      <c r="K495" s="512"/>
      <c r="L495" s="512"/>
      <c r="M495" s="512"/>
      <c r="N495" s="512"/>
      <c r="O495" s="512"/>
      <c r="P495" s="512"/>
      <c r="Q495" s="482"/>
      <c r="R495" s="488"/>
    </row>
    <row r="496" spans="8:18" s="562" customFormat="1">
      <c r="H496" s="512"/>
      <c r="I496" s="550"/>
      <c r="J496" s="512"/>
      <c r="K496" s="512"/>
      <c r="L496" s="512"/>
      <c r="M496" s="512"/>
      <c r="N496" s="512"/>
      <c r="O496" s="512"/>
      <c r="P496" s="512"/>
      <c r="Q496" s="482"/>
      <c r="R496" s="488"/>
    </row>
    <row r="497" spans="8:18" s="562" customFormat="1">
      <c r="H497" s="512"/>
      <c r="I497" s="550"/>
      <c r="J497" s="512"/>
      <c r="K497" s="512"/>
      <c r="L497" s="512"/>
      <c r="M497" s="512"/>
      <c r="N497" s="512"/>
      <c r="O497" s="512"/>
      <c r="P497" s="512"/>
      <c r="Q497" s="482"/>
      <c r="R497" s="488"/>
    </row>
    <row r="498" spans="8:18" s="562" customFormat="1">
      <c r="H498" s="512"/>
      <c r="I498" s="550"/>
      <c r="J498" s="512"/>
      <c r="K498" s="512"/>
      <c r="L498" s="512"/>
      <c r="M498" s="512"/>
      <c r="N498" s="512"/>
      <c r="O498" s="512"/>
      <c r="P498" s="512"/>
      <c r="Q498" s="482"/>
      <c r="R498" s="488"/>
    </row>
    <row r="499" spans="8:18" s="562" customFormat="1">
      <c r="H499" s="512"/>
      <c r="I499" s="550"/>
      <c r="J499" s="512"/>
      <c r="K499" s="512"/>
      <c r="L499" s="512"/>
      <c r="M499" s="512"/>
      <c r="N499" s="512"/>
      <c r="O499" s="512"/>
      <c r="P499" s="512"/>
      <c r="Q499" s="482"/>
      <c r="R499" s="488"/>
    </row>
    <row r="500" spans="8:18" s="562" customFormat="1">
      <c r="H500" s="512"/>
      <c r="I500" s="550"/>
      <c r="J500" s="512"/>
      <c r="K500" s="512"/>
      <c r="L500" s="512"/>
      <c r="M500" s="512"/>
      <c r="N500" s="512"/>
      <c r="O500" s="512"/>
      <c r="P500" s="512"/>
      <c r="Q500" s="482"/>
      <c r="R500" s="488"/>
    </row>
    <row r="501" spans="8:18" s="562" customFormat="1">
      <c r="H501" s="512"/>
      <c r="I501" s="550"/>
      <c r="J501" s="512"/>
      <c r="K501" s="512"/>
      <c r="L501" s="512"/>
      <c r="M501" s="512"/>
      <c r="N501" s="512"/>
      <c r="O501" s="512"/>
      <c r="P501" s="512"/>
      <c r="Q501" s="482"/>
      <c r="R501" s="488"/>
    </row>
    <row r="502" spans="8:18" s="562" customFormat="1">
      <c r="H502" s="512"/>
      <c r="I502" s="550"/>
      <c r="J502" s="512"/>
      <c r="K502" s="512"/>
      <c r="L502" s="512"/>
      <c r="M502" s="512"/>
      <c r="N502" s="512"/>
      <c r="O502" s="512"/>
      <c r="P502" s="512"/>
      <c r="Q502" s="482"/>
      <c r="R502" s="488"/>
    </row>
    <row r="503" spans="8:18" s="562" customFormat="1">
      <c r="H503" s="512"/>
      <c r="I503" s="550"/>
      <c r="J503" s="512"/>
      <c r="K503" s="512"/>
      <c r="L503" s="512"/>
      <c r="M503" s="512"/>
      <c r="N503" s="512"/>
      <c r="O503" s="512"/>
      <c r="P503" s="512"/>
      <c r="Q503" s="482"/>
      <c r="R503" s="488"/>
    </row>
    <row r="504" spans="8:18" s="562" customFormat="1">
      <c r="H504" s="512"/>
      <c r="I504" s="550"/>
      <c r="J504" s="512"/>
      <c r="K504" s="512"/>
      <c r="L504" s="512"/>
      <c r="M504" s="512"/>
      <c r="N504" s="512"/>
      <c r="O504" s="512"/>
      <c r="P504" s="512"/>
      <c r="Q504" s="482"/>
      <c r="R504" s="488"/>
    </row>
    <row r="505" spans="8:18" s="562" customFormat="1">
      <c r="H505" s="512"/>
      <c r="I505" s="550"/>
      <c r="J505" s="512"/>
      <c r="K505" s="512"/>
      <c r="L505" s="512"/>
      <c r="M505" s="512"/>
      <c r="N505" s="512"/>
      <c r="O505" s="512"/>
      <c r="P505" s="512"/>
      <c r="Q505" s="482"/>
      <c r="R505" s="488"/>
    </row>
    <row r="506" spans="8:18" s="562" customFormat="1">
      <c r="H506" s="512"/>
      <c r="I506" s="550"/>
      <c r="J506" s="512"/>
      <c r="K506" s="512"/>
      <c r="L506" s="512"/>
      <c r="M506" s="512"/>
      <c r="N506" s="512"/>
      <c r="O506" s="512"/>
      <c r="P506" s="512"/>
      <c r="Q506" s="482"/>
      <c r="R506" s="488"/>
    </row>
    <row r="507" spans="8:18" s="562" customFormat="1">
      <c r="H507" s="512"/>
      <c r="I507" s="550"/>
      <c r="J507" s="512"/>
      <c r="K507" s="512"/>
      <c r="L507" s="512"/>
      <c r="M507" s="512"/>
      <c r="N507" s="512"/>
      <c r="O507" s="512"/>
      <c r="P507" s="512"/>
      <c r="Q507" s="482"/>
      <c r="R507" s="488"/>
    </row>
    <row r="508" spans="8:18" s="562" customFormat="1">
      <c r="H508" s="512"/>
      <c r="I508" s="550"/>
      <c r="J508" s="512"/>
      <c r="K508" s="512"/>
      <c r="L508" s="512"/>
      <c r="M508" s="512"/>
      <c r="N508" s="512"/>
      <c r="O508" s="512"/>
      <c r="P508" s="512"/>
      <c r="Q508" s="482"/>
      <c r="R508" s="488"/>
    </row>
    <row r="509" spans="8:18" s="562" customFormat="1">
      <c r="H509" s="512"/>
      <c r="I509" s="550"/>
      <c r="J509" s="512"/>
      <c r="K509" s="512"/>
      <c r="L509" s="512"/>
      <c r="M509" s="512"/>
      <c r="N509" s="512"/>
      <c r="O509" s="512"/>
      <c r="P509" s="512"/>
      <c r="Q509" s="482"/>
      <c r="R509" s="488"/>
    </row>
    <row r="510" spans="8:18" s="562" customFormat="1">
      <c r="H510" s="512"/>
      <c r="I510" s="550"/>
      <c r="J510" s="512"/>
      <c r="K510" s="512"/>
      <c r="L510" s="512"/>
      <c r="M510" s="512"/>
      <c r="N510" s="512"/>
      <c r="O510" s="512"/>
      <c r="P510" s="512"/>
      <c r="Q510" s="482"/>
      <c r="R510" s="488"/>
    </row>
    <row r="511" spans="8:18" s="562" customFormat="1">
      <c r="H511" s="512"/>
      <c r="I511" s="550"/>
      <c r="J511" s="512"/>
      <c r="K511" s="512"/>
      <c r="L511" s="512"/>
      <c r="M511" s="512"/>
      <c r="N511" s="512"/>
      <c r="O511" s="512"/>
      <c r="P511" s="512"/>
      <c r="Q511" s="482"/>
      <c r="R511" s="488"/>
    </row>
    <row r="512" spans="8:18" s="562" customFormat="1">
      <c r="H512" s="512"/>
      <c r="I512" s="550"/>
      <c r="J512" s="512"/>
      <c r="K512" s="512"/>
      <c r="L512" s="512"/>
      <c r="M512" s="512"/>
      <c r="N512" s="512"/>
      <c r="O512" s="512"/>
      <c r="P512" s="512"/>
      <c r="Q512" s="482"/>
      <c r="R512" s="488"/>
    </row>
    <row r="513" spans="8:18" s="562" customFormat="1">
      <c r="H513" s="512"/>
      <c r="I513" s="550"/>
      <c r="J513" s="512"/>
      <c r="K513" s="512"/>
      <c r="L513" s="512"/>
      <c r="M513" s="512"/>
      <c r="N513" s="512"/>
      <c r="O513" s="512"/>
      <c r="P513" s="512"/>
      <c r="Q513" s="482"/>
      <c r="R513" s="488"/>
    </row>
    <row r="514" spans="8:18" s="562" customFormat="1">
      <c r="H514" s="512"/>
      <c r="I514" s="550"/>
      <c r="J514" s="512"/>
      <c r="K514" s="512"/>
      <c r="L514" s="512"/>
      <c r="M514" s="512"/>
      <c r="N514" s="512"/>
      <c r="O514" s="512"/>
      <c r="P514" s="512"/>
      <c r="Q514" s="482"/>
      <c r="R514" s="488"/>
    </row>
    <row r="515" spans="8:18" s="562" customFormat="1">
      <c r="H515" s="512"/>
      <c r="I515" s="550"/>
      <c r="J515" s="512"/>
      <c r="K515" s="512"/>
      <c r="L515" s="512"/>
      <c r="M515" s="512"/>
      <c r="N515" s="512"/>
      <c r="O515" s="512"/>
      <c r="P515" s="512"/>
      <c r="Q515" s="482"/>
      <c r="R515" s="488"/>
    </row>
    <row r="516" spans="8:18" s="562" customFormat="1">
      <c r="H516" s="512"/>
      <c r="I516" s="550"/>
      <c r="J516" s="512"/>
      <c r="K516" s="512"/>
      <c r="L516" s="512"/>
      <c r="M516" s="512"/>
      <c r="N516" s="512"/>
      <c r="O516" s="512"/>
      <c r="P516" s="512"/>
      <c r="Q516" s="482"/>
      <c r="R516" s="488"/>
    </row>
    <row r="517" spans="8:18" s="562" customFormat="1">
      <c r="H517" s="512"/>
      <c r="I517" s="550"/>
      <c r="J517" s="512"/>
      <c r="K517" s="512"/>
      <c r="L517" s="512"/>
      <c r="M517" s="512"/>
      <c r="N517" s="512"/>
      <c r="O517" s="512"/>
      <c r="P517" s="512"/>
      <c r="Q517" s="482"/>
      <c r="R517" s="488"/>
    </row>
    <row r="518" spans="8:18" s="562" customFormat="1">
      <c r="H518" s="512"/>
      <c r="I518" s="550"/>
      <c r="J518" s="512"/>
      <c r="K518" s="512"/>
      <c r="L518" s="512"/>
      <c r="M518" s="512"/>
      <c r="N518" s="512"/>
      <c r="O518" s="512"/>
      <c r="P518" s="512"/>
      <c r="Q518" s="482"/>
      <c r="R518" s="488"/>
    </row>
    <row r="519" spans="8:18" s="562" customFormat="1">
      <c r="H519" s="512"/>
      <c r="I519" s="550"/>
      <c r="J519" s="512"/>
      <c r="K519" s="512"/>
      <c r="L519" s="512"/>
      <c r="M519" s="512"/>
      <c r="N519" s="512"/>
      <c r="O519" s="512"/>
      <c r="P519" s="512"/>
      <c r="Q519" s="482"/>
      <c r="R519" s="488"/>
    </row>
    <row r="520" spans="8:18" s="562" customFormat="1">
      <c r="H520" s="512"/>
      <c r="I520" s="550"/>
      <c r="J520" s="512"/>
      <c r="K520" s="512"/>
      <c r="L520" s="512"/>
      <c r="M520" s="512"/>
      <c r="N520" s="512"/>
      <c r="O520" s="512"/>
      <c r="P520" s="512"/>
      <c r="Q520" s="482"/>
      <c r="R520" s="488"/>
    </row>
    <row r="521" spans="8:18" s="562" customFormat="1">
      <c r="H521" s="512"/>
      <c r="I521" s="550"/>
      <c r="J521" s="512"/>
      <c r="K521" s="512"/>
      <c r="L521" s="512"/>
      <c r="M521" s="512"/>
      <c r="N521" s="512"/>
      <c r="O521" s="512"/>
      <c r="P521" s="512"/>
      <c r="Q521" s="482"/>
      <c r="R521" s="488"/>
    </row>
    <row r="522" spans="8:18" s="562" customFormat="1">
      <c r="H522" s="512"/>
      <c r="I522" s="550"/>
      <c r="J522" s="512"/>
      <c r="K522" s="512"/>
      <c r="L522" s="512"/>
      <c r="M522" s="512"/>
      <c r="N522" s="512"/>
      <c r="O522" s="512"/>
      <c r="P522" s="512"/>
      <c r="Q522" s="482"/>
      <c r="R522" s="488"/>
    </row>
    <row r="523" spans="8:18" s="562" customFormat="1">
      <c r="H523" s="512"/>
      <c r="I523" s="550"/>
      <c r="J523" s="512"/>
      <c r="K523" s="512"/>
      <c r="L523" s="512"/>
      <c r="M523" s="512"/>
      <c r="N523" s="512"/>
      <c r="O523" s="512"/>
      <c r="P523" s="512"/>
      <c r="Q523" s="482"/>
      <c r="R523" s="488"/>
    </row>
    <row r="524" spans="8:18" s="562" customFormat="1">
      <c r="H524" s="512"/>
      <c r="I524" s="550"/>
      <c r="J524" s="512"/>
      <c r="K524" s="512"/>
      <c r="L524" s="512"/>
      <c r="M524" s="512"/>
      <c r="N524" s="512"/>
      <c r="O524" s="512"/>
      <c r="P524" s="512"/>
      <c r="Q524" s="482"/>
      <c r="R524" s="488"/>
    </row>
    <row r="525" spans="8:18" s="562" customFormat="1">
      <c r="H525" s="512"/>
      <c r="I525" s="550"/>
      <c r="J525" s="512"/>
      <c r="K525" s="512"/>
      <c r="L525" s="512"/>
      <c r="M525" s="512"/>
      <c r="N525" s="512"/>
      <c r="O525" s="512"/>
      <c r="P525" s="512"/>
      <c r="Q525" s="482"/>
      <c r="R525" s="488"/>
    </row>
    <row r="526" spans="8:18" s="562" customFormat="1">
      <c r="H526" s="512"/>
      <c r="I526" s="550"/>
      <c r="J526" s="512"/>
      <c r="K526" s="512"/>
      <c r="L526" s="512"/>
      <c r="M526" s="512"/>
      <c r="N526" s="512"/>
      <c r="O526" s="512"/>
      <c r="P526" s="512"/>
      <c r="Q526" s="482"/>
      <c r="R526" s="488"/>
    </row>
    <row r="527" spans="8:18" s="562" customFormat="1">
      <c r="H527" s="512"/>
      <c r="I527" s="550"/>
      <c r="J527" s="512"/>
      <c r="K527" s="512"/>
      <c r="L527" s="512"/>
      <c r="M527" s="512"/>
      <c r="N527" s="512"/>
      <c r="O527" s="512"/>
      <c r="P527" s="512"/>
      <c r="Q527" s="482"/>
      <c r="R527" s="488"/>
    </row>
    <row r="528" spans="8:18" s="562" customFormat="1">
      <c r="H528" s="512"/>
      <c r="I528" s="550"/>
      <c r="J528" s="512"/>
      <c r="K528" s="512"/>
      <c r="L528" s="512"/>
      <c r="M528" s="512"/>
      <c r="N528" s="512"/>
      <c r="O528" s="512"/>
      <c r="P528" s="512"/>
      <c r="Q528" s="482"/>
      <c r="R528" s="488"/>
    </row>
    <row r="529" spans="8:18" s="562" customFormat="1">
      <c r="H529" s="512"/>
      <c r="I529" s="550"/>
      <c r="J529" s="512"/>
      <c r="K529" s="512"/>
      <c r="L529" s="512"/>
      <c r="M529" s="512"/>
      <c r="N529" s="512"/>
      <c r="O529" s="512"/>
      <c r="P529" s="512"/>
      <c r="Q529" s="482"/>
      <c r="R529" s="488"/>
    </row>
    <row r="530" spans="8:18" s="562" customFormat="1">
      <c r="H530" s="512"/>
      <c r="I530" s="550"/>
      <c r="J530" s="512"/>
      <c r="K530" s="512"/>
      <c r="L530" s="512"/>
      <c r="M530" s="512"/>
      <c r="N530" s="512"/>
      <c r="O530" s="512"/>
      <c r="P530" s="512"/>
      <c r="Q530" s="482"/>
      <c r="R530" s="488"/>
    </row>
    <row r="531" spans="8:18" s="562" customFormat="1">
      <c r="H531" s="512"/>
      <c r="I531" s="550"/>
      <c r="J531" s="512"/>
      <c r="K531" s="512"/>
      <c r="L531" s="512"/>
      <c r="M531" s="512"/>
      <c r="N531" s="512"/>
      <c r="O531" s="512"/>
      <c r="P531" s="512"/>
      <c r="Q531" s="482"/>
      <c r="R531" s="488"/>
    </row>
    <row r="532" spans="8:18" s="562" customFormat="1">
      <c r="H532" s="512"/>
      <c r="I532" s="550"/>
      <c r="J532" s="512"/>
      <c r="K532" s="512"/>
      <c r="L532" s="512"/>
      <c r="M532" s="512"/>
      <c r="N532" s="512"/>
      <c r="O532" s="512"/>
      <c r="P532" s="512"/>
      <c r="Q532" s="482"/>
      <c r="R532" s="488"/>
    </row>
  </sheetData>
  <mergeCells count="41">
    <mergeCell ref="A30:H30"/>
    <mergeCell ref="I30:P30"/>
    <mergeCell ref="Q2:X2"/>
    <mergeCell ref="D7:G7"/>
    <mergeCell ref="L7:O7"/>
    <mergeCell ref="A28:H28"/>
    <mergeCell ref="I28:P28"/>
    <mergeCell ref="D131:G131"/>
    <mergeCell ref="L131:O131"/>
    <mergeCell ref="D39:G39"/>
    <mergeCell ref="L39:O39"/>
    <mergeCell ref="A61:H61"/>
    <mergeCell ref="I61:P61"/>
    <mergeCell ref="D70:G70"/>
    <mergeCell ref="L70:O70"/>
    <mergeCell ref="B99:H99"/>
    <mergeCell ref="D100:G100"/>
    <mergeCell ref="L100:O100"/>
    <mergeCell ref="A122:H122"/>
    <mergeCell ref="I122:P122"/>
    <mergeCell ref="A276:H276"/>
    <mergeCell ref="A153:H153"/>
    <mergeCell ref="I153:P153"/>
    <mergeCell ref="D162:G162"/>
    <mergeCell ref="L162:O162"/>
    <mergeCell ref="D192:G192"/>
    <mergeCell ref="L192:O192"/>
    <mergeCell ref="A214:H214"/>
    <mergeCell ref="I214:P214"/>
    <mergeCell ref="D223:G223"/>
    <mergeCell ref="A245:H245"/>
    <mergeCell ref="D254:G254"/>
    <mergeCell ref="D378:G378"/>
    <mergeCell ref="D408:G408"/>
    <mergeCell ref="D438:G438"/>
    <mergeCell ref="D285:G285"/>
    <mergeCell ref="A307:H307"/>
    <mergeCell ref="D316:G316"/>
    <mergeCell ref="A338:H338"/>
    <mergeCell ref="D347:G347"/>
    <mergeCell ref="A369:H369"/>
  </mergeCells>
  <conditionalFormatting sqref="Q1:R7 Q9:R1048576">
    <cfRule type="cellIs" dxfId="3523" priority="1" stopIfTrue="1" operator="notEqual">
      <formula>100</formula>
    </cfRule>
  </conditionalFormatting>
  <pageMargins left="0.7" right="0.7" top="0.75" bottom="0.75" header="0.3" footer="0.3"/>
  <pageSetup scale="97" firstPageNumber="91" orientation="landscape" useFirstPageNumber="1" r:id="rId1"/>
  <headerFooter>
    <oddHeader>&amp;R&amp;"Arial,Regular"&amp;8SREB-State Data Exchange</oddHeader>
    <oddFooter>&amp;CC-&amp;P</oddFooter>
  </headerFooter>
  <rowBreaks count="14" manualBreakCount="14">
    <brk id="32" max="15" man="1"/>
    <brk id="63" max="15" man="1"/>
    <brk id="93" max="15" man="1"/>
    <brk id="124" max="15" man="1"/>
    <brk id="155" max="15" man="1"/>
    <brk id="185" max="15" man="1"/>
    <brk id="216" max="15" man="1"/>
    <brk id="247" max="15" man="1"/>
    <brk id="278" max="15" man="1"/>
    <brk id="309" max="15" man="1"/>
    <brk id="340" max="15" man="1"/>
    <brk id="371" max="15" man="1"/>
    <brk id="401" max="15" man="1"/>
    <brk id="431" max="15" man="1"/>
  </rowBreaks>
  <colBreaks count="1" manualBreakCount="1">
    <brk id="8"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3543E-6D15-405B-9A3E-EDB9D2CF6E45}">
  <sheetPr>
    <tabColor rgb="FF006600"/>
  </sheetPr>
  <dimension ref="A2:W725"/>
  <sheetViews>
    <sheetView workbookViewId="0">
      <pane xSplit="2" ySplit="5" topLeftCell="C6" activePane="bottomRight" state="frozen"/>
      <selection pane="topRight" activeCell="C1" sqref="C1"/>
      <selection pane="bottomLeft" activeCell="A6" sqref="A6"/>
      <selection pane="bottomRight" sqref="A1:XFD1048576"/>
    </sheetView>
  </sheetViews>
  <sheetFormatPr defaultRowHeight="15"/>
  <cols>
    <col min="1" max="1" width="6" style="289" customWidth="1"/>
    <col min="2" max="2" width="21.7109375" style="289" customWidth="1"/>
    <col min="3" max="3" width="12.85546875" style="289" customWidth="1"/>
    <col min="4" max="9" width="12.85546875" style="290" customWidth="1"/>
    <col min="10" max="10" width="16" style="290" customWidth="1"/>
    <col min="11" max="14" width="11.140625" style="290" customWidth="1"/>
    <col min="15" max="15" width="14.28515625" style="290" customWidth="1"/>
    <col min="16" max="17" width="11.28515625" style="290" customWidth="1"/>
    <col min="18" max="18" width="14.5703125" style="290" customWidth="1"/>
    <col min="19" max="21" width="11.42578125" style="290" customWidth="1"/>
    <col min="22" max="22" width="9.140625" style="289" customWidth="1"/>
    <col min="23" max="16384" width="9.140625" style="289"/>
  </cols>
  <sheetData>
    <row r="2" spans="1:22">
      <c r="D2" s="290" t="s">
        <v>320</v>
      </c>
    </row>
    <row r="3" spans="1:22">
      <c r="A3" s="291"/>
      <c r="B3" s="292"/>
      <c r="C3" s="291" t="s">
        <v>760</v>
      </c>
      <c r="D3" s="293" t="s">
        <v>31</v>
      </c>
      <c r="E3" s="293"/>
      <c r="F3" s="294"/>
      <c r="G3" s="294"/>
      <c r="H3" s="294"/>
      <c r="I3" s="294"/>
      <c r="J3" s="294"/>
      <c r="K3" s="294"/>
      <c r="L3" s="294"/>
      <c r="M3" s="294"/>
      <c r="N3" s="294"/>
      <c r="O3" s="294"/>
      <c r="P3" s="294"/>
      <c r="Q3" s="294"/>
      <c r="R3" s="294"/>
      <c r="S3" s="295"/>
      <c r="T3" s="295"/>
      <c r="U3" s="294"/>
      <c r="V3" s="316"/>
    </row>
    <row r="4" spans="1:22">
      <c r="A4" s="296"/>
      <c r="B4" s="297"/>
      <c r="C4" s="296" t="s">
        <v>761</v>
      </c>
      <c r="D4" s="298"/>
      <c r="E4" s="297"/>
      <c r="F4" s="297"/>
      <c r="G4" s="297"/>
      <c r="H4" s="297"/>
      <c r="I4" s="297"/>
      <c r="J4" s="291" t="s">
        <v>762</v>
      </c>
      <c r="K4" s="299" t="s">
        <v>763</v>
      </c>
      <c r="L4" s="298"/>
      <c r="M4" s="297"/>
      <c r="N4" s="297"/>
      <c r="O4" s="291" t="s">
        <v>764</v>
      </c>
      <c r="P4" s="291" t="s">
        <v>765</v>
      </c>
      <c r="Q4" s="292"/>
      <c r="R4" s="291" t="s">
        <v>766</v>
      </c>
      <c r="S4" s="300" t="s">
        <v>767</v>
      </c>
      <c r="T4" s="300"/>
      <c r="U4" s="301"/>
      <c r="V4" s="316"/>
    </row>
    <row r="5" spans="1:22">
      <c r="A5" s="291" t="s">
        <v>24</v>
      </c>
      <c r="B5" s="291" t="s">
        <v>768</v>
      </c>
      <c r="C5" s="291">
        <v>1</v>
      </c>
      <c r="D5" s="302">
        <v>2</v>
      </c>
      <c r="E5" s="302">
        <v>3</v>
      </c>
      <c r="F5" s="302">
        <v>4</v>
      </c>
      <c r="G5" s="302">
        <v>5</v>
      </c>
      <c r="H5" s="302">
        <v>6</v>
      </c>
      <c r="I5" s="302">
        <v>15</v>
      </c>
      <c r="J5" s="303"/>
      <c r="K5" s="304">
        <v>7</v>
      </c>
      <c r="L5" s="302">
        <v>8</v>
      </c>
      <c r="M5" s="302">
        <v>9</v>
      </c>
      <c r="N5" s="302">
        <v>10</v>
      </c>
      <c r="O5" s="303"/>
      <c r="P5" s="340">
        <v>12</v>
      </c>
      <c r="Q5" s="290">
        <v>13</v>
      </c>
      <c r="R5" s="303"/>
      <c r="S5" s="305"/>
      <c r="T5" s="305"/>
      <c r="U5" s="306"/>
      <c r="V5" s="316"/>
    </row>
    <row r="6" spans="1:22">
      <c r="A6" s="307" t="s">
        <v>60</v>
      </c>
      <c r="B6" s="291" t="s">
        <v>769</v>
      </c>
      <c r="C6" s="308">
        <v>0.92957352109835101</v>
      </c>
      <c r="D6" s="309">
        <v>0.84665446117803345</v>
      </c>
      <c r="E6" s="309">
        <v>0.83116995144301797</v>
      </c>
      <c r="F6" s="309">
        <v>0.86541183075309647</v>
      </c>
      <c r="G6" s="309">
        <v>0.94621082070004914</v>
      </c>
      <c r="H6" s="309">
        <v>0.22256305385139741</v>
      </c>
      <c r="I6" s="309">
        <v>1</v>
      </c>
      <c r="J6" s="310">
        <v>0.87173367143945768</v>
      </c>
      <c r="K6" s="310">
        <v>0</v>
      </c>
      <c r="L6" s="309">
        <v>0.63286081542893136</v>
      </c>
      <c r="M6" s="309">
        <v>0.67511926908305331</v>
      </c>
      <c r="N6" s="309">
        <v>0.65874781856376308</v>
      </c>
      <c r="O6" s="310">
        <v>0.66289575205520057</v>
      </c>
      <c r="P6" s="310">
        <v>0.86917726605148671</v>
      </c>
      <c r="Q6" s="309">
        <v>0.94973231896308818</v>
      </c>
      <c r="R6" s="310">
        <v>0.91718725509952759</v>
      </c>
      <c r="S6" s="310">
        <v>0.80147469184222375</v>
      </c>
      <c r="T6" s="310"/>
      <c r="U6" s="310"/>
      <c r="V6" s="316"/>
    </row>
    <row r="7" spans="1:22">
      <c r="A7" s="311"/>
      <c r="B7" s="312" t="s">
        <v>770</v>
      </c>
      <c r="C7" s="313">
        <v>0.92332096709016731</v>
      </c>
      <c r="D7" s="314">
        <v>0.82140806965892366</v>
      </c>
      <c r="E7" s="314">
        <v>0.82067571023892594</v>
      </c>
      <c r="F7" s="314">
        <v>0.85787921955787649</v>
      </c>
      <c r="G7" s="314">
        <v>0.91855855562519839</v>
      </c>
      <c r="H7" s="314">
        <v>0.20534250122270492</v>
      </c>
      <c r="I7" s="314">
        <v>1</v>
      </c>
      <c r="J7" s="315">
        <v>0.86121116928097297</v>
      </c>
      <c r="K7" s="315">
        <v>0</v>
      </c>
      <c r="L7" s="314">
        <v>0.60508088057243059</v>
      </c>
      <c r="M7" s="314">
        <v>0.74088981473172089</v>
      </c>
      <c r="N7" s="314">
        <v>0.65352882650767996</v>
      </c>
      <c r="O7" s="315">
        <v>0.69538056767193868</v>
      </c>
      <c r="P7" s="315">
        <v>0.87908496732026142</v>
      </c>
      <c r="Q7" s="314">
        <v>0.86650384225889077</v>
      </c>
      <c r="R7" s="315">
        <v>0.87195924288943627</v>
      </c>
      <c r="S7" s="315">
        <v>0.80695965602305419</v>
      </c>
      <c r="T7" s="315"/>
      <c r="U7" s="315"/>
      <c r="V7" s="316"/>
    </row>
    <row r="8" spans="1:22">
      <c r="A8" s="311"/>
      <c r="B8" s="317" t="s">
        <v>771</v>
      </c>
      <c r="C8" s="318">
        <v>-0.62525540081836972</v>
      </c>
      <c r="D8" s="319">
        <v>-2.524639151910979</v>
      </c>
      <c r="E8" s="319">
        <v>-1.0494241204092036</v>
      </c>
      <c r="F8" s="319">
        <v>-0.75326111952199737</v>
      </c>
      <c r="G8" s="319">
        <v>-2.7652265074850746</v>
      </c>
      <c r="H8" s="319">
        <v>-1.7220552628692487</v>
      </c>
      <c r="I8" s="319">
        <v>0</v>
      </c>
      <c r="J8" s="320">
        <v>-1.0522502158484714</v>
      </c>
      <c r="K8" s="320">
        <v>0</v>
      </c>
      <c r="L8" s="319">
        <v>-2.7779934856500765</v>
      </c>
      <c r="M8" s="319">
        <v>6.5770545648667582</v>
      </c>
      <c r="N8" s="319">
        <v>-0.5218992056083116</v>
      </c>
      <c r="O8" s="320">
        <v>3.2484815616738105</v>
      </c>
      <c r="P8" s="320">
        <v>0.99077012687747157</v>
      </c>
      <c r="Q8" s="321">
        <v>-8.3228476704197423</v>
      </c>
      <c r="R8" s="320">
        <v>-4.5228012210091322</v>
      </c>
      <c r="S8" s="320">
        <v>0.54849641808304428</v>
      </c>
      <c r="T8" s="320"/>
      <c r="U8" s="320"/>
      <c r="V8" s="316"/>
    </row>
    <row r="9" spans="1:22">
      <c r="A9" s="311"/>
      <c r="B9" s="291" t="s">
        <v>772</v>
      </c>
      <c r="C9" s="308">
        <v>2.4350886319181067E-4</v>
      </c>
      <c r="D9" s="309">
        <v>3.8606751865293611E-4</v>
      </c>
      <c r="E9" s="309">
        <v>3.6029059964512579E-3</v>
      </c>
      <c r="F9" s="309">
        <v>2.3274763061352588E-3</v>
      </c>
      <c r="G9" s="309">
        <v>3.1029119014805324E-3</v>
      </c>
      <c r="H9" s="309">
        <v>4.6353101567825496E-2</v>
      </c>
      <c r="I9" s="309">
        <v>0</v>
      </c>
      <c r="J9" s="310">
        <v>2.4705332214515876E-3</v>
      </c>
      <c r="K9" s="310">
        <v>0</v>
      </c>
      <c r="L9" s="309">
        <v>6.0416387044818651E-2</v>
      </c>
      <c r="M9" s="309">
        <v>0.14480035555688911</v>
      </c>
      <c r="N9" s="309">
        <v>9.4042493933459162E-2</v>
      </c>
      <c r="O9" s="310">
        <v>0.11698803917091978</v>
      </c>
      <c r="P9" s="310">
        <v>6.2626430570565578E-2</v>
      </c>
      <c r="Q9" s="309">
        <v>5.0267681036911809E-2</v>
      </c>
      <c r="R9" s="310">
        <v>5.5260742034437205E-2</v>
      </c>
      <c r="S9" s="310">
        <v>4.2315395106555041E-2</v>
      </c>
      <c r="T9" s="310"/>
      <c r="U9" s="310"/>
      <c r="V9" s="316"/>
    </row>
    <row r="10" spans="1:22">
      <c r="A10" s="311"/>
      <c r="B10" s="312" t="s">
        <v>773</v>
      </c>
      <c r="C10" s="313">
        <v>3.0547374366718345E-4</v>
      </c>
      <c r="D10" s="314">
        <v>4.2286422307224498E-4</v>
      </c>
      <c r="E10" s="314">
        <v>3.7834368470072723E-3</v>
      </c>
      <c r="F10" s="314">
        <v>7.4996726333374341E-4</v>
      </c>
      <c r="G10" s="314">
        <v>3.1257885697075273E-3</v>
      </c>
      <c r="H10" s="314">
        <v>4.1384965045024313E-2</v>
      </c>
      <c r="I10" s="314">
        <v>0</v>
      </c>
      <c r="J10" s="315">
        <v>2.2980281956874139E-3</v>
      </c>
      <c r="K10" s="315">
        <v>0</v>
      </c>
      <c r="L10" s="314">
        <v>8.7841703454753978E-2</v>
      </c>
      <c r="M10" s="314">
        <v>7.1957336551294854E-2</v>
      </c>
      <c r="N10" s="314">
        <v>9.0676389521622741E-2</v>
      </c>
      <c r="O10" s="315">
        <v>7.8873015070944005E-2</v>
      </c>
      <c r="P10" s="315">
        <v>0</v>
      </c>
      <c r="Q10" s="314">
        <v>4.7993487023688969E-2</v>
      </c>
      <c r="R10" s="315">
        <v>2.7182653485835106E-2</v>
      </c>
      <c r="S10" s="315">
        <v>2.7846926286076358E-2</v>
      </c>
      <c r="T10" s="315"/>
      <c r="U10" s="315"/>
      <c r="V10" s="316"/>
    </row>
    <row r="11" spans="1:22">
      <c r="A11" s="311"/>
      <c r="B11" s="317" t="s">
        <v>774</v>
      </c>
      <c r="C11" s="318">
        <v>6.1964880475372779E-3</v>
      </c>
      <c r="D11" s="319">
        <v>3.6796704419308872E-3</v>
      </c>
      <c r="E11" s="319">
        <v>1.8053085055601444E-2</v>
      </c>
      <c r="F11" s="319">
        <v>-0.15775090428015154</v>
      </c>
      <c r="G11" s="319">
        <v>2.2876668226994804E-3</v>
      </c>
      <c r="H11" s="319">
        <v>-0.4968136522801182</v>
      </c>
      <c r="I11" s="319">
        <v>0</v>
      </c>
      <c r="J11" s="320">
        <v>-1.7250502576417366E-2</v>
      </c>
      <c r="K11" s="320">
        <v>0</v>
      </c>
      <c r="L11" s="319">
        <v>2.7425316409935325</v>
      </c>
      <c r="M11" s="319">
        <v>-7.2843019005594254</v>
      </c>
      <c r="N11" s="319">
        <v>-0.33661044118364208</v>
      </c>
      <c r="O11" s="320">
        <v>-3.8115024099975776</v>
      </c>
      <c r="P11" s="320">
        <v>-6.2626430570565574</v>
      </c>
      <c r="Q11" s="319">
        <v>-0.22741940132228397</v>
      </c>
      <c r="R11" s="320">
        <v>-2.8078088548602098</v>
      </c>
      <c r="S11" s="320">
        <v>-1.4468468820478684</v>
      </c>
      <c r="T11" s="320"/>
      <c r="U11" s="320"/>
      <c r="V11" s="316"/>
    </row>
    <row r="12" spans="1:22">
      <c r="A12" s="311"/>
      <c r="B12" s="291" t="s">
        <v>775</v>
      </c>
      <c r="C12" s="308">
        <v>6.9648842967968305E-2</v>
      </c>
      <c r="D12" s="309">
        <v>0.15278681999062407</v>
      </c>
      <c r="E12" s="309">
        <v>0.16135141072025019</v>
      </c>
      <c r="F12" s="309">
        <v>0.13226069294076825</v>
      </c>
      <c r="G12" s="309">
        <v>5.0686267398470305E-2</v>
      </c>
      <c r="H12" s="309">
        <v>0.73108384458077713</v>
      </c>
      <c r="I12" s="309">
        <v>0</v>
      </c>
      <c r="J12" s="310">
        <v>0.12439574776523202</v>
      </c>
      <c r="K12" s="310">
        <v>0</v>
      </c>
      <c r="L12" s="309">
        <v>0.30338024097380673</v>
      </c>
      <c r="M12" s="309">
        <v>0.17332741988718195</v>
      </c>
      <c r="N12" s="309">
        <v>0.24553268524800967</v>
      </c>
      <c r="O12" s="310">
        <v>0.21505712472319616</v>
      </c>
      <c r="P12" s="310">
        <v>6.8196303377947742E-2</v>
      </c>
      <c r="Q12" s="309">
        <v>0</v>
      </c>
      <c r="R12" s="310">
        <v>2.7552002866035243E-2</v>
      </c>
      <c r="S12" s="310">
        <v>0.15358909935919737</v>
      </c>
      <c r="T12" s="310"/>
      <c r="U12" s="310"/>
      <c r="V12" s="316"/>
    </row>
    <row r="13" spans="1:22">
      <c r="A13" s="311"/>
      <c r="B13" s="312" t="s">
        <v>776</v>
      </c>
      <c r="C13" s="313">
        <v>7.5462901590704887E-2</v>
      </c>
      <c r="D13" s="314">
        <v>0.17803265830410986</v>
      </c>
      <c r="E13" s="314">
        <v>0.17397728972729334</v>
      </c>
      <c r="F13" s="314">
        <v>0.14137081317878983</v>
      </c>
      <c r="G13" s="314">
        <v>7.8315655805094059E-2</v>
      </c>
      <c r="H13" s="314">
        <v>0.75327253373227077</v>
      </c>
      <c r="I13" s="314">
        <v>0</v>
      </c>
      <c r="J13" s="315">
        <v>0.13560340261508341</v>
      </c>
      <c r="K13" s="315">
        <v>0</v>
      </c>
      <c r="L13" s="314">
        <v>0.30072831099438269</v>
      </c>
      <c r="M13" s="314">
        <v>0.17777296186753785</v>
      </c>
      <c r="N13" s="314">
        <v>0.25455454098058428</v>
      </c>
      <c r="O13" s="315">
        <v>0.2185419630339214</v>
      </c>
      <c r="P13" s="315">
        <v>6.1909949164851125E-2</v>
      </c>
      <c r="Q13" s="322">
        <v>7.8493278529020466E-2</v>
      </c>
      <c r="R13" s="315">
        <v>7.1302450599997749E-2</v>
      </c>
      <c r="S13" s="315">
        <v>0.16175484764724635</v>
      </c>
      <c r="T13" s="315"/>
      <c r="U13" s="315"/>
      <c r="V13" s="316"/>
    </row>
    <row r="14" spans="1:22" s="323" customFormat="1">
      <c r="A14" s="311"/>
      <c r="B14" s="317" t="s">
        <v>777</v>
      </c>
      <c r="C14" s="318">
        <v>0.5814058622736582</v>
      </c>
      <c r="D14" s="319">
        <v>2.5245838313485787</v>
      </c>
      <c r="E14" s="319">
        <v>1.262587900704315</v>
      </c>
      <c r="F14" s="319">
        <v>0.9110120238021574</v>
      </c>
      <c r="G14" s="319">
        <v>2.7629388406623754</v>
      </c>
      <c r="H14" s="319">
        <v>2.2188689151493635</v>
      </c>
      <c r="I14" s="319">
        <v>0</v>
      </c>
      <c r="J14" s="320">
        <v>1.1207654849851396</v>
      </c>
      <c r="K14" s="320">
        <v>0</v>
      </c>
      <c r="L14" s="319">
        <v>-0.26519299794240392</v>
      </c>
      <c r="M14" s="319">
        <v>0.44455419803559049</v>
      </c>
      <c r="N14" s="319">
        <v>0.90218557325746074</v>
      </c>
      <c r="O14" s="320">
        <v>0.34848383107252412</v>
      </c>
      <c r="P14" s="320">
        <v>-0.62863542130966177</v>
      </c>
      <c r="Q14" s="321">
        <v>0</v>
      </c>
      <c r="R14" s="320">
        <v>4.375044773396251</v>
      </c>
      <c r="S14" s="320">
        <v>0.8165748288048974</v>
      </c>
      <c r="T14" s="320"/>
      <c r="U14" s="320"/>
      <c r="V14" s="316"/>
    </row>
    <row r="15" spans="1:22">
      <c r="A15" s="311"/>
      <c r="B15" s="291" t="s">
        <v>778</v>
      </c>
      <c r="C15" s="308">
        <v>5.3412707048884904E-4</v>
      </c>
      <c r="D15" s="309">
        <v>1.726513126895118E-4</v>
      </c>
      <c r="E15" s="309">
        <v>1.6279277372606882E-3</v>
      </c>
      <c r="F15" s="309">
        <v>0</v>
      </c>
      <c r="G15" s="309">
        <v>0</v>
      </c>
      <c r="H15" s="309">
        <v>0</v>
      </c>
      <c r="I15" s="309">
        <v>0</v>
      </c>
      <c r="J15" s="310">
        <v>7.3826596385715619E-4</v>
      </c>
      <c r="K15" s="310">
        <v>0</v>
      </c>
      <c r="L15" s="309">
        <v>3.3425565524432925E-3</v>
      </c>
      <c r="M15" s="309">
        <v>4.7951422227556408E-3</v>
      </c>
      <c r="N15" s="309">
        <v>0</v>
      </c>
      <c r="O15" s="310">
        <v>3.5775868565409443E-3</v>
      </c>
      <c r="P15" s="310">
        <v>0</v>
      </c>
      <c r="Q15" s="309">
        <v>0</v>
      </c>
      <c r="R15" s="310">
        <v>0</v>
      </c>
      <c r="S15" s="310">
        <v>1.6914538671573636E-3</v>
      </c>
      <c r="T15" s="310"/>
      <c r="U15" s="310"/>
      <c r="V15" s="316"/>
    </row>
    <row r="16" spans="1:22">
      <c r="A16" s="311"/>
      <c r="B16" s="312" t="s">
        <v>779</v>
      </c>
      <c r="C16" s="324">
        <v>9.1065757546066018E-4</v>
      </c>
      <c r="D16" s="314">
        <v>1.3640781389427257E-4</v>
      </c>
      <c r="E16" s="314">
        <v>1.1900453143775427E-3</v>
      </c>
      <c r="F16" s="314">
        <v>0</v>
      </c>
      <c r="G16" s="314">
        <v>0</v>
      </c>
      <c r="H16" s="314">
        <v>0</v>
      </c>
      <c r="I16" s="314">
        <v>0</v>
      </c>
      <c r="J16" s="315">
        <v>7.7668947482775156E-4</v>
      </c>
      <c r="K16" s="315">
        <v>0</v>
      </c>
      <c r="L16" s="314">
        <v>4.2948262511275917E-3</v>
      </c>
      <c r="M16" s="314">
        <v>4.9930593610793411E-3</v>
      </c>
      <c r="N16" s="314">
        <v>0</v>
      </c>
      <c r="O16" s="315">
        <v>3.9076941435689343E-3</v>
      </c>
      <c r="P16" s="315">
        <v>0</v>
      </c>
      <c r="Q16" s="314">
        <v>0</v>
      </c>
      <c r="R16" s="315">
        <v>0</v>
      </c>
      <c r="S16" s="315">
        <v>1.791437270928322E-3</v>
      </c>
      <c r="T16" s="315"/>
      <c r="U16" s="315"/>
      <c r="V16" s="316"/>
    </row>
    <row r="17" spans="1:22">
      <c r="A17" s="311"/>
      <c r="B17" s="317" t="s">
        <v>780</v>
      </c>
      <c r="C17" s="318">
        <v>3.7653050497181116E-2</v>
      </c>
      <c r="D17" s="319">
        <v>-3.6243498795239227E-3</v>
      </c>
      <c r="E17" s="319">
        <v>-4.3788242288314551E-2</v>
      </c>
      <c r="F17" s="319">
        <v>0</v>
      </c>
      <c r="G17" s="319">
        <v>0</v>
      </c>
      <c r="H17" s="319">
        <v>0</v>
      </c>
      <c r="I17" s="319">
        <v>0</v>
      </c>
      <c r="J17" s="320">
        <v>3.8423510970595365E-3</v>
      </c>
      <c r="K17" s="320">
        <v>0</v>
      </c>
      <c r="L17" s="319">
        <v>9.522696986842992E-2</v>
      </c>
      <c r="M17" s="319">
        <v>1.979171383237003E-2</v>
      </c>
      <c r="N17" s="319">
        <v>0</v>
      </c>
      <c r="O17" s="320">
        <v>3.3010728702798996E-2</v>
      </c>
      <c r="P17" s="320">
        <v>0</v>
      </c>
      <c r="Q17" s="319">
        <v>0</v>
      </c>
      <c r="R17" s="320">
        <v>0</v>
      </c>
      <c r="S17" s="320">
        <v>9.9983403770958386E-3</v>
      </c>
      <c r="T17" s="320"/>
      <c r="U17" s="320"/>
      <c r="V17" s="316"/>
    </row>
    <row r="18" spans="1:22">
      <c r="A18" s="311"/>
      <c r="B18" s="291" t="s">
        <v>781</v>
      </c>
      <c r="C18" s="308">
        <v>0</v>
      </c>
      <c r="D18" s="309">
        <v>0</v>
      </c>
      <c r="E18" s="309">
        <v>2.2478041030198409E-3</v>
      </c>
      <c r="F18" s="309">
        <v>0</v>
      </c>
      <c r="G18" s="309">
        <v>0</v>
      </c>
      <c r="H18" s="309">
        <v>0</v>
      </c>
      <c r="I18" s="309">
        <v>0</v>
      </c>
      <c r="J18" s="310">
        <v>6.6178161000155476E-4</v>
      </c>
      <c r="K18" s="310">
        <v>0</v>
      </c>
      <c r="L18" s="309">
        <v>0</v>
      </c>
      <c r="M18" s="309">
        <v>1.9578132501200194E-3</v>
      </c>
      <c r="N18" s="309">
        <v>1.6770022547680492E-3</v>
      </c>
      <c r="O18" s="310">
        <v>1.4814971941425597E-3</v>
      </c>
      <c r="P18" s="310">
        <v>0</v>
      </c>
      <c r="Q18" s="309">
        <v>0</v>
      </c>
      <c r="R18" s="310">
        <v>0</v>
      </c>
      <c r="S18" s="310">
        <v>9.2935982486646034E-4</v>
      </c>
      <c r="T18" s="310"/>
      <c r="U18" s="310"/>
      <c r="V18" s="316"/>
    </row>
    <row r="19" spans="1:22">
      <c r="A19" s="311"/>
      <c r="B19" s="312" t="s">
        <v>782</v>
      </c>
      <c r="C19" s="313">
        <v>0</v>
      </c>
      <c r="D19" s="314">
        <v>0</v>
      </c>
      <c r="E19" s="314">
        <v>3.7351787239587106E-4</v>
      </c>
      <c r="F19" s="314">
        <v>0</v>
      </c>
      <c r="G19" s="314">
        <v>0</v>
      </c>
      <c r="H19" s="314">
        <v>0</v>
      </c>
      <c r="I19" s="314">
        <v>0</v>
      </c>
      <c r="J19" s="315">
        <v>1.1071043342848614E-4</v>
      </c>
      <c r="K19" s="315">
        <v>0</v>
      </c>
      <c r="L19" s="314">
        <v>2.0542787273051429E-3</v>
      </c>
      <c r="M19" s="314">
        <v>2.1299264693246671E-3</v>
      </c>
      <c r="N19" s="322">
        <v>1.1335881875235213E-3</v>
      </c>
      <c r="O19" s="315">
        <v>1.9270116502842127E-3</v>
      </c>
      <c r="P19" s="315">
        <v>5.9005083514887438E-2</v>
      </c>
      <c r="Q19" s="314">
        <v>7.0093921883997538E-3</v>
      </c>
      <c r="R19" s="315">
        <v>2.955565302473093E-2</v>
      </c>
      <c r="S19" s="315">
        <v>1.1975399268994642E-3</v>
      </c>
      <c r="T19" s="315"/>
      <c r="U19" s="315"/>
      <c r="V19" s="316"/>
    </row>
    <row r="20" spans="1:22">
      <c r="A20" s="311"/>
      <c r="B20" s="317" t="s">
        <v>783</v>
      </c>
      <c r="C20" s="318">
        <v>0</v>
      </c>
      <c r="D20" s="319">
        <v>0</v>
      </c>
      <c r="E20" s="319">
        <v>-0.18742862306239697</v>
      </c>
      <c r="F20" s="319">
        <v>0</v>
      </c>
      <c r="G20" s="319">
        <v>0</v>
      </c>
      <c r="H20" s="319">
        <v>0</v>
      </c>
      <c r="I20" s="319">
        <v>0</v>
      </c>
      <c r="J20" s="320">
        <v>-5.5107117657306866E-2</v>
      </c>
      <c r="K20" s="320">
        <v>0</v>
      </c>
      <c r="L20" s="319">
        <v>0</v>
      </c>
      <c r="M20" s="319">
        <v>1.7211321920464769E-2</v>
      </c>
      <c r="N20" s="319">
        <v>-5.4341406724452798E-2</v>
      </c>
      <c r="O20" s="320">
        <v>4.4551445614165304E-2</v>
      </c>
      <c r="P20" s="320">
        <v>0</v>
      </c>
      <c r="Q20" s="319">
        <v>0</v>
      </c>
      <c r="R20" s="320">
        <v>0</v>
      </c>
      <c r="S20" s="320">
        <v>2.681801020330038E-2</v>
      </c>
      <c r="T20" s="320"/>
      <c r="U20" s="320"/>
      <c r="V20" s="316"/>
    </row>
    <row r="21" spans="1:22">
      <c r="A21" s="311"/>
      <c r="B21" s="291" t="s">
        <v>784</v>
      </c>
      <c r="C21" s="308">
        <v>0</v>
      </c>
      <c r="D21" s="309">
        <v>0</v>
      </c>
      <c r="E21" s="309">
        <v>0</v>
      </c>
      <c r="F21" s="309">
        <v>0</v>
      </c>
      <c r="G21" s="309">
        <v>0</v>
      </c>
      <c r="H21" s="309">
        <v>0</v>
      </c>
      <c r="I21" s="309">
        <v>0</v>
      </c>
      <c r="J21" s="310">
        <v>0</v>
      </c>
      <c r="K21" s="310">
        <v>0</v>
      </c>
      <c r="L21" s="309">
        <v>0</v>
      </c>
      <c r="M21" s="309">
        <v>0</v>
      </c>
      <c r="N21" s="309">
        <v>0</v>
      </c>
      <c r="O21" s="310">
        <v>0</v>
      </c>
      <c r="P21" s="310">
        <v>0</v>
      </c>
      <c r="Q21" s="309">
        <v>0</v>
      </c>
      <c r="R21" s="310">
        <v>0</v>
      </c>
      <c r="S21" s="310">
        <v>0</v>
      </c>
      <c r="T21" s="310"/>
      <c r="U21" s="310"/>
      <c r="V21" s="316"/>
    </row>
    <row r="22" spans="1:22">
      <c r="A22" s="311"/>
      <c r="B22" s="312" t="s">
        <v>785</v>
      </c>
      <c r="C22" s="313">
        <v>0</v>
      </c>
      <c r="D22" s="314">
        <v>0</v>
      </c>
      <c r="E22" s="314">
        <v>0</v>
      </c>
      <c r="F22" s="314">
        <v>0</v>
      </c>
      <c r="G22" s="314">
        <v>0</v>
      </c>
      <c r="H22" s="314">
        <v>0</v>
      </c>
      <c r="I22" s="314">
        <v>0</v>
      </c>
      <c r="J22" s="315">
        <v>0</v>
      </c>
      <c r="K22" s="315">
        <v>0</v>
      </c>
      <c r="L22" s="314">
        <v>0</v>
      </c>
      <c r="M22" s="314">
        <v>2.2569010190423636E-3</v>
      </c>
      <c r="N22" s="314">
        <v>1.066548025895786E-4</v>
      </c>
      <c r="O22" s="315">
        <v>1.3697484293427634E-3</v>
      </c>
      <c r="P22" s="315">
        <v>0</v>
      </c>
      <c r="Q22" s="314">
        <v>0</v>
      </c>
      <c r="R22" s="315">
        <v>0</v>
      </c>
      <c r="S22" s="315">
        <v>4.4959284579527617E-4</v>
      </c>
      <c r="T22" s="315"/>
      <c r="U22" s="315"/>
      <c r="V22" s="316"/>
    </row>
    <row r="23" spans="1:22" ht="15.75" thickBot="1">
      <c r="A23" s="311"/>
      <c r="B23" s="325" t="s">
        <v>786</v>
      </c>
      <c r="C23" s="326">
        <v>0</v>
      </c>
      <c r="D23" s="327">
        <v>0</v>
      </c>
      <c r="E23" s="327">
        <v>0</v>
      </c>
      <c r="F23" s="327">
        <v>0</v>
      </c>
      <c r="G23" s="327">
        <v>0</v>
      </c>
      <c r="H23" s="327">
        <v>0</v>
      </c>
      <c r="I23" s="327">
        <v>0</v>
      </c>
      <c r="J23" s="328">
        <v>0</v>
      </c>
      <c r="K23" s="328">
        <v>0</v>
      </c>
      <c r="L23" s="327">
        <v>0</v>
      </c>
      <c r="M23" s="327">
        <v>0</v>
      </c>
      <c r="N23" s="327">
        <v>0</v>
      </c>
      <c r="O23" s="328">
        <v>0</v>
      </c>
      <c r="P23" s="328">
        <v>0</v>
      </c>
      <c r="Q23" s="327">
        <v>0</v>
      </c>
      <c r="R23" s="328">
        <v>0</v>
      </c>
      <c r="S23" s="328">
        <v>0</v>
      </c>
      <c r="T23" s="328"/>
      <c r="U23" s="328"/>
      <c r="V23" s="316"/>
    </row>
    <row r="24" spans="1:22" ht="15.75" thickTop="1">
      <c r="A24" s="311"/>
      <c r="B24" s="312" t="s">
        <v>787</v>
      </c>
      <c r="C24" s="313">
        <v>0.78905892009204848</v>
      </c>
      <c r="D24" s="314">
        <v>0.71690947225213986</v>
      </c>
      <c r="E24" s="314">
        <v>0.62572876939025901</v>
      </c>
      <c r="F24" s="314">
        <v>0.68389600310438492</v>
      </c>
      <c r="G24" s="314">
        <v>0.24309958061055301</v>
      </c>
      <c r="H24" s="314">
        <v>0</v>
      </c>
      <c r="I24" s="314">
        <v>0</v>
      </c>
      <c r="J24" s="315">
        <v>0.68167452616305435</v>
      </c>
      <c r="K24" s="315">
        <v>0</v>
      </c>
      <c r="L24" s="314">
        <v>0</v>
      </c>
      <c r="M24" s="314">
        <v>0</v>
      </c>
      <c r="N24" s="314">
        <v>0</v>
      </c>
      <c r="O24" s="315">
        <v>0</v>
      </c>
      <c r="P24" s="315">
        <v>0</v>
      </c>
      <c r="Q24" s="314">
        <v>0</v>
      </c>
      <c r="R24" s="315">
        <v>0</v>
      </c>
      <c r="S24" s="315">
        <v>0.68167452616305435</v>
      </c>
      <c r="T24" s="315"/>
      <c r="U24" s="315"/>
      <c r="V24" s="316"/>
    </row>
    <row r="25" spans="1:22">
      <c r="A25" s="311"/>
      <c r="B25" s="312" t="s">
        <v>788</v>
      </c>
      <c r="C25" s="313">
        <v>0.77945815364957671</v>
      </c>
      <c r="D25" s="314">
        <v>0.6624746004722939</v>
      </c>
      <c r="E25" s="314">
        <v>0.62063162249320714</v>
      </c>
      <c r="F25" s="314">
        <v>0.68261662109536825</v>
      </c>
      <c r="G25" s="314">
        <v>0.19961942317391904</v>
      </c>
      <c r="H25" s="314">
        <v>0</v>
      </c>
      <c r="I25" s="314">
        <v>0</v>
      </c>
      <c r="J25" s="315">
        <v>0.66041946855996458</v>
      </c>
      <c r="K25" s="315">
        <v>0</v>
      </c>
      <c r="L25" s="314">
        <v>0</v>
      </c>
      <c r="M25" s="314">
        <v>0</v>
      </c>
      <c r="N25" s="314">
        <v>0</v>
      </c>
      <c r="O25" s="315">
        <v>0</v>
      </c>
      <c r="P25" s="315">
        <v>0</v>
      </c>
      <c r="Q25" s="314">
        <v>0</v>
      </c>
      <c r="R25" s="315">
        <v>0</v>
      </c>
      <c r="S25" s="315">
        <v>0.66041946855996458</v>
      </c>
      <c r="T25" s="315"/>
      <c r="U25" s="315"/>
      <c r="V25" s="316"/>
    </row>
    <row r="26" spans="1:22">
      <c r="A26" s="311"/>
      <c r="B26" s="317" t="s">
        <v>789</v>
      </c>
      <c r="C26" s="318">
        <v>-0.96007664424717643</v>
      </c>
      <c r="D26" s="319">
        <v>-5.4434871779845961</v>
      </c>
      <c r="E26" s="319">
        <v>-0.50971468970518741</v>
      </c>
      <c r="F26" s="319">
        <v>-0.12793820090166719</v>
      </c>
      <c r="G26" s="319">
        <v>-4.3480157436633968</v>
      </c>
      <c r="H26" s="319">
        <v>0</v>
      </c>
      <c r="I26" s="319">
        <v>0</v>
      </c>
      <c r="J26" s="320">
        <v>-2.1255057603089766</v>
      </c>
      <c r="K26" s="320">
        <v>0</v>
      </c>
      <c r="L26" s="319">
        <v>0</v>
      </c>
      <c r="M26" s="319">
        <v>0</v>
      </c>
      <c r="N26" s="319">
        <v>0</v>
      </c>
      <c r="O26" s="320">
        <v>0</v>
      </c>
      <c r="P26" s="320">
        <v>0</v>
      </c>
      <c r="Q26" s="319">
        <v>0</v>
      </c>
      <c r="R26" s="320">
        <v>0</v>
      </c>
      <c r="S26" s="320">
        <v>-2.1255057603089766</v>
      </c>
      <c r="T26" s="320"/>
      <c r="U26" s="320"/>
      <c r="V26" s="316"/>
    </row>
    <row r="27" spans="1:22">
      <c r="A27" s="311"/>
      <c r="B27" s="291" t="s">
        <v>790</v>
      </c>
      <c r="C27" s="308">
        <v>2.6889436077163618E-2</v>
      </c>
      <c r="D27" s="309">
        <v>3.3019670086729775E-3</v>
      </c>
      <c r="E27" s="309">
        <v>3.7092340907145504E-4</v>
      </c>
      <c r="F27" s="309">
        <v>0</v>
      </c>
      <c r="G27" s="309">
        <v>0</v>
      </c>
      <c r="H27" s="309">
        <v>0</v>
      </c>
      <c r="I27" s="309">
        <v>0</v>
      </c>
      <c r="J27" s="310">
        <v>1.2723315498322299E-2</v>
      </c>
      <c r="K27" s="310">
        <v>0</v>
      </c>
      <c r="L27" s="309">
        <v>0</v>
      </c>
      <c r="M27" s="309">
        <v>0</v>
      </c>
      <c r="N27" s="309">
        <v>0</v>
      </c>
      <c r="O27" s="310">
        <v>0</v>
      </c>
      <c r="P27" s="310">
        <v>0</v>
      </c>
      <c r="Q27" s="309">
        <v>0</v>
      </c>
      <c r="R27" s="310">
        <v>0</v>
      </c>
      <c r="S27" s="310">
        <v>1.2723315498322299E-2</v>
      </c>
      <c r="T27" s="310"/>
      <c r="U27" s="310"/>
      <c r="V27" s="316"/>
    </row>
    <row r="28" spans="1:22">
      <c r="A28" s="311"/>
      <c r="B28" s="312" t="s">
        <v>791</v>
      </c>
      <c r="C28" s="313">
        <v>2.6333652771122824E-2</v>
      </c>
      <c r="D28" s="314">
        <v>2.4163875006864739E-3</v>
      </c>
      <c r="E28" s="314">
        <v>1.9744079126747586E-4</v>
      </c>
      <c r="F28" s="322">
        <v>0</v>
      </c>
      <c r="G28" s="322">
        <v>2.7511577788986199E-4</v>
      </c>
      <c r="H28" s="314">
        <v>0</v>
      </c>
      <c r="I28" s="314">
        <v>0</v>
      </c>
      <c r="J28" s="315">
        <v>1.2253861586098737E-2</v>
      </c>
      <c r="K28" s="315">
        <v>0</v>
      </c>
      <c r="L28" s="314">
        <v>0</v>
      </c>
      <c r="M28" s="314">
        <v>0</v>
      </c>
      <c r="N28" s="314">
        <v>0</v>
      </c>
      <c r="O28" s="315">
        <v>0</v>
      </c>
      <c r="P28" s="315">
        <v>0</v>
      </c>
      <c r="Q28" s="314">
        <v>0</v>
      </c>
      <c r="R28" s="315">
        <v>0</v>
      </c>
      <c r="S28" s="315">
        <v>1.2253861586098737E-2</v>
      </c>
      <c r="T28" s="315"/>
      <c r="U28" s="315"/>
      <c r="V28" s="316"/>
    </row>
    <row r="29" spans="1:22">
      <c r="A29" s="311"/>
      <c r="B29" s="317" t="s">
        <v>792</v>
      </c>
      <c r="C29" s="318">
        <v>-5.5578330604079407E-2</v>
      </c>
      <c r="D29" s="319">
        <v>-8.8557950798650364E-2</v>
      </c>
      <c r="E29" s="319">
        <v>-1.7348261780397917E-2</v>
      </c>
      <c r="F29" s="321">
        <v>0</v>
      </c>
      <c r="G29" s="321">
        <v>0</v>
      </c>
      <c r="H29" s="319">
        <v>0</v>
      </c>
      <c r="I29" s="319">
        <v>0</v>
      </c>
      <c r="J29" s="320">
        <v>-4.694539122235622E-2</v>
      </c>
      <c r="K29" s="320">
        <v>0</v>
      </c>
      <c r="L29" s="319">
        <v>0</v>
      </c>
      <c r="M29" s="319">
        <v>0</v>
      </c>
      <c r="N29" s="319">
        <v>0</v>
      </c>
      <c r="O29" s="320">
        <v>0</v>
      </c>
      <c r="P29" s="320">
        <v>0</v>
      </c>
      <c r="Q29" s="319">
        <v>0</v>
      </c>
      <c r="R29" s="320">
        <v>0</v>
      </c>
      <c r="S29" s="320">
        <v>-4.694539122235622E-2</v>
      </c>
      <c r="T29" s="320"/>
      <c r="U29" s="320"/>
      <c r="V29" s="316"/>
    </row>
    <row r="30" spans="1:22">
      <c r="A30" s="311"/>
      <c r="B30" s="291" t="s">
        <v>793</v>
      </c>
      <c r="C30" s="308">
        <v>0.1825561077793052</v>
      </c>
      <c r="D30" s="309">
        <v>0.27796043308202484</v>
      </c>
      <c r="E30" s="309">
        <v>0.37041933366938362</v>
      </c>
      <c r="F30" s="309">
        <v>0.31610399689561508</v>
      </c>
      <c r="G30" s="309">
        <v>0.75690041938944697</v>
      </c>
      <c r="H30" s="309">
        <v>0</v>
      </c>
      <c r="I30" s="309">
        <v>0</v>
      </c>
      <c r="J30" s="310">
        <v>0.30380656570236692</v>
      </c>
      <c r="K30" s="310">
        <v>0</v>
      </c>
      <c r="L30" s="309">
        <v>0</v>
      </c>
      <c r="M30" s="309">
        <v>0</v>
      </c>
      <c r="N30" s="309">
        <v>0</v>
      </c>
      <c r="O30" s="310">
        <v>0</v>
      </c>
      <c r="P30" s="310">
        <v>0</v>
      </c>
      <c r="Q30" s="309">
        <v>0</v>
      </c>
      <c r="R30" s="310">
        <v>0</v>
      </c>
      <c r="S30" s="310">
        <v>0.30380656570236692</v>
      </c>
      <c r="T30" s="310"/>
      <c r="U30" s="310"/>
      <c r="V30" s="316"/>
    </row>
    <row r="31" spans="1:22">
      <c r="A31" s="311"/>
      <c r="B31" s="312" t="s">
        <v>794</v>
      </c>
      <c r="C31" s="313">
        <v>0.19318998562529946</v>
      </c>
      <c r="D31" s="314">
        <v>0.3332555329781976</v>
      </c>
      <c r="E31" s="314">
        <v>0.37451697520707777</v>
      </c>
      <c r="F31" s="314">
        <v>0.3173833789046317</v>
      </c>
      <c r="G31" s="314">
        <v>0.80010546104819114</v>
      </c>
      <c r="H31" s="314">
        <v>1</v>
      </c>
      <c r="I31" s="314">
        <v>0</v>
      </c>
      <c r="J31" s="315">
        <v>0.32546345735388083</v>
      </c>
      <c r="K31" s="315">
        <v>0</v>
      </c>
      <c r="L31" s="314">
        <v>0</v>
      </c>
      <c r="M31" s="314">
        <v>0</v>
      </c>
      <c r="N31" s="314">
        <v>0</v>
      </c>
      <c r="O31" s="315">
        <v>0</v>
      </c>
      <c r="P31" s="315">
        <v>0</v>
      </c>
      <c r="Q31" s="314">
        <v>0</v>
      </c>
      <c r="R31" s="315">
        <v>0</v>
      </c>
      <c r="S31" s="315">
        <v>0.32546345735388083</v>
      </c>
      <c r="T31" s="315"/>
      <c r="U31" s="315"/>
      <c r="V31" s="316"/>
    </row>
    <row r="32" spans="1:22">
      <c r="A32" s="311"/>
      <c r="B32" s="317" t="s">
        <v>795</v>
      </c>
      <c r="C32" s="318">
        <v>1.063387784599426</v>
      </c>
      <c r="D32" s="319">
        <v>5.5295099896172761</v>
      </c>
      <c r="E32" s="319">
        <v>0.40976415376941522</v>
      </c>
      <c r="F32" s="319">
        <v>0.12793820090166164</v>
      </c>
      <c r="G32" s="319">
        <v>4.320504165874417</v>
      </c>
      <c r="H32" s="319">
        <v>0</v>
      </c>
      <c r="I32" s="319">
        <v>0</v>
      </c>
      <c r="J32" s="320">
        <v>2.1656891651513908</v>
      </c>
      <c r="K32" s="320">
        <v>0</v>
      </c>
      <c r="L32" s="319">
        <v>0</v>
      </c>
      <c r="M32" s="319">
        <v>0</v>
      </c>
      <c r="N32" s="319">
        <v>0</v>
      </c>
      <c r="O32" s="320">
        <v>0</v>
      </c>
      <c r="P32" s="320">
        <v>0</v>
      </c>
      <c r="Q32" s="319">
        <v>0</v>
      </c>
      <c r="R32" s="320">
        <v>0</v>
      </c>
      <c r="S32" s="320">
        <v>2.1656891651513908</v>
      </c>
      <c r="T32" s="320"/>
      <c r="U32" s="320"/>
      <c r="V32" s="316"/>
    </row>
    <row r="33" spans="1:22">
      <c r="A33" s="311"/>
      <c r="B33" s="291" t="s">
        <v>796</v>
      </c>
      <c r="C33" s="308">
        <v>1.4955360514826955E-3</v>
      </c>
      <c r="D33" s="309">
        <v>1.8281276571622924E-3</v>
      </c>
      <c r="E33" s="309">
        <v>1.7119541957144081E-4</v>
      </c>
      <c r="F33" s="309">
        <v>0</v>
      </c>
      <c r="G33" s="309">
        <v>0</v>
      </c>
      <c r="H33" s="309">
        <v>0</v>
      </c>
      <c r="I33" s="309">
        <v>0</v>
      </c>
      <c r="J33" s="310">
        <v>1.0066201142649859E-3</v>
      </c>
      <c r="K33" s="310">
        <v>0</v>
      </c>
      <c r="L33" s="309">
        <v>0</v>
      </c>
      <c r="M33" s="309">
        <v>0</v>
      </c>
      <c r="N33" s="309">
        <v>0</v>
      </c>
      <c r="O33" s="310">
        <v>0</v>
      </c>
      <c r="P33" s="310">
        <v>0</v>
      </c>
      <c r="Q33" s="309">
        <v>0</v>
      </c>
      <c r="R33" s="310">
        <v>0</v>
      </c>
      <c r="S33" s="310">
        <v>1.0066201142649859E-3</v>
      </c>
      <c r="T33" s="310"/>
      <c r="U33" s="310"/>
      <c r="V33" s="316"/>
    </row>
    <row r="34" spans="1:22">
      <c r="A34" s="311"/>
      <c r="B34" s="312" t="s">
        <v>797</v>
      </c>
      <c r="C34" s="313">
        <v>1.0182079540009582E-3</v>
      </c>
      <c r="D34" s="314">
        <v>1.853479048822011E-3</v>
      </c>
      <c r="E34" s="314">
        <v>0</v>
      </c>
      <c r="F34" s="314">
        <v>0</v>
      </c>
      <c r="G34" s="314">
        <v>0</v>
      </c>
      <c r="H34" s="314">
        <v>0</v>
      </c>
      <c r="I34" s="314">
        <v>0</v>
      </c>
      <c r="J34" s="315">
        <v>7.5734896585004049E-4</v>
      </c>
      <c r="K34" s="315">
        <v>0</v>
      </c>
      <c r="L34" s="314">
        <v>0</v>
      </c>
      <c r="M34" s="314">
        <v>0</v>
      </c>
      <c r="N34" s="314">
        <v>0</v>
      </c>
      <c r="O34" s="315">
        <v>0</v>
      </c>
      <c r="P34" s="315">
        <v>0</v>
      </c>
      <c r="Q34" s="314">
        <v>0</v>
      </c>
      <c r="R34" s="315">
        <v>0</v>
      </c>
      <c r="S34" s="315">
        <v>7.5734896585004049E-4</v>
      </c>
      <c r="T34" s="315"/>
      <c r="U34" s="315"/>
      <c r="V34" s="316"/>
    </row>
    <row r="35" spans="1:22">
      <c r="A35" s="311"/>
      <c r="B35" s="317" t="s">
        <v>798</v>
      </c>
      <c r="C35" s="318">
        <v>-4.7732809748173725E-2</v>
      </c>
      <c r="D35" s="319">
        <v>2.5351391659718609E-3</v>
      </c>
      <c r="E35" s="319">
        <v>-1.7119541957144081E-2</v>
      </c>
      <c r="F35" s="319">
        <v>0</v>
      </c>
      <c r="G35" s="319">
        <v>0</v>
      </c>
      <c r="H35" s="319">
        <v>0</v>
      </c>
      <c r="I35" s="319">
        <v>0</v>
      </c>
      <c r="J35" s="320">
        <v>-2.4927114841494541E-2</v>
      </c>
      <c r="K35" s="320">
        <v>0</v>
      </c>
      <c r="L35" s="319">
        <v>0</v>
      </c>
      <c r="M35" s="319">
        <v>0</v>
      </c>
      <c r="N35" s="319">
        <v>0</v>
      </c>
      <c r="O35" s="320">
        <v>0</v>
      </c>
      <c r="P35" s="320">
        <v>0</v>
      </c>
      <c r="Q35" s="319">
        <v>0</v>
      </c>
      <c r="R35" s="320">
        <v>0</v>
      </c>
      <c r="S35" s="320">
        <v>-2.4927114841494541E-2</v>
      </c>
      <c r="T35" s="320"/>
      <c r="U35" s="320"/>
      <c r="V35" s="316"/>
    </row>
    <row r="36" spans="1:22">
      <c r="A36" s="311"/>
      <c r="B36" s="291" t="s">
        <v>799</v>
      </c>
      <c r="C36" s="308">
        <v>0</v>
      </c>
      <c r="D36" s="309">
        <v>0</v>
      </c>
      <c r="E36" s="309">
        <v>3.3097781117145219E-3</v>
      </c>
      <c r="F36" s="309">
        <v>0</v>
      </c>
      <c r="G36" s="309">
        <v>0</v>
      </c>
      <c r="H36" s="309">
        <v>0</v>
      </c>
      <c r="I36" s="309">
        <v>0</v>
      </c>
      <c r="J36" s="310">
        <v>7.8897252199147542E-4</v>
      </c>
      <c r="K36" s="310">
        <v>0</v>
      </c>
      <c r="L36" s="309">
        <v>0</v>
      </c>
      <c r="M36" s="309">
        <v>0</v>
      </c>
      <c r="N36" s="309">
        <v>0</v>
      </c>
      <c r="O36" s="310">
        <v>0</v>
      </c>
      <c r="P36" s="310">
        <v>0</v>
      </c>
      <c r="Q36" s="309">
        <v>0</v>
      </c>
      <c r="R36" s="310">
        <v>0</v>
      </c>
      <c r="S36" s="310">
        <v>7.8897252199147542E-4</v>
      </c>
      <c r="T36" s="310"/>
      <c r="U36" s="310"/>
      <c r="V36" s="316"/>
    </row>
    <row r="37" spans="1:22">
      <c r="A37" s="311"/>
      <c r="B37" s="312" t="s">
        <v>800</v>
      </c>
      <c r="C37" s="313">
        <v>0</v>
      </c>
      <c r="D37" s="314">
        <v>0</v>
      </c>
      <c r="E37" s="314">
        <v>4.653961508447645E-3</v>
      </c>
      <c r="F37" s="314">
        <v>0</v>
      </c>
      <c r="G37" s="314">
        <v>0</v>
      </c>
      <c r="H37" s="314">
        <v>0</v>
      </c>
      <c r="I37" s="314">
        <v>0</v>
      </c>
      <c r="J37" s="315">
        <v>1.1058635342058112E-3</v>
      </c>
      <c r="K37" s="315">
        <v>0</v>
      </c>
      <c r="L37" s="314">
        <v>0</v>
      </c>
      <c r="M37" s="314">
        <v>0</v>
      </c>
      <c r="N37" s="314">
        <v>0</v>
      </c>
      <c r="O37" s="315">
        <v>0</v>
      </c>
      <c r="P37" s="315">
        <v>0</v>
      </c>
      <c r="Q37" s="314">
        <v>0</v>
      </c>
      <c r="R37" s="315">
        <v>0</v>
      </c>
      <c r="S37" s="315">
        <v>1.1058635342058112E-3</v>
      </c>
      <c r="T37" s="315"/>
      <c r="U37" s="315"/>
      <c r="V37" s="316"/>
    </row>
    <row r="38" spans="1:22">
      <c r="A38" s="311"/>
      <c r="B38" s="317" t="s">
        <v>801</v>
      </c>
      <c r="C38" s="318">
        <v>0</v>
      </c>
      <c r="D38" s="319">
        <v>0</v>
      </c>
      <c r="E38" s="319">
        <v>0.13441833967331229</v>
      </c>
      <c r="F38" s="319">
        <v>0</v>
      </c>
      <c r="G38" s="319">
        <v>0</v>
      </c>
      <c r="H38" s="319">
        <v>0</v>
      </c>
      <c r="I38" s="319">
        <v>0</v>
      </c>
      <c r="J38" s="320">
        <v>3.1689101221433577E-2</v>
      </c>
      <c r="K38" s="320">
        <v>0</v>
      </c>
      <c r="L38" s="319">
        <v>0</v>
      </c>
      <c r="M38" s="319">
        <v>0</v>
      </c>
      <c r="N38" s="319">
        <v>0</v>
      </c>
      <c r="O38" s="320">
        <v>0</v>
      </c>
      <c r="P38" s="320">
        <v>0</v>
      </c>
      <c r="Q38" s="319">
        <v>0</v>
      </c>
      <c r="R38" s="320">
        <v>0</v>
      </c>
      <c r="S38" s="320">
        <v>3.1689101221433577E-2</v>
      </c>
      <c r="T38" s="320"/>
      <c r="U38" s="320"/>
      <c r="V38" s="316"/>
    </row>
    <row r="39" spans="1:22">
      <c r="A39" s="311"/>
      <c r="B39" s="291" t="s">
        <v>802</v>
      </c>
      <c r="C39" s="308">
        <v>0</v>
      </c>
      <c r="D39" s="309">
        <v>0</v>
      </c>
      <c r="E39" s="309">
        <v>0</v>
      </c>
      <c r="F39" s="309">
        <v>0</v>
      </c>
      <c r="G39" s="309">
        <v>0</v>
      </c>
      <c r="H39" s="309">
        <v>0</v>
      </c>
      <c r="I39" s="309">
        <v>0</v>
      </c>
      <c r="J39" s="310">
        <v>0</v>
      </c>
      <c r="K39" s="310">
        <v>0</v>
      </c>
      <c r="L39" s="309">
        <v>0</v>
      </c>
      <c r="M39" s="309">
        <v>0</v>
      </c>
      <c r="N39" s="309">
        <v>0</v>
      </c>
      <c r="O39" s="310">
        <v>0</v>
      </c>
      <c r="P39" s="310">
        <v>0</v>
      </c>
      <c r="Q39" s="309">
        <v>0</v>
      </c>
      <c r="R39" s="310">
        <v>0</v>
      </c>
      <c r="S39" s="310">
        <v>0</v>
      </c>
      <c r="T39" s="310"/>
      <c r="U39" s="310"/>
      <c r="V39" s="316"/>
    </row>
    <row r="40" spans="1:22">
      <c r="A40" s="311"/>
      <c r="B40" s="312" t="s">
        <v>803</v>
      </c>
      <c r="C40" s="313">
        <v>0</v>
      </c>
      <c r="D40" s="314">
        <v>0</v>
      </c>
      <c r="E40" s="314">
        <v>0</v>
      </c>
      <c r="F40" s="314">
        <v>0</v>
      </c>
      <c r="G40" s="314">
        <v>0</v>
      </c>
      <c r="H40" s="314">
        <v>0</v>
      </c>
      <c r="I40" s="314">
        <v>0</v>
      </c>
      <c r="J40" s="315">
        <v>0</v>
      </c>
      <c r="K40" s="315">
        <v>0</v>
      </c>
      <c r="L40" s="314">
        <v>0</v>
      </c>
      <c r="M40" s="314">
        <v>0</v>
      </c>
      <c r="N40" s="314">
        <v>0</v>
      </c>
      <c r="O40" s="315">
        <v>0</v>
      </c>
      <c r="P40" s="315">
        <v>0</v>
      </c>
      <c r="Q40" s="314">
        <v>0</v>
      </c>
      <c r="R40" s="315">
        <v>0</v>
      </c>
      <c r="S40" s="315">
        <v>0</v>
      </c>
      <c r="T40" s="315"/>
      <c r="U40" s="315"/>
      <c r="V40" s="316"/>
    </row>
    <row r="41" spans="1:22" ht="15.75" thickBot="1">
      <c r="A41" s="329"/>
      <c r="B41" s="330" t="s">
        <v>804</v>
      </c>
      <c r="C41" s="331">
        <v>0</v>
      </c>
      <c r="D41" s="332">
        <v>0</v>
      </c>
      <c r="E41" s="332">
        <v>0</v>
      </c>
      <c r="F41" s="332">
        <v>0</v>
      </c>
      <c r="G41" s="332">
        <v>0</v>
      </c>
      <c r="H41" s="332">
        <v>0</v>
      </c>
      <c r="I41" s="332">
        <v>0</v>
      </c>
      <c r="J41" s="333">
        <v>0</v>
      </c>
      <c r="K41" s="333">
        <v>0</v>
      </c>
      <c r="L41" s="332">
        <v>0</v>
      </c>
      <c r="M41" s="332">
        <v>0</v>
      </c>
      <c r="N41" s="332">
        <v>0</v>
      </c>
      <c r="O41" s="333">
        <v>0</v>
      </c>
      <c r="P41" s="333">
        <v>0</v>
      </c>
      <c r="Q41" s="332">
        <v>0</v>
      </c>
      <c r="R41" s="333">
        <v>0</v>
      </c>
      <c r="S41" s="333">
        <v>0</v>
      </c>
      <c r="T41" s="333"/>
      <c r="U41" s="333"/>
      <c r="V41" s="316"/>
    </row>
    <row r="42" spans="1:22">
      <c r="A42" s="334" t="s">
        <v>102</v>
      </c>
      <c r="B42" s="312" t="s">
        <v>769</v>
      </c>
      <c r="C42" s="313">
        <v>0.89819440757525426</v>
      </c>
      <c r="D42" s="314">
        <v>0.59573227502280568</v>
      </c>
      <c r="E42" s="314">
        <v>0.77212618414686807</v>
      </c>
      <c r="F42" s="314">
        <v>0.82497833325730963</v>
      </c>
      <c r="G42" s="314">
        <v>0.70998461651161082</v>
      </c>
      <c r="H42" s="314">
        <v>0.81622294417957053</v>
      </c>
      <c r="I42" s="314">
        <v>1</v>
      </c>
      <c r="J42" s="315">
        <v>0.80141850017879257</v>
      </c>
      <c r="K42" s="315">
        <v>0</v>
      </c>
      <c r="L42" s="314">
        <v>0.63175674618938438</v>
      </c>
      <c r="M42" s="314">
        <v>0.68675115207373272</v>
      </c>
      <c r="N42" s="314">
        <v>0.6313469797727902</v>
      </c>
      <c r="O42" s="315">
        <v>0.63929801789797824</v>
      </c>
      <c r="P42" s="315">
        <v>0</v>
      </c>
      <c r="Q42" s="314">
        <v>0</v>
      </c>
      <c r="R42" s="315">
        <v>0</v>
      </c>
      <c r="S42" s="315">
        <v>0.74775481260955035</v>
      </c>
      <c r="T42" s="315"/>
      <c r="U42" s="315"/>
      <c r="V42" s="316"/>
    </row>
    <row r="43" spans="1:22">
      <c r="A43" s="311"/>
      <c r="B43" s="312" t="s">
        <v>770</v>
      </c>
      <c r="C43" s="313">
        <v>0.89781629854148537</v>
      </c>
      <c r="D43" s="314">
        <v>0.56568146487222082</v>
      </c>
      <c r="E43" s="314">
        <v>0.74938177393511707</v>
      </c>
      <c r="F43" s="314">
        <v>0.75436145491817663</v>
      </c>
      <c r="G43" s="314">
        <v>0.69163863740757758</v>
      </c>
      <c r="H43" s="314">
        <v>0.78998853220897247</v>
      </c>
      <c r="I43" s="314">
        <v>0.84251673360107093</v>
      </c>
      <c r="J43" s="315">
        <v>0.7807329753834521</v>
      </c>
      <c r="K43" s="315">
        <v>0</v>
      </c>
      <c r="L43" s="314">
        <v>0.61722520889548016</v>
      </c>
      <c r="M43" s="314">
        <v>0.66509463799998592</v>
      </c>
      <c r="N43" s="314">
        <v>0.61605443488632017</v>
      </c>
      <c r="O43" s="315">
        <v>0.62341959734515506</v>
      </c>
      <c r="P43" s="315">
        <v>0</v>
      </c>
      <c r="Q43" s="314">
        <v>0</v>
      </c>
      <c r="R43" s="315">
        <v>0</v>
      </c>
      <c r="S43" s="315">
        <v>0.72968461850213306</v>
      </c>
      <c r="T43" s="315"/>
      <c r="U43" s="315"/>
      <c r="V43" s="316"/>
    </row>
    <row r="44" spans="1:22">
      <c r="A44" s="311"/>
      <c r="B44" s="317" t="s">
        <v>771</v>
      </c>
      <c r="C44" s="318">
        <v>-3.7810903376889193E-2</v>
      </c>
      <c r="D44" s="319">
        <v>-3.0050810150584861</v>
      </c>
      <c r="E44" s="319">
        <v>-2.2744410211750998</v>
      </c>
      <c r="F44" s="319">
        <v>-7.0616878339132994</v>
      </c>
      <c r="G44" s="319">
        <v>-1.8345979104033239</v>
      </c>
      <c r="H44" s="319">
        <v>-2.6234411970598059</v>
      </c>
      <c r="I44" s="319">
        <v>-15.748326639892907</v>
      </c>
      <c r="J44" s="320">
        <v>-2.0685524795340471</v>
      </c>
      <c r="K44" s="320">
        <v>0</v>
      </c>
      <c r="L44" s="319">
        <v>-1.4531537293904218</v>
      </c>
      <c r="M44" s="321">
        <v>-2.1656514073746802</v>
      </c>
      <c r="N44" s="319">
        <v>-1.5292544886470028</v>
      </c>
      <c r="O44" s="320">
        <v>-1.587842055282318</v>
      </c>
      <c r="P44" s="320">
        <v>0</v>
      </c>
      <c r="Q44" s="319">
        <v>0</v>
      </c>
      <c r="R44" s="320">
        <v>0</v>
      </c>
      <c r="S44" s="320">
        <v>-1.8070194107417281</v>
      </c>
      <c r="T44" s="320"/>
      <c r="U44" s="320"/>
      <c r="V44" s="316"/>
    </row>
    <row r="45" spans="1:22">
      <c r="A45" s="311"/>
      <c r="B45" s="291" t="s">
        <v>772</v>
      </c>
      <c r="C45" s="308">
        <v>1.4021595896366403E-2</v>
      </c>
      <c r="D45" s="309">
        <v>9.3550450001410657E-2</v>
      </c>
      <c r="E45" s="309">
        <v>4.7038137202370114E-2</v>
      </c>
      <c r="F45" s="309">
        <v>2.1706655111070564E-2</v>
      </c>
      <c r="G45" s="309">
        <v>8.1385979049153914E-2</v>
      </c>
      <c r="H45" s="309">
        <v>9.3371587696721662E-3</v>
      </c>
      <c r="I45" s="309">
        <v>0</v>
      </c>
      <c r="J45" s="310">
        <v>3.6212722928314824E-2</v>
      </c>
      <c r="K45" s="310">
        <v>0</v>
      </c>
      <c r="L45" s="309">
        <v>5.8805313748244444E-2</v>
      </c>
      <c r="M45" s="309">
        <v>0.10148414204391434</v>
      </c>
      <c r="N45" s="309">
        <v>0.11906691604322527</v>
      </c>
      <c r="O45" s="310">
        <v>9.814214429227941E-2</v>
      </c>
      <c r="P45" s="310">
        <v>0</v>
      </c>
      <c r="Q45" s="309">
        <v>0</v>
      </c>
      <c r="R45" s="310">
        <v>0</v>
      </c>
      <c r="S45" s="310">
        <v>5.6712052023963871E-2</v>
      </c>
      <c r="T45" s="310"/>
      <c r="U45" s="310"/>
      <c r="V45" s="316"/>
    </row>
    <row r="46" spans="1:22">
      <c r="A46" s="311"/>
      <c r="B46" s="312" t="s">
        <v>773</v>
      </c>
      <c r="C46" s="313">
        <v>1.4344044137447318E-2</v>
      </c>
      <c r="D46" s="314">
        <v>0.10317256609310907</v>
      </c>
      <c r="E46" s="314">
        <v>3.8823023446698815E-2</v>
      </c>
      <c r="F46" s="314">
        <v>2.704277560533835E-2</v>
      </c>
      <c r="G46" s="314">
        <v>4.6066766436011791E-2</v>
      </c>
      <c r="H46" s="314">
        <v>1.6744699380049494E-2</v>
      </c>
      <c r="I46" s="314">
        <v>2.2115127175368138E-2</v>
      </c>
      <c r="J46" s="315">
        <v>3.448627617061311E-2</v>
      </c>
      <c r="K46" s="315">
        <v>0</v>
      </c>
      <c r="L46" s="314">
        <v>6.8370786902579528E-2</v>
      </c>
      <c r="M46" s="314">
        <v>0.1143738710561643</v>
      </c>
      <c r="N46" s="314">
        <v>0.12537985509264715</v>
      </c>
      <c r="O46" s="315">
        <v>0.1070914955391962</v>
      </c>
      <c r="P46" s="315">
        <v>0</v>
      </c>
      <c r="Q46" s="314">
        <v>0</v>
      </c>
      <c r="R46" s="315">
        <v>0</v>
      </c>
      <c r="S46" s="315">
        <v>5.8046746335277642E-2</v>
      </c>
      <c r="T46" s="315"/>
      <c r="U46" s="315"/>
      <c r="V46" s="316"/>
    </row>
    <row r="47" spans="1:22">
      <c r="A47" s="311"/>
      <c r="B47" s="317" t="s">
        <v>774</v>
      </c>
      <c r="C47" s="318">
        <v>3.2244824108091513E-2</v>
      </c>
      <c r="D47" s="319">
        <v>0.96221160916984128</v>
      </c>
      <c r="E47" s="319">
        <v>-0.82151137556712994</v>
      </c>
      <c r="F47" s="319">
        <v>0.53361204942677865</v>
      </c>
      <c r="G47" s="319">
        <v>-3.5319212613142121</v>
      </c>
      <c r="H47" s="319">
        <v>0.74075406103773278</v>
      </c>
      <c r="I47" s="319">
        <v>0</v>
      </c>
      <c r="J47" s="320">
        <v>-0.17264467577017134</v>
      </c>
      <c r="K47" s="320">
        <v>0</v>
      </c>
      <c r="L47" s="319">
        <v>0.95654731543350846</v>
      </c>
      <c r="M47" s="319">
        <v>1.2889729012249953</v>
      </c>
      <c r="N47" s="319">
        <v>0.63129390494218862</v>
      </c>
      <c r="O47" s="320">
        <v>0.89493512469167869</v>
      </c>
      <c r="P47" s="320">
        <v>0</v>
      </c>
      <c r="Q47" s="319">
        <v>0</v>
      </c>
      <c r="R47" s="320">
        <v>0</v>
      </c>
      <c r="S47" s="320">
        <v>0.13346943113137708</v>
      </c>
      <c r="T47" s="320"/>
      <c r="U47" s="320"/>
      <c r="V47" s="316"/>
    </row>
    <row r="48" spans="1:22">
      <c r="A48" s="311"/>
      <c r="B48" s="291" t="s">
        <v>775</v>
      </c>
      <c r="C48" s="308">
        <v>8.1357365510466517E-2</v>
      </c>
      <c r="D48" s="309">
        <v>0.31071727497578361</v>
      </c>
      <c r="E48" s="309">
        <v>0.17714603047438704</v>
      </c>
      <c r="F48" s="309">
        <v>0.15331501163161976</v>
      </c>
      <c r="G48" s="309">
        <v>0.20862940443923522</v>
      </c>
      <c r="H48" s="309">
        <v>0.17443989705075735</v>
      </c>
      <c r="I48" s="309">
        <v>0</v>
      </c>
      <c r="J48" s="310">
        <v>0.15911025227516534</v>
      </c>
      <c r="K48" s="310">
        <v>0</v>
      </c>
      <c r="L48" s="309">
        <v>0.3090563311114517</v>
      </c>
      <c r="M48" s="309">
        <v>0.21176470588235294</v>
      </c>
      <c r="N48" s="309">
        <v>0.2317972430036021</v>
      </c>
      <c r="O48" s="310">
        <v>0.25261056055380543</v>
      </c>
      <c r="P48" s="310">
        <v>0</v>
      </c>
      <c r="Q48" s="309">
        <v>0</v>
      </c>
      <c r="R48" s="310">
        <v>0</v>
      </c>
      <c r="S48" s="310">
        <v>0.19005989701161313</v>
      </c>
      <c r="T48" s="310"/>
      <c r="U48" s="310"/>
      <c r="V48" s="316"/>
    </row>
    <row r="49" spans="1:22">
      <c r="A49" s="311"/>
      <c r="B49" s="312" t="s">
        <v>776</v>
      </c>
      <c r="C49" s="313">
        <v>8.1985872008917673E-2</v>
      </c>
      <c r="D49" s="314">
        <v>0.33114596903467014</v>
      </c>
      <c r="E49" s="314">
        <v>0.20710245376088615</v>
      </c>
      <c r="F49" s="314">
        <v>0.21859576947648501</v>
      </c>
      <c r="G49" s="314">
        <v>0.26229459615641065</v>
      </c>
      <c r="H49" s="314">
        <v>0.19326676841097803</v>
      </c>
      <c r="I49" s="314">
        <v>0.11689424364123159</v>
      </c>
      <c r="J49" s="315">
        <v>0.18107603485901977</v>
      </c>
      <c r="K49" s="315">
        <v>0</v>
      </c>
      <c r="L49" s="314">
        <v>0.31423235631355262</v>
      </c>
      <c r="M49" s="314">
        <v>0.22053149094384977</v>
      </c>
      <c r="N49" s="314">
        <v>0.24043265093325619</v>
      </c>
      <c r="O49" s="315">
        <v>0.25921773653833574</v>
      </c>
      <c r="P49" s="315">
        <v>0</v>
      </c>
      <c r="Q49" s="314">
        <v>0</v>
      </c>
      <c r="R49" s="315">
        <v>0</v>
      </c>
      <c r="S49" s="315">
        <v>0.20643309936543569</v>
      </c>
      <c r="T49" s="315"/>
      <c r="U49" s="315"/>
      <c r="V49" s="316"/>
    </row>
    <row r="50" spans="1:22">
      <c r="A50" s="311"/>
      <c r="B50" s="317" t="s">
        <v>777</v>
      </c>
      <c r="C50" s="318">
        <v>6.2850649845115625E-2</v>
      </c>
      <c r="D50" s="319">
        <v>2.042869405888653</v>
      </c>
      <c r="E50" s="319">
        <v>2.995642328649911</v>
      </c>
      <c r="F50" s="319">
        <v>6.5280757844865258</v>
      </c>
      <c r="G50" s="319">
        <v>5.3665191717175436</v>
      </c>
      <c r="H50" s="319">
        <v>1.8826871360220681</v>
      </c>
      <c r="I50" s="319">
        <v>0</v>
      </c>
      <c r="J50" s="320">
        <v>2.1965782583854425</v>
      </c>
      <c r="K50" s="320">
        <v>0</v>
      </c>
      <c r="L50" s="319">
        <v>0.51760252021009201</v>
      </c>
      <c r="M50" s="319">
        <v>0.87667850614968346</v>
      </c>
      <c r="N50" s="319">
        <v>0.86354079296540875</v>
      </c>
      <c r="O50" s="320">
        <v>0.66071759845303113</v>
      </c>
      <c r="P50" s="320">
        <v>0</v>
      </c>
      <c r="Q50" s="319">
        <v>0</v>
      </c>
      <c r="R50" s="320">
        <v>0</v>
      </c>
      <c r="S50" s="320">
        <v>1.6373202353822558</v>
      </c>
      <c r="T50" s="320"/>
      <c r="U50" s="320"/>
      <c r="V50" s="316"/>
    </row>
    <row r="51" spans="1:22">
      <c r="A51" s="311"/>
      <c r="B51" s="291" t="s">
        <v>778</v>
      </c>
      <c r="C51" s="308">
        <v>8.1862848731761677E-4</v>
      </c>
      <c r="D51" s="309">
        <v>0</v>
      </c>
      <c r="E51" s="309">
        <v>2.1576053311969704E-3</v>
      </c>
      <c r="F51" s="309">
        <v>0</v>
      </c>
      <c r="G51" s="309">
        <v>0</v>
      </c>
      <c r="H51" s="309">
        <v>0</v>
      </c>
      <c r="I51" s="309">
        <v>0</v>
      </c>
      <c r="J51" s="310">
        <v>1.0296558893806672E-3</v>
      </c>
      <c r="K51" s="310">
        <v>0</v>
      </c>
      <c r="L51" s="309">
        <v>3.816089509194586E-4</v>
      </c>
      <c r="M51" s="309">
        <v>0</v>
      </c>
      <c r="N51" s="309">
        <v>1.7788861180382379E-2</v>
      </c>
      <c r="O51" s="310">
        <v>9.949277255936877E-3</v>
      </c>
      <c r="P51" s="310">
        <v>0</v>
      </c>
      <c r="Q51" s="309">
        <v>0</v>
      </c>
      <c r="R51" s="310">
        <v>0</v>
      </c>
      <c r="S51" s="310">
        <v>3.9821500314947255E-3</v>
      </c>
      <c r="T51" s="310"/>
      <c r="U51" s="310"/>
      <c r="V51" s="316"/>
    </row>
    <row r="52" spans="1:22">
      <c r="A52" s="311"/>
      <c r="B52" s="312" t="s">
        <v>779</v>
      </c>
      <c r="C52" s="313">
        <v>7.1548004483883696E-4</v>
      </c>
      <c r="D52" s="314">
        <v>0</v>
      </c>
      <c r="E52" s="314">
        <v>3.2950203627800374E-3</v>
      </c>
      <c r="F52" s="314">
        <v>0</v>
      </c>
      <c r="G52" s="322">
        <v>0</v>
      </c>
      <c r="H52" s="322">
        <v>0</v>
      </c>
      <c r="I52" s="314">
        <v>1.8473895582329317E-2</v>
      </c>
      <c r="J52" s="315">
        <v>1.6026524260241747E-3</v>
      </c>
      <c r="K52" s="315">
        <v>0</v>
      </c>
      <c r="L52" s="314">
        <v>1.7164788838767707E-4</v>
      </c>
      <c r="M52" s="314">
        <v>0</v>
      </c>
      <c r="N52" s="314">
        <v>1.8133059087776432E-2</v>
      </c>
      <c r="O52" s="315">
        <v>1.0271170577313051E-2</v>
      </c>
      <c r="P52" s="315">
        <v>0</v>
      </c>
      <c r="Q52" s="314">
        <v>0</v>
      </c>
      <c r="R52" s="315">
        <v>0</v>
      </c>
      <c r="S52" s="315">
        <v>4.4155956972026719E-3</v>
      </c>
      <c r="T52" s="315"/>
      <c r="U52" s="315"/>
      <c r="V52" s="316"/>
    </row>
    <row r="53" spans="1:22">
      <c r="A53" s="311"/>
      <c r="B53" s="317" t="s">
        <v>780</v>
      </c>
      <c r="C53" s="318">
        <v>-1.031484424787798E-2</v>
      </c>
      <c r="D53" s="319">
        <v>0</v>
      </c>
      <c r="E53" s="319">
        <v>0.11374150315830669</v>
      </c>
      <c r="F53" s="319">
        <v>0</v>
      </c>
      <c r="G53" s="321">
        <v>0</v>
      </c>
      <c r="H53" s="321">
        <v>0</v>
      </c>
      <c r="I53" s="319">
        <v>0</v>
      </c>
      <c r="J53" s="320">
        <v>5.7299653664350747E-2</v>
      </c>
      <c r="K53" s="320">
        <v>0</v>
      </c>
      <c r="L53" s="319">
        <v>-2.0996106253178153E-2</v>
      </c>
      <c r="M53" s="319">
        <v>0</v>
      </c>
      <c r="N53" s="319">
        <v>3.441979073940532E-2</v>
      </c>
      <c r="O53" s="320">
        <v>3.2189332137617412E-2</v>
      </c>
      <c r="P53" s="320">
        <v>0</v>
      </c>
      <c r="Q53" s="319">
        <v>0</v>
      </c>
      <c r="R53" s="320">
        <v>0</v>
      </c>
      <c r="S53" s="320">
        <v>4.3344566570794642E-2</v>
      </c>
      <c r="T53" s="320"/>
      <c r="U53" s="320"/>
      <c r="V53" s="316"/>
    </row>
    <row r="54" spans="1:22">
      <c r="A54" s="311"/>
      <c r="B54" s="291" t="s">
        <v>781</v>
      </c>
      <c r="C54" s="308">
        <v>0</v>
      </c>
      <c r="D54" s="309">
        <v>0</v>
      </c>
      <c r="E54" s="309">
        <v>1.5320428451778365E-3</v>
      </c>
      <c r="F54" s="309">
        <v>0</v>
      </c>
      <c r="G54" s="309">
        <v>0</v>
      </c>
      <c r="H54" s="309">
        <v>0</v>
      </c>
      <c r="I54" s="309">
        <v>0</v>
      </c>
      <c r="J54" s="310">
        <v>5.5792761623294667E-4</v>
      </c>
      <c r="K54" s="310">
        <v>0</v>
      </c>
      <c r="L54" s="309">
        <v>0</v>
      </c>
      <c r="M54" s="309">
        <v>0</v>
      </c>
      <c r="N54" s="309">
        <v>0</v>
      </c>
      <c r="O54" s="310">
        <v>0</v>
      </c>
      <c r="P54" s="310">
        <v>0</v>
      </c>
      <c r="Q54" s="309">
        <v>0</v>
      </c>
      <c r="R54" s="310">
        <v>0</v>
      </c>
      <c r="S54" s="310">
        <v>3.7324735336575327E-4</v>
      </c>
      <c r="T54" s="310"/>
      <c r="U54" s="310"/>
      <c r="V54" s="316"/>
    </row>
    <row r="55" spans="1:22">
      <c r="A55" s="311"/>
      <c r="B55" s="312" t="s">
        <v>782</v>
      </c>
      <c r="C55" s="313">
        <v>0</v>
      </c>
      <c r="D55" s="314">
        <v>0</v>
      </c>
      <c r="E55" s="314">
        <v>1.3964173045605808E-3</v>
      </c>
      <c r="F55" s="314">
        <v>0</v>
      </c>
      <c r="G55" s="314">
        <v>0</v>
      </c>
      <c r="H55" s="314">
        <v>0</v>
      </c>
      <c r="I55" s="314">
        <v>0</v>
      </c>
      <c r="J55" s="315">
        <v>5.1487928618876202E-4</v>
      </c>
      <c r="K55" s="315">
        <v>0</v>
      </c>
      <c r="L55" s="314">
        <v>0</v>
      </c>
      <c r="M55" s="314">
        <v>0</v>
      </c>
      <c r="N55" s="314">
        <v>0</v>
      </c>
      <c r="O55" s="315">
        <v>0</v>
      </c>
      <c r="P55" s="315">
        <v>0</v>
      </c>
      <c r="Q55" s="314">
        <v>0</v>
      </c>
      <c r="R55" s="315">
        <v>0</v>
      </c>
      <c r="S55" s="315">
        <v>3.4780041546637425E-4</v>
      </c>
      <c r="T55" s="315"/>
      <c r="U55" s="315"/>
      <c r="V55" s="316"/>
    </row>
    <row r="56" spans="1:22">
      <c r="A56" s="311"/>
      <c r="B56" s="317" t="s">
        <v>783</v>
      </c>
      <c r="C56" s="318">
        <v>0</v>
      </c>
      <c r="D56" s="319">
        <v>0</v>
      </c>
      <c r="E56" s="319">
        <v>-1.3562554061725572E-2</v>
      </c>
      <c r="F56" s="319">
        <v>0</v>
      </c>
      <c r="G56" s="319">
        <v>0</v>
      </c>
      <c r="H56" s="319">
        <v>0</v>
      </c>
      <c r="I56" s="319">
        <v>0</v>
      </c>
      <c r="J56" s="320">
        <v>-4.3048330044184648E-3</v>
      </c>
      <c r="K56" s="320">
        <v>0</v>
      </c>
      <c r="L56" s="319">
        <v>0</v>
      </c>
      <c r="M56" s="319">
        <v>0</v>
      </c>
      <c r="N56" s="319">
        <v>0</v>
      </c>
      <c r="O56" s="320">
        <v>0</v>
      </c>
      <c r="P56" s="320">
        <v>0</v>
      </c>
      <c r="Q56" s="319">
        <v>0</v>
      </c>
      <c r="R56" s="320">
        <v>0</v>
      </c>
      <c r="S56" s="320">
        <v>-2.5446937899379022E-3</v>
      </c>
      <c r="T56" s="320"/>
      <c r="U56" s="320"/>
      <c r="V56" s="316"/>
    </row>
    <row r="57" spans="1:22">
      <c r="A57" s="311"/>
      <c r="B57" s="291" t="s">
        <v>784</v>
      </c>
      <c r="C57" s="308">
        <v>5.6080025305952465E-3</v>
      </c>
      <c r="D57" s="309">
        <v>0</v>
      </c>
      <c r="E57" s="309">
        <v>0</v>
      </c>
      <c r="F57" s="309">
        <v>0</v>
      </c>
      <c r="G57" s="309">
        <v>0</v>
      </c>
      <c r="H57" s="309">
        <v>0</v>
      </c>
      <c r="I57" s="309">
        <v>0</v>
      </c>
      <c r="J57" s="310">
        <v>1.6709411121136127E-3</v>
      </c>
      <c r="K57" s="310">
        <v>0</v>
      </c>
      <c r="L57" s="309">
        <v>0</v>
      </c>
      <c r="M57" s="309">
        <v>0</v>
      </c>
      <c r="N57" s="309">
        <v>0</v>
      </c>
      <c r="O57" s="310">
        <v>0</v>
      </c>
      <c r="P57" s="310">
        <v>0</v>
      </c>
      <c r="Q57" s="309">
        <v>0</v>
      </c>
      <c r="R57" s="310">
        <v>0</v>
      </c>
      <c r="S57" s="310">
        <v>1.117840970012205E-3</v>
      </c>
      <c r="T57" s="310"/>
      <c r="U57" s="310"/>
      <c r="V57" s="316"/>
    </row>
    <row r="58" spans="1:22">
      <c r="A58" s="311"/>
      <c r="B58" s="312" t="s">
        <v>785</v>
      </c>
      <c r="C58" s="313">
        <v>5.1383052673108593E-3</v>
      </c>
      <c r="D58" s="314">
        <v>0</v>
      </c>
      <c r="E58" s="314">
        <v>1.3111899573338787E-6</v>
      </c>
      <c r="F58" s="314">
        <v>0</v>
      </c>
      <c r="G58" s="314">
        <v>0</v>
      </c>
      <c r="H58" s="314">
        <v>0</v>
      </c>
      <c r="I58" s="314">
        <v>0</v>
      </c>
      <c r="J58" s="315">
        <v>1.587181874702071E-3</v>
      </c>
      <c r="K58" s="315">
        <v>0</v>
      </c>
      <c r="L58" s="314">
        <v>0</v>
      </c>
      <c r="M58" s="314">
        <v>0</v>
      </c>
      <c r="N58" s="314">
        <v>0</v>
      </c>
      <c r="O58" s="315">
        <v>0</v>
      </c>
      <c r="P58" s="315">
        <v>0</v>
      </c>
      <c r="Q58" s="314">
        <v>0</v>
      </c>
      <c r="R58" s="315">
        <v>0</v>
      </c>
      <c r="S58" s="315">
        <v>1.0721396844846072E-3</v>
      </c>
      <c r="T58" s="315"/>
      <c r="U58" s="315"/>
      <c r="V58" s="316"/>
    </row>
    <row r="59" spans="1:22" ht="15.75" thickBot="1">
      <c r="A59" s="311"/>
      <c r="B59" s="325" t="s">
        <v>786</v>
      </c>
      <c r="C59" s="326">
        <v>-4.6969726328438717E-2</v>
      </c>
      <c r="D59" s="327">
        <v>0</v>
      </c>
      <c r="E59" s="327">
        <v>0</v>
      </c>
      <c r="F59" s="327">
        <v>0</v>
      </c>
      <c r="G59" s="327">
        <v>0</v>
      </c>
      <c r="H59" s="327">
        <v>0</v>
      </c>
      <c r="I59" s="327">
        <v>0</v>
      </c>
      <c r="J59" s="328">
        <v>-8.3759237411541697E-3</v>
      </c>
      <c r="K59" s="328">
        <v>0</v>
      </c>
      <c r="L59" s="327">
        <v>0</v>
      </c>
      <c r="M59" s="327">
        <v>0</v>
      </c>
      <c r="N59" s="327">
        <v>0</v>
      </c>
      <c r="O59" s="328">
        <v>0</v>
      </c>
      <c r="P59" s="328">
        <v>0</v>
      </c>
      <c r="Q59" s="327">
        <v>0</v>
      </c>
      <c r="R59" s="328">
        <v>0</v>
      </c>
      <c r="S59" s="328">
        <v>-4.5701285527597864E-3</v>
      </c>
      <c r="T59" s="328"/>
      <c r="U59" s="328"/>
      <c r="V59" s="316"/>
    </row>
    <row r="60" spans="1:22" ht="15.75" thickTop="1">
      <c r="A60" s="311"/>
      <c r="B60" s="312" t="s">
        <v>787</v>
      </c>
      <c r="C60" s="313">
        <v>0.71494983486009844</v>
      </c>
      <c r="D60" s="314">
        <v>0.48298217179902753</v>
      </c>
      <c r="E60" s="314">
        <v>0.37768349343412461</v>
      </c>
      <c r="F60" s="314">
        <v>0.31051127967687914</v>
      </c>
      <c r="G60" s="314">
        <v>0.13561253561253561</v>
      </c>
      <c r="H60" s="314">
        <v>0.74454828660436134</v>
      </c>
      <c r="I60" s="314">
        <v>1</v>
      </c>
      <c r="J60" s="315">
        <v>0.5777984006661</v>
      </c>
      <c r="K60" s="315">
        <v>0</v>
      </c>
      <c r="L60" s="314">
        <v>0</v>
      </c>
      <c r="M60" s="314">
        <v>0</v>
      </c>
      <c r="N60" s="314">
        <v>0</v>
      </c>
      <c r="O60" s="315">
        <v>0</v>
      </c>
      <c r="P60" s="315">
        <v>0</v>
      </c>
      <c r="Q60" s="314">
        <v>0</v>
      </c>
      <c r="R60" s="315">
        <v>0</v>
      </c>
      <c r="S60" s="315">
        <v>0.5777984006661</v>
      </c>
      <c r="T60" s="315"/>
      <c r="U60" s="315"/>
      <c r="V60" s="316"/>
    </row>
    <row r="61" spans="1:22">
      <c r="A61" s="311"/>
      <c r="B61" s="312" t="s">
        <v>788</v>
      </c>
      <c r="C61" s="313">
        <v>0.69274823262802665</v>
      </c>
      <c r="D61" s="314">
        <v>0.64323701054216864</v>
      </c>
      <c r="E61" s="314">
        <v>0.32964903813004204</v>
      </c>
      <c r="F61" s="314">
        <v>0.19168274743406885</v>
      </c>
      <c r="G61" s="314">
        <v>0.16685034163544193</v>
      </c>
      <c r="H61" s="314">
        <v>0.66099635479951402</v>
      </c>
      <c r="I61" s="314">
        <v>0.91114536719697081</v>
      </c>
      <c r="J61" s="315">
        <v>0.53240329874402947</v>
      </c>
      <c r="K61" s="315">
        <v>0</v>
      </c>
      <c r="L61" s="314">
        <v>0</v>
      </c>
      <c r="M61" s="314">
        <v>0</v>
      </c>
      <c r="N61" s="314">
        <v>0</v>
      </c>
      <c r="O61" s="315">
        <v>0</v>
      </c>
      <c r="P61" s="315">
        <v>0</v>
      </c>
      <c r="Q61" s="314">
        <v>0</v>
      </c>
      <c r="R61" s="315">
        <v>0</v>
      </c>
      <c r="S61" s="315">
        <v>0.53240329874402947</v>
      </c>
      <c r="T61" s="315"/>
      <c r="U61" s="315"/>
      <c r="V61" s="316"/>
    </row>
    <row r="62" spans="1:22">
      <c r="A62" s="311"/>
      <c r="B62" s="317" t="s">
        <v>789</v>
      </c>
      <c r="C62" s="318">
        <v>-2.2201602232071793</v>
      </c>
      <c r="D62" s="319">
        <v>16.025483874314112</v>
      </c>
      <c r="E62" s="319">
        <v>-4.8034455304082568</v>
      </c>
      <c r="F62" s="319">
        <v>-11.882853224281028</v>
      </c>
      <c r="G62" s="319">
        <v>3.1237806022906325</v>
      </c>
      <c r="H62" s="319">
        <v>-8.3551931804847328</v>
      </c>
      <c r="I62" s="319">
        <v>-8.8854632803029183</v>
      </c>
      <c r="J62" s="320">
        <v>-4.539510192207052</v>
      </c>
      <c r="K62" s="320">
        <v>0</v>
      </c>
      <c r="L62" s="319">
        <v>0</v>
      </c>
      <c r="M62" s="319">
        <v>0</v>
      </c>
      <c r="N62" s="319">
        <v>0</v>
      </c>
      <c r="O62" s="320">
        <v>0</v>
      </c>
      <c r="P62" s="320">
        <v>0</v>
      </c>
      <c r="Q62" s="319">
        <v>0</v>
      </c>
      <c r="R62" s="320">
        <v>0</v>
      </c>
      <c r="S62" s="320">
        <v>-4.539510192207052</v>
      </c>
      <c r="T62" s="320"/>
      <c r="U62" s="320"/>
      <c r="V62" s="316"/>
    </row>
    <row r="63" spans="1:22">
      <c r="A63" s="311"/>
      <c r="B63" s="291" t="s">
        <v>790</v>
      </c>
      <c r="C63" s="308">
        <v>2.4677509814918678E-2</v>
      </c>
      <c r="D63" s="309">
        <v>0.26543181291965734</v>
      </c>
      <c r="E63" s="309">
        <v>9.2997893541688446E-3</v>
      </c>
      <c r="F63" s="309">
        <v>1.1673726726430893E-2</v>
      </c>
      <c r="G63" s="309">
        <v>0</v>
      </c>
      <c r="H63" s="309">
        <v>0</v>
      </c>
      <c r="I63" s="309">
        <v>0</v>
      </c>
      <c r="J63" s="310">
        <v>4.3151948284734627E-2</v>
      </c>
      <c r="K63" s="310">
        <v>0</v>
      </c>
      <c r="L63" s="309">
        <v>0</v>
      </c>
      <c r="M63" s="309">
        <v>0</v>
      </c>
      <c r="N63" s="309">
        <v>0</v>
      </c>
      <c r="O63" s="310">
        <v>0</v>
      </c>
      <c r="P63" s="310">
        <v>0</v>
      </c>
      <c r="Q63" s="309">
        <v>0</v>
      </c>
      <c r="R63" s="310">
        <v>0</v>
      </c>
      <c r="S63" s="310">
        <v>4.3151948284734627E-2</v>
      </c>
      <c r="T63" s="310"/>
      <c r="U63" s="310"/>
      <c r="V63" s="316"/>
    </row>
    <row r="64" spans="1:22">
      <c r="A64" s="311"/>
      <c r="B64" s="312" t="s">
        <v>791</v>
      </c>
      <c r="C64" s="313">
        <v>1.5740079316205632E-2</v>
      </c>
      <c r="D64" s="314">
        <v>0.11775225903614457</v>
      </c>
      <c r="E64" s="314">
        <v>1.1376956491760326E-2</v>
      </c>
      <c r="F64" s="314">
        <v>7.7187683530497528E-2</v>
      </c>
      <c r="G64" s="314">
        <v>1.3224597751818382E-3</v>
      </c>
      <c r="H64" s="314">
        <v>0</v>
      </c>
      <c r="I64" s="314">
        <v>1.2676414684885583E-2</v>
      </c>
      <c r="J64" s="315">
        <v>3.0584644892271581E-2</v>
      </c>
      <c r="K64" s="315">
        <v>0</v>
      </c>
      <c r="L64" s="314">
        <v>0</v>
      </c>
      <c r="M64" s="314">
        <v>0</v>
      </c>
      <c r="N64" s="314">
        <v>0</v>
      </c>
      <c r="O64" s="315">
        <v>0</v>
      </c>
      <c r="P64" s="315">
        <v>0</v>
      </c>
      <c r="Q64" s="314">
        <v>0</v>
      </c>
      <c r="R64" s="315">
        <v>0</v>
      </c>
      <c r="S64" s="315">
        <v>3.0584644892271581E-2</v>
      </c>
      <c r="T64" s="315"/>
      <c r="U64" s="315"/>
      <c r="V64" s="316"/>
    </row>
    <row r="65" spans="1:23">
      <c r="A65" s="311"/>
      <c r="B65" s="317" t="s">
        <v>792</v>
      </c>
      <c r="C65" s="318">
        <v>-0.8937430498713046</v>
      </c>
      <c r="D65" s="319">
        <v>-14.767955388351279</v>
      </c>
      <c r="E65" s="319">
        <v>0.20771671375914813</v>
      </c>
      <c r="F65" s="321">
        <v>6.5513956804066629</v>
      </c>
      <c r="G65" s="319">
        <v>0</v>
      </c>
      <c r="H65" s="319">
        <v>0</v>
      </c>
      <c r="I65" s="319">
        <v>0</v>
      </c>
      <c r="J65" s="320">
        <v>-1.2567303392463047</v>
      </c>
      <c r="K65" s="320">
        <v>0</v>
      </c>
      <c r="L65" s="319">
        <v>0</v>
      </c>
      <c r="M65" s="319">
        <v>0</v>
      </c>
      <c r="N65" s="319">
        <v>0</v>
      </c>
      <c r="O65" s="320">
        <v>0</v>
      </c>
      <c r="P65" s="320">
        <v>0</v>
      </c>
      <c r="Q65" s="319">
        <v>0</v>
      </c>
      <c r="R65" s="320">
        <v>0</v>
      </c>
      <c r="S65" s="320">
        <v>-1.2567303392463047</v>
      </c>
      <c r="T65" s="320"/>
      <c r="U65" s="320"/>
      <c r="V65" s="316"/>
    </row>
    <row r="66" spans="1:23">
      <c r="A66" s="311"/>
      <c r="B66" s="291" t="s">
        <v>793</v>
      </c>
      <c r="C66" s="308">
        <v>0.26037265532498288</v>
      </c>
      <c r="D66" s="309">
        <v>0.25158601528131513</v>
      </c>
      <c r="E66" s="309">
        <v>0.57424892062685806</v>
      </c>
      <c r="F66" s="309">
        <v>0.67559846320559547</v>
      </c>
      <c r="G66" s="309">
        <v>0.86438746438746439</v>
      </c>
      <c r="H66" s="309">
        <v>0.2554517133956386</v>
      </c>
      <c r="I66" s="309">
        <v>0</v>
      </c>
      <c r="J66" s="310">
        <v>0.36391495660520273</v>
      </c>
      <c r="K66" s="310">
        <v>0</v>
      </c>
      <c r="L66" s="309">
        <v>0</v>
      </c>
      <c r="M66" s="309">
        <v>0</v>
      </c>
      <c r="N66" s="309">
        <v>0</v>
      </c>
      <c r="O66" s="310">
        <v>0</v>
      </c>
      <c r="P66" s="310">
        <v>0</v>
      </c>
      <c r="Q66" s="309">
        <v>0</v>
      </c>
      <c r="R66" s="310">
        <v>0</v>
      </c>
      <c r="S66" s="310">
        <v>0.36391495660520273</v>
      </c>
      <c r="T66" s="310"/>
      <c r="U66" s="310"/>
      <c r="V66" s="316"/>
    </row>
    <row r="67" spans="1:23">
      <c r="A67" s="311"/>
      <c r="B67" s="312" t="s">
        <v>794</v>
      </c>
      <c r="C67" s="313">
        <v>0.29127768061679432</v>
      </c>
      <c r="D67" s="314">
        <v>0.23901073042168675</v>
      </c>
      <c r="E67" s="314">
        <v>0.6223677859753155</v>
      </c>
      <c r="F67" s="314">
        <v>0.73112956903543358</v>
      </c>
      <c r="G67" s="314">
        <v>0.83182719858937626</v>
      </c>
      <c r="H67" s="314">
        <v>0.33900364520048604</v>
      </c>
      <c r="I67" s="314">
        <v>4.609605339958394E-2</v>
      </c>
      <c r="J67" s="315">
        <v>0.41757246136850723</v>
      </c>
      <c r="K67" s="315">
        <v>0</v>
      </c>
      <c r="L67" s="314">
        <v>0</v>
      </c>
      <c r="M67" s="314">
        <v>0</v>
      </c>
      <c r="N67" s="314">
        <v>0</v>
      </c>
      <c r="O67" s="315">
        <v>0</v>
      </c>
      <c r="P67" s="315">
        <v>0</v>
      </c>
      <c r="Q67" s="314">
        <v>0</v>
      </c>
      <c r="R67" s="315">
        <v>0</v>
      </c>
      <c r="S67" s="315">
        <v>0.41757246136850723</v>
      </c>
      <c r="T67" s="315"/>
      <c r="U67" s="315"/>
      <c r="V67" s="316"/>
    </row>
    <row r="68" spans="1:23">
      <c r="A68" s="311"/>
      <c r="B68" s="317" t="s">
        <v>795</v>
      </c>
      <c r="C68" s="318">
        <v>3.0905025291811441</v>
      </c>
      <c r="D68" s="319">
        <v>-1.2575284859628388</v>
      </c>
      <c r="E68" s="319">
        <v>4.811886534845744</v>
      </c>
      <c r="F68" s="321">
        <v>5.5531105829838108</v>
      </c>
      <c r="G68" s="319">
        <v>-3.2560265798088128</v>
      </c>
      <c r="H68" s="319">
        <v>8.3551931804847435</v>
      </c>
      <c r="I68" s="319">
        <v>0</v>
      </c>
      <c r="J68" s="320">
        <v>5.36575047633045</v>
      </c>
      <c r="K68" s="320">
        <v>0</v>
      </c>
      <c r="L68" s="319">
        <v>0</v>
      </c>
      <c r="M68" s="319">
        <v>0</v>
      </c>
      <c r="N68" s="319">
        <v>0</v>
      </c>
      <c r="O68" s="320">
        <v>0</v>
      </c>
      <c r="P68" s="320">
        <v>0</v>
      </c>
      <c r="Q68" s="319">
        <v>0</v>
      </c>
      <c r="R68" s="320">
        <v>0</v>
      </c>
      <c r="S68" s="320">
        <v>5.36575047633045</v>
      </c>
      <c r="T68" s="320"/>
      <c r="U68" s="320"/>
      <c r="V68" s="316"/>
    </row>
    <row r="69" spans="1:23">
      <c r="A69" s="311"/>
      <c r="B69" s="291" t="s">
        <v>796</v>
      </c>
      <c r="C69" s="308">
        <v>0</v>
      </c>
      <c r="D69" s="309">
        <v>0</v>
      </c>
      <c r="E69" s="309">
        <v>3.5137517367076508E-2</v>
      </c>
      <c r="F69" s="309">
        <v>2.2165303910944736E-3</v>
      </c>
      <c r="G69" s="309">
        <v>0</v>
      </c>
      <c r="H69" s="309">
        <v>0</v>
      </c>
      <c r="I69" s="309">
        <v>0</v>
      </c>
      <c r="J69" s="310">
        <v>1.3729639716213637E-2</v>
      </c>
      <c r="K69" s="310">
        <v>0</v>
      </c>
      <c r="L69" s="309">
        <v>0</v>
      </c>
      <c r="M69" s="309">
        <v>0</v>
      </c>
      <c r="N69" s="309">
        <v>0</v>
      </c>
      <c r="O69" s="310">
        <v>0</v>
      </c>
      <c r="P69" s="310">
        <v>0</v>
      </c>
      <c r="Q69" s="309">
        <v>0</v>
      </c>
      <c r="R69" s="310">
        <v>0</v>
      </c>
      <c r="S69" s="310">
        <v>1.3729639716213637E-2</v>
      </c>
      <c r="T69" s="310"/>
      <c r="U69" s="310"/>
      <c r="V69" s="316"/>
    </row>
    <row r="70" spans="1:23">
      <c r="A70" s="311"/>
      <c r="B70" s="312" t="s">
        <v>797</v>
      </c>
      <c r="C70" s="313">
        <v>0</v>
      </c>
      <c r="D70" s="314">
        <v>0</v>
      </c>
      <c r="E70" s="314">
        <v>3.4303247603944015E-2</v>
      </c>
      <c r="F70" s="322">
        <v>0</v>
      </c>
      <c r="G70" s="314">
        <v>0</v>
      </c>
      <c r="H70" s="314">
        <v>0</v>
      </c>
      <c r="I70" s="314">
        <v>3.0082164718559647E-2</v>
      </c>
      <c r="J70" s="315">
        <v>1.8504438681032222E-2</v>
      </c>
      <c r="K70" s="315">
        <v>0</v>
      </c>
      <c r="L70" s="314">
        <v>0</v>
      </c>
      <c r="M70" s="314">
        <v>0</v>
      </c>
      <c r="N70" s="314">
        <v>0</v>
      </c>
      <c r="O70" s="315">
        <v>0</v>
      </c>
      <c r="P70" s="315">
        <v>0</v>
      </c>
      <c r="Q70" s="314">
        <v>0</v>
      </c>
      <c r="R70" s="315">
        <v>0</v>
      </c>
      <c r="S70" s="315">
        <v>1.8504438681032222E-2</v>
      </c>
      <c r="T70" s="315"/>
      <c r="U70" s="315"/>
      <c r="V70" s="316"/>
    </row>
    <row r="71" spans="1:23">
      <c r="A71" s="311"/>
      <c r="B71" s="317" t="s">
        <v>798</v>
      </c>
      <c r="C71" s="318">
        <v>0</v>
      </c>
      <c r="D71" s="319">
        <v>0</v>
      </c>
      <c r="E71" s="319">
        <v>-8.3426976313249329E-2</v>
      </c>
      <c r="F71" s="319">
        <v>-0.22165303910944736</v>
      </c>
      <c r="G71" s="319">
        <v>0</v>
      </c>
      <c r="H71" s="319">
        <v>0</v>
      </c>
      <c r="I71" s="319">
        <v>0</v>
      </c>
      <c r="J71" s="320">
        <v>0.47747989648185846</v>
      </c>
      <c r="K71" s="320">
        <v>0</v>
      </c>
      <c r="L71" s="319">
        <v>0</v>
      </c>
      <c r="M71" s="319">
        <v>0</v>
      </c>
      <c r="N71" s="319">
        <v>0</v>
      </c>
      <c r="O71" s="320">
        <v>0</v>
      </c>
      <c r="P71" s="320">
        <v>0</v>
      </c>
      <c r="Q71" s="319">
        <v>0</v>
      </c>
      <c r="R71" s="320">
        <v>0</v>
      </c>
      <c r="S71" s="320">
        <v>0.47747989648185846</v>
      </c>
      <c r="T71" s="320"/>
      <c r="U71" s="320"/>
      <c r="V71" s="316"/>
    </row>
    <row r="72" spans="1:23">
      <c r="A72" s="311"/>
      <c r="B72" s="291" t="s">
        <v>799</v>
      </c>
      <c r="C72" s="308">
        <v>0</v>
      </c>
      <c r="D72" s="309">
        <v>0</v>
      </c>
      <c r="E72" s="309">
        <v>3.6302792177719347E-3</v>
      </c>
      <c r="F72" s="309">
        <v>0</v>
      </c>
      <c r="G72" s="309">
        <v>0</v>
      </c>
      <c r="H72" s="309">
        <v>0</v>
      </c>
      <c r="I72" s="309">
        <v>0</v>
      </c>
      <c r="J72" s="310">
        <v>1.4050547277489635E-3</v>
      </c>
      <c r="K72" s="310">
        <v>0</v>
      </c>
      <c r="L72" s="309">
        <v>0</v>
      </c>
      <c r="M72" s="309">
        <v>0</v>
      </c>
      <c r="N72" s="309">
        <v>0</v>
      </c>
      <c r="O72" s="310">
        <v>0</v>
      </c>
      <c r="P72" s="310">
        <v>0</v>
      </c>
      <c r="Q72" s="309">
        <v>0</v>
      </c>
      <c r="R72" s="310">
        <v>0</v>
      </c>
      <c r="S72" s="310">
        <v>1.4050547277489635E-3</v>
      </c>
      <c r="T72" s="310"/>
      <c r="U72" s="310"/>
      <c r="V72" s="316"/>
    </row>
    <row r="73" spans="1:23">
      <c r="A73" s="311"/>
      <c r="B73" s="312" t="s">
        <v>800</v>
      </c>
      <c r="C73" s="313">
        <v>2.3400743897332316E-4</v>
      </c>
      <c r="D73" s="314">
        <v>0</v>
      </c>
      <c r="E73" s="314">
        <v>2.3029717989381509E-3</v>
      </c>
      <c r="F73" s="314">
        <v>0</v>
      </c>
      <c r="G73" s="314">
        <v>0</v>
      </c>
      <c r="H73" s="314">
        <v>0</v>
      </c>
      <c r="I73" s="314">
        <v>0</v>
      </c>
      <c r="J73" s="315">
        <v>9.3515631415953815E-4</v>
      </c>
      <c r="K73" s="315">
        <v>0</v>
      </c>
      <c r="L73" s="314">
        <v>0</v>
      </c>
      <c r="M73" s="314">
        <v>0</v>
      </c>
      <c r="N73" s="314">
        <v>0</v>
      </c>
      <c r="O73" s="315">
        <v>0</v>
      </c>
      <c r="P73" s="315">
        <v>0</v>
      </c>
      <c r="Q73" s="314">
        <v>0</v>
      </c>
      <c r="R73" s="315">
        <v>0</v>
      </c>
      <c r="S73" s="315">
        <v>9.3515631415953815E-4</v>
      </c>
      <c r="T73" s="315"/>
      <c r="U73" s="315"/>
      <c r="V73" s="316"/>
    </row>
    <row r="74" spans="1:23">
      <c r="A74" s="311"/>
      <c r="B74" s="317" t="s">
        <v>801</v>
      </c>
      <c r="C74" s="318">
        <v>0</v>
      </c>
      <c r="D74" s="319">
        <v>0</v>
      </c>
      <c r="E74" s="319">
        <v>-0.13273074188337838</v>
      </c>
      <c r="F74" s="319">
        <v>0</v>
      </c>
      <c r="G74" s="319">
        <v>0</v>
      </c>
      <c r="H74" s="319">
        <v>0</v>
      </c>
      <c r="I74" s="319">
        <v>0</v>
      </c>
      <c r="J74" s="320">
        <v>-4.6989841358942533E-2</v>
      </c>
      <c r="K74" s="320">
        <v>0</v>
      </c>
      <c r="L74" s="319">
        <v>0</v>
      </c>
      <c r="M74" s="319">
        <v>0</v>
      </c>
      <c r="N74" s="319">
        <v>0</v>
      </c>
      <c r="O74" s="320">
        <v>0</v>
      </c>
      <c r="P74" s="320">
        <v>0</v>
      </c>
      <c r="Q74" s="319">
        <v>0</v>
      </c>
      <c r="R74" s="320">
        <v>0</v>
      </c>
      <c r="S74" s="320">
        <v>-4.6989841358942533E-2</v>
      </c>
      <c r="T74" s="320"/>
      <c r="U74" s="320"/>
      <c r="V74" s="316"/>
    </row>
    <row r="75" spans="1:23">
      <c r="A75" s="311"/>
      <c r="B75" s="291" t="s">
        <v>802</v>
      </c>
      <c r="C75" s="308">
        <v>0</v>
      </c>
      <c r="D75" s="309">
        <v>0</v>
      </c>
      <c r="E75" s="309">
        <v>0</v>
      </c>
      <c r="F75" s="309">
        <v>0</v>
      </c>
      <c r="G75" s="309">
        <v>0</v>
      </c>
      <c r="H75" s="309">
        <v>0</v>
      </c>
      <c r="I75" s="309">
        <v>0</v>
      </c>
      <c r="J75" s="310">
        <v>0</v>
      </c>
      <c r="K75" s="310">
        <v>0</v>
      </c>
      <c r="L75" s="309">
        <v>0</v>
      </c>
      <c r="M75" s="309">
        <v>0</v>
      </c>
      <c r="N75" s="309">
        <v>0</v>
      </c>
      <c r="O75" s="310">
        <v>0</v>
      </c>
      <c r="P75" s="310">
        <v>0</v>
      </c>
      <c r="Q75" s="309">
        <v>0</v>
      </c>
      <c r="R75" s="310">
        <v>0</v>
      </c>
      <c r="S75" s="310">
        <v>0</v>
      </c>
      <c r="T75" s="310"/>
      <c r="U75" s="310"/>
      <c r="V75" s="316"/>
    </row>
    <row r="76" spans="1:23">
      <c r="A76" s="311"/>
      <c r="B76" s="312" t="s">
        <v>803</v>
      </c>
      <c r="C76" s="313">
        <v>0</v>
      </c>
      <c r="D76" s="314">
        <v>0</v>
      </c>
      <c r="E76" s="314">
        <v>0</v>
      </c>
      <c r="F76" s="314">
        <v>0</v>
      </c>
      <c r="G76" s="314">
        <v>0</v>
      </c>
      <c r="H76" s="314">
        <v>0</v>
      </c>
      <c r="I76" s="314">
        <v>0</v>
      </c>
      <c r="J76" s="315">
        <v>0</v>
      </c>
      <c r="K76" s="315">
        <v>0</v>
      </c>
      <c r="L76" s="314">
        <v>0</v>
      </c>
      <c r="M76" s="314">
        <v>0</v>
      </c>
      <c r="N76" s="314">
        <v>0</v>
      </c>
      <c r="O76" s="315">
        <v>0</v>
      </c>
      <c r="P76" s="315">
        <v>0</v>
      </c>
      <c r="Q76" s="314">
        <v>0</v>
      </c>
      <c r="R76" s="315">
        <v>0</v>
      </c>
      <c r="S76" s="315">
        <v>0</v>
      </c>
      <c r="T76" s="315"/>
      <c r="U76" s="315"/>
      <c r="V76" s="316"/>
      <c r="W76" s="335"/>
    </row>
    <row r="77" spans="1:23" ht="15.75" thickBot="1">
      <c r="A77" s="329"/>
      <c r="B77" s="330" t="s">
        <v>804</v>
      </c>
      <c r="C77" s="331">
        <v>0</v>
      </c>
      <c r="D77" s="332">
        <v>0</v>
      </c>
      <c r="E77" s="332">
        <v>0</v>
      </c>
      <c r="F77" s="332">
        <v>0</v>
      </c>
      <c r="G77" s="332">
        <v>0</v>
      </c>
      <c r="H77" s="332">
        <v>0</v>
      </c>
      <c r="I77" s="332">
        <v>0</v>
      </c>
      <c r="J77" s="333">
        <v>0</v>
      </c>
      <c r="K77" s="333">
        <v>0</v>
      </c>
      <c r="L77" s="332">
        <v>0</v>
      </c>
      <c r="M77" s="332">
        <v>0</v>
      </c>
      <c r="N77" s="332">
        <v>0</v>
      </c>
      <c r="O77" s="333">
        <v>0</v>
      </c>
      <c r="P77" s="333">
        <v>0</v>
      </c>
      <c r="Q77" s="332">
        <v>0</v>
      </c>
      <c r="R77" s="333">
        <v>0</v>
      </c>
      <c r="S77" s="333">
        <v>0</v>
      </c>
      <c r="T77" s="333"/>
      <c r="U77" s="333"/>
      <c r="V77" s="316"/>
    </row>
    <row r="78" spans="1:23">
      <c r="A78" s="307" t="s">
        <v>524</v>
      </c>
      <c r="B78" s="291" t="s">
        <v>769</v>
      </c>
      <c r="C78" s="308">
        <v>0.96921737321819812</v>
      </c>
      <c r="D78" s="309">
        <v>0</v>
      </c>
      <c r="E78" s="309">
        <v>0.96862700078719499</v>
      </c>
      <c r="F78" s="309">
        <v>0</v>
      </c>
      <c r="G78" s="309">
        <v>0</v>
      </c>
      <c r="H78" s="309">
        <v>0</v>
      </c>
      <c r="I78" s="309">
        <v>0</v>
      </c>
      <c r="J78" s="310">
        <v>0.96911292136054028</v>
      </c>
      <c r="K78" s="310">
        <v>0</v>
      </c>
      <c r="L78" s="309">
        <v>0</v>
      </c>
      <c r="M78" s="309">
        <v>0.87471846537536124</v>
      </c>
      <c r="N78" s="309">
        <v>0</v>
      </c>
      <c r="O78" s="310">
        <v>0.87471846537536124</v>
      </c>
      <c r="P78" s="310">
        <v>0</v>
      </c>
      <c r="Q78" s="309">
        <v>0</v>
      </c>
      <c r="R78" s="310">
        <v>0</v>
      </c>
      <c r="S78" s="310">
        <v>0.94232923430547555</v>
      </c>
      <c r="T78" s="310"/>
      <c r="U78" s="310"/>
      <c r="V78" s="316"/>
    </row>
    <row r="79" spans="1:23">
      <c r="A79" s="311"/>
      <c r="B79" s="312" t="s">
        <v>770</v>
      </c>
      <c r="C79" s="313">
        <v>0.9659201035566447</v>
      </c>
      <c r="D79" s="314">
        <v>0</v>
      </c>
      <c r="E79" s="314">
        <v>0.95960528684002533</v>
      </c>
      <c r="F79" s="314">
        <v>0</v>
      </c>
      <c r="G79" s="314">
        <v>0</v>
      </c>
      <c r="H79" s="314">
        <v>0</v>
      </c>
      <c r="I79" s="314">
        <v>0</v>
      </c>
      <c r="J79" s="315">
        <v>0.96477650690085692</v>
      </c>
      <c r="K79" s="315">
        <v>0</v>
      </c>
      <c r="L79" s="314">
        <v>0</v>
      </c>
      <c r="M79" s="314">
        <v>0.86055778335633581</v>
      </c>
      <c r="N79" s="314">
        <v>0</v>
      </c>
      <c r="O79" s="315">
        <v>0.86055778335633581</v>
      </c>
      <c r="P79" s="315">
        <v>0</v>
      </c>
      <c r="Q79" s="314">
        <v>0</v>
      </c>
      <c r="R79" s="315">
        <v>0</v>
      </c>
      <c r="S79" s="315">
        <v>0.93546970848349897</v>
      </c>
      <c r="T79" s="315"/>
      <c r="U79" s="315"/>
      <c r="V79" s="316"/>
    </row>
    <row r="80" spans="1:23">
      <c r="A80" s="311"/>
      <c r="B80" s="317" t="s">
        <v>771</v>
      </c>
      <c r="C80" s="318">
        <v>-0.32972696615534147</v>
      </c>
      <c r="D80" s="319">
        <v>0</v>
      </c>
      <c r="E80" s="319">
        <v>-0.90217139471696628</v>
      </c>
      <c r="F80" s="319">
        <v>0</v>
      </c>
      <c r="G80" s="319">
        <v>0</v>
      </c>
      <c r="H80" s="319">
        <v>0</v>
      </c>
      <c r="I80" s="319">
        <v>0</v>
      </c>
      <c r="J80" s="320">
        <v>-0.43364144596833576</v>
      </c>
      <c r="K80" s="320">
        <v>0</v>
      </c>
      <c r="L80" s="319">
        <v>0</v>
      </c>
      <c r="M80" s="319">
        <v>-1.4160682019025428</v>
      </c>
      <c r="N80" s="319">
        <v>0</v>
      </c>
      <c r="O80" s="320">
        <v>-1.4160682019025428</v>
      </c>
      <c r="P80" s="320">
        <v>0</v>
      </c>
      <c r="Q80" s="319">
        <v>0</v>
      </c>
      <c r="R80" s="320">
        <v>0</v>
      </c>
      <c r="S80" s="320">
        <v>-0.68595258219765753</v>
      </c>
      <c r="T80" s="320"/>
      <c r="U80" s="320"/>
      <c r="V80" s="316"/>
    </row>
    <row r="81" spans="1:22">
      <c r="A81" s="311"/>
      <c r="B81" s="291" t="s">
        <v>772</v>
      </c>
      <c r="C81" s="308">
        <v>0</v>
      </c>
      <c r="D81" s="309">
        <v>0</v>
      </c>
      <c r="E81" s="309">
        <v>0</v>
      </c>
      <c r="F81" s="309">
        <v>0</v>
      </c>
      <c r="G81" s="309">
        <v>0</v>
      </c>
      <c r="H81" s="309">
        <v>0</v>
      </c>
      <c r="I81" s="309">
        <v>0</v>
      </c>
      <c r="J81" s="310">
        <v>0</v>
      </c>
      <c r="K81" s="310">
        <v>0</v>
      </c>
      <c r="L81" s="309">
        <v>0</v>
      </c>
      <c r="M81" s="309">
        <v>0</v>
      </c>
      <c r="N81" s="309">
        <v>0</v>
      </c>
      <c r="O81" s="310">
        <v>0</v>
      </c>
      <c r="P81" s="310">
        <v>0</v>
      </c>
      <c r="Q81" s="309">
        <v>0</v>
      </c>
      <c r="R81" s="310">
        <v>0</v>
      </c>
      <c r="S81" s="310">
        <v>0</v>
      </c>
      <c r="T81" s="310"/>
      <c r="U81" s="310"/>
      <c r="V81" s="316"/>
    </row>
    <row r="82" spans="1:22">
      <c r="A82" s="311"/>
      <c r="B82" s="312" t="s">
        <v>773</v>
      </c>
      <c r="C82" s="313">
        <v>0</v>
      </c>
      <c r="D82" s="314">
        <v>0</v>
      </c>
      <c r="E82" s="314">
        <v>0</v>
      </c>
      <c r="F82" s="314">
        <v>0</v>
      </c>
      <c r="G82" s="314">
        <v>0</v>
      </c>
      <c r="H82" s="314">
        <v>0</v>
      </c>
      <c r="I82" s="314">
        <v>0</v>
      </c>
      <c r="J82" s="315">
        <v>0</v>
      </c>
      <c r="K82" s="315">
        <v>0</v>
      </c>
      <c r="L82" s="314">
        <v>0</v>
      </c>
      <c r="M82" s="314">
        <v>0</v>
      </c>
      <c r="N82" s="314">
        <v>0</v>
      </c>
      <c r="O82" s="315">
        <v>0</v>
      </c>
      <c r="P82" s="315">
        <v>0</v>
      </c>
      <c r="Q82" s="314">
        <v>0</v>
      </c>
      <c r="R82" s="315">
        <v>0</v>
      </c>
      <c r="S82" s="315">
        <v>0</v>
      </c>
      <c r="T82" s="315"/>
      <c r="U82" s="315"/>
      <c r="V82" s="316"/>
    </row>
    <row r="83" spans="1:22">
      <c r="A83" s="311"/>
      <c r="B83" s="317" t="s">
        <v>774</v>
      </c>
      <c r="C83" s="318">
        <v>0</v>
      </c>
      <c r="D83" s="319">
        <v>0</v>
      </c>
      <c r="E83" s="319">
        <v>0</v>
      </c>
      <c r="F83" s="319">
        <v>0</v>
      </c>
      <c r="G83" s="319">
        <v>0</v>
      </c>
      <c r="H83" s="319">
        <v>0</v>
      </c>
      <c r="I83" s="319">
        <v>0</v>
      </c>
      <c r="J83" s="320">
        <v>0</v>
      </c>
      <c r="K83" s="320">
        <v>0</v>
      </c>
      <c r="L83" s="319">
        <v>0</v>
      </c>
      <c r="M83" s="319">
        <v>0</v>
      </c>
      <c r="N83" s="319">
        <v>0</v>
      </c>
      <c r="O83" s="320">
        <v>0</v>
      </c>
      <c r="P83" s="320">
        <v>0</v>
      </c>
      <c r="Q83" s="319">
        <v>0</v>
      </c>
      <c r="R83" s="320">
        <v>0</v>
      </c>
      <c r="S83" s="320">
        <v>0</v>
      </c>
      <c r="T83" s="320"/>
      <c r="U83" s="320"/>
      <c r="V83" s="316"/>
    </row>
    <row r="84" spans="1:22">
      <c r="A84" s="311"/>
      <c r="B84" s="291" t="s">
        <v>775</v>
      </c>
      <c r="C84" s="308">
        <v>3.078262678180187E-2</v>
      </c>
      <c r="D84" s="309">
        <v>0</v>
      </c>
      <c r="E84" s="309">
        <v>3.1372999212805036E-2</v>
      </c>
      <c r="F84" s="309">
        <v>0</v>
      </c>
      <c r="G84" s="309">
        <v>0</v>
      </c>
      <c r="H84" s="309">
        <v>0</v>
      </c>
      <c r="I84" s="309">
        <v>0</v>
      </c>
      <c r="J84" s="310">
        <v>3.088707863945973E-2</v>
      </c>
      <c r="K84" s="310">
        <v>0</v>
      </c>
      <c r="L84" s="309">
        <v>0</v>
      </c>
      <c r="M84" s="309">
        <v>0.12133730320043068</v>
      </c>
      <c r="N84" s="309">
        <v>0</v>
      </c>
      <c r="O84" s="310">
        <v>0.12133730320043068</v>
      </c>
      <c r="P84" s="310">
        <v>0</v>
      </c>
      <c r="Q84" s="309">
        <v>0</v>
      </c>
      <c r="R84" s="310">
        <v>0</v>
      </c>
      <c r="S84" s="310">
        <v>5.6551620941411682E-2</v>
      </c>
      <c r="T84" s="310"/>
      <c r="U84" s="310"/>
      <c r="V84" s="316"/>
    </row>
    <row r="85" spans="1:22">
      <c r="A85" s="311"/>
      <c r="B85" s="312" t="s">
        <v>776</v>
      </c>
      <c r="C85" s="313">
        <v>3.4079896443355344E-2</v>
      </c>
      <c r="D85" s="314">
        <v>0</v>
      </c>
      <c r="E85" s="314">
        <v>4.0394713159974643E-2</v>
      </c>
      <c r="F85" s="314">
        <v>0</v>
      </c>
      <c r="G85" s="314">
        <v>0</v>
      </c>
      <c r="H85" s="314">
        <v>0</v>
      </c>
      <c r="I85" s="314">
        <v>0</v>
      </c>
      <c r="J85" s="315">
        <v>3.5223493099143043E-2</v>
      </c>
      <c r="K85" s="315">
        <v>0</v>
      </c>
      <c r="L85" s="314">
        <v>0</v>
      </c>
      <c r="M85" s="314">
        <v>0.1351061556127901</v>
      </c>
      <c r="N85" s="314">
        <v>0</v>
      </c>
      <c r="O85" s="315">
        <v>0.1351061556127901</v>
      </c>
      <c r="P85" s="315">
        <v>0</v>
      </c>
      <c r="Q85" s="314">
        <v>0</v>
      </c>
      <c r="R85" s="315">
        <v>0</v>
      </c>
      <c r="S85" s="315">
        <v>6.3310970628322069E-2</v>
      </c>
      <c r="T85" s="315"/>
      <c r="U85" s="315"/>
      <c r="V85" s="316"/>
    </row>
    <row r="86" spans="1:22">
      <c r="A86" s="311"/>
      <c r="B86" s="317" t="s">
        <v>777</v>
      </c>
      <c r="C86" s="318">
        <v>0.32972696615534736</v>
      </c>
      <c r="D86" s="319">
        <v>0</v>
      </c>
      <c r="E86" s="319">
        <v>0.90217139471696073</v>
      </c>
      <c r="F86" s="319">
        <v>0</v>
      </c>
      <c r="G86" s="319">
        <v>0</v>
      </c>
      <c r="H86" s="319">
        <v>0</v>
      </c>
      <c r="I86" s="319">
        <v>0</v>
      </c>
      <c r="J86" s="320">
        <v>0.43364144596833126</v>
      </c>
      <c r="K86" s="320">
        <v>0</v>
      </c>
      <c r="L86" s="319">
        <v>0</v>
      </c>
      <c r="M86" s="319">
        <v>1.3768852412359422</v>
      </c>
      <c r="N86" s="319">
        <v>0</v>
      </c>
      <c r="O86" s="320">
        <v>1.3768852412359422</v>
      </c>
      <c r="P86" s="320">
        <v>0</v>
      </c>
      <c r="Q86" s="319">
        <v>0</v>
      </c>
      <c r="R86" s="320">
        <v>0</v>
      </c>
      <c r="S86" s="320">
        <v>0.67593496869103875</v>
      </c>
      <c r="T86" s="320"/>
      <c r="U86" s="320"/>
      <c r="V86" s="316"/>
    </row>
    <row r="87" spans="1:22">
      <c r="A87" s="311"/>
      <c r="B87" s="291" t="s">
        <v>778</v>
      </c>
      <c r="C87" s="308">
        <v>0</v>
      </c>
      <c r="D87" s="309">
        <v>0</v>
      </c>
      <c r="E87" s="309">
        <v>0</v>
      </c>
      <c r="F87" s="309">
        <v>0</v>
      </c>
      <c r="G87" s="309">
        <v>0</v>
      </c>
      <c r="H87" s="309">
        <v>0</v>
      </c>
      <c r="I87" s="309">
        <v>0</v>
      </c>
      <c r="J87" s="310">
        <v>0</v>
      </c>
      <c r="K87" s="310">
        <v>0</v>
      </c>
      <c r="L87" s="309">
        <v>0</v>
      </c>
      <c r="M87" s="309">
        <v>3.1092409277183883E-3</v>
      </c>
      <c r="N87" s="309">
        <v>0</v>
      </c>
      <c r="O87" s="310">
        <v>3.1092409277183883E-3</v>
      </c>
      <c r="P87" s="310">
        <v>0</v>
      </c>
      <c r="Q87" s="309">
        <v>0</v>
      </c>
      <c r="R87" s="310">
        <v>0</v>
      </c>
      <c r="S87" s="310">
        <v>8.8222274409721288E-4</v>
      </c>
      <c r="T87" s="310"/>
      <c r="U87" s="310"/>
      <c r="V87" s="316"/>
    </row>
    <row r="88" spans="1:22">
      <c r="A88" s="311"/>
      <c r="B88" s="312" t="s">
        <v>779</v>
      </c>
      <c r="C88" s="313">
        <v>0</v>
      </c>
      <c r="D88" s="314">
        <v>0</v>
      </c>
      <c r="E88" s="314">
        <v>0</v>
      </c>
      <c r="F88" s="314">
        <v>0</v>
      </c>
      <c r="G88" s="314">
        <v>0</v>
      </c>
      <c r="H88" s="314">
        <v>0</v>
      </c>
      <c r="I88" s="314">
        <v>0</v>
      </c>
      <c r="J88" s="315">
        <v>0</v>
      </c>
      <c r="K88" s="315">
        <v>0</v>
      </c>
      <c r="L88" s="314">
        <v>0</v>
      </c>
      <c r="M88" s="314">
        <v>3.5101446440409046E-3</v>
      </c>
      <c r="N88" s="314">
        <v>0</v>
      </c>
      <c r="O88" s="315">
        <v>3.5101446440409046E-3</v>
      </c>
      <c r="P88" s="315">
        <v>0</v>
      </c>
      <c r="Q88" s="314">
        <v>0</v>
      </c>
      <c r="R88" s="315">
        <v>0</v>
      </c>
      <c r="S88" s="315">
        <v>9.8706929043062305E-4</v>
      </c>
      <c r="T88" s="315"/>
      <c r="U88" s="315"/>
      <c r="V88" s="316"/>
    </row>
    <row r="89" spans="1:22">
      <c r="A89" s="311"/>
      <c r="B89" s="317" t="s">
        <v>780</v>
      </c>
      <c r="C89" s="318">
        <v>0</v>
      </c>
      <c r="D89" s="319">
        <v>0</v>
      </c>
      <c r="E89" s="319">
        <v>0</v>
      </c>
      <c r="F89" s="319">
        <v>0</v>
      </c>
      <c r="G89" s="319">
        <v>0</v>
      </c>
      <c r="H89" s="319">
        <v>0</v>
      </c>
      <c r="I89" s="319">
        <v>0</v>
      </c>
      <c r="J89" s="320">
        <v>0</v>
      </c>
      <c r="K89" s="320">
        <v>0</v>
      </c>
      <c r="L89" s="319">
        <v>0</v>
      </c>
      <c r="M89" s="319">
        <v>4.0090371632251626E-2</v>
      </c>
      <c r="N89" s="319">
        <v>0</v>
      </c>
      <c r="O89" s="320">
        <v>4.0090371632251626E-2</v>
      </c>
      <c r="P89" s="320">
        <v>0</v>
      </c>
      <c r="Q89" s="319">
        <v>0</v>
      </c>
      <c r="R89" s="320">
        <v>0</v>
      </c>
      <c r="S89" s="320">
        <v>1.0484654633341018E-2</v>
      </c>
      <c r="T89" s="320"/>
      <c r="U89" s="320"/>
      <c r="V89" s="316"/>
    </row>
    <row r="90" spans="1:22">
      <c r="A90" s="311"/>
      <c r="B90" s="291" t="s">
        <v>781</v>
      </c>
      <c r="C90" s="308">
        <v>0</v>
      </c>
      <c r="D90" s="309">
        <v>0</v>
      </c>
      <c r="E90" s="309">
        <v>0</v>
      </c>
      <c r="F90" s="309">
        <v>0</v>
      </c>
      <c r="G90" s="309">
        <v>0</v>
      </c>
      <c r="H90" s="309">
        <v>0</v>
      </c>
      <c r="I90" s="309">
        <v>0</v>
      </c>
      <c r="J90" s="310">
        <v>0</v>
      </c>
      <c r="K90" s="310">
        <v>0</v>
      </c>
      <c r="L90" s="309">
        <v>0</v>
      </c>
      <c r="M90" s="309">
        <v>8.3499049648974393E-4</v>
      </c>
      <c r="N90" s="309">
        <v>0</v>
      </c>
      <c r="O90" s="310">
        <v>8.3499049648974393E-4</v>
      </c>
      <c r="P90" s="310">
        <v>0</v>
      </c>
      <c r="Q90" s="309">
        <v>0</v>
      </c>
      <c r="R90" s="310">
        <v>0</v>
      </c>
      <c r="S90" s="310">
        <v>2.3692200901550593E-4</v>
      </c>
      <c r="T90" s="310"/>
      <c r="U90" s="310"/>
      <c r="V90" s="316"/>
    </row>
    <row r="91" spans="1:22">
      <c r="A91" s="311"/>
      <c r="B91" s="312" t="s">
        <v>782</v>
      </c>
      <c r="C91" s="313">
        <v>0</v>
      </c>
      <c r="D91" s="314">
        <v>0</v>
      </c>
      <c r="E91" s="314">
        <v>0</v>
      </c>
      <c r="F91" s="314">
        <v>0</v>
      </c>
      <c r="G91" s="314">
        <v>0</v>
      </c>
      <c r="H91" s="314">
        <v>0</v>
      </c>
      <c r="I91" s="314">
        <v>0</v>
      </c>
      <c r="J91" s="315">
        <v>0</v>
      </c>
      <c r="K91" s="315">
        <v>0</v>
      </c>
      <c r="L91" s="314">
        <v>0</v>
      </c>
      <c r="M91" s="314">
        <v>8.2591638683315405E-4</v>
      </c>
      <c r="N91" s="314">
        <v>0</v>
      </c>
      <c r="O91" s="315">
        <v>8.2591638683315405E-4</v>
      </c>
      <c r="P91" s="315">
        <v>0</v>
      </c>
      <c r="Q91" s="314">
        <v>0</v>
      </c>
      <c r="R91" s="315">
        <v>0</v>
      </c>
      <c r="S91" s="315">
        <v>2.3225159774838188E-4</v>
      </c>
      <c r="T91" s="315"/>
      <c r="U91" s="315"/>
      <c r="V91" s="316"/>
    </row>
    <row r="92" spans="1:22">
      <c r="A92" s="311"/>
      <c r="B92" s="317" t="s">
        <v>783</v>
      </c>
      <c r="C92" s="318">
        <v>0</v>
      </c>
      <c r="D92" s="319">
        <v>0</v>
      </c>
      <c r="E92" s="319">
        <v>0</v>
      </c>
      <c r="F92" s="319">
        <v>0</v>
      </c>
      <c r="G92" s="319">
        <v>0</v>
      </c>
      <c r="H92" s="319">
        <v>0</v>
      </c>
      <c r="I92" s="319">
        <v>0</v>
      </c>
      <c r="J92" s="320">
        <v>0</v>
      </c>
      <c r="K92" s="320">
        <v>0</v>
      </c>
      <c r="L92" s="319">
        <v>0</v>
      </c>
      <c r="M92" s="319">
        <v>-9.0741096565898809E-4</v>
      </c>
      <c r="N92" s="319">
        <v>0</v>
      </c>
      <c r="O92" s="320">
        <v>-9.0741096565898809E-4</v>
      </c>
      <c r="P92" s="320">
        <v>0</v>
      </c>
      <c r="Q92" s="319">
        <v>0</v>
      </c>
      <c r="R92" s="320">
        <v>0</v>
      </c>
      <c r="S92" s="320">
        <v>-4.6704112671240561E-4</v>
      </c>
      <c r="T92" s="320"/>
      <c r="U92" s="320"/>
      <c r="V92" s="316"/>
    </row>
    <row r="93" spans="1:22">
      <c r="A93" s="311"/>
      <c r="B93" s="291" t="s">
        <v>784</v>
      </c>
      <c r="C93" s="308">
        <v>0</v>
      </c>
      <c r="D93" s="309">
        <v>0</v>
      </c>
      <c r="E93" s="309">
        <v>0</v>
      </c>
      <c r="F93" s="309">
        <v>0</v>
      </c>
      <c r="G93" s="309">
        <v>0</v>
      </c>
      <c r="H93" s="309">
        <v>0</v>
      </c>
      <c r="I93" s="309">
        <v>0</v>
      </c>
      <c r="J93" s="310">
        <v>0</v>
      </c>
      <c r="K93" s="310">
        <v>0</v>
      </c>
      <c r="L93" s="309">
        <v>0</v>
      </c>
      <c r="M93" s="309">
        <v>0</v>
      </c>
      <c r="N93" s="309">
        <v>0</v>
      </c>
      <c r="O93" s="310">
        <v>0</v>
      </c>
      <c r="P93" s="310">
        <v>0</v>
      </c>
      <c r="Q93" s="309">
        <v>0</v>
      </c>
      <c r="R93" s="310">
        <v>0</v>
      </c>
      <c r="S93" s="310">
        <v>0</v>
      </c>
      <c r="T93" s="310"/>
      <c r="U93" s="310"/>
      <c r="V93" s="316"/>
    </row>
    <row r="94" spans="1:22">
      <c r="A94" s="311"/>
      <c r="B94" s="312" t="s">
        <v>785</v>
      </c>
      <c r="C94" s="313">
        <v>0</v>
      </c>
      <c r="D94" s="314">
        <v>0</v>
      </c>
      <c r="E94" s="314">
        <v>0</v>
      </c>
      <c r="F94" s="314">
        <v>0</v>
      </c>
      <c r="G94" s="314">
        <v>0</v>
      </c>
      <c r="H94" s="314">
        <v>0</v>
      </c>
      <c r="I94" s="314">
        <v>0</v>
      </c>
      <c r="J94" s="315">
        <v>0</v>
      </c>
      <c r="K94" s="315">
        <v>0</v>
      </c>
      <c r="L94" s="314">
        <v>0</v>
      </c>
      <c r="M94" s="314">
        <v>0</v>
      </c>
      <c r="N94" s="314">
        <v>0</v>
      </c>
      <c r="O94" s="315">
        <v>0</v>
      </c>
      <c r="P94" s="315">
        <v>0</v>
      </c>
      <c r="Q94" s="314">
        <v>0</v>
      </c>
      <c r="R94" s="315">
        <v>0</v>
      </c>
      <c r="S94" s="315">
        <v>0</v>
      </c>
      <c r="T94" s="315"/>
      <c r="U94" s="315"/>
      <c r="V94" s="316"/>
    </row>
    <row r="95" spans="1:22" ht="15.75" thickBot="1">
      <c r="A95" s="311"/>
      <c r="B95" s="325" t="s">
        <v>786</v>
      </c>
      <c r="C95" s="326">
        <v>0</v>
      </c>
      <c r="D95" s="327">
        <v>0</v>
      </c>
      <c r="E95" s="327">
        <v>0</v>
      </c>
      <c r="F95" s="327">
        <v>0</v>
      </c>
      <c r="G95" s="327">
        <v>0</v>
      </c>
      <c r="H95" s="327">
        <v>0</v>
      </c>
      <c r="I95" s="327">
        <v>0</v>
      </c>
      <c r="J95" s="328">
        <v>0</v>
      </c>
      <c r="K95" s="328">
        <v>0</v>
      </c>
      <c r="L95" s="327">
        <v>0</v>
      </c>
      <c r="M95" s="327">
        <v>0</v>
      </c>
      <c r="N95" s="327">
        <v>0</v>
      </c>
      <c r="O95" s="328">
        <v>0</v>
      </c>
      <c r="P95" s="328">
        <v>0</v>
      </c>
      <c r="Q95" s="327">
        <v>0</v>
      </c>
      <c r="R95" s="328">
        <v>0</v>
      </c>
      <c r="S95" s="328">
        <v>0</v>
      </c>
      <c r="T95" s="328"/>
      <c r="U95" s="328"/>
      <c r="V95" s="316"/>
    </row>
    <row r="96" spans="1:22" ht="15.75" thickTop="1">
      <c r="A96" s="311"/>
      <c r="B96" s="312" t="s">
        <v>787</v>
      </c>
      <c r="C96" s="313">
        <v>0.91579647735043523</v>
      </c>
      <c r="D96" s="314">
        <v>0</v>
      </c>
      <c r="E96" s="314">
        <v>0.95306530835000913</v>
      </c>
      <c r="F96" s="314">
        <v>0</v>
      </c>
      <c r="G96" s="314">
        <v>0</v>
      </c>
      <c r="H96" s="314">
        <v>0</v>
      </c>
      <c r="I96" s="314">
        <v>0</v>
      </c>
      <c r="J96" s="315">
        <v>0.91923360848265212</v>
      </c>
      <c r="K96" s="315">
        <v>0</v>
      </c>
      <c r="L96" s="314">
        <v>0</v>
      </c>
      <c r="M96" s="314">
        <v>0</v>
      </c>
      <c r="N96" s="314">
        <v>0</v>
      </c>
      <c r="O96" s="315">
        <v>0</v>
      </c>
      <c r="P96" s="315">
        <v>0</v>
      </c>
      <c r="Q96" s="314">
        <v>0</v>
      </c>
      <c r="R96" s="315">
        <v>0</v>
      </c>
      <c r="S96" s="315">
        <v>0.91923360848265212</v>
      </c>
      <c r="T96" s="315"/>
      <c r="U96" s="315"/>
      <c r="V96" s="316"/>
    </row>
    <row r="97" spans="1:22">
      <c r="A97" s="311"/>
      <c r="B97" s="312" t="s">
        <v>788</v>
      </c>
      <c r="C97" s="313">
        <v>0.90239859089260732</v>
      </c>
      <c r="D97" s="314">
        <v>0</v>
      </c>
      <c r="E97" s="314">
        <v>0.94630654083957044</v>
      </c>
      <c r="F97" s="314">
        <v>0</v>
      </c>
      <c r="G97" s="314">
        <v>0</v>
      </c>
      <c r="H97" s="314">
        <v>0</v>
      </c>
      <c r="I97" s="314">
        <v>0</v>
      </c>
      <c r="J97" s="315">
        <v>0.90661150573725702</v>
      </c>
      <c r="K97" s="315">
        <v>0</v>
      </c>
      <c r="L97" s="314">
        <v>0</v>
      </c>
      <c r="M97" s="314">
        <v>0</v>
      </c>
      <c r="N97" s="314">
        <v>0</v>
      </c>
      <c r="O97" s="315">
        <v>0</v>
      </c>
      <c r="P97" s="315">
        <v>0</v>
      </c>
      <c r="Q97" s="314">
        <v>0</v>
      </c>
      <c r="R97" s="315">
        <v>0</v>
      </c>
      <c r="S97" s="315">
        <v>0.90661150573725702</v>
      </c>
      <c r="T97" s="315"/>
      <c r="U97" s="315"/>
      <c r="V97" s="316"/>
    </row>
    <row r="98" spans="1:22">
      <c r="A98" s="311"/>
      <c r="B98" s="317" t="s">
        <v>789</v>
      </c>
      <c r="C98" s="318">
        <v>-1.3397886457827912</v>
      </c>
      <c r="D98" s="319">
        <v>0</v>
      </c>
      <c r="E98" s="319">
        <v>-0.67587675104386902</v>
      </c>
      <c r="F98" s="319">
        <v>0</v>
      </c>
      <c r="G98" s="319">
        <v>0</v>
      </c>
      <c r="H98" s="319">
        <v>0</v>
      </c>
      <c r="I98" s="319">
        <v>0</v>
      </c>
      <c r="J98" s="320">
        <v>-1.2622102745395103</v>
      </c>
      <c r="K98" s="320">
        <v>0</v>
      </c>
      <c r="L98" s="319">
        <v>0</v>
      </c>
      <c r="M98" s="319">
        <v>0</v>
      </c>
      <c r="N98" s="319">
        <v>0</v>
      </c>
      <c r="O98" s="320">
        <v>0</v>
      </c>
      <c r="P98" s="320">
        <v>0</v>
      </c>
      <c r="Q98" s="319">
        <v>0</v>
      </c>
      <c r="R98" s="320">
        <v>0</v>
      </c>
      <c r="S98" s="320">
        <v>-1.2622102745395103</v>
      </c>
      <c r="T98" s="320"/>
      <c r="U98" s="320"/>
      <c r="V98" s="316"/>
    </row>
    <row r="99" spans="1:22">
      <c r="A99" s="311"/>
      <c r="B99" s="291" t="s">
        <v>790</v>
      </c>
      <c r="C99" s="308">
        <v>0</v>
      </c>
      <c r="D99" s="309">
        <v>0</v>
      </c>
      <c r="E99" s="309">
        <v>0</v>
      </c>
      <c r="F99" s="309">
        <v>0</v>
      </c>
      <c r="G99" s="309">
        <v>0</v>
      </c>
      <c r="H99" s="309">
        <v>0</v>
      </c>
      <c r="I99" s="309">
        <v>0</v>
      </c>
      <c r="J99" s="310">
        <v>0</v>
      </c>
      <c r="K99" s="310">
        <v>0</v>
      </c>
      <c r="L99" s="309">
        <v>0</v>
      </c>
      <c r="M99" s="309">
        <v>0</v>
      </c>
      <c r="N99" s="309">
        <v>0</v>
      </c>
      <c r="O99" s="310">
        <v>0</v>
      </c>
      <c r="P99" s="310">
        <v>0</v>
      </c>
      <c r="Q99" s="309">
        <v>0</v>
      </c>
      <c r="R99" s="310">
        <v>0</v>
      </c>
      <c r="S99" s="310">
        <v>0</v>
      </c>
      <c r="T99" s="310"/>
      <c r="U99" s="310"/>
      <c r="V99" s="316"/>
    </row>
    <row r="100" spans="1:22">
      <c r="A100" s="311"/>
      <c r="B100" s="312" t="s">
        <v>791</v>
      </c>
      <c r="C100" s="313">
        <v>0</v>
      </c>
      <c r="D100" s="314">
        <v>0</v>
      </c>
      <c r="E100" s="314">
        <v>0</v>
      </c>
      <c r="F100" s="314">
        <v>0</v>
      </c>
      <c r="G100" s="314">
        <v>0</v>
      </c>
      <c r="H100" s="314">
        <v>0</v>
      </c>
      <c r="I100" s="314">
        <v>0</v>
      </c>
      <c r="J100" s="315">
        <v>0</v>
      </c>
      <c r="K100" s="315">
        <v>0</v>
      </c>
      <c r="L100" s="314">
        <v>0</v>
      </c>
      <c r="M100" s="314">
        <v>0</v>
      </c>
      <c r="N100" s="314">
        <v>0</v>
      </c>
      <c r="O100" s="315">
        <v>0</v>
      </c>
      <c r="P100" s="315">
        <v>0</v>
      </c>
      <c r="Q100" s="314">
        <v>0</v>
      </c>
      <c r="R100" s="315">
        <v>0</v>
      </c>
      <c r="S100" s="315">
        <v>0</v>
      </c>
      <c r="T100" s="315"/>
      <c r="U100" s="315"/>
      <c r="V100" s="316"/>
    </row>
    <row r="101" spans="1:22">
      <c r="A101" s="311"/>
      <c r="B101" s="317" t="s">
        <v>792</v>
      </c>
      <c r="C101" s="318">
        <v>0</v>
      </c>
      <c r="D101" s="319">
        <v>0</v>
      </c>
      <c r="E101" s="319">
        <v>0</v>
      </c>
      <c r="F101" s="319">
        <v>0</v>
      </c>
      <c r="G101" s="319">
        <v>0</v>
      </c>
      <c r="H101" s="319">
        <v>0</v>
      </c>
      <c r="I101" s="319">
        <v>0</v>
      </c>
      <c r="J101" s="320">
        <v>0</v>
      </c>
      <c r="K101" s="320">
        <v>0</v>
      </c>
      <c r="L101" s="319">
        <v>0</v>
      </c>
      <c r="M101" s="319">
        <v>0</v>
      </c>
      <c r="N101" s="319">
        <v>0</v>
      </c>
      <c r="O101" s="320">
        <v>0</v>
      </c>
      <c r="P101" s="320">
        <v>0</v>
      </c>
      <c r="Q101" s="319">
        <v>0</v>
      </c>
      <c r="R101" s="320">
        <v>0</v>
      </c>
      <c r="S101" s="320">
        <v>0</v>
      </c>
      <c r="T101" s="320"/>
      <c r="U101" s="320"/>
      <c r="V101" s="316"/>
    </row>
    <row r="102" spans="1:22">
      <c r="A102" s="311"/>
      <c r="B102" s="291" t="s">
        <v>793</v>
      </c>
      <c r="C102" s="308">
        <v>8.4203522649564752E-2</v>
      </c>
      <c r="D102" s="309">
        <v>0</v>
      </c>
      <c r="E102" s="309">
        <v>4.6934691649990902E-2</v>
      </c>
      <c r="F102" s="309">
        <v>0</v>
      </c>
      <c r="G102" s="309">
        <v>0</v>
      </c>
      <c r="H102" s="309">
        <v>0</v>
      </c>
      <c r="I102" s="309">
        <v>0</v>
      </c>
      <c r="J102" s="310">
        <v>8.0766391517347824E-2</v>
      </c>
      <c r="K102" s="310">
        <v>0</v>
      </c>
      <c r="L102" s="309">
        <v>0</v>
      </c>
      <c r="M102" s="309">
        <v>0</v>
      </c>
      <c r="N102" s="309">
        <v>0</v>
      </c>
      <c r="O102" s="310">
        <v>0</v>
      </c>
      <c r="P102" s="310">
        <v>0</v>
      </c>
      <c r="Q102" s="309">
        <v>0</v>
      </c>
      <c r="R102" s="310">
        <v>0</v>
      </c>
      <c r="S102" s="310">
        <v>8.0766391517347824E-2</v>
      </c>
      <c r="T102" s="310"/>
      <c r="U102" s="310"/>
      <c r="V102" s="316"/>
    </row>
    <row r="103" spans="1:22">
      <c r="A103" s="311"/>
      <c r="B103" s="312" t="s">
        <v>794</v>
      </c>
      <c r="C103" s="313">
        <v>9.7601409107392637E-2</v>
      </c>
      <c r="D103" s="314">
        <v>0</v>
      </c>
      <c r="E103" s="314">
        <v>5.3693459160429551E-2</v>
      </c>
      <c r="F103" s="314">
        <v>0</v>
      </c>
      <c r="G103" s="314">
        <v>0</v>
      </c>
      <c r="H103" s="314">
        <v>0</v>
      </c>
      <c r="I103" s="314">
        <v>0</v>
      </c>
      <c r="J103" s="315">
        <v>9.3388494262742955E-2</v>
      </c>
      <c r="K103" s="315">
        <v>0</v>
      </c>
      <c r="L103" s="314">
        <v>0</v>
      </c>
      <c r="M103" s="314">
        <v>0</v>
      </c>
      <c r="N103" s="314">
        <v>0</v>
      </c>
      <c r="O103" s="315">
        <v>0</v>
      </c>
      <c r="P103" s="315">
        <v>0</v>
      </c>
      <c r="Q103" s="314">
        <v>0</v>
      </c>
      <c r="R103" s="315">
        <v>0</v>
      </c>
      <c r="S103" s="315">
        <v>9.3388494262742955E-2</v>
      </c>
      <c r="T103" s="315"/>
      <c r="U103" s="315"/>
      <c r="V103" s="316"/>
    </row>
    <row r="104" spans="1:22">
      <c r="A104" s="311"/>
      <c r="B104" s="317" t="s">
        <v>795</v>
      </c>
      <c r="C104" s="318">
        <v>1.3397886457827886</v>
      </c>
      <c r="D104" s="319">
        <v>0</v>
      </c>
      <c r="E104" s="319">
        <v>0.6758767510438648</v>
      </c>
      <c r="F104" s="319">
        <v>0</v>
      </c>
      <c r="G104" s="319">
        <v>0</v>
      </c>
      <c r="H104" s="319">
        <v>0</v>
      </c>
      <c r="I104" s="319">
        <v>0</v>
      </c>
      <c r="J104" s="320">
        <v>1.262210274539513</v>
      </c>
      <c r="K104" s="320">
        <v>0</v>
      </c>
      <c r="L104" s="319">
        <v>0</v>
      </c>
      <c r="M104" s="319">
        <v>0</v>
      </c>
      <c r="N104" s="319">
        <v>0</v>
      </c>
      <c r="O104" s="320">
        <v>0</v>
      </c>
      <c r="P104" s="320">
        <v>0</v>
      </c>
      <c r="Q104" s="319">
        <v>0</v>
      </c>
      <c r="R104" s="320">
        <v>0</v>
      </c>
      <c r="S104" s="320">
        <v>1.262210274539513</v>
      </c>
      <c r="T104" s="320"/>
      <c r="U104" s="320"/>
      <c r="V104" s="316"/>
    </row>
    <row r="105" spans="1:22">
      <c r="A105" s="311"/>
      <c r="B105" s="291" t="s">
        <v>796</v>
      </c>
      <c r="C105" s="308">
        <v>0</v>
      </c>
      <c r="D105" s="309">
        <v>0</v>
      </c>
      <c r="E105" s="309">
        <v>0</v>
      </c>
      <c r="F105" s="309">
        <v>0</v>
      </c>
      <c r="G105" s="309">
        <v>0</v>
      </c>
      <c r="H105" s="309">
        <v>0</v>
      </c>
      <c r="I105" s="309">
        <v>0</v>
      </c>
      <c r="J105" s="310">
        <v>0</v>
      </c>
      <c r="K105" s="310">
        <v>0</v>
      </c>
      <c r="L105" s="309">
        <v>0</v>
      </c>
      <c r="M105" s="309">
        <v>0</v>
      </c>
      <c r="N105" s="309">
        <v>0</v>
      </c>
      <c r="O105" s="310">
        <v>0</v>
      </c>
      <c r="P105" s="310">
        <v>0</v>
      </c>
      <c r="Q105" s="309">
        <v>0</v>
      </c>
      <c r="R105" s="310">
        <v>0</v>
      </c>
      <c r="S105" s="310">
        <v>0</v>
      </c>
      <c r="T105" s="310"/>
      <c r="U105" s="310"/>
      <c r="V105" s="316"/>
    </row>
    <row r="106" spans="1:22">
      <c r="A106" s="311"/>
      <c r="B106" s="312" t="s">
        <v>797</v>
      </c>
      <c r="C106" s="313">
        <v>0</v>
      </c>
      <c r="D106" s="314">
        <v>0</v>
      </c>
      <c r="E106" s="314">
        <v>0</v>
      </c>
      <c r="F106" s="314">
        <v>0</v>
      </c>
      <c r="G106" s="314">
        <v>0</v>
      </c>
      <c r="H106" s="314">
        <v>0</v>
      </c>
      <c r="I106" s="314">
        <v>0</v>
      </c>
      <c r="J106" s="315">
        <v>0</v>
      </c>
      <c r="K106" s="315">
        <v>0</v>
      </c>
      <c r="L106" s="314">
        <v>0</v>
      </c>
      <c r="M106" s="314">
        <v>0</v>
      </c>
      <c r="N106" s="314">
        <v>0</v>
      </c>
      <c r="O106" s="315">
        <v>0</v>
      </c>
      <c r="P106" s="315">
        <v>0</v>
      </c>
      <c r="Q106" s="314">
        <v>0</v>
      </c>
      <c r="R106" s="315">
        <v>0</v>
      </c>
      <c r="S106" s="315">
        <v>0</v>
      </c>
      <c r="T106" s="315"/>
      <c r="U106" s="315"/>
      <c r="V106" s="316"/>
    </row>
    <row r="107" spans="1:22">
      <c r="A107" s="311"/>
      <c r="B107" s="317" t="s">
        <v>798</v>
      </c>
      <c r="C107" s="318">
        <v>0</v>
      </c>
      <c r="D107" s="319">
        <v>0</v>
      </c>
      <c r="E107" s="319">
        <v>0</v>
      </c>
      <c r="F107" s="319">
        <v>0</v>
      </c>
      <c r="G107" s="319">
        <v>0</v>
      </c>
      <c r="H107" s="319">
        <v>0</v>
      </c>
      <c r="I107" s="319">
        <v>0</v>
      </c>
      <c r="J107" s="320">
        <v>0</v>
      </c>
      <c r="K107" s="320">
        <v>0</v>
      </c>
      <c r="L107" s="319">
        <v>0</v>
      </c>
      <c r="M107" s="319">
        <v>0</v>
      </c>
      <c r="N107" s="319">
        <v>0</v>
      </c>
      <c r="O107" s="320">
        <v>0</v>
      </c>
      <c r="P107" s="320">
        <v>0</v>
      </c>
      <c r="Q107" s="319">
        <v>0</v>
      </c>
      <c r="R107" s="320">
        <v>0</v>
      </c>
      <c r="S107" s="320">
        <v>0</v>
      </c>
      <c r="T107" s="320"/>
      <c r="U107" s="320"/>
      <c r="V107" s="316"/>
    </row>
    <row r="108" spans="1:22">
      <c r="A108" s="311"/>
      <c r="B108" s="291" t="s">
        <v>799</v>
      </c>
      <c r="C108" s="308">
        <v>0</v>
      </c>
      <c r="D108" s="309">
        <v>0</v>
      </c>
      <c r="E108" s="309">
        <v>0</v>
      </c>
      <c r="F108" s="309">
        <v>0</v>
      </c>
      <c r="G108" s="309">
        <v>0</v>
      </c>
      <c r="H108" s="309">
        <v>0</v>
      </c>
      <c r="I108" s="309">
        <v>0</v>
      </c>
      <c r="J108" s="310">
        <v>0</v>
      </c>
      <c r="K108" s="310">
        <v>0</v>
      </c>
      <c r="L108" s="309">
        <v>0</v>
      </c>
      <c r="M108" s="309">
        <v>0</v>
      </c>
      <c r="N108" s="309">
        <v>0</v>
      </c>
      <c r="O108" s="310">
        <v>0</v>
      </c>
      <c r="P108" s="310">
        <v>0</v>
      </c>
      <c r="Q108" s="309">
        <v>0</v>
      </c>
      <c r="R108" s="310">
        <v>0</v>
      </c>
      <c r="S108" s="310">
        <v>0</v>
      </c>
      <c r="T108" s="310"/>
      <c r="U108" s="310"/>
      <c r="V108" s="316"/>
    </row>
    <row r="109" spans="1:22">
      <c r="A109" s="311"/>
      <c r="B109" s="312" t="s">
        <v>800</v>
      </c>
      <c r="C109" s="313">
        <v>0</v>
      </c>
      <c r="D109" s="314">
        <v>0</v>
      </c>
      <c r="E109" s="314">
        <v>0</v>
      </c>
      <c r="F109" s="314">
        <v>0</v>
      </c>
      <c r="G109" s="314">
        <v>0</v>
      </c>
      <c r="H109" s="314">
        <v>0</v>
      </c>
      <c r="I109" s="314">
        <v>0</v>
      </c>
      <c r="J109" s="315">
        <v>0</v>
      </c>
      <c r="K109" s="315">
        <v>0</v>
      </c>
      <c r="L109" s="314">
        <v>0</v>
      </c>
      <c r="M109" s="314">
        <v>0</v>
      </c>
      <c r="N109" s="314">
        <v>0</v>
      </c>
      <c r="O109" s="315">
        <v>0</v>
      </c>
      <c r="P109" s="315">
        <v>0</v>
      </c>
      <c r="Q109" s="314">
        <v>0</v>
      </c>
      <c r="R109" s="315">
        <v>0</v>
      </c>
      <c r="S109" s="315">
        <v>0</v>
      </c>
      <c r="T109" s="315"/>
      <c r="U109" s="315"/>
      <c r="V109" s="316"/>
    </row>
    <row r="110" spans="1:22">
      <c r="A110" s="311"/>
      <c r="B110" s="317" t="s">
        <v>801</v>
      </c>
      <c r="C110" s="318">
        <v>0</v>
      </c>
      <c r="D110" s="319">
        <v>0</v>
      </c>
      <c r="E110" s="319">
        <v>0</v>
      </c>
      <c r="F110" s="319">
        <v>0</v>
      </c>
      <c r="G110" s="319">
        <v>0</v>
      </c>
      <c r="H110" s="319">
        <v>0</v>
      </c>
      <c r="I110" s="319">
        <v>0</v>
      </c>
      <c r="J110" s="320">
        <v>0</v>
      </c>
      <c r="K110" s="320">
        <v>0</v>
      </c>
      <c r="L110" s="319">
        <v>0</v>
      </c>
      <c r="M110" s="319">
        <v>0</v>
      </c>
      <c r="N110" s="319">
        <v>0</v>
      </c>
      <c r="O110" s="320">
        <v>0</v>
      </c>
      <c r="P110" s="320">
        <v>0</v>
      </c>
      <c r="Q110" s="319">
        <v>0</v>
      </c>
      <c r="R110" s="320">
        <v>0</v>
      </c>
      <c r="S110" s="320">
        <v>0</v>
      </c>
      <c r="T110" s="320"/>
      <c r="U110" s="320"/>
      <c r="V110" s="316"/>
    </row>
    <row r="111" spans="1:22">
      <c r="A111" s="311"/>
      <c r="B111" s="291" t="s">
        <v>802</v>
      </c>
      <c r="C111" s="308">
        <v>0</v>
      </c>
      <c r="D111" s="309">
        <v>0</v>
      </c>
      <c r="E111" s="309">
        <v>0</v>
      </c>
      <c r="F111" s="309">
        <v>0</v>
      </c>
      <c r="G111" s="309">
        <v>0</v>
      </c>
      <c r="H111" s="309">
        <v>0</v>
      </c>
      <c r="I111" s="309">
        <v>0</v>
      </c>
      <c r="J111" s="310">
        <v>0</v>
      </c>
      <c r="K111" s="310">
        <v>0</v>
      </c>
      <c r="L111" s="309">
        <v>0</v>
      </c>
      <c r="M111" s="309">
        <v>0</v>
      </c>
      <c r="N111" s="309">
        <v>0</v>
      </c>
      <c r="O111" s="310">
        <v>0</v>
      </c>
      <c r="P111" s="310">
        <v>0</v>
      </c>
      <c r="Q111" s="309">
        <v>0</v>
      </c>
      <c r="R111" s="310">
        <v>0</v>
      </c>
      <c r="S111" s="310">
        <v>0</v>
      </c>
      <c r="T111" s="310"/>
      <c r="U111" s="310"/>
      <c r="V111" s="316"/>
    </row>
    <row r="112" spans="1:22">
      <c r="A112" s="311"/>
      <c r="B112" s="312" t="s">
        <v>803</v>
      </c>
      <c r="C112" s="313">
        <v>0</v>
      </c>
      <c r="D112" s="314">
        <v>0</v>
      </c>
      <c r="E112" s="314">
        <v>0</v>
      </c>
      <c r="F112" s="314">
        <v>0</v>
      </c>
      <c r="G112" s="314">
        <v>0</v>
      </c>
      <c r="H112" s="314">
        <v>0</v>
      </c>
      <c r="I112" s="314">
        <v>0</v>
      </c>
      <c r="J112" s="315">
        <v>0</v>
      </c>
      <c r="K112" s="315">
        <v>0</v>
      </c>
      <c r="L112" s="314">
        <v>0</v>
      </c>
      <c r="M112" s="314">
        <v>0</v>
      </c>
      <c r="N112" s="314">
        <v>0</v>
      </c>
      <c r="O112" s="315">
        <v>0</v>
      </c>
      <c r="P112" s="315">
        <v>0</v>
      </c>
      <c r="Q112" s="314">
        <v>0</v>
      </c>
      <c r="R112" s="315">
        <v>0</v>
      </c>
      <c r="S112" s="315">
        <v>0</v>
      </c>
      <c r="T112" s="315"/>
      <c r="U112" s="315"/>
      <c r="V112" s="316"/>
    </row>
    <row r="113" spans="1:22" ht="15.75" thickBot="1">
      <c r="A113" s="329"/>
      <c r="B113" s="330" t="s">
        <v>804</v>
      </c>
      <c r="C113" s="331">
        <v>0</v>
      </c>
      <c r="D113" s="332">
        <v>0</v>
      </c>
      <c r="E113" s="332">
        <v>0</v>
      </c>
      <c r="F113" s="332">
        <v>0</v>
      </c>
      <c r="G113" s="332">
        <v>0</v>
      </c>
      <c r="H113" s="332">
        <v>0</v>
      </c>
      <c r="I113" s="332">
        <v>0</v>
      </c>
      <c r="J113" s="333">
        <v>0</v>
      </c>
      <c r="K113" s="333">
        <v>0</v>
      </c>
      <c r="L113" s="332">
        <v>0</v>
      </c>
      <c r="M113" s="332">
        <v>0</v>
      </c>
      <c r="N113" s="332">
        <v>0</v>
      </c>
      <c r="O113" s="333">
        <v>0</v>
      </c>
      <c r="P113" s="333">
        <v>0</v>
      </c>
      <c r="Q113" s="332">
        <v>0</v>
      </c>
      <c r="R113" s="333">
        <v>0</v>
      </c>
      <c r="S113" s="333">
        <v>0</v>
      </c>
      <c r="T113" s="333"/>
      <c r="U113" s="333"/>
      <c r="V113" s="316"/>
    </row>
    <row r="114" spans="1:22">
      <c r="A114" s="307" t="s">
        <v>136</v>
      </c>
      <c r="B114" s="291" t="s">
        <v>769</v>
      </c>
      <c r="C114" s="308">
        <v>0.73467258166074112</v>
      </c>
      <c r="D114" s="309">
        <v>0</v>
      </c>
      <c r="E114" s="309">
        <v>0.86982007206097123</v>
      </c>
      <c r="F114" s="309">
        <v>0.75909765099513637</v>
      </c>
      <c r="G114" s="309">
        <v>0</v>
      </c>
      <c r="H114" s="309">
        <v>1</v>
      </c>
      <c r="I114" s="309">
        <v>0</v>
      </c>
      <c r="J114" s="310">
        <v>0.75347506268163644</v>
      </c>
      <c r="K114" s="310">
        <v>0.73731748258711316</v>
      </c>
      <c r="L114" s="309">
        <v>0.77404459602231657</v>
      </c>
      <c r="M114" s="309">
        <v>0.68290093355882331</v>
      </c>
      <c r="N114" s="309">
        <v>0.70555151515151515</v>
      </c>
      <c r="O114" s="310">
        <v>0.74172432479550743</v>
      </c>
      <c r="P114" s="310">
        <v>0</v>
      </c>
      <c r="Q114" s="309">
        <v>0</v>
      </c>
      <c r="R114" s="310">
        <v>0</v>
      </c>
      <c r="S114" s="310">
        <v>0.74660936738507166</v>
      </c>
      <c r="T114" s="310"/>
      <c r="U114" s="310"/>
      <c r="V114" s="316"/>
    </row>
    <row r="115" spans="1:22">
      <c r="A115" s="311"/>
      <c r="B115" s="312" t="s">
        <v>770</v>
      </c>
      <c r="C115" s="313">
        <v>0.69507467662426914</v>
      </c>
      <c r="D115" s="314">
        <v>0</v>
      </c>
      <c r="E115" s="314">
        <v>0.85561348924179315</v>
      </c>
      <c r="F115" s="314">
        <v>0.77501082413399858</v>
      </c>
      <c r="G115" s="314">
        <v>0</v>
      </c>
      <c r="H115" s="314">
        <v>1</v>
      </c>
      <c r="I115" s="314">
        <v>0</v>
      </c>
      <c r="J115" s="315">
        <v>0.71927496912216871</v>
      </c>
      <c r="K115" s="315">
        <v>0.72103437751304544</v>
      </c>
      <c r="L115" s="314">
        <v>0.71297320176128676</v>
      </c>
      <c r="M115" s="314">
        <v>0.67173844843813024</v>
      </c>
      <c r="N115" s="314">
        <v>0.70282724523592377</v>
      </c>
      <c r="O115" s="315">
        <v>0.71904255771438286</v>
      </c>
      <c r="P115" s="315">
        <v>0</v>
      </c>
      <c r="Q115" s="314">
        <v>0</v>
      </c>
      <c r="R115" s="315">
        <v>0</v>
      </c>
      <c r="S115" s="315">
        <v>0.71914088483763638</v>
      </c>
      <c r="T115" s="315"/>
      <c r="U115" s="315"/>
      <c r="V115" s="316"/>
    </row>
    <row r="116" spans="1:22">
      <c r="A116" s="311"/>
      <c r="B116" s="317" t="s">
        <v>771</v>
      </c>
      <c r="C116" s="318">
        <v>-3.9597905036471981</v>
      </c>
      <c r="D116" s="319">
        <v>0</v>
      </c>
      <c r="E116" s="319">
        <v>-1.4206582819178082</v>
      </c>
      <c r="F116" s="319">
        <v>1.5913173138862202</v>
      </c>
      <c r="G116" s="319">
        <v>0</v>
      </c>
      <c r="H116" s="319">
        <v>0</v>
      </c>
      <c r="I116" s="319">
        <v>0</v>
      </c>
      <c r="J116" s="320">
        <v>-3.4200093559467737</v>
      </c>
      <c r="K116" s="320">
        <v>-1.6283105074067716</v>
      </c>
      <c r="L116" s="319">
        <v>-6.1071394261029806</v>
      </c>
      <c r="M116" s="319">
        <v>-1.1162485120693066</v>
      </c>
      <c r="N116" s="319">
        <v>-0.27242699155913819</v>
      </c>
      <c r="O116" s="320">
        <v>-2.2681767081124571</v>
      </c>
      <c r="P116" s="320">
        <v>0</v>
      </c>
      <c r="Q116" s="319">
        <v>0</v>
      </c>
      <c r="R116" s="320">
        <v>0</v>
      </c>
      <c r="S116" s="320">
        <v>-2.746848254743528</v>
      </c>
      <c r="T116" s="320"/>
      <c r="U116" s="320"/>
      <c r="V116" s="316"/>
    </row>
    <row r="117" spans="1:22">
      <c r="A117" s="311"/>
      <c r="B117" s="291" t="s">
        <v>772</v>
      </c>
      <c r="C117" s="308">
        <v>6.4988712560174133E-2</v>
      </c>
      <c r="D117" s="309">
        <v>0</v>
      </c>
      <c r="E117" s="309">
        <v>1.1140890547890364E-2</v>
      </c>
      <c r="F117" s="309">
        <v>2.4892782817656053E-2</v>
      </c>
      <c r="G117" s="309">
        <v>0</v>
      </c>
      <c r="H117" s="309">
        <v>0</v>
      </c>
      <c r="I117" s="309">
        <v>0</v>
      </c>
      <c r="J117" s="310">
        <v>5.6083053281427798E-2</v>
      </c>
      <c r="K117" s="310">
        <v>3.1503717392459177E-2</v>
      </c>
      <c r="L117" s="309">
        <v>3.2410891364386199E-2</v>
      </c>
      <c r="M117" s="309">
        <v>7.8309735251514856E-2</v>
      </c>
      <c r="N117" s="309">
        <v>3.5733333333333332E-2</v>
      </c>
      <c r="O117" s="310">
        <v>3.2316356014845331E-2</v>
      </c>
      <c r="P117" s="310">
        <v>0</v>
      </c>
      <c r="Q117" s="309">
        <v>0</v>
      </c>
      <c r="R117" s="310">
        <v>0</v>
      </c>
      <c r="S117" s="310">
        <v>4.2196699656718635E-2</v>
      </c>
      <c r="T117" s="310"/>
      <c r="U117" s="310"/>
      <c r="V117" s="316"/>
    </row>
    <row r="118" spans="1:22">
      <c r="A118" s="311"/>
      <c r="B118" s="312" t="s">
        <v>773</v>
      </c>
      <c r="C118" s="313">
        <v>5.7496451291435019E-2</v>
      </c>
      <c r="D118" s="314">
        <v>0</v>
      </c>
      <c r="E118" s="314">
        <v>8.5856404557317668E-3</v>
      </c>
      <c r="F118" s="322">
        <v>2.34084278263724E-2</v>
      </c>
      <c r="G118" s="314">
        <v>0</v>
      </c>
      <c r="H118" s="314">
        <v>0</v>
      </c>
      <c r="I118" s="314">
        <v>0</v>
      </c>
      <c r="J118" s="315">
        <v>4.9762643744415622E-2</v>
      </c>
      <c r="K118" s="315">
        <v>3.3058415620478808E-2</v>
      </c>
      <c r="L118" s="314">
        <v>3.4410241523198326E-2</v>
      </c>
      <c r="M118" s="314">
        <v>7.2327044025157231E-2</v>
      </c>
      <c r="N118" s="314">
        <v>3.8040608649738399E-2</v>
      </c>
      <c r="O118" s="315">
        <v>3.385365396334318E-2</v>
      </c>
      <c r="P118" s="315">
        <v>0</v>
      </c>
      <c r="Q118" s="314">
        <v>0</v>
      </c>
      <c r="R118" s="315">
        <v>0</v>
      </c>
      <c r="S118" s="315">
        <v>4.0584327013971952E-2</v>
      </c>
      <c r="T118" s="315"/>
      <c r="U118" s="315"/>
      <c r="V118" s="316"/>
    </row>
    <row r="119" spans="1:22">
      <c r="A119" s="311"/>
      <c r="B119" s="317" t="s">
        <v>774</v>
      </c>
      <c r="C119" s="318">
        <v>-0.74922612687391144</v>
      </c>
      <c r="D119" s="319">
        <v>0</v>
      </c>
      <c r="E119" s="319">
        <v>-0.25552500921585969</v>
      </c>
      <c r="F119" s="321">
        <v>-0.14843549912836526</v>
      </c>
      <c r="G119" s="319">
        <v>0</v>
      </c>
      <c r="H119" s="319">
        <v>0</v>
      </c>
      <c r="I119" s="319">
        <v>0</v>
      </c>
      <c r="J119" s="320">
        <v>-0.63204095370121771</v>
      </c>
      <c r="K119" s="320">
        <v>0.15546982280196311</v>
      </c>
      <c r="L119" s="319">
        <v>0.19993501588121271</v>
      </c>
      <c r="M119" s="319">
        <v>-0.5982691226357626</v>
      </c>
      <c r="N119" s="319">
        <v>0.23072753164050663</v>
      </c>
      <c r="O119" s="320">
        <v>0.15372979484978497</v>
      </c>
      <c r="P119" s="320">
        <v>0</v>
      </c>
      <c r="Q119" s="319">
        <v>0</v>
      </c>
      <c r="R119" s="320">
        <v>0</v>
      </c>
      <c r="S119" s="320">
        <v>-0.16123726427466831</v>
      </c>
      <c r="T119" s="320"/>
      <c r="U119" s="320"/>
      <c r="V119" s="316"/>
    </row>
    <row r="120" spans="1:22">
      <c r="A120" s="311"/>
      <c r="B120" s="291" t="s">
        <v>775</v>
      </c>
      <c r="C120" s="308">
        <v>0.19678079022906503</v>
      </c>
      <c r="D120" s="309">
        <v>0</v>
      </c>
      <c r="E120" s="309">
        <v>0.11903903739113843</v>
      </c>
      <c r="F120" s="309">
        <v>0.21600956618720751</v>
      </c>
      <c r="G120" s="309">
        <v>0</v>
      </c>
      <c r="H120" s="309">
        <v>0</v>
      </c>
      <c r="I120" s="309">
        <v>0</v>
      </c>
      <c r="J120" s="310">
        <v>0.18751684158783621</v>
      </c>
      <c r="K120" s="310">
        <v>0.22956601807229379</v>
      </c>
      <c r="L120" s="309">
        <v>0.19306407666215641</v>
      </c>
      <c r="M120" s="309">
        <v>0.23076573057992886</v>
      </c>
      <c r="N120" s="309">
        <v>0.24649696969696969</v>
      </c>
      <c r="O120" s="310">
        <v>0.22437278132679608</v>
      </c>
      <c r="P120" s="310">
        <v>0</v>
      </c>
      <c r="Q120" s="309">
        <v>0</v>
      </c>
      <c r="R120" s="310">
        <v>0</v>
      </c>
      <c r="S120" s="310">
        <v>0.20905094902588503</v>
      </c>
      <c r="T120" s="310"/>
      <c r="U120" s="310"/>
      <c r="V120" s="316"/>
    </row>
    <row r="121" spans="1:22">
      <c r="A121" s="311"/>
      <c r="B121" s="312" t="s">
        <v>776</v>
      </c>
      <c r="C121" s="313">
        <v>0.24489433713504585</v>
      </c>
      <c r="D121" s="314">
        <v>0</v>
      </c>
      <c r="E121" s="314">
        <v>0.13580087030247509</v>
      </c>
      <c r="F121" s="314">
        <v>0.20158074803962905</v>
      </c>
      <c r="G121" s="314">
        <v>0</v>
      </c>
      <c r="H121" s="314">
        <v>0</v>
      </c>
      <c r="I121" s="314">
        <v>0</v>
      </c>
      <c r="J121" s="315">
        <v>0.22886707254374536</v>
      </c>
      <c r="K121" s="315">
        <v>0.2448293487206665</v>
      </c>
      <c r="L121" s="314">
        <v>0.25146423023483083</v>
      </c>
      <c r="M121" s="314">
        <v>0.25287201780725738</v>
      </c>
      <c r="N121" s="314">
        <v>0.25913214611433782</v>
      </c>
      <c r="O121" s="315">
        <v>0.24599087122364194</v>
      </c>
      <c r="P121" s="315">
        <v>0</v>
      </c>
      <c r="Q121" s="314">
        <v>0</v>
      </c>
      <c r="R121" s="315">
        <v>0</v>
      </c>
      <c r="S121" s="315">
        <v>0.23874624463922514</v>
      </c>
      <c r="T121" s="315"/>
      <c r="U121" s="315"/>
      <c r="V121" s="316"/>
    </row>
    <row r="122" spans="1:22">
      <c r="A122" s="311"/>
      <c r="B122" s="317" t="s">
        <v>777</v>
      </c>
      <c r="C122" s="318">
        <v>4.8113546905980824</v>
      </c>
      <c r="D122" s="319">
        <v>0</v>
      </c>
      <c r="E122" s="319">
        <v>1.6761832911336663</v>
      </c>
      <c r="F122" s="321">
        <v>-1.4428818147578459</v>
      </c>
      <c r="G122" s="319">
        <v>0</v>
      </c>
      <c r="H122" s="319">
        <v>0</v>
      </c>
      <c r="I122" s="319">
        <v>0</v>
      </c>
      <c r="J122" s="320">
        <v>4.1350230955909142</v>
      </c>
      <c r="K122" s="320">
        <v>1.5263330648372708</v>
      </c>
      <c r="L122" s="319">
        <v>5.8400153572674416</v>
      </c>
      <c r="M122" s="319">
        <v>2.210628722732852</v>
      </c>
      <c r="N122" s="319">
        <v>1.2635176417368137</v>
      </c>
      <c r="O122" s="320">
        <v>2.1618089896845856</v>
      </c>
      <c r="P122" s="320">
        <v>0</v>
      </c>
      <c r="Q122" s="319">
        <v>0</v>
      </c>
      <c r="R122" s="320">
        <v>0</v>
      </c>
      <c r="S122" s="320">
        <v>2.9695295613340109</v>
      </c>
      <c r="T122" s="320"/>
      <c r="U122" s="320"/>
      <c r="V122" s="316"/>
    </row>
    <row r="123" spans="1:22">
      <c r="A123" s="311"/>
      <c r="B123" s="291" t="s">
        <v>778</v>
      </c>
      <c r="C123" s="308">
        <v>8.2822885837103004E-4</v>
      </c>
      <c r="D123" s="309">
        <v>0</v>
      </c>
      <c r="E123" s="309">
        <v>0</v>
      </c>
      <c r="F123" s="309">
        <v>0</v>
      </c>
      <c r="G123" s="309">
        <v>0</v>
      </c>
      <c r="H123" s="309">
        <v>0</v>
      </c>
      <c r="I123" s="309">
        <v>0</v>
      </c>
      <c r="J123" s="310">
        <v>6.8090558481385911E-4</v>
      </c>
      <c r="K123" s="310">
        <v>1.2318169068410235E-5</v>
      </c>
      <c r="L123" s="309">
        <v>0</v>
      </c>
      <c r="M123" s="309">
        <v>7.6064947179226607E-3</v>
      </c>
      <c r="N123" s="309">
        <v>1.2218181818181819E-2</v>
      </c>
      <c r="O123" s="310">
        <v>1.7208337466340147E-4</v>
      </c>
      <c r="P123" s="310">
        <v>0</v>
      </c>
      <c r="Q123" s="309">
        <v>0</v>
      </c>
      <c r="R123" s="310">
        <v>0</v>
      </c>
      <c r="S123" s="310">
        <v>3.8361206257969704E-4</v>
      </c>
      <c r="T123" s="310"/>
      <c r="U123" s="310"/>
      <c r="V123" s="316"/>
    </row>
    <row r="124" spans="1:22">
      <c r="A124" s="311"/>
      <c r="B124" s="312" t="s">
        <v>779</v>
      </c>
      <c r="C124" s="313">
        <v>2.2153579691209309E-4</v>
      </c>
      <c r="D124" s="314">
        <v>0</v>
      </c>
      <c r="E124" s="322">
        <v>0</v>
      </c>
      <c r="F124" s="314">
        <v>0</v>
      </c>
      <c r="G124" s="314">
        <v>0</v>
      </c>
      <c r="H124" s="314">
        <v>0</v>
      </c>
      <c r="I124" s="314">
        <v>0</v>
      </c>
      <c r="J124" s="315">
        <v>1.8314491482609372E-4</v>
      </c>
      <c r="K124" s="315">
        <v>2.1585944175085295E-5</v>
      </c>
      <c r="L124" s="314">
        <v>0</v>
      </c>
      <c r="M124" s="314">
        <v>2.6740763979145191E-3</v>
      </c>
      <c r="N124" s="314">
        <v>0</v>
      </c>
      <c r="O124" s="315">
        <v>5.7013972238665069E-5</v>
      </c>
      <c r="P124" s="315">
        <v>0</v>
      </c>
      <c r="Q124" s="314">
        <v>0</v>
      </c>
      <c r="R124" s="315">
        <v>0</v>
      </c>
      <c r="S124" s="315">
        <v>1.1037664000111698E-4</v>
      </c>
      <c r="T124" s="315"/>
      <c r="U124" s="315"/>
      <c r="V124" s="316"/>
    </row>
    <row r="125" spans="1:22">
      <c r="A125" s="311"/>
      <c r="B125" s="317" t="s">
        <v>780</v>
      </c>
      <c r="C125" s="318">
        <v>-6.0669306145893692E-2</v>
      </c>
      <c r="D125" s="319">
        <v>0</v>
      </c>
      <c r="E125" s="321">
        <v>0</v>
      </c>
      <c r="F125" s="319">
        <v>0</v>
      </c>
      <c r="G125" s="319">
        <v>0</v>
      </c>
      <c r="H125" s="319">
        <v>0</v>
      </c>
      <c r="I125" s="319">
        <v>0</v>
      </c>
      <c r="J125" s="320">
        <v>-4.9776066998776541E-2</v>
      </c>
      <c r="K125" s="320">
        <v>9.2677751066750594E-4</v>
      </c>
      <c r="L125" s="319">
        <v>0</v>
      </c>
      <c r="M125" s="319">
        <v>-0.49324183200081417</v>
      </c>
      <c r="N125" s="319">
        <v>-1.2218181818181819</v>
      </c>
      <c r="O125" s="320">
        <v>-1.150694024247364E-2</v>
      </c>
      <c r="P125" s="320">
        <v>0</v>
      </c>
      <c r="Q125" s="319">
        <v>0</v>
      </c>
      <c r="R125" s="320">
        <v>0</v>
      </c>
      <c r="S125" s="320">
        <v>-2.7323542257858009E-2</v>
      </c>
      <c r="T125" s="320"/>
      <c r="U125" s="320"/>
      <c r="V125" s="316"/>
    </row>
    <row r="126" spans="1:22">
      <c r="A126" s="311"/>
      <c r="B126" s="291" t="s">
        <v>781</v>
      </c>
      <c r="C126" s="308">
        <v>1.2930867573858358E-3</v>
      </c>
      <c r="D126" s="309">
        <v>0</v>
      </c>
      <c r="E126" s="309">
        <v>0</v>
      </c>
      <c r="F126" s="309">
        <v>0</v>
      </c>
      <c r="G126" s="309">
        <v>0</v>
      </c>
      <c r="H126" s="309">
        <v>0</v>
      </c>
      <c r="I126" s="309">
        <v>0</v>
      </c>
      <c r="J126" s="310">
        <v>1.0630757258139711E-3</v>
      </c>
      <c r="K126" s="310">
        <v>1.278523297892079E-3</v>
      </c>
      <c r="L126" s="309">
        <v>4.8043595114085003E-4</v>
      </c>
      <c r="M126" s="309">
        <v>4.171058918103154E-4</v>
      </c>
      <c r="N126" s="309">
        <v>0</v>
      </c>
      <c r="O126" s="310">
        <v>1.1451112648374945E-3</v>
      </c>
      <c r="P126" s="310">
        <v>0</v>
      </c>
      <c r="Q126" s="309">
        <v>0</v>
      </c>
      <c r="R126" s="310">
        <v>0</v>
      </c>
      <c r="S126" s="310">
        <v>1.1110072701887139E-3</v>
      </c>
      <c r="T126" s="310"/>
      <c r="U126" s="310"/>
      <c r="V126" s="316"/>
    </row>
    <row r="127" spans="1:22">
      <c r="A127" s="311"/>
      <c r="B127" s="312" t="s">
        <v>782</v>
      </c>
      <c r="C127" s="313">
        <v>1.3480956732548391E-3</v>
      </c>
      <c r="D127" s="314">
        <v>0</v>
      </c>
      <c r="E127" s="314">
        <v>0</v>
      </c>
      <c r="F127" s="314">
        <v>0</v>
      </c>
      <c r="G127" s="314">
        <v>0</v>
      </c>
      <c r="H127" s="314">
        <v>0</v>
      </c>
      <c r="I127" s="314">
        <v>0</v>
      </c>
      <c r="J127" s="315">
        <v>1.1144784305610589E-3</v>
      </c>
      <c r="K127" s="315">
        <v>7.2018559202330031E-4</v>
      </c>
      <c r="L127" s="314">
        <v>1.1523264806841274E-3</v>
      </c>
      <c r="M127" s="314">
        <v>3.8841333154065642E-4</v>
      </c>
      <c r="N127" s="314">
        <v>0</v>
      </c>
      <c r="O127" s="315">
        <v>7.7584787843705408E-4</v>
      </c>
      <c r="P127" s="315">
        <v>0</v>
      </c>
      <c r="Q127" s="314">
        <v>0</v>
      </c>
      <c r="R127" s="315">
        <v>0</v>
      </c>
      <c r="S127" s="315">
        <v>9.1911351394662305E-4</v>
      </c>
      <c r="T127" s="315"/>
      <c r="U127" s="315"/>
      <c r="V127" s="316"/>
    </row>
    <row r="128" spans="1:22">
      <c r="A128" s="311"/>
      <c r="B128" s="317" t="s">
        <v>783</v>
      </c>
      <c r="C128" s="318">
        <v>5.5008915869003304E-3</v>
      </c>
      <c r="D128" s="319">
        <v>0</v>
      </c>
      <c r="E128" s="319">
        <v>0</v>
      </c>
      <c r="F128" s="319">
        <v>0</v>
      </c>
      <c r="G128" s="319">
        <v>0</v>
      </c>
      <c r="H128" s="319">
        <v>0</v>
      </c>
      <c r="I128" s="319">
        <v>0</v>
      </c>
      <c r="J128" s="320">
        <v>5.1402704747087816E-3</v>
      </c>
      <c r="K128" s="320">
        <v>-5.5833770586877871E-2</v>
      </c>
      <c r="L128" s="319">
        <v>6.7189052954327741E-2</v>
      </c>
      <c r="M128" s="319">
        <v>-2.8692560269658984E-3</v>
      </c>
      <c r="N128" s="319">
        <v>0</v>
      </c>
      <c r="O128" s="320">
        <v>-3.6926338640044042E-2</v>
      </c>
      <c r="P128" s="320">
        <v>0</v>
      </c>
      <c r="Q128" s="319">
        <v>0</v>
      </c>
      <c r="R128" s="320">
        <v>0</v>
      </c>
      <c r="S128" s="320">
        <v>-1.9189375624209082E-2</v>
      </c>
      <c r="T128" s="320"/>
      <c r="U128" s="320"/>
      <c r="V128" s="316"/>
    </row>
    <row r="129" spans="1:22">
      <c r="A129" s="311"/>
      <c r="B129" s="291" t="s">
        <v>784</v>
      </c>
      <c r="C129" s="308">
        <v>1.4365999342628901E-3</v>
      </c>
      <c r="D129" s="309">
        <v>0</v>
      </c>
      <c r="E129" s="309">
        <v>0</v>
      </c>
      <c r="F129" s="309">
        <v>0</v>
      </c>
      <c r="G129" s="309">
        <v>0</v>
      </c>
      <c r="H129" s="309">
        <v>0</v>
      </c>
      <c r="I129" s="309">
        <v>0</v>
      </c>
      <c r="J129" s="310">
        <v>1.1810611384717238E-3</v>
      </c>
      <c r="K129" s="310">
        <v>3.2194048117334666E-4</v>
      </c>
      <c r="L129" s="309">
        <v>0</v>
      </c>
      <c r="M129" s="309">
        <v>0</v>
      </c>
      <c r="N129" s="309">
        <v>0</v>
      </c>
      <c r="O129" s="310">
        <v>2.6934322335026473E-4</v>
      </c>
      <c r="P129" s="310">
        <v>0</v>
      </c>
      <c r="Q129" s="309">
        <v>0</v>
      </c>
      <c r="R129" s="310">
        <v>0</v>
      </c>
      <c r="S129" s="310">
        <v>6.4836459955629959E-4</v>
      </c>
      <c r="T129" s="310"/>
      <c r="U129" s="310"/>
      <c r="V129" s="316"/>
    </row>
    <row r="130" spans="1:22">
      <c r="A130" s="311"/>
      <c r="B130" s="312" t="s">
        <v>785</v>
      </c>
      <c r="C130" s="313">
        <v>9.6490347908302881E-4</v>
      </c>
      <c r="D130" s="314">
        <v>0</v>
      </c>
      <c r="E130" s="314">
        <v>0</v>
      </c>
      <c r="F130" s="314">
        <v>0</v>
      </c>
      <c r="G130" s="314">
        <v>0</v>
      </c>
      <c r="H130" s="314">
        <v>0</v>
      </c>
      <c r="I130" s="314">
        <v>0</v>
      </c>
      <c r="J130" s="315">
        <v>7.9769124428313225E-4</v>
      </c>
      <c r="K130" s="315">
        <v>3.3608660961087348E-4</v>
      </c>
      <c r="L130" s="314">
        <v>0</v>
      </c>
      <c r="M130" s="314">
        <v>0</v>
      </c>
      <c r="N130" s="314">
        <v>0</v>
      </c>
      <c r="O130" s="315">
        <v>2.8005524795627257E-4</v>
      </c>
      <c r="P130" s="315">
        <v>0</v>
      </c>
      <c r="Q130" s="314">
        <v>0</v>
      </c>
      <c r="R130" s="315">
        <v>0</v>
      </c>
      <c r="S130" s="315">
        <v>4.9905335521872548E-4</v>
      </c>
      <c r="T130" s="315"/>
      <c r="U130" s="315"/>
      <c r="V130" s="316"/>
    </row>
    <row r="131" spans="1:22" ht="15.75" thickBot="1">
      <c r="A131" s="311"/>
      <c r="B131" s="325" t="s">
        <v>786</v>
      </c>
      <c r="C131" s="326">
        <v>-4.7169645517986129E-2</v>
      </c>
      <c r="D131" s="327">
        <v>0</v>
      </c>
      <c r="E131" s="327">
        <v>0</v>
      </c>
      <c r="F131" s="327">
        <v>0</v>
      </c>
      <c r="G131" s="327">
        <v>0</v>
      </c>
      <c r="H131" s="327">
        <v>0</v>
      </c>
      <c r="I131" s="327">
        <v>0</v>
      </c>
      <c r="J131" s="328">
        <v>-3.8336989418859158E-2</v>
      </c>
      <c r="K131" s="328">
        <v>1.4146128437526819E-3</v>
      </c>
      <c r="L131" s="327">
        <v>0</v>
      </c>
      <c r="M131" s="327">
        <v>0</v>
      </c>
      <c r="N131" s="327">
        <v>0</v>
      </c>
      <c r="O131" s="328">
        <v>1.0712024606007839E-3</v>
      </c>
      <c r="P131" s="328">
        <v>0</v>
      </c>
      <c r="Q131" s="327">
        <v>0</v>
      </c>
      <c r="R131" s="328">
        <v>0</v>
      </c>
      <c r="S131" s="328">
        <v>-1.4931124433757411E-2</v>
      </c>
      <c r="T131" s="328"/>
      <c r="U131" s="328"/>
      <c r="V131" s="316"/>
    </row>
    <row r="132" spans="1:22" ht="15.75" thickTop="1">
      <c r="A132" s="311"/>
      <c r="B132" s="312" t="s">
        <v>787</v>
      </c>
      <c r="C132" s="313">
        <v>0.7300565789774921</v>
      </c>
      <c r="D132" s="314">
        <v>0</v>
      </c>
      <c r="E132" s="314">
        <v>0.55831165956504902</v>
      </c>
      <c r="F132" s="314">
        <v>0.51062648291180779</v>
      </c>
      <c r="G132" s="314">
        <v>0</v>
      </c>
      <c r="H132" s="314">
        <v>0</v>
      </c>
      <c r="I132" s="314">
        <v>0</v>
      </c>
      <c r="J132" s="315">
        <v>0.71038870759963713</v>
      </c>
      <c r="K132" s="315">
        <v>0</v>
      </c>
      <c r="L132" s="314">
        <v>0</v>
      </c>
      <c r="M132" s="314">
        <v>0</v>
      </c>
      <c r="N132" s="314">
        <v>0</v>
      </c>
      <c r="O132" s="315">
        <v>0</v>
      </c>
      <c r="P132" s="315">
        <v>0</v>
      </c>
      <c r="Q132" s="314">
        <v>0</v>
      </c>
      <c r="R132" s="315">
        <v>0</v>
      </c>
      <c r="S132" s="315">
        <v>0.71038870759963713</v>
      </c>
      <c r="T132" s="315"/>
      <c r="U132" s="315"/>
      <c r="V132" s="316"/>
    </row>
    <row r="133" spans="1:22">
      <c r="A133" s="311"/>
      <c r="B133" s="312" t="s">
        <v>788</v>
      </c>
      <c r="C133" s="313">
        <v>0.69770963976721301</v>
      </c>
      <c r="D133" s="314">
        <v>0</v>
      </c>
      <c r="E133" s="314">
        <v>0.53735469083756138</v>
      </c>
      <c r="F133" s="314">
        <v>0.56540529674858031</v>
      </c>
      <c r="G133" s="314">
        <v>0</v>
      </c>
      <c r="H133" s="314">
        <v>1</v>
      </c>
      <c r="I133" s="314">
        <v>0</v>
      </c>
      <c r="J133" s="315">
        <v>0.68061715824872115</v>
      </c>
      <c r="K133" s="315">
        <v>0</v>
      </c>
      <c r="L133" s="314">
        <v>0</v>
      </c>
      <c r="M133" s="314">
        <v>0</v>
      </c>
      <c r="N133" s="314">
        <v>0</v>
      </c>
      <c r="O133" s="315">
        <v>0</v>
      </c>
      <c r="P133" s="315">
        <v>0</v>
      </c>
      <c r="Q133" s="314">
        <v>0</v>
      </c>
      <c r="R133" s="315">
        <v>0</v>
      </c>
      <c r="S133" s="315">
        <v>0.68061715824872115</v>
      </c>
      <c r="T133" s="315"/>
      <c r="U133" s="315"/>
      <c r="V133" s="316"/>
    </row>
    <row r="134" spans="1:22">
      <c r="A134" s="311"/>
      <c r="B134" s="317" t="s">
        <v>789</v>
      </c>
      <c r="C134" s="318">
        <v>-3.2346939210279091</v>
      </c>
      <c r="D134" s="319">
        <v>0</v>
      </c>
      <c r="E134" s="319">
        <v>-2.0956968727487646</v>
      </c>
      <c r="F134" s="321">
        <v>5.4778813836772517</v>
      </c>
      <c r="G134" s="319">
        <v>0</v>
      </c>
      <c r="H134" s="319">
        <v>0</v>
      </c>
      <c r="I134" s="319">
        <v>0</v>
      </c>
      <c r="J134" s="320">
        <v>-2.9771549350915971</v>
      </c>
      <c r="K134" s="320">
        <v>0</v>
      </c>
      <c r="L134" s="319">
        <v>0</v>
      </c>
      <c r="M134" s="319">
        <v>0</v>
      </c>
      <c r="N134" s="319">
        <v>0</v>
      </c>
      <c r="O134" s="320">
        <v>0</v>
      </c>
      <c r="P134" s="320">
        <v>0</v>
      </c>
      <c r="Q134" s="319">
        <v>0</v>
      </c>
      <c r="R134" s="320">
        <v>0</v>
      </c>
      <c r="S134" s="320">
        <v>-2.9771549350915971</v>
      </c>
      <c r="T134" s="320"/>
      <c r="U134" s="320"/>
      <c r="V134" s="316"/>
    </row>
    <row r="135" spans="1:22">
      <c r="A135" s="311"/>
      <c r="B135" s="291" t="s">
        <v>790</v>
      </c>
      <c r="C135" s="308">
        <v>7.2075718751557133E-2</v>
      </c>
      <c r="D135" s="309">
        <v>0</v>
      </c>
      <c r="E135" s="309">
        <v>0.14071348200616088</v>
      </c>
      <c r="F135" s="309">
        <v>0.11732040991468524</v>
      </c>
      <c r="G135" s="309">
        <v>0</v>
      </c>
      <c r="H135" s="309">
        <v>0</v>
      </c>
      <c r="I135" s="309">
        <v>0</v>
      </c>
      <c r="J135" s="310">
        <v>7.921590562287445E-2</v>
      </c>
      <c r="K135" s="310">
        <v>0</v>
      </c>
      <c r="L135" s="309">
        <v>0</v>
      </c>
      <c r="M135" s="309">
        <v>0</v>
      </c>
      <c r="N135" s="309">
        <v>0</v>
      </c>
      <c r="O135" s="310">
        <v>0</v>
      </c>
      <c r="P135" s="310">
        <v>0</v>
      </c>
      <c r="Q135" s="309">
        <v>0</v>
      </c>
      <c r="R135" s="310">
        <v>0</v>
      </c>
      <c r="S135" s="310">
        <v>7.921590562287445E-2</v>
      </c>
      <c r="T135" s="310"/>
      <c r="U135" s="310"/>
      <c r="V135" s="316"/>
    </row>
    <row r="136" spans="1:22">
      <c r="A136" s="311"/>
      <c r="B136" s="312" t="s">
        <v>791</v>
      </c>
      <c r="C136" s="313">
        <v>6.3140892271076776E-2</v>
      </c>
      <c r="D136" s="314">
        <v>0</v>
      </c>
      <c r="E136" s="314">
        <v>0.12627328304470084</v>
      </c>
      <c r="F136" s="314">
        <v>0.12201618171767425</v>
      </c>
      <c r="G136" s="314">
        <v>0</v>
      </c>
      <c r="H136" s="314">
        <v>0</v>
      </c>
      <c r="I136" s="314">
        <v>0</v>
      </c>
      <c r="J136" s="315">
        <v>6.9990304928260527E-2</v>
      </c>
      <c r="K136" s="315">
        <v>0</v>
      </c>
      <c r="L136" s="314">
        <v>0</v>
      </c>
      <c r="M136" s="314">
        <v>0</v>
      </c>
      <c r="N136" s="314">
        <v>0</v>
      </c>
      <c r="O136" s="315">
        <v>0</v>
      </c>
      <c r="P136" s="315">
        <v>0</v>
      </c>
      <c r="Q136" s="314">
        <v>0</v>
      </c>
      <c r="R136" s="315">
        <v>0</v>
      </c>
      <c r="S136" s="315">
        <v>6.9990304928260527E-2</v>
      </c>
      <c r="T136" s="315"/>
      <c r="U136" s="315"/>
      <c r="V136" s="316"/>
    </row>
    <row r="137" spans="1:22">
      <c r="A137" s="311"/>
      <c r="B137" s="317" t="s">
        <v>792</v>
      </c>
      <c r="C137" s="318">
        <v>-0.89348264804803568</v>
      </c>
      <c r="D137" s="319">
        <v>0</v>
      </c>
      <c r="E137" s="319">
        <v>-1.4440198961460038</v>
      </c>
      <c r="F137" s="319">
        <v>0.469577180298901</v>
      </c>
      <c r="G137" s="319">
        <v>0</v>
      </c>
      <c r="H137" s="319">
        <v>0</v>
      </c>
      <c r="I137" s="319">
        <v>0</v>
      </c>
      <c r="J137" s="320">
        <v>-0.92256006946139224</v>
      </c>
      <c r="K137" s="320">
        <v>0</v>
      </c>
      <c r="L137" s="319">
        <v>0</v>
      </c>
      <c r="M137" s="319">
        <v>0</v>
      </c>
      <c r="N137" s="319">
        <v>0</v>
      </c>
      <c r="O137" s="320">
        <v>0</v>
      </c>
      <c r="P137" s="320">
        <v>0</v>
      </c>
      <c r="Q137" s="319">
        <v>0</v>
      </c>
      <c r="R137" s="320">
        <v>0</v>
      </c>
      <c r="S137" s="320">
        <v>-0.92256006946139224</v>
      </c>
      <c r="T137" s="320"/>
      <c r="U137" s="320"/>
      <c r="V137" s="316"/>
    </row>
    <row r="138" spans="1:22">
      <c r="A138" s="311"/>
      <c r="B138" s="291" t="s">
        <v>793</v>
      </c>
      <c r="C138" s="308">
        <v>0.19653542501183657</v>
      </c>
      <c r="D138" s="309">
        <v>0</v>
      </c>
      <c r="E138" s="309">
        <v>0.30097485842879013</v>
      </c>
      <c r="F138" s="309">
        <v>0.37205310717350698</v>
      </c>
      <c r="G138" s="309">
        <v>0</v>
      </c>
      <c r="H138" s="309">
        <v>0</v>
      </c>
      <c r="I138" s="309">
        <v>0</v>
      </c>
      <c r="J138" s="310">
        <v>0.20920940455643239</v>
      </c>
      <c r="K138" s="310">
        <v>0</v>
      </c>
      <c r="L138" s="309">
        <v>0</v>
      </c>
      <c r="M138" s="309">
        <v>0</v>
      </c>
      <c r="N138" s="309">
        <v>0</v>
      </c>
      <c r="O138" s="310">
        <v>0</v>
      </c>
      <c r="P138" s="310">
        <v>0</v>
      </c>
      <c r="Q138" s="309">
        <v>0</v>
      </c>
      <c r="R138" s="310">
        <v>0</v>
      </c>
      <c r="S138" s="310">
        <v>0.20920940455643239</v>
      </c>
      <c r="T138" s="310"/>
      <c r="U138" s="310"/>
      <c r="V138" s="316"/>
    </row>
    <row r="139" spans="1:22">
      <c r="A139" s="311"/>
      <c r="B139" s="312" t="s">
        <v>794</v>
      </c>
      <c r="C139" s="313">
        <v>0.23714592119170014</v>
      </c>
      <c r="D139" s="314">
        <v>0</v>
      </c>
      <c r="E139" s="314">
        <v>0.33637202611773781</v>
      </c>
      <c r="F139" s="314">
        <v>0.31257852153374543</v>
      </c>
      <c r="G139" s="314">
        <v>0</v>
      </c>
      <c r="H139" s="314">
        <v>0</v>
      </c>
      <c r="I139" s="314">
        <v>0</v>
      </c>
      <c r="J139" s="315">
        <v>0.24760929266541457</v>
      </c>
      <c r="K139" s="315">
        <v>0</v>
      </c>
      <c r="L139" s="314">
        <v>0</v>
      </c>
      <c r="M139" s="314">
        <v>0</v>
      </c>
      <c r="N139" s="314">
        <v>0</v>
      </c>
      <c r="O139" s="315">
        <v>0</v>
      </c>
      <c r="P139" s="315">
        <v>0</v>
      </c>
      <c r="Q139" s="314">
        <v>0</v>
      </c>
      <c r="R139" s="315">
        <v>0</v>
      </c>
      <c r="S139" s="315">
        <v>0.24760929266541457</v>
      </c>
      <c r="T139" s="315"/>
      <c r="U139" s="315"/>
      <c r="V139" s="316"/>
    </row>
    <row r="140" spans="1:22">
      <c r="A140" s="311"/>
      <c r="B140" s="317" t="s">
        <v>795</v>
      </c>
      <c r="C140" s="318">
        <v>4.061049617986356</v>
      </c>
      <c r="D140" s="319">
        <v>0</v>
      </c>
      <c r="E140" s="321">
        <v>3.5397167688947686</v>
      </c>
      <c r="F140" s="321">
        <v>-5.9474585639761548</v>
      </c>
      <c r="G140" s="319">
        <v>0</v>
      </c>
      <c r="H140" s="319">
        <v>0</v>
      </c>
      <c r="I140" s="319">
        <v>0</v>
      </c>
      <c r="J140" s="320">
        <v>3.8399888108982179</v>
      </c>
      <c r="K140" s="320">
        <v>0</v>
      </c>
      <c r="L140" s="319">
        <v>0</v>
      </c>
      <c r="M140" s="319">
        <v>0</v>
      </c>
      <c r="N140" s="319">
        <v>0</v>
      </c>
      <c r="O140" s="320">
        <v>0</v>
      </c>
      <c r="P140" s="320">
        <v>0</v>
      </c>
      <c r="Q140" s="319">
        <v>0</v>
      </c>
      <c r="R140" s="320">
        <v>0</v>
      </c>
      <c r="S140" s="320">
        <v>3.8399888108982179</v>
      </c>
      <c r="T140" s="320"/>
      <c r="U140" s="320"/>
      <c r="V140" s="316"/>
    </row>
    <row r="141" spans="1:22">
      <c r="A141" s="311"/>
      <c r="B141" s="291" t="s">
        <v>796</v>
      </c>
      <c r="C141" s="308">
        <v>8.5227267261744097E-4</v>
      </c>
      <c r="D141" s="309">
        <v>0</v>
      </c>
      <c r="E141" s="309">
        <v>0</v>
      </c>
      <c r="F141" s="309">
        <v>0</v>
      </c>
      <c r="G141" s="309">
        <v>0</v>
      </c>
      <c r="H141" s="309">
        <v>0</v>
      </c>
      <c r="I141" s="309">
        <v>0</v>
      </c>
      <c r="J141" s="310">
        <v>7.5868609953482098E-4</v>
      </c>
      <c r="K141" s="310">
        <v>0</v>
      </c>
      <c r="L141" s="309">
        <v>0</v>
      </c>
      <c r="M141" s="309">
        <v>0</v>
      </c>
      <c r="N141" s="309">
        <v>0</v>
      </c>
      <c r="O141" s="310">
        <v>0</v>
      </c>
      <c r="P141" s="310">
        <v>0</v>
      </c>
      <c r="Q141" s="309">
        <v>0</v>
      </c>
      <c r="R141" s="310">
        <v>0</v>
      </c>
      <c r="S141" s="310">
        <v>7.5868609953482098E-4</v>
      </c>
      <c r="T141" s="310"/>
      <c r="U141" s="310"/>
      <c r="V141" s="316"/>
    </row>
    <row r="142" spans="1:22">
      <c r="A142" s="311"/>
      <c r="B142" s="312" t="s">
        <v>797</v>
      </c>
      <c r="C142" s="313">
        <v>1.304401923514283E-3</v>
      </c>
      <c r="D142" s="314">
        <v>0</v>
      </c>
      <c r="E142" s="322">
        <v>0</v>
      </c>
      <c r="F142" s="314">
        <v>0</v>
      </c>
      <c r="G142" s="314">
        <v>0</v>
      </c>
      <c r="H142" s="314">
        <v>0</v>
      </c>
      <c r="I142" s="314">
        <v>0</v>
      </c>
      <c r="J142" s="315">
        <v>1.1609746995136238E-3</v>
      </c>
      <c r="K142" s="315">
        <v>0</v>
      </c>
      <c r="L142" s="314">
        <v>0</v>
      </c>
      <c r="M142" s="314">
        <v>0</v>
      </c>
      <c r="N142" s="314">
        <v>0</v>
      </c>
      <c r="O142" s="315">
        <v>0</v>
      </c>
      <c r="P142" s="315">
        <v>0</v>
      </c>
      <c r="Q142" s="314">
        <v>0</v>
      </c>
      <c r="R142" s="315">
        <v>0</v>
      </c>
      <c r="S142" s="315">
        <v>1.1609746995136238E-3</v>
      </c>
      <c r="T142" s="315"/>
      <c r="U142" s="315"/>
      <c r="V142" s="316"/>
    </row>
    <row r="143" spans="1:22">
      <c r="A143" s="311"/>
      <c r="B143" s="317" t="s">
        <v>798</v>
      </c>
      <c r="C143" s="318">
        <v>4.5212925089684206E-2</v>
      </c>
      <c r="D143" s="319">
        <v>0</v>
      </c>
      <c r="E143" s="321">
        <v>0</v>
      </c>
      <c r="F143" s="319">
        <v>0</v>
      </c>
      <c r="G143" s="319">
        <v>0</v>
      </c>
      <c r="H143" s="319">
        <v>0</v>
      </c>
      <c r="I143" s="319">
        <v>0</v>
      </c>
      <c r="J143" s="320">
        <v>4.0228859997880284E-2</v>
      </c>
      <c r="K143" s="320">
        <v>0</v>
      </c>
      <c r="L143" s="319">
        <v>0</v>
      </c>
      <c r="M143" s="319">
        <v>0</v>
      </c>
      <c r="N143" s="319">
        <v>0</v>
      </c>
      <c r="O143" s="320">
        <v>0</v>
      </c>
      <c r="P143" s="320">
        <v>0</v>
      </c>
      <c r="Q143" s="319">
        <v>0</v>
      </c>
      <c r="R143" s="320">
        <v>0</v>
      </c>
      <c r="S143" s="320">
        <v>4.0228859997880284E-2</v>
      </c>
      <c r="T143" s="320"/>
      <c r="U143" s="320"/>
      <c r="V143" s="316"/>
    </row>
    <row r="144" spans="1:22">
      <c r="A144" s="311"/>
      <c r="B144" s="291" t="s">
        <v>799</v>
      </c>
      <c r="C144" s="308">
        <v>1.0196490214159E-4</v>
      </c>
      <c r="D144" s="309">
        <v>0</v>
      </c>
      <c r="E144" s="309">
        <v>0</v>
      </c>
      <c r="F144" s="309">
        <v>0</v>
      </c>
      <c r="G144" s="309">
        <v>0</v>
      </c>
      <c r="H144" s="309">
        <v>0</v>
      </c>
      <c r="I144" s="309">
        <v>0</v>
      </c>
      <c r="J144" s="310">
        <v>9.0768314391299123E-5</v>
      </c>
      <c r="K144" s="310">
        <v>0</v>
      </c>
      <c r="L144" s="309">
        <v>0</v>
      </c>
      <c r="M144" s="309">
        <v>0</v>
      </c>
      <c r="N144" s="309">
        <v>0</v>
      </c>
      <c r="O144" s="310">
        <v>0</v>
      </c>
      <c r="P144" s="310">
        <v>0</v>
      </c>
      <c r="Q144" s="309">
        <v>0</v>
      </c>
      <c r="R144" s="310">
        <v>0</v>
      </c>
      <c r="S144" s="310">
        <v>9.0768314391299123E-5</v>
      </c>
      <c r="T144" s="310"/>
      <c r="U144" s="310"/>
      <c r="V144" s="316"/>
    </row>
    <row r="145" spans="1:22">
      <c r="A145" s="311"/>
      <c r="B145" s="312" t="s">
        <v>800</v>
      </c>
      <c r="C145" s="313">
        <v>2.1056383251698071E-4</v>
      </c>
      <c r="D145" s="314">
        <v>0</v>
      </c>
      <c r="E145" s="314">
        <v>0</v>
      </c>
      <c r="F145" s="314">
        <v>0</v>
      </c>
      <c r="G145" s="314">
        <v>0</v>
      </c>
      <c r="H145" s="314">
        <v>0</v>
      </c>
      <c r="I145" s="314">
        <v>0</v>
      </c>
      <c r="J145" s="315">
        <v>1.8741101019402313E-4</v>
      </c>
      <c r="K145" s="315">
        <v>0</v>
      </c>
      <c r="L145" s="314">
        <v>0</v>
      </c>
      <c r="M145" s="314">
        <v>0</v>
      </c>
      <c r="N145" s="314">
        <v>0</v>
      </c>
      <c r="O145" s="315">
        <v>0</v>
      </c>
      <c r="P145" s="315">
        <v>0</v>
      </c>
      <c r="Q145" s="314">
        <v>0</v>
      </c>
      <c r="R145" s="315">
        <v>0</v>
      </c>
      <c r="S145" s="315">
        <v>1.8741101019402313E-4</v>
      </c>
      <c r="T145" s="315"/>
      <c r="U145" s="315"/>
      <c r="V145" s="316"/>
    </row>
    <row r="146" spans="1:22">
      <c r="A146" s="311"/>
      <c r="B146" s="317" t="s">
        <v>801</v>
      </c>
      <c r="C146" s="318">
        <v>1.0859893037539071E-2</v>
      </c>
      <c r="D146" s="319">
        <v>0</v>
      </c>
      <c r="E146" s="319">
        <v>0</v>
      </c>
      <c r="F146" s="319">
        <v>0</v>
      </c>
      <c r="G146" s="319">
        <v>0</v>
      </c>
      <c r="H146" s="319">
        <v>0</v>
      </c>
      <c r="I146" s="319">
        <v>0</v>
      </c>
      <c r="J146" s="320">
        <v>9.6642695802724009E-3</v>
      </c>
      <c r="K146" s="320">
        <v>0</v>
      </c>
      <c r="L146" s="319">
        <v>0</v>
      </c>
      <c r="M146" s="319">
        <v>0</v>
      </c>
      <c r="N146" s="319">
        <v>0</v>
      </c>
      <c r="O146" s="320">
        <v>0</v>
      </c>
      <c r="P146" s="320">
        <v>0</v>
      </c>
      <c r="Q146" s="319">
        <v>0</v>
      </c>
      <c r="R146" s="320">
        <v>0</v>
      </c>
      <c r="S146" s="320">
        <v>9.6642695802724009E-3</v>
      </c>
      <c r="T146" s="320"/>
      <c r="U146" s="320"/>
      <c r="V146" s="316"/>
    </row>
    <row r="147" spans="1:22">
      <c r="A147" s="311"/>
      <c r="B147" s="291" t="s">
        <v>802</v>
      </c>
      <c r="C147" s="308">
        <v>3.7803968435514031E-4</v>
      </c>
      <c r="D147" s="309">
        <v>0</v>
      </c>
      <c r="E147" s="309">
        <v>0</v>
      </c>
      <c r="F147" s="309">
        <v>0</v>
      </c>
      <c r="G147" s="309">
        <v>0</v>
      </c>
      <c r="H147" s="309">
        <v>0</v>
      </c>
      <c r="I147" s="309">
        <v>0</v>
      </c>
      <c r="J147" s="310">
        <v>3.3652780713000523E-4</v>
      </c>
      <c r="K147" s="310">
        <v>0</v>
      </c>
      <c r="L147" s="309">
        <v>0</v>
      </c>
      <c r="M147" s="309">
        <v>0</v>
      </c>
      <c r="N147" s="309">
        <v>0</v>
      </c>
      <c r="O147" s="310">
        <v>0</v>
      </c>
      <c r="P147" s="310">
        <v>0</v>
      </c>
      <c r="Q147" s="309">
        <v>0</v>
      </c>
      <c r="R147" s="310">
        <v>0</v>
      </c>
      <c r="S147" s="310">
        <v>3.3652780713000523E-4</v>
      </c>
      <c r="T147" s="310"/>
      <c r="U147" s="310"/>
      <c r="V147" s="316"/>
    </row>
    <row r="148" spans="1:22">
      <c r="A148" s="311"/>
      <c r="B148" s="312" t="s">
        <v>803</v>
      </c>
      <c r="C148" s="313">
        <v>4.8858101397879499E-4</v>
      </c>
      <c r="D148" s="314">
        <v>0</v>
      </c>
      <c r="E148" s="314">
        <v>0</v>
      </c>
      <c r="F148" s="314">
        <v>0</v>
      </c>
      <c r="G148" s="314">
        <v>0</v>
      </c>
      <c r="H148" s="314">
        <v>0</v>
      </c>
      <c r="I148" s="314">
        <v>0</v>
      </c>
      <c r="J148" s="315">
        <v>4.3485844789608832E-4</v>
      </c>
      <c r="K148" s="315">
        <v>0</v>
      </c>
      <c r="L148" s="314">
        <v>0</v>
      </c>
      <c r="M148" s="314">
        <v>0</v>
      </c>
      <c r="N148" s="314">
        <v>0</v>
      </c>
      <c r="O148" s="315">
        <v>0</v>
      </c>
      <c r="P148" s="315">
        <v>0</v>
      </c>
      <c r="Q148" s="314">
        <v>0</v>
      </c>
      <c r="R148" s="315">
        <v>0</v>
      </c>
      <c r="S148" s="315">
        <v>4.3485844789608832E-4</v>
      </c>
      <c r="T148" s="315"/>
      <c r="U148" s="315"/>
      <c r="V148" s="316"/>
    </row>
    <row r="149" spans="1:22" ht="15.75" thickBot="1">
      <c r="A149" s="329"/>
      <c r="B149" s="330" t="s">
        <v>804</v>
      </c>
      <c r="C149" s="331">
        <v>1.1054132962365468E-2</v>
      </c>
      <c r="D149" s="332">
        <v>0</v>
      </c>
      <c r="E149" s="332">
        <v>0</v>
      </c>
      <c r="F149" s="332">
        <v>0</v>
      </c>
      <c r="G149" s="332">
        <v>0</v>
      </c>
      <c r="H149" s="332">
        <v>0</v>
      </c>
      <c r="I149" s="332">
        <v>0</v>
      </c>
      <c r="J149" s="333">
        <v>9.833064076608309E-3</v>
      </c>
      <c r="K149" s="333">
        <v>0</v>
      </c>
      <c r="L149" s="332">
        <v>0</v>
      </c>
      <c r="M149" s="332">
        <v>0</v>
      </c>
      <c r="N149" s="332">
        <v>0</v>
      </c>
      <c r="O149" s="333">
        <v>0</v>
      </c>
      <c r="P149" s="333">
        <v>0</v>
      </c>
      <c r="Q149" s="332">
        <v>0</v>
      </c>
      <c r="R149" s="333">
        <v>0</v>
      </c>
      <c r="S149" s="333">
        <v>9.833064076608309E-3</v>
      </c>
      <c r="T149" s="333"/>
      <c r="U149" s="333"/>
      <c r="V149" s="316"/>
    </row>
    <row r="150" spans="1:22">
      <c r="A150" s="307" t="s">
        <v>176</v>
      </c>
      <c r="B150" s="291" t="s">
        <v>769</v>
      </c>
      <c r="C150" s="308">
        <v>0.93509101812651174</v>
      </c>
      <c r="D150" s="309">
        <v>0.95812683484810401</v>
      </c>
      <c r="E150" s="309">
        <v>0.80503381592469725</v>
      </c>
      <c r="F150" s="309">
        <v>0.85155398854378561</v>
      </c>
      <c r="G150" s="309">
        <v>0.83397584437458483</v>
      </c>
      <c r="H150" s="309">
        <v>0.85612566533472334</v>
      </c>
      <c r="I150" s="309">
        <v>0</v>
      </c>
      <c r="J150" s="310">
        <v>0.86534828148906717</v>
      </c>
      <c r="K150" s="310">
        <v>0.67709061649213131</v>
      </c>
      <c r="L150" s="309">
        <v>0.75762874572458527</v>
      </c>
      <c r="M150" s="309">
        <v>0.6428028110789582</v>
      </c>
      <c r="N150" s="309">
        <v>0.59665594598373917</v>
      </c>
      <c r="O150" s="310">
        <v>0.70211921065069838</v>
      </c>
      <c r="P150" s="310">
        <v>0.67398714291569128</v>
      </c>
      <c r="Q150" s="309">
        <v>0</v>
      </c>
      <c r="R150" s="310">
        <v>0.67398714291569128</v>
      </c>
      <c r="S150" s="310">
        <v>0.80232094002864129</v>
      </c>
      <c r="T150" s="310"/>
      <c r="U150" s="310"/>
      <c r="V150" s="316"/>
    </row>
    <row r="151" spans="1:22">
      <c r="A151" s="311"/>
      <c r="B151" s="312" t="s">
        <v>770</v>
      </c>
      <c r="C151" s="313">
        <v>0.87082602922010921</v>
      </c>
      <c r="D151" s="314">
        <v>0.95472129237167114</v>
      </c>
      <c r="E151" s="314">
        <v>0.78578235020398901</v>
      </c>
      <c r="F151" s="314">
        <v>0.83885205970080334</v>
      </c>
      <c r="G151" s="314">
        <v>0.83860286923655236</v>
      </c>
      <c r="H151" s="314">
        <v>0.85561714708056169</v>
      </c>
      <c r="I151" s="314">
        <v>0</v>
      </c>
      <c r="J151" s="315">
        <v>0.84232534049468555</v>
      </c>
      <c r="K151" s="315">
        <v>0.66032983321758421</v>
      </c>
      <c r="L151" s="314">
        <v>0</v>
      </c>
      <c r="M151" s="314">
        <v>0.59650420429772655</v>
      </c>
      <c r="N151" s="314">
        <v>0.52660764665823523</v>
      </c>
      <c r="O151" s="315">
        <v>0.6375717305949864</v>
      </c>
      <c r="P151" s="315">
        <v>0.67727248573176546</v>
      </c>
      <c r="Q151" s="314">
        <v>0</v>
      </c>
      <c r="R151" s="315">
        <v>0.67727248573176546</v>
      </c>
      <c r="S151" s="315">
        <v>0.79198104849817652</v>
      </c>
      <c r="T151" s="315"/>
      <c r="U151" s="315"/>
      <c r="V151" s="316"/>
    </row>
    <row r="152" spans="1:22">
      <c r="A152" s="311"/>
      <c r="B152" s="317" t="s">
        <v>771</v>
      </c>
      <c r="C152" s="318">
        <v>-6.4264988906402536</v>
      </c>
      <c r="D152" s="319">
        <v>-0.34055424764328768</v>
      </c>
      <c r="E152" s="319">
        <v>-1.9251465720708238</v>
      </c>
      <c r="F152" s="319">
        <v>-1.2701928842982269</v>
      </c>
      <c r="G152" s="319">
        <v>0.46270248619675325</v>
      </c>
      <c r="H152" s="319">
        <v>-5.0851825416164953E-2</v>
      </c>
      <c r="I152" s="319">
        <v>0</v>
      </c>
      <c r="J152" s="320">
        <v>-2.3022940994381624</v>
      </c>
      <c r="K152" s="320">
        <v>-1.6760783274547109</v>
      </c>
      <c r="L152" s="319">
        <v>-75.762874572458529</v>
      </c>
      <c r="M152" s="319">
        <v>-4.6298606781231655</v>
      </c>
      <c r="N152" s="319">
        <v>-7.0048299325503933</v>
      </c>
      <c r="O152" s="320">
        <v>-6.4547480055711981</v>
      </c>
      <c r="P152" s="320">
        <v>0.32853428160741771</v>
      </c>
      <c r="Q152" s="319">
        <v>0</v>
      </c>
      <c r="R152" s="320">
        <v>0.32853428160741771</v>
      </c>
      <c r="S152" s="320">
        <v>-1.0339891530464773</v>
      </c>
      <c r="T152" s="320"/>
      <c r="U152" s="320"/>
      <c r="V152" s="316"/>
    </row>
    <row r="153" spans="1:22">
      <c r="A153" s="311"/>
      <c r="B153" s="291" t="s">
        <v>772</v>
      </c>
      <c r="C153" s="308">
        <v>1.8543751286660796E-2</v>
      </c>
      <c r="D153" s="309">
        <v>3.2357899446288099E-2</v>
      </c>
      <c r="E153" s="309">
        <v>1.1704317152756386E-2</v>
      </c>
      <c r="F153" s="309">
        <v>2.0681581875958768E-2</v>
      </c>
      <c r="G153" s="309">
        <v>1.2621811201138212E-2</v>
      </c>
      <c r="H153" s="309">
        <v>4.7515828928341046E-2</v>
      </c>
      <c r="I153" s="309">
        <v>0</v>
      </c>
      <c r="J153" s="310">
        <v>2.093535076580702E-2</v>
      </c>
      <c r="K153" s="310">
        <v>0.1173846640600282</v>
      </c>
      <c r="L153" s="309">
        <v>6.2189847084590053E-3</v>
      </c>
      <c r="M153" s="309">
        <v>0.15963621331128566</v>
      </c>
      <c r="N153" s="309">
        <v>8.569887532711401E-2</v>
      </c>
      <c r="O153" s="310">
        <v>7.602257492615884E-2</v>
      </c>
      <c r="P153" s="310">
        <v>0</v>
      </c>
      <c r="Q153" s="309">
        <v>0</v>
      </c>
      <c r="R153" s="310">
        <v>0</v>
      </c>
      <c r="S153" s="310">
        <v>2.3167516777313518E-2</v>
      </c>
      <c r="T153" s="310"/>
      <c r="U153" s="310"/>
      <c r="V153" s="316"/>
    </row>
    <row r="154" spans="1:22">
      <c r="A154" s="311"/>
      <c r="B154" s="312" t="s">
        <v>773</v>
      </c>
      <c r="C154" s="313">
        <v>1.6707722282660258E-2</v>
      </c>
      <c r="D154" s="314">
        <v>3.2544642347107813E-2</v>
      </c>
      <c r="E154" s="314">
        <v>1.0022969304656505E-2</v>
      </c>
      <c r="F154" s="314">
        <v>2.0088702706680769E-2</v>
      </c>
      <c r="G154" s="314">
        <v>8.5273792727010578E-3</v>
      </c>
      <c r="H154" s="314">
        <v>2.5030303030303031E-2</v>
      </c>
      <c r="I154" s="314">
        <v>0</v>
      </c>
      <c r="J154" s="315">
        <v>1.7177861999375401E-2</v>
      </c>
      <c r="K154" s="315">
        <v>0.11963554569672344</v>
      </c>
      <c r="L154" s="314">
        <v>0</v>
      </c>
      <c r="M154" s="314">
        <v>0.18569760199314855</v>
      </c>
      <c r="N154" s="314">
        <v>0.16665045237863604</v>
      </c>
      <c r="O154" s="315">
        <v>0.13609785563273935</v>
      </c>
      <c r="P154" s="315">
        <v>0</v>
      </c>
      <c r="Q154" s="314">
        <v>0</v>
      </c>
      <c r="R154" s="315">
        <v>0</v>
      </c>
      <c r="S154" s="315">
        <v>2.2152658134180415E-2</v>
      </c>
      <c r="T154" s="315"/>
      <c r="U154" s="315"/>
      <c r="V154" s="316"/>
    </row>
    <row r="155" spans="1:22">
      <c r="A155" s="311"/>
      <c r="B155" s="317" t="s">
        <v>774</v>
      </c>
      <c r="C155" s="318">
        <v>-0.18360290040005389</v>
      </c>
      <c r="D155" s="319">
        <v>1.8674290081971412E-2</v>
      </c>
      <c r="E155" s="319">
        <v>-0.16813478480998817</v>
      </c>
      <c r="F155" s="319">
        <v>-5.9287916927799889E-2</v>
      </c>
      <c r="G155" s="319">
        <v>-0.40944319284371544</v>
      </c>
      <c r="H155" s="319">
        <v>-2.2485525898038015</v>
      </c>
      <c r="I155" s="319">
        <v>0</v>
      </c>
      <c r="J155" s="320">
        <v>-0.37574887664316192</v>
      </c>
      <c r="K155" s="320">
        <v>0.22508816366952344</v>
      </c>
      <c r="L155" s="319">
        <v>-0.62189847084590055</v>
      </c>
      <c r="M155" s="319">
        <v>2.6061388681862891</v>
      </c>
      <c r="N155" s="319">
        <v>8.0951577051522037</v>
      </c>
      <c r="O155" s="320">
        <v>6.0075280706580507</v>
      </c>
      <c r="P155" s="320">
        <v>0</v>
      </c>
      <c r="Q155" s="319">
        <v>0</v>
      </c>
      <c r="R155" s="320">
        <v>0</v>
      </c>
      <c r="S155" s="320">
        <v>-0.10148586431331028</v>
      </c>
      <c r="T155" s="320"/>
      <c r="U155" s="320"/>
      <c r="V155" s="316"/>
    </row>
    <row r="156" spans="1:22">
      <c r="A156" s="311"/>
      <c r="B156" s="291" t="s">
        <v>775</v>
      </c>
      <c r="C156" s="308">
        <v>4.63528373323382E-2</v>
      </c>
      <c r="D156" s="309">
        <v>9.5152657056079178E-3</v>
      </c>
      <c r="E156" s="309">
        <v>0.1810794381186297</v>
      </c>
      <c r="F156" s="309">
        <v>0.12535371098576967</v>
      </c>
      <c r="G156" s="309">
        <v>0.15340234442427697</v>
      </c>
      <c r="H156" s="309">
        <v>9.5913675399200829E-2</v>
      </c>
      <c r="I156" s="309">
        <v>0</v>
      </c>
      <c r="J156" s="310">
        <v>0.11243392708644787</v>
      </c>
      <c r="K156" s="310">
        <v>0.20335100170694456</v>
      </c>
      <c r="L156" s="309">
        <v>0.23615226956695567</v>
      </c>
      <c r="M156" s="309">
        <v>0.18878048780487805</v>
      </c>
      <c r="N156" s="309">
        <v>0.31764517868914682</v>
      </c>
      <c r="O156" s="310">
        <v>0.2199473931126093</v>
      </c>
      <c r="P156" s="310">
        <v>0.32060792410774908</v>
      </c>
      <c r="Q156" s="309">
        <v>0</v>
      </c>
      <c r="R156" s="310">
        <v>0.32060792410774908</v>
      </c>
      <c r="S156" s="310">
        <v>0.17223268454934937</v>
      </c>
      <c r="T156" s="310"/>
      <c r="U156" s="310"/>
      <c r="V156" s="316"/>
    </row>
    <row r="157" spans="1:22">
      <c r="A157" s="311"/>
      <c r="B157" s="312" t="s">
        <v>776</v>
      </c>
      <c r="C157" s="313">
        <v>0.11246624849723051</v>
      </c>
      <c r="D157" s="314">
        <v>1.273406528122108E-2</v>
      </c>
      <c r="E157" s="314">
        <v>0.20406059571797891</v>
      </c>
      <c r="F157" s="314">
        <v>0.13972876914352175</v>
      </c>
      <c r="G157" s="314">
        <v>0.15286975149074655</v>
      </c>
      <c r="H157" s="314">
        <v>0.11699630450849963</v>
      </c>
      <c r="I157" s="314">
        <v>0</v>
      </c>
      <c r="J157" s="315">
        <v>0.13992697326422018</v>
      </c>
      <c r="K157" s="315">
        <v>0.21888611321302334</v>
      </c>
      <c r="L157" s="314">
        <v>0</v>
      </c>
      <c r="M157" s="314">
        <v>0.21754126440361257</v>
      </c>
      <c r="N157" s="314">
        <v>0.3067419009631287</v>
      </c>
      <c r="O157" s="315">
        <v>0.22544397463002114</v>
      </c>
      <c r="P157" s="315">
        <v>0.31675257815162633</v>
      </c>
      <c r="Q157" s="314">
        <v>0</v>
      </c>
      <c r="R157" s="315">
        <v>0.31675257815162633</v>
      </c>
      <c r="S157" s="315">
        <v>0.18411315427188454</v>
      </c>
      <c r="T157" s="315"/>
      <c r="U157" s="315"/>
      <c r="V157" s="316"/>
    </row>
    <row r="158" spans="1:22">
      <c r="A158" s="311"/>
      <c r="B158" s="317" t="s">
        <v>777</v>
      </c>
      <c r="C158" s="318">
        <v>6.6113411164892302</v>
      </c>
      <c r="D158" s="319">
        <v>0.32187995756131627</v>
      </c>
      <c r="E158" s="319">
        <v>2.2981157599349213</v>
      </c>
      <c r="F158" s="319">
        <v>1.4375058157752085</v>
      </c>
      <c r="G158" s="319">
        <v>-5.3259293353041803E-2</v>
      </c>
      <c r="H158" s="319">
        <v>2.1082629109298798</v>
      </c>
      <c r="I158" s="319">
        <v>0</v>
      </c>
      <c r="J158" s="320">
        <v>2.7493046177772316</v>
      </c>
      <c r="K158" s="336">
        <v>1.553511150607878</v>
      </c>
      <c r="L158" s="321">
        <v>-23.615226956695569</v>
      </c>
      <c r="M158" s="319">
        <v>2.8760776598734523</v>
      </c>
      <c r="N158" s="319">
        <v>-1.0903277726018124</v>
      </c>
      <c r="O158" s="320">
        <v>0.5496581517411836</v>
      </c>
      <c r="P158" s="320">
        <v>-0.38553459561227466</v>
      </c>
      <c r="Q158" s="319">
        <v>0</v>
      </c>
      <c r="R158" s="320">
        <v>-0.38553459561227466</v>
      </c>
      <c r="S158" s="320">
        <v>1.1880469722535176</v>
      </c>
      <c r="T158" s="320"/>
      <c r="U158" s="320"/>
      <c r="V158" s="316"/>
    </row>
    <row r="159" spans="1:22">
      <c r="A159" s="311"/>
      <c r="B159" s="291" t="s">
        <v>778</v>
      </c>
      <c r="C159" s="308">
        <v>0</v>
      </c>
      <c r="D159" s="309">
        <v>0</v>
      </c>
      <c r="E159" s="309">
        <v>1.8645781937035049E-4</v>
      </c>
      <c r="F159" s="309">
        <v>1.0163478454156863E-4</v>
      </c>
      <c r="G159" s="309">
        <v>0</v>
      </c>
      <c r="H159" s="309">
        <v>4.4483033773475884E-4</v>
      </c>
      <c r="I159" s="309">
        <v>0</v>
      </c>
      <c r="J159" s="310">
        <v>1.301148887500847E-4</v>
      </c>
      <c r="K159" s="310">
        <v>0</v>
      </c>
      <c r="L159" s="309">
        <v>0</v>
      </c>
      <c r="M159" s="309">
        <v>0</v>
      </c>
      <c r="N159" s="309">
        <v>0</v>
      </c>
      <c r="O159" s="310">
        <v>0</v>
      </c>
      <c r="P159" s="310">
        <v>5.4049329765596954E-3</v>
      </c>
      <c r="Q159" s="309">
        <v>0</v>
      </c>
      <c r="R159" s="310">
        <v>5.4049329765596954E-3</v>
      </c>
      <c r="S159" s="310">
        <v>1.2881652483620635E-3</v>
      </c>
      <c r="T159" s="310"/>
      <c r="U159" s="310"/>
      <c r="V159" s="316"/>
    </row>
    <row r="160" spans="1:22">
      <c r="A160" s="311"/>
      <c r="B160" s="312" t="s">
        <v>779</v>
      </c>
      <c r="C160" s="313">
        <v>0</v>
      </c>
      <c r="D160" s="314">
        <v>0</v>
      </c>
      <c r="E160" s="314">
        <v>1.2083528984040202E-4</v>
      </c>
      <c r="F160" s="314">
        <v>2.8283277223736596E-4</v>
      </c>
      <c r="G160" s="314">
        <v>0</v>
      </c>
      <c r="H160" s="322">
        <v>2.3562453806356244E-3</v>
      </c>
      <c r="I160" s="314">
        <v>0</v>
      </c>
      <c r="J160" s="315">
        <v>3.4180191578584356E-4</v>
      </c>
      <c r="K160" s="315">
        <v>2.3011619831455433E-4</v>
      </c>
      <c r="L160" s="314">
        <v>0</v>
      </c>
      <c r="M160" s="322">
        <v>2.5692930551230147E-4</v>
      </c>
      <c r="N160" s="314">
        <v>0</v>
      </c>
      <c r="O160" s="315">
        <v>2.1745696164300816E-4</v>
      </c>
      <c r="P160" s="315">
        <v>5.9749361166082059E-3</v>
      </c>
      <c r="Q160" s="314">
        <v>0</v>
      </c>
      <c r="R160" s="315">
        <v>5.9749361166082059E-3</v>
      </c>
      <c r="S160" s="315">
        <v>1.5419440233620471E-3</v>
      </c>
      <c r="T160" s="315"/>
      <c r="U160" s="315"/>
      <c r="V160" s="316"/>
    </row>
    <row r="161" spans="1:22">
      <c r="A161" s="311"/>
      <c r="B161" s="317" t="s">
        <v>780</v>
      </c>
      <c r="C161" s="318">
        <v>0</v>
      </c>
      <c r="D161" s="319">
        <v>0</v>
      </c>
      <c r="E161" s="319">
        <v>-6.5622529529948473E-3</v>
      </c>
      <c r="F161" s="319">
        <v>1.8119798769579736E-2</v>
      </c>
      <c r="G161" s="319">
        <v>0</v>
      </c>
      <c r="H161" s="319">
        <v>0.19114150429008656</v>
      </c>
      <c r="I161" s="319">
        <v>0</v>
      </c>
      <c r="J161" s="320">
        <v>2.1168702703575886E-2</v>
      </c>
      <c r="K161" s="320">
        <v>0</v>
      </c>
      <c r="L161" s="319">
        <v>0</v>
      </c>
      <c r="M161" s="321">
        <v>0</v>
      </c>
      <c r="N161" s="319">
        <v>0</v>
      </c>
      <c r="O161" s="320">
        <v>0</v>
      </c>
      <c r="P161" s="320">
        <v>5.7000314004851046E-2</v>
      </c>
      <c r="Q161" s="319">
        <v>0</v>
      </c>
      <c r="R161" s="320">
        <v>5.7000314004851046E-2</v>
      </c>
      <c r="S161" s="320">
        <v>2.5377877499998355E-2</v>
      </c>
      <c r="T161" s="320"/>
      <c r="U161" s="320"/>
      <c r="V161" s="316"/>
    </row>
    <row r="162" spans="1:22">
      <c r="A162" s="311"/>
      <c r="B162" s="291" t="s">
        <v>781</v>
      </c>
      <c r="C162" s="308">
        <v>1.2393254489284311E-5</v>
      </c>
      <c r="D162" s="309">
        <v>0</v>
      </c>
      <c r="E162" s="309">
        <v>6.4551478986694434E-4</v>
      </c>
      <c r="F162" s="309">
        <v>2.23596525991451E-3</v>
      </c>
      <c r="G162" s="309">
        <v>0</v>
      </c>
      <c r="H162" s="309">
        <v>0</v>
      </c>
      <c r="I162" s="309">
        <v>0</v>
      </c>
      <c r="J162" s="310">
        <v>7.1799148455357615E-4</v>
      </c>
      <c r="K162" s="310">
        <v>2.1737177408959699E-3</v>
      </c>
      <c r="L162" s="309">
        <v>0</v>
      </c>
      <c r="M162" s="309">
        <v>5.8536585365853658E-3</v>
      </c>
      <c r="N162" s="309">
        <v>0</v>
      </c>
      <c r="O162" s="310">
        <v>1.5998186696466693E-3</v>
      </c>
      <c r="P162" s="310">
        <v>0</v>
      </c>
      <c r="Q162" s="309">
        <v>0</v>
      </c>
      <c r="R162" s="310">
        <v>0</v>
      </c>
      <c r="S162" s="310">
        <v>6.6848718853812147E-4</v>
      </c>
      <c r="T162" s="310"/>
      <c r="U162" s="310"/>
      <c r="V162" s="316"/>
    </row>
    <row r="163" spans="1:22">
      <c r="A163" s="311"/>
      <c r="B163" s="312" t="s">
        <v>782</v>
      </c>
      <c r="C163" s="313">
        <v>0</v>
      </c>
      <c r="D163" s="314">
        <v>0</v>
      </c>
      <c r="E163" s="314">
        <v>1.32494835351318E-5</v>
      </c>
      <c r="F163" s="314">
        <v>1.047635676756774E-3</v>
      </c>
      <c r="G163" s="314">
        <v>0</v>
      </c>
      <c r="H163" s="314">
        <v>0</v>
      </c>
      <c r="I163" s="314">
        <v>0</v>
      </c>
      <c r="J163" s="315">
        <v>2.2802232593301309E-4</v>
      </c>
      <c r="K163" s="315">
        <v>9.1839167435448258E-4</v>
      </c>
      <c r="L163" s="322">
        <v>0</v>
      </c>
      <c r="M163" s="314">
        <v>0</v>
      </c>
      <c r="N163" s="314">
        <v>0</v>
      </c>
      <c r="O163" s="315">
        <v>6.6898218061008758E-4</v>
      </c>
      <c r="P163" s="315">
        <v>0</v>
      </c>
      <c r="Q163" s="314">
        <v>0</v>
      </c>
      <c r="R163" s="315">
        <v>0</v>
      </c>
      <c r="S163" s="315">
        <v>2.1119507239657085E-4</v>
      </c>
      <c r="T163" s="315"/>
      <c r="U163" s="315"/>
      <c r="V163" s="316"/>
    </row>
    <row r="164" spans="1:22">
      <c r="A164" s="311"/>
      <c r="B164" s="317" t="s">
        <v>783</v>
      </c>
      <c r="C164" s="318">
        <v>-1.239325448928431E-3</v>
      </c>
      <c r="D164" s="319">
        <v>0</v>
      </c>
      <c r="E164" s="319">
        <v>-6.322653063318126E-2</v>
      </c>
      <c r="F164" s="319">
        <v>-0.1188329583157736</v>
      </c>
      <c r="G164" s="319">
        <v>0</v>
      </c>
      <c r="H164" s="319">
        <v>0</v>
      </c>
      <c r="I164" s="319">
        <v>0</v>
      </c>
      <c r="J164" s="320">
        <v>-4.899691586205631E-2</v>
      </c>
      <c r="K164" s="320">
        <v>-0.12553260665414873</v>
      </c>
      <c r="L164" s="321">
        <v>0</v>
      </c>
      <c r="M164" s="319">
        <v>-0.58536585365853655</v>
      </c>
      <c r="N164" s="319">
        <v>0</v>
      </c>
      <c r="O164" s="320">
        <v>-9.3083648903658167E-2</v>
      </c>
      <c r="P164" s="320">
        <v>0</v>
      </c>
      <c r="Q164" s="319">
        <v>0</v>
      </c>
      <c r="R164" s="320">
        <v>0</v>
      </c>
      <c r="S164" s="320">
        <v>-4.5729211614155066E-2</v>
      </c>
      <c r="T164" s="320"/>
      <c r="U164" s="320"/>
      <c r="V164" s="316"/>
    </row>
    <row r="165" spans="1:22">
      <c r="A165" s="311"/>
      <c r="B165" s="291" t="s">
        <v>784</v>
      </c>
      <c r="C165" s="308">
        <v>0</v>
      </c>
      <c r="D165" s="309">
        <v>0</v>
      </c>
      <c r="E165" s="309">
        <v>1.3504561946794098E-3</v>
      </c>
      <c r="F165" s="309">
        <v>7.3118550029905492E-5</v>
      </c>
      <c r="G165" s="309">
        <v>0</v>
      </c>
      <c r="H165" s="309">
        <v>0</v>
      </c>
      <c r="I165" s="309">
        <v>0</v>
      </c>
      <c r="J165" s="310">
        <v>4.3433428537431118E-4</v>
      </c>
      <c r="K165" s="310">
        <v>0</v>
      </c>
      <c r="L165" s="309">
        <v>0</v>
      </c>
      <c r="M165" s="309">
        <v>2.9268292682926829E-3</v>
      </c>
      <c r="N165" s="309">
        <v>0</v>
      </c>
      <c r="O165" s="310">
        <v>3.1100264088683194E-4</v>
      </c>
      <c r="P165" s="310">
        <v>0</v>
      </c>
      <c r="Q165" s="309">
        <v>0</v>
      </c>
      <c r="R165" s="310">
        <v>0</v>
      </c>
      <c r="S165" s="310">
        <v>3.2220620779563135E-4</v>
      </c>
      <c r="T165" s="310"/>
      <c r="U165" s="310"/>
      <c r="V165" s="316"/>
    </row>
    <row r="166" spans="1:22">
      <c r="A166" s="311"/>
      <c r="B166" s="312" t="s">
        <v>785</v>
      </c>
      <c r="C166" s="313">
        <v>0</v>
      </c>
      <c r="D166" s="314">
        <v>0</v>
      </c>
      <c r="E166" s="314">
        <v>0</v>
      </c>
      <c r="F166" s="314">
        <v>0</v>
      </c>
      <c r="G166" s="314">
        <v>0</v>
      </c>
      <c r="H166" s="314">
        <v>0</v>
      </c>
      <c r="I166" s="314">
        <v>0</v>
      </c>
      <c r="J166" s="315">
        <v>0</v>
      </c>
      <c r="K166" s="315">
        <v>0</v>
      </c>
      <c r="L166" s="314">
        <v>0</v>
      </c>
      <c r="M166" s="314">
        <v>0</v>
      </c>
      <c r="N166" s="314">
        <v>0</v>
      </c>
      <c r="O166" s="315">
        <v>0</v>
      </c>
      <c r="P166" s="315">
        <v>0</v>
      </c>
      <c r="Q166" s="314">
        <v>0</v>
      </c>
      <c r="R166" s="315">
        <v>0</v>
      </c>
      <c r="S166" s="315">
        <v>0</v>
      </c>
      <c r="T166" s="315"/>
      <c r="U166" s="315"/>
      <c r="V166" s="316"/>
    </row>
    <row r="167" spans="1:22" ht="15.75" thickBot="1">
      <c r="A167" s="311"/>
      <c r="B167" s="325" t="s">
        <v>786</v>
      </c>
      <c r="C167" s="326">
        <v>0</v>
      </c>
      <c r="D167" s="327">
        <v>0</v>
      </c>
      <c r="E167" s="327">
        <v>-0.135045619467941</v>
      </c>
      <c r="F167" s="327">
        <v>-7.3118550029905496E-3</v>
      </c>
      <c r="G167" s="327">
        <v>0</v>
      </c>
      <c r="H167" s="327">
        <v>0</v>
      </c>
      <c r="I167" s="327">
        <v>0</v>
      </c>
      <c r="J167" s="328">
        <v>-4.3433428537431117E-2</v>
      </c>
      <c r="K167" s="328">
        <v>0</v>
      </c>
      <c r="L167" s="327">
        <v>0</v>
      </c>
      <c r="M167" s="327">
        <v>-0.29268292682926828</v>
      </c>
      <c r="N167" s="327">
        <v>0</v>
      </c>
      <c r="O167" s="328">
        <v>-3.1100264088683195E-2</v>
      </c>
      <c r="P167" s="328">
        <v>0</v>
      </c>
      <c r="Q167" s="327">
        <v>0</v>
      </c>
      <c r="R167" s="328">
        <v>0</v>
      </c>
      <c r="S167" s="328">
        <v>-3.2220620779563135E-2</v>
      </c>
      <c r="T167" s="328"/>
      <c r="U167" s="328"/>
      <c r="V167" s="316"/>
    </row>
    <row r="168" spans="1:22" ht="15.75" thickTop="1">
      <c r="A168" s="311"/>
      <c r="B168" s="312" t="s">
        <v>787</v>
      </c>
      <c r="C168" s="313">
        <v>0.84088898901905806</v>
      </c>
      <c r="D168" s="314">
        <v>0.88579724724495856</v>
      </c>
      <c r="E168" s="314">
        <v>0.37639706766013703</v>
      </c>
      <c r="F168" s="314">
        <v>0.74973025424894812</v>
      </c>
      <c r="G168" s="314">
        <v>0.55681457164036852</v>
      </c>
      <c r="H168" s="314">
        <v>0</v>
      </c>
      <c r="I168" s="314">
        <v>0</v>
      </c>
      <c r="J168" s="315">
        <v>0.76000229584070189</v>
      </c>
      <c r="K168" s="315">
        <v>0</v>
      </c>
      <c r="L168" s="314">
        <v>0</v>
      </c>
      <c r="M168" s="314">
        <v>0</v>
      </c>
      <c r="N168" s="314">
        <v>0</v>
      </c>
      <c r="O168" s="315">
        <v>0</v>
      </c>
      <c r="P168" s="315">
        <v>0</v>
      </c>
      <c r="Q168" s="314">
        <v>0</v>
      </c>
      <c r="R168" s="315">
        <v>0</v>
      </c>
      <c r="S168" s="315">
        <v>0.76000229584070189</v>
      </c>
      <c r="T168" s="315"/>
      <c r="U168" s="315"/>
      <c r="V168" s="316"/>
    </row>
    <row r="169" spans="1:22">
      <c r="A169" s="311"/>
      <c r="B169" s="312" t="s">
        <v>788</v>
      </c>
      <c r="C169" s="313">
        <v>0.73384552731496178</v>
      </c>
      <c r="D169" s="314">
        <v>0.87965633530819087</v>
      </c>
      <c r="E169" s="314">
        <v>0.3485897614730088</v>
      </c>
      <c r="F169" s="314">
        <v>0.74240044709494402</v>
      </c>
      <c r="G169" s="314">
        <v>0.49756797703532413</v>
      </c>
      <c r="H169" s="314">
        <v>0</v>
      </c>
      <c r="I169" s="314">
        <v>0</v>
      </c>
      <c r="J169" s="315">
        <v>0.70980718560781708</v>
      </c>
      <c r="K169" s="315">
        <v>0</v>
      </c>
      <c r="L169" s="314">
        <v>0</v>
      </c>
      <c r="M169" s="314">
        <v>0</v>
      </c>
      <c r="N169" s="314">
        <v>0</v>
      </c>
      <c r="O169" s="315">
        <v>0</v>
      </c>
      <c r="P169" s="315">
        <v>0</v>
      </c>
      <c r="Q169" s="314">
        <v>0</v>
      </c>
      <c r="R169" s="315">
        <v>0</v>
      </c>
      <c r="S169" s="315">
        <v>0.70980718560781708</v>
      </c>
      <c r="T169" s="315"/>
      <c r="U169" s="315"/>
      <c r="V169" s="316"/>
    </row>
    <row r="170" spans="1:22">
      <c r="A170" s="311"/>
      <c r="B170" s="317" t="s">
        <v>789</v>
      </c>
      <c r="C170" s="318">
        <v>-10.704346170409629</v>
      </c>
      <c r="D170" s="321">
        <v>-0.61409119367676901</v>
      </c>
      <c r="E170" s="319">
        <v>-2.7807306187128233</v>
      </c>
      <c r="F170" s="319">
        <v>-0.73298071540041088</v>
      </c>
      <c r="G170" s="319">
        <v>-5.9246594605044391</v>
      </c>
      <c r="H170" s="319">
        <v>0</v>
      </c>
      <c r="I170" s="319">
        <v>0</v>
      </c>
      <c r="J170" s="320">
        <v>-5.019511023288481</v>
      </c>
      <c r="K170" s="320">
        <v>0</v>
      </c>
      <c r="L170" s="319">
        <v>0</v>
      </c>
      <c r="M170" s="319">
        <v>0</v>
      </c>
      <c r="N170" s="319">
        <v>0</v>
      </c>
      <c r="O170" s="320">
        <v>0</v>
      </c>
      <c r="P170" s="320">
        <v>0</v>
      </c>
      <c r="Q170" s="319">
        <v>0</v>
      </c>
      <c r="R170" s="320">
        <v>0</v>
      </c>
      <c r="S170" s="320">
        <v>-5.019511023288481</v>
      </c>
      <c r="T170" s="320"/>
      <c r="U170" s="320"/>
      <c r="V170" s="316"/>
    </row>
    <row r="171" spans="1:22">
      <c r="A171" s="311"/>
      <c r="B171" s="291" t="s">
        <v>790</v>
      </c>
      <c r="C171" s="308">
        <v>0.11882113414105003</v>
      </c>
      <c r="D171" s="309">
        <v>1.2696815888548478E-2</v>
      </c>
      <c r="E171" s="309">
        <v>1.8993825146931743E-2</v>
      </c>
      <c r="F171" s="309">
        <v>8.2473405603470121E-2</v>
      </c>
      <c r="G171" s="309">
        <v>0.13247908503653499</v>
      </c>
      <c r="H171" s="309">
        <v>0</v>
      </c>
      <c r="I171" s="309">
        <v>0</v>
      </c>
      <c r="J171" s="310">
        <v>7.2901260549637567E-2</v>
      </c>
      <c r="K171" s="310">
        <v>0</v>
      </c>
      <c r="L171" s="309">
        <v>0</v>
      </c>
      <c r="M171" s="309">
        <v>0</v>
      </c>
      <c r="N171" s="309">
        <v>0</v>
      </c>
      <c r="O171" s="310">
        <v>0</v>
      </c>
      <c r="P171" s="310">
        <v>0</v>
      </c>
      <c r="Q171" s="309">
        <v>0</v>
      </c>
      <c r="R171" s="310">
        <v>0</v>
      </c>
      <c r="S171" s="310">
        <v>7.2901260549637567E-2</v>
      </c>
      <c r="T171" s="310"/>
      <c r="U171" s="310"/>
      <c r="V171" s="316"/>
    </row>
    <row r="172" spans="1:22">
      <c r="A172" s="311"/>
      <c r="B172" s="312" t="s">
        <v>791</v>
      </c>
      <c r="C172" s="313">
        <v>0.22189371923616699</v>
      </c>
      <c r="D172" s="314">
        <v>9.6415642594463811E-3</v>
      </c>
      <c r="E172" s="314">
        <v>1.5533547217185103E-2</v>
      </c>
      <c r="F172" s="314">
        <v>8.1545307271659692E-2</v>
      </c>
      <c r="G172" s="314">
        <v>9.6643010924168729E-2</v>
      </c>
      <c r="H172" s="314">
        <v>0</v>
      </c>
      <c r="I172" s="314">
        <v>0</v>
      </c>
      <c r="J172" s="315">
        <v>0.11107358008102355</v>
      </c>
      <c r="K172" s="315">
        <v>0</v>
      </c>
      <c r="L172" s="314">
        <v>0</v>
      </c>
      <c r="M172" s="314">
        <v>0</v>
      </c>
      <c r="N172" s="314">
        <v>0</v>
      </c>
      <c r="O172" s="315">
        <v>0</v>
      </c>
      <c r="P172" s="315">
        <v>0</v>
      </c>
      <c r="Q172" s="314">
        <v>0</v>
      </c>
      <c r="R172" s="315">
        <v>0</v>
      </c>
      <c r="S172" s="315">
        <v>0.11107358008102355</v>
      </c>
      <c r="T172" s="315"/>
      <c r="U172" s="315"/>
      <c r="V172" s="316"/>
    </row>
    <row r="173" spans="1:22">
      <c r="A173" s="311"/>
      <c r="B173" s="317" t="s">
        <v>792</v>
      </c>
      <c r="C173" s="318">
        <v>10.307258509511696</v>
      </c>
      <c r="D173" s="319">
        <v>-0.3055251629102097</v>
      </c>
      <c r="E173" s="319">
        <v>-0.34602779297466402</v>
      </c>
      <c r="F173" s="319">
        <v>-9.2809833181042856E-2</v>
      </c>
      <c r="G173" s="321">
        <v>-3.5836074112366263</v>
      </c>
      <c r="H173" s="319">
        <v>0</v>
      </c>
      <c r="I173" s="319">
        <v>0</v>
      </c>
      <c r="J173" s="320">
        <v>3.8172319531385988</v>
      </c>
      <c r="K173" s="320">
        <v>0</v>
      </c>
      <c r="L173" s="319">
        <v>0</v>
      </c>
      <c r="M173" s="319">
        <v>0</v>
      </c>
      <c r="N173" s="319">
        <v>0</v>
      </c>
      <c r="O173" s="320">
        <v>0</v>
      </c>
      <c r="P173" s="320">
        <v>0</v>
      </c>
      <c r="Q173" s="319">
        <v>0</v>
      </c>
      <c r="R173" s="320">
        <v>0</v>
      </c>
      <c r="S173" s="320">
        <v>3.8172319531385988</v>
      </c>
      <c r="T173" s="320"/>
      <c r="U173" s="320"/>
      <c r="V173" s="316"/>
    </row>
    <row r="174" spans="1:22">
      <c r="A174" s="311"/>
      <c r="B174" s="291" t="s">
        <v>793</v>
      </c>
      <c r="C174" s="308">
        <v>4.0269016387971028E-2</v>
      </c>
      <c r="D174" s="309">
        <v>0.10140305150365053</v>
      </c>
      <c r="E174" s="309">
        <v>0.60277210271201376</v>
      </c>
      <c r="F174" s="309">
        <v>0.16444714793653553</v>
      </c>
      <c r="G174" s="309">
        <v>0.31070634332309649</v>
      </c>
      <c r="H174" s="309">
        <v>0</v>
      </c>
      <c r="I174" s="309">
        <v>0</v>
      </c>
      <c r="J174" s="310">
        <v>0.16602921041380034</v>
      </c>
      <c r="K174" s="310">
        <v>0</v>
      </c>
      <c r="L174" s="309">
        <v>0</v>
      </c>
      <c r="M174" s="309">
        <v>0</v>
      </c>
      <c r="N174" s="309">
        <v>0</v>
      </c>
      <c r="O174" s="310">
        <v>0</v>
      </c>
      <c r="P174" s="310">
        <v>0</v>
      </c>
      <c r="Q174" s="309">
        <v>0</v>
      </c>
      <c r="R174" s="310">
        <v>0</v>
      </c>
      <c r="S174" s="310">
        <v>0.16602921041380034</v>
      </c>
      <c r="T174" s="310"/>
      <c r="U174" s="310"/>
      <c r="V174" s="316"/>
    </row>
    <row r="175" spans="1:22">
      <c r="A175" s="311"/>
      <c r="B175" s="312" t="s">
        <v>794</v>
      </c>
      <c r="C175" s="313">
        <v>4.4260753448871239E-2</v>
      </c>
      <c r="D175" s="314">
        <v>0.11070210043236278</v>
      </c>
      <c r="E175" s="314">
        <v>0.63575952015622816</v>
      </c>
      <c r="F175" s="314">
        <v>0.1759587427576986</v>
      </c>
      <c r="G175" s="314">
        <v>0.40578901204050716</v>
      </c>
      <c r="H175" s="314">
        <v>1</v>
      </c>
      <c r="I175" s="314">
        <v>0</v>
      </c>
      <c r="J175" s="315">
        <v>0.1790805849547879</v>
      </c>
      <c r="K175" s="315">
        <v>0</v>
      </c>
      <c r="L175" s="314">
        <v>0</v>
      </c>
      <c r="M175" s="314">
        <v>0</v>
      </c>
      <c r="N175" s="314">
        <v>0</v>
      </c>
      <c r="O175" s="315">
        <v>0</v>
      </c>
      <c r="P175" s="315">
        <v>0</v>
      </c>
      <c r="Q175" s="314">
        <v>0</v>
      </c>
      <c r="R175" s="315">
        <v>0</v>
      </c>
      <c r="S175" s="315">
        <v>0.1790805849547879</v>
      </c>
      <c r="T175" s="315"/>
      <c r="U175" s="315"/>
      <c r="V175" s="316"/>
    </row>
    <row r="176" spans="1:22">
      <c r="A176" s="311"/>
      <c r="B176" s="317" t="s">
        <v>795</v>
      </c>
      <c r="C176" s="318">
        <v>0.39917370609002106</v>
      </c>
      <c r="D176" s="321">
        <v>0.92990489287122502</v>
      </c>
      <c r="E176" s="319">
        <v>3.2987417444214406</v>
      </c>
      <c r="F176" s="319">
        <v>1.1511594821163067</v>
      </c>
      <c r="G176" s="321">
        <v>9.5082668717410677</v>
      </c>
      <c r="H176" s="319">
        <v>0</v>
      </c>
      <c r="I176" s="319">
        <v>0</v>
      </c>
      <c r="J176" s="320">
        <v>1.3051374540987566</v>
      </c>
      <c r="K176" s="320">
        <v>0</v>
      </c>
      <c r="L176" s="319">
        <v>0</v>
      </c>
      <c r="M176" s="319">
        <v>0</v>
      </c>
      <c r="N176" s="319">
        <v>0</v>
      </c>
      <c r="O176" s="320">
        <v>0</v>
      </c>
      <c r="P176" s="320">
        <v>0</v>
      </c>
      <c r="Q176" s="319">
        <v>0</v>
      </c>
      <c r="R176" s="320">
        <v>0</v>
      </c>
      <c r="S176" s="320">
        <v>1.3051374540987566</v>
      </c>
      <c r="T176" s="320"/>
      <c r="U176" s="320"/>
      <c r="V176" s="316"/>
    </row>
    <row r="177" spans="1:22">
      <c r="A177" s="311"/>
      <c r="B177" s="291" t="s">
        <v>796</v>
      </c>
      <c r="C177" s="308">
        <v>0</v>
      </c>
      <c r="D177" s="309">
        <v>0</v>
      </c>
      <c r="E177" s="309">
        <v>1.0300959706079283E-4</v>
      </c>
      <c r="F177" s="309">
        <v>0</v>
      </c>
      <c r="G177" s="309">
        <v>0</v>
      </c>
      <c r="H177" s="309">
        <v>0</v>
      </c>
      <c r="I177" s="309">
        <v>0</v>
      </c>
      <c r="J177" s="310">
        <v>1.4972874143010912E-5</v>
      </c>
      <c r="K177" s="310">
        <v>0</v>
      </c>
      <c r="L177" s="309">
        <v>0</v>
      </c>
      <c r="M177" s="309">
        <v>0</v>
      </c>
      <c r="N177" s="309">
        <v>0</v>
      </c>
      <c r="O177" s="310">
        <v>0</v>
      </c>
      <c r="P177" s="310">
        <v>0</v>
      </c>
      <c r="Q177" s="309">
        <v>0</v>
      </c>
      <c r="R177" s="310">
        <v>0</v>
      </c>
      <c r="S177" s="310">
        <v>1.4972874143010912E-5</v>
      </c>
      <c r="T177" s="310"/>
      <c r="U177" s="310"/>
      <c r="V177" s="316"/>
    </row>
    <row r="178" spans="1:22">
      <c r="A178" s="311"/>
      <c r="B178" s="312" t="s">
        <v>797</v>
      </c>
      <c r="C178" s="313">
        <v>0</v>
      </c>
      <c r="D178" s="314">
        <v>0</v>
      </c>
      <c r="E178" s="314">
        <v>1.0043241735248989E-4</v>
      </c>
      <c r="F178" s="314">
        <v>0</v>
      </c>
      <c r="G178" s="314">
        <v>0</v>
      </c>
      <c r="H178" s="314">
        <v>0</v>
      </c>
      <c r="I178" s="314">
        <v>0</v>
      </c>
      <c r="J178" s="315">
        <v>1.4493508639298681E-5</v>
      </c>
      <c r="K178" s="315">
        <v>0</v>
      </c>
      <c r="L178" s="314">
        <v>0</v>
      </c>
      <c r="M178" s="314">
        <v>0</v>
      </c>
      <c r="N178" s="314">
        <v>0</v>
      </c>
      <c r="O178" s="315">
        <v>0</v>
      </c>
      <c r="P178" s="315">
        <v>0</v>
      </c>
      <c r="Q178" s="314">
        <v>0</v>
      </c>
      <c r="R178" s="315">
        <v>0</v>
      </c>
      <c r="S178" s="315">
        <v>1.4493508639298681E-5</v>
      </c>
      <c r="T178" s="315"/>
      <c r="U178" s="315"/>
      <c r="V178" s="316"/>
    </row>
    <row r="179" spans="1:22">
      <c r="A179" s="311"/>
      <c r="B179" s="317" t="s">
        <v>798</v>
      </c>
      <c r="C179" s="318">
        <v>0</v>
      </c>
      <c r="D179" s="319">
        <v>0</v>
      </c>
      <c r="E179" s="319">
        <v>-2.577179708302939E-4</v>
      </c>
      <c r="F179" s="319">
        <v>0</v>
      </c>
      <c r="G179" s="319">
        <v>0</v>
      </c>
      <c r="H179" s="319">
        <v>0</v>
      </c>
      <c r="I179" s="319">
        <v>0</v>
      </c>
      <c r="J179" s="320">
        <v>-4.7936550371223181E-5</v>
      </c>
      <c r="K179" s="320">
        <v>0</v>
      </c>
      <c r="L179" s="319">
        <v>0</v>
      </c>
      <c r="M179" s="319">
        <v>0</v>
      </c>
      <c r="N179" s="319">
        <v>0</v>
      </c>
      <c r="O179" s="320">
        <v>0</v>
      </c>
      <c r="P179" s="320">
        <v>0</v>
      </c>
      <c r="Q179" s="319">
        <v>0</v>
      </c>
      <c r="R179" s="320">
        <v>0</v>
      </c>
      <c r="S179" s="320">
        <v>-4.7936550371223181E-5</v>
      </c>
      <c r="T179" s="320"/>
      <c r="U179" s="320"/>
      <c r="V179" s="316"/>
    </row>
    <row r="180" spans="1:22">
      <c r="A180" s="311"/>
      <c r="B180" s="291" t="s">
        <v>799</v>
      </c>
      <c r="C180" s="308">
        <v>2.0860451920830412E-5</v>
      </c>
      <c r="D180" s="309">
        <v>1.0288536284237962E-4</v>
      </c>
      <c r="E180" s="309">
        <v>3.6053358971277488E-4</v>
      </c>
      <c r="F180" s="309">
        <v>3.3491922110461792E-3</v>
      </c>
      <c r="G180" s="309">
        <v>0</v>
      </c>
      <c r="H180" s="309">
        <v>0</v>
      </c>
      <c r="I180" s="309">
        <v>0</v>
      </c>
      <c r="J180" s="310">
        <v>8.5262199981034359E-4</v>
      </c>
      <c r="K180" s="310">
        <v>0</v>
      </c>
      <c r="L180" s="309">
        <v>0</v>
      </c>
      <c r="M180" s="309">
        <v>0</v>
      </c>
      <c r="N180" s="309">
        <v>0</v>
      </c>
      <c r="O180" s="310">
        <v>0</v>
      </c>
      <c r="P180" s="310">
        <v>0</v>
      </c>
      <c r="Q180" s="309">
        <v>0</v>
      </c>
      <c r="R180" s="310">
        <v>0</v>
      </c>
      <c r="S180" s="310">
        <v>8.5262199981034359E-4</v>
      </c>
      <c r="T180" s="310"/>
      <c r="U180" s="310"/>
      <c r="V180" s="316"/>
    </row>
    <row r="181" spans="1:22">
      <c r="A181" s="311"/>
      <c r="B181" s="312" t="s">
        <v>800</v>
      </c>
      <c r="C181" s="313">
        <v>0</v>
      </c>
      <c r="D181" s="314">
        <v>0</v>
      </c>
      <c r="E181" s="314">
        <v>1.6738736225414981E-5</v>
      </c>
      <c r="F181" s="314">
        <v>9.5502875697701562E-5</v>
      </c>
      <c r="G181" s="314">
        <v>0</v>
      </c>
      <c r="H181" s="314">
        <v>0</v>
      </c>
      <c r="I181" s="314">
        <v>0</v>
      </c>
      <c r="J181" s="315">
        <v>2.415584773216447E-5</v>
      </c>
      <c r="K181" s="315">
        <v>0</v>
      </c>
      <c r="L181" s="314">
        <v>0</v>
      </c>
      <c r="M181" s="314">
        <v>0</v>
      </c>
      <c r="N181" s="314">
        <v>0</v>
      </c>
      <c r="O181" s="315">
        <v>0</v>
      </c>
      <c r="P181" s="315">
        <v>0</v>
      </c>
      <c r="Q181" s="314">
        <v>0</v>
      </c>
      <c r="R181" s="315">
        <v>0</v>
      </c>
      <c r="S181" s="315">
        <v>2.415584773216447E-5</v>
      </c>
      <c r="T181" s="315"/>
      <c r="U181" s="315"/>
      <c r="V181" s="316"/>
    </row>
    <row r="182" spans="1:22">
      <c r="A182" s="311"/>
      <c r="B182" s="317" t="s">
        <v>801</v>
      </c>
      <c r="C182" s="318">
        <v>-2.0860451920830412E-3</v>
      </c>
      <c r="D182" s="319">
        <v>-1.0288536284237962E-2</v>
      </c>
      <c r="E182" s="319">
        <v>-3.4379485348735993E-2</v>
      </c>
      <c r="F182" s="319">
        <v>-0.32536893353484775</v>
      </c>
      <c r="G182" s="319">
        <v>0</v>
      </c>
      <c r="H182" s="319">
        <v>0</v>
      </c>
      <c r="I182" s="319">
        <v>0</v>
      </c>
      <c r="J182" s="320">
        <v>-8.2846615207817914E-2</v>
      </c>
      <c r="K182" s="320">
        <v>0</v>
      </c>
      <c r="L182" s="319">
        <v>0</v>
      </c>
      <c r="M182" s="319">
        <v>0</v>
      </c>
      <c r="N182" s="319">
        <v>0</v>
      </c>
      <c r="O182" s="320">
        <v>0</v>
      </c>
      <c r="P182" s="320">
        <v>0</v>
      </c>
      <c r="Q182" s="319">
        <v>0</v>
      </c>
      <c r="R182" s="320">
        <v>0</v>
      </c>
      <c r="S182" s="320">
        <v>-8.2846615207817914E-2</v>
      </c>
      <c r="T182" s="320"/>
      <c r="U182" s="320"/>
      <c r="V182" s="316"/>
    </row>
    <row r="183" spans="1:22">
      <c r="A183" s="311"/>
      <c r="B183" s="291" t="s">
        <v>802</v>
      </c>
      <c r="C183" s="308">
        <v>0</v>
      </c>
      <c r="D183" s="309">
        <v>0</v>
      </c>
      <c r="E183" s="309">
        <v>1.3734612941439044E-3</v>
      </c>
      <c r="F183" s="309">
        <v>0</v>
      </c>
      <c r="G183" s="309">
        <v>0</v>
      </c>
      <c r="H183" s="309">
        <v>0</v>
      </c>
      <c r="I183" s="309">
        <v>0</v>
      </c>
      <c r="J183" s="310">
        <v>1.9963832190681216E-4</v>
      </c>
      <c r="K183" s="310">
        <v>0</v>
      </c>
      <c r="L183" s="309">
        <v>0</v>
      </c>
      <c r="M183" s="309">
        <v>0</v>
      </c>
      <c r="N183" s="309">
        <v>0</v>
      </c>
      <c r="O183" s="310">
        <v>0</v>
      </c>
      <c r="P183" s="310">
        <v>0</v>
      </c>
      <c r="Q183" s="309">
        <v>0</v>
      </c>
      <c r="R183" s="310">
        <v>0</v>
      </c>
      <c r="S183" s="310">
        <v>1.9963832190681216E-4</v>
      </c>
      <c r="T183" s="310"/>
      <c r="U183" s="310"/>
      <c r="V183" s="316"/>
    </row>
    <row r="184" spans="1:22">
      <c r="A184" s="311"/>
      <c r="B184" s="312" t="s">
        <v>803</v>
      </c>
      <c r="C184" s="313">
        <v>0</v>
      </c>
      <c r="D184" s="314">
        <v>0</v>
      </c>
      <c r="E184" s="314">
        <v>0</v>
      </c>
      <c r="F184" s="314">
        <v>0</v>
      </c>
      <c r="G184" s="314">
        <v>0</v>
      </c>
      <c r="H184" s="314">
        <v>0</v>
      </c>
      <c r="I184" s="314">
        <v>0</v>
      </c>
      <c r="J184" s="315">
        <v>0</v>
      </c>
      <c r="K184" s="315">
        <v>0</v>
      </c>
      <c r="L184" s="314">
        <v>0</v>
      </c>
      <c r="M184" s="314">
        <v>0</v>
      </c>
      <c r="N184" s="314">
        <v>0</v>
      </c>
      <c r="O184" s="315">
        <v>0</v>
      </c>
      <c r="P184" s="315">
        <v>0</v>
      </c>
      <c r="Q184" s="314">
        <v>0</v>
      </c>
      <c r="R184" s="315">
        <v>0</v>
      </c>
      <c r="S184" s="315">
        <v>0</v>
      </c>
      <c r="T184" s="315"/>
      <c r="U184" s="315"/>
      <c r="V184" s="316"/>
    </row>
    <row r="185" spans="1:22" ht="15.75" thickBot="1">
      <c r="A185" s="329"/>
      <c r="B185" s="330" t="s">
        <v>804</v>
      </c>
      <c r="C185" s="331">
        <v>0</v>
      </c>
      <c r="D185" s="332">
        <v>0</v>
      </c>
      <c r="E185" s="332">
        <v>-0.13734612941439045</v>
      </c>
      <c r="F185" s="332">
        <v>0</v>
      </c>
      <c r="G185" s="332">
        <v>0</v>
      </c>
      <c r="H185" s="332">
        <v>0</v>
      </c>
      <c r="I185" s="332">
        <v>0</v>
      </c>
      <c r="J185" s="333">
        <v>-1.9963832190681215E-2</v>
      </c>
      <c r="K185" s="333">
        <v>0</v>
      </c>
      <c r="L185" s="332">
        <v>0</v>
      </c>
      <c r="M185" s="332">
        <v>0</v>
      </c>
      <c r="N185" s="332">
        <v>0</v>
      </c>
      <c r="O185" s="333">
        <v>0</v>
      </c>
      <c r="P185" s="333">
        <v>0</v>
      </c>
      <c r="Q185" s="332">
        <v>0</v>
      </c>
      <c r="R185" s="333">
        <v>0</v>
      </c>
      <c r="S185" s="333">
        <v>-1.9963832190681215E-2</v>
      </c>
      <c r="T185" s="333"/>
      <c r="U185" s="333"/>
      <c r="V185" s="316"/>
    </row>
    <row r="186" spans="1:22">
      <c r="A186" s="307" t="s">
        <v>256</v>
      </c>
      <c r="B186" s="291" t="s">
        <v>769</v>
      </c>
      <c r="C186" s="308">
        <v>0.90065075451174426</v>
      </c>
      <c r="D186" s="309">
        <v>0</v>
      </c>
      <c r="E186" s="309">
        <v>0.77000983212820229</v>
      </c>
      <c r="F186" s="309">
        <v>0.75221539786505909</v>
      </c>
      <c r="G186" s="309">
        <v>0</v>
      </c>
      <c r="H186" s="309">
        <v>0</v>
      </c>
      <c r="I186" s="309">
        <v>0</v>
      </c>
      <c r="J186" s="310">
        <v>0.82125997563334752</v>
      </c>
      <c r="K186" s="310">
        <v>0</v>
      </c>
      <c r="L186" s="309">
        <v>0.63441078972247822</v>
      </c>
      <c r="M186" s="309">
        <v>0.58208282025030333</v>
      </c>
      <c r="N186" s="309">
        <v>0.48432360557071874</v>
      </c>
      <c r="O186" s="310">
        <v>0.59258290029533811</v>
      </c>
      <c r="P186" s="310">
        <v>0.58915045223463114</v>
      </c>
      <c r="Q186" s="309">
        <v>0</v>
      </c>
      <c r="R186" s="310">
        <v>0.58915045223463114</v>
      </c>
      <c r="S186" s="310">
        <v>0.74387214647671007</v>
      </c>
      <c r="T186" s="310"/>
      <c r="U186" s="310"/>
      <c r="V186" s="316"/>
    </row>
    <row r="187" spans="1:22">
      <c r="A187" s="311"/>
      <c r="B187" s="312" t="s">
        <v>770</v>
      </c>
      <c r="C187" s="313">
        <v>0.89750692268205268</v>
      </c>
      <c r="D187" s="314">
        <v>0</v>
      </c>
      <c r="E187" s="314">
        <v>0.75609733692207348</v>
      </c>
      <c r="F187" s="314">
        <v>0.75690865361017035</v>
      </c>
      <c r="G187" s="314">
        <v>0</v>
      </c>
      <c r="H187" s="314">
        <v>0</v>
      </c>
      <c r="I187" s="314">
        <v>0</v>
      </c>
      <c r="J187" s="315">
        <v>0.81209130273449059</v>
      </c>
      <c r="K187" s="315">
        <v>0</v>
      </c>
      <c r="L187" s="314">
        <v>0.56834072896093568</v>
      </c>
      <c r="M187" s="314">
        <v>0.50933198599542506</v>
      </c>
      <c r="N187" s="314">
        <v>0.41702896369001025</v>
      </c>
      <c r="O187" s="315">
        <v>0.52179507905727562</v>
      </c>
      <c r="P187" s="315">
        <v>0.53582912578848707</v>
      </c>
      <c r="Q187" s="314">
        <v>0</v>
      </c>
      <c r="R187" s="315">
        <v>0.53582912578848707</v>
      </c>
      <c r="S187" s="315">
        <v>0.71619774529071389</v>
      </c>
      <c r="T187" s="315"/>
      <c r="U187" s="315"/>
      <c r="V187" s="316"/>
    </row>
    <row r="188" spans="1:22">
      <c r="A188" s="311"/>
      <c r="B188" s="317" t="s">
        <v>771</v>
      </c>
      <c r="C188" s="318">
        <v>-0.3143831829691579</v>
      </c>
      <c r="D188" s="319">
        <v>0</v>
      </c>
      <c r="E188" s="319">
        <v>-1.3912495206128805</v>
      </c>
      <c r="F188" s="319">
        <v>0.46932557451112578</v>
      </c>
      <c r="G188" s="319">
        <v>0</v>
      </c>
      <c r="H188" s="319">
        <v>0</v>
      </c>
      <c r="I188" s="319">
        <v>0</v>
      </c>
      <c r="J188" s="320">
        <v>-0.91686728988569222</v>
      </c>
      <c r="K188" s="320">
        <v>0</v>
      </c>
      <c r="L188" s="321">
        <v>-6.6070060761542537</v>
      </c>
      <c r="M188" s="321">
        <v>-7.2750834254878267</v>
      </c>
      <c r="N188" s="321">
        <v>-6.7294641880708497</v>
      </c>
      <c r="O188" s="320">
        <v>-7.0787821238062492</v>
      </c>
      <c r="P188" s="336">
        <v>-5.3321326446144068</v>
      </c>
      <c r="Q188" s="319">
        <v>0</v>
      </c>
      <c r="R188" s="320">
        <v>-5.3321326446144068</v>
      </c>
      <c r="S188" s="320">
        <v>-2.7674401185996178</v>
      </c>
      <c r="T188" s="320"/>
      <c r="U188" s="320"/>
      <c r="V188" s="316"/>
    </row>
    <row r="189" spans="1:22">
      <c r="A189" s="311"/>
      <c r="B189" s="291" t="s">
        <v>772</v>
      </c>
      <c r="C189" s="308">
        <v>1.8120217334103714E-2</v>
      </c>
      <c r="D189" s="309">
        <v>0</v>
      </c>
      <c r="E189" s="309">
        <v>5.3173310307045391E-2</v>
      </c>
      <c r="F189" s="309">
        <v>0</v>
      </c>
      <c r="G189" s="309">
        <v>0</v>
      </c>
      <c r="H189" s="309">
        <v>0</v>
      </c>
      <c r="I189" s="309">
        <v>0</v>
      </c>
      <c r="J189" s="310">
        <v>3.8510153247412825E-2</v>
      </c>
      <c r="K189" s="310">
        <v>0</v>
      </c>
      <c r="L189" s="309">
        <v>0.10967077943059561</v>
      </c>
      <c r="M189" s="309">
        <v>5.6450879213954662E-2</v>
      </c>
      <c r="N189" s="309">
        <v>5.1893064595143118E-2</v>
      </c>
      <c r="O189" s="310">
        <v>7.3464584345832237E-2</v>
      </c>
      <c r="P189" s="310">
        <v>0.15272531765314387</v>
      </c>
      <c r="Q189" s="309">
        <v>0</v>
      </c>
      <c r="R189" s="310">
        <v>0.15272531765314387</v>
      </c>
      <c r="S189" s="310">
        <v>5.3071264907416565E-2</v>
      </c>
      <c r="T189" s="310"/>
      <c r="U189" s="310"/>
      <c r="V189" s="316"/>
    </row>
    <row r="190" spans="1:22">
      <c r="A190" s="311"/>
      <c r="B190" s="312" t="s">
        <v>773</v>
      </c>
      <c r="C190" s="313">
        <v>2.0696471506450379E-2</v>
      </c>
      <c r="D190" s="314">
        <v>0</v>
      </c>
      <c r="E190" s="314">
        <v>5.3662689044237655E-2</v>
      </c>
      <c r="F190" s="314">
        <v>0</v>
      </c>
      <c r="G190" s="314">
        <v>0</v>
      </c>
      <c r="H190" s="314">
        <v>0</v>
      </c>
      <c r="I190" s="314">
        <v>0</v>
      </c>
      <c r="J190" s="315">
        <v>3.9822580808175606E-2</v>
      </c>
      <c r="K190" s="315">
        <v>0</v>
      </c>
      <c r="L190" s="314">
        <v>0.11535640085156591</v>
      </c>
      <c r="M190" s="314">
        <v>5.9301776428094637E-2</v>
      </c>
      <c r="N190" s="314">
        <v>3.509363521406636E-2</v>
      </c>
      <c r="O190" s="315">
        <v>7.5422663762660005E-2</v>
      </c>
      <c r="P190" s="315">
        <v>0.14296758480084287</v>
      </c>
      <c r="Q190" s="314">
        <v>0</v>
      </c>
      <c r="R190" s="315">
        <v>0.14296758480084287</v>
      </c>
      <c r="S190" s="315">
        <v>5.4023426659500898E-2</v>
      </c>
      <c r="T190" s="315"/>
      <c r="U190" s="315"/>
      <c r="V190" s="316"/>
    </row>
    <row r="191" spans="1:22">
      <c r="A191" s="311"/>
      <c r="B191" s="317" t="s">
        <v>774</v>
      </c>
      <c r="C191" s="318">
        <v>0.25762541723466648</v>
      </c>
      <c r="D191" s="319">
        <v>0</v>
      </c>
      <c r="E191" s="319">
        <v>4.8937873719226421E-2</v>
      </c>
      <c r="F191" s="319">
        <v>0</v>
      </c>
      <c r="G191" s="319">
        <v>0</v>
      </c>
      <c r="H191" s="319">
        <v>0</v>
      </c>
      <c r="I191" s="319">
        <v>0</v>
      </c>
      <c r="J191" s="320">
        <v>0.13124275607627814</v>
      </c>
      <c r="K191" s="320">
        <v>0</v>
      </c>
      <c r="L191" s="321">
        <v>0.56856214209703015</v>
      </c>
      <c r="M191" s="321">
        <v>0.28508972141399747</v>
      </c>
      <c r="N191" s="321">
        <v>-1.6799429381076758</v>
      </c>
      <c r="O191" s="320">
        <v>0.19580794168277682</v>
      </c>
      <c r="P191" s="336">
        <v>-0.97577328523009987</v>
      </c>
      <c r="Q191" s="319">
        <v>0</v>
      </c>
      <c r="R191" s="320">
        <v>-0.97577328523009987</v>
      </c>
      <c r="S191" s="320">
        <v>9.5216175208433229E-2</v>
      </c>
      <c r="T191" s="320"/>
      <c r="U191" s="320"/>
      <c r="V191" s="316"/>
    </row>
    <row r="192" spans="1:22">
      <c r="A192" s="311"/>
      <c r="B192" s="291" t="s">
        <v>775</v>
      </c>
      <c r="C192" s="308">
        <v>7.8706303285781321E-2</v>
      </c>
      <c r="D192" s="309">
        <v>0</v>
      </c>
      <c r="E192" s="309">
        <v>0.15697784808213031</v>
      </c>
      <c r="F192" s="309">
        <v>0.24778460213494097</v>
      </c>
      <c r="G192" s="309">
        <v>0</v>
      </c>
      <c r="H192" s="309">
        <v>0</v>
      </c>
      <c r="I192" s="309">
        <v>0</v>
      </c>
      <c r="J192" s="310">
        <v>0.12753331868671161</v>
      </c>
      <c r="K192" s="310">
        <v>0</v>
      </c>
      <c r="L192" s="309">
        <v>0.25591843084692617</v>
      </c>
      <c r="M192" s="309">
        <v>0.36146630053574197</v>
      </c>
      <c r="N192" s="309">
        <v>0.46378332983413817</v>
      </c>
      <c r="O192" s="310">
        <v>0.33395251535882964</v>
      </c>
      <c r="P192" s="310">
        <v>0.25812423011222496</v>
      </c>
      <c r="Q192" s="309">
        <v>0</v>
      </c>
      <c r="R192" s="310">
        <v>0.25812423011222496</v>
      </c>
      <c r="S192" s="310">
        <v>0.19465013161433775</v>
      </c>
      <c r="T192" s="310"/>
      <c r="U192" s="310"/>
      <c r="V192" s="316"/>
    </row>
    <row r="193" spans="1:22">
      <c r="A193" s="311"/>
      <c r="B193" s="312" t="s">
        <v>776</v>
      </c>
      <c r="C193" s="313">
        <v>8.0417995964466152E-2</v>
      </c>
      <c r="D193" s="314">
        <v>0</v>
      </c>
      <c r="E193" s="314">
        <v>0.17292828337574292</v>
      </c>
      <c r="F193" s="314">
        <v>0.24306680410347029</v>
      </c>
      <c r="G193" s="314">
        <v>0</v>
      </c>
      <c r="H193" s="314">
        <v>0</v>
      </c>
      <c r="I193" s="314">
        <v>0</v>
      </c>
      <c r="J193" s="315">
        <v>0.13733635866167482</v>
      </c>
      <c r="K193" s="315">
        <v>0</v>
      </c>
      <c r="L193" s="314">
        <v>0.31630287018749842</v>
      </c>
      <c r="M193" s="314">
        <v>0.43136623757648035</v>
      </c>
      <c r="N193" s="314">
        <v>0.54787740109592342</v>
      </c>
      <c r="O193" s="315">
        <v>0.40278225718006438</v>
      </c>
      <c r="P193" s="315">
        <v>0.32120328941067006</v>
      </c>
      <c r="Q193" s="314">
        <v>0</v>
      </c>
      <c r="R193" s="315">
        <v>0.32120328941067006</v>
      </c>
      <c r="S193" s="315">
        <v>0.22259835269320266</v>
      </c>
      <c r="T193" s="315"/>
      <c r="U193" s="315"/>
      <c r="V193" s="316"/>
    </row>
    <row r="194" spans="1:22">
      <c r="A194" s="311"/>
      <c r="B194" s="317" t="s">
        <v>777</v>
      </c>
      <c r="C194" s="318">
        <v>0.17116926786848313</v>
      </c>
      <c r="D194" s="319">
        <v>0</v>
      </c>
      <c r="E194" s="319">
        <v>1.5950435293612619</v>
      </c>
      <c r="F194" s="319">
        <v>-0.47177980314706824</v>
      </c>
      <c r="G194" s="319">
        <v>0</v>
      </c>
      <c r="H194" s="319">
        <v>0</v>
      </c>
      <c r="I194" s="319">
        <v>0</v>
      </c>
      <c r="J194" s="320">
        <v>0.98030399749632069</v>
      </c>
      <c r="K194" s="320">
        <v>0</v>
      </c>
      <c r="L194" s="321">
        <v>6.0384439340572253</v>
      </c>
      <c r="M194" s="321">
        <v>6.9899937040738376</v>
      </c>
      <c r="N194" s="321">
        <v>8.4094071261785253</v>
      </c>
      <c r="O194" s="320">
        <v>6.8829741821234744</v>
      </c>
      <c r="P194" s="336">
        <v>6.3079059298445097</v>
      </c>
      <c r="Q194" s="319">
        <v>0</v>
      </c>
      <c r="R194" s="320">
        <v>6.3079059298445097</v>
      </c>
      <c r="S194" s="320">
        <v>2.7948221078864908</v>
      </c>
      <c r="T194" s="320"/>
      <c r="U194" s="320"/>
      <c r="V194" s="316"/>
    </row>
    <row r="195" spans="1:22">
      <c r="A195" s="311"/>
      <c r="B195" s="291" t="s">
        <v>778</v>
      </c>
      <c r="C195" s="308">
        <v>2.4684727206638292E-3</v>
      </c>
      <c r="D195" s="309">
        <v>0</v>
      </c>
      <c r="E195" s="309">
        <v>1.8442194221417591E-2</v>
      </c>
      <c r="F195" s="309">
        <v>0</v>
      </c>
      <c r="G195" s="309">
        <v>0</v>
      </c>
      <c r="H195" s="309">
        <v>0</v>
      </c>
      <c r="I195" s="309">
        <v>0</v>
      </c>
      <c r="J195" s="310">
        <v>1.1851280675875016E-2</v>
      </c>
      <c r="K195" s="310">
        <v>0</v>
      </c>
      <c r="L195" s="309">
        <v>0</v>
      </c>
      <c r="M195" s="309">
        <v>0</v>
      </c>
      <c r="N195" s="309">
        <v>0</v>
      </c>
      <c r="O195" s="310">
        <v>0</v>
      </c>
      <c r="P195" s="310">
        <v>0</v>
      </c>
      <c r="Q195" s="309">
        <v>0</v>
      </c>
      <c r="R195" s="310">
        <v>0</v>
      </c>
      <c r="S195" s="310">
        <v>7.8467979354484036E-3</v>
      </c>
      <c r="T195" s="310"/>
      <c r="U195" s="310"/>
      <c r="V195" s="316"/>
    </row>
    <row r="196" spans="1:22">
      <c r="A196" s="311"/>
      <c r="B196" s="312" t="s">
        <v>779</v>
      </c>
      <c r="C196" s="313">
        <v>8.6254293339363235E-4</v>
      </c>
      <c r="D196" s="314">
        <v>0</v>
      </c>
      <c r="E196" s="314">
        <v>1.5914776607048261E-2</v>
      </c>
      <c r="F196" s="314">
        <v>2.454228635939724E-5</v>
      </c>
      <c r="G196" s="314">
        <v>0</v>
      </c>
      <c r="H196" s="314">
        <v>0</v>
      </c>
      <c r="I196" s="314">
        <v>0</v>
      </c>
      <c r="J196" s="315">
        <v>9.7221039074671129E-3</v>
      </c>
      <c r="K196" s="315">
        <v>0</v>
      </c>
      <c r="L196" s="314">
        <v>0</v>
      </c>
      <c r="M196" s="314">
        <v>0</v>
      </c>
      <c r="N196" s="314">
        <v>0</v>
      </c>
      <c r="O196" s="315">
        <v>0</v>
      </c>
      <c r="P196" s="315">
        <v>0</v>
      </c>
      <c r="Q196" s="314">
        <v>0</v>
      </c>
      <c r="R196" s="315">
        <v>0</v>
      </c>
      <c r="S196" s="315">
        <v>6.4940372470432169E-3</v>
      </c>
      <c r="T196" s="315"/>
      <c r="U196" s="315"/>
      <c r="V196" s="316"/>
    </row>
    <row r="197" spans="1:22">
      <c r="A197" s="311"/>
      <c r="B197" s="317" t="s">
        <v>780</v>
      </c>
      <c r="C197" s="318">
        <v>-0.16059297872701969</v>
      </c>
      <c r="D197" s="319">
        <v>0</v>
      </c>
      <c r="E197" s="319">
        <v>-0.25274176143693305</v>
      </c>
      <c r="F197" s="319">
        <v>0</v>
      </c>
      <c r="G197" s="319">
        <v>0</v>
      </c>
      <c r="H197" s="319">
        <v>0</v>
      </c>
      <c r="I197" s="319">
        <v>0</v>
      </c>
      <c r="J197" s="320">
        <v>-0.21291767684079033</v>
      </c>
      <c r="K197" s="320">
        <v>0</v>
      </c>
      <c r="L197" s="319">
        <v>0</v>
      </c>
      <c r="M197" s="319">
        <v>0</v>
      </c>
      <c r="N197" s="319">
        <v>0</v>
      </c>
      <c r="O197" s="320">
        <v>0</v>
      </c>
      <c r="P197" s="320">
        <v>0</v>
      </c>
      <c r="Q197" s="319">
        <v>0</v>
      </c>
      <c r="R197" s="320">
        <v>0</v>
      </c>
      <c r="S197" s="320">
        <v>-0.13527606884051868</v>
      </c>
      <c r="T197" s="320"/>
      <c r="U197" s="320"/>
      <c r="V197" s="316"/>
    </row>
    <row r="198" spans="1:22">
      <c r="A198" s="311"/>
      <c r="B198" s="291" t="s">
        <v>781</v>
      </c>
      <c r="C198" s="308">
        <v>5.4252147706897347E-5</v>
      </c>
      <c r="D198" s="309">
        <v>0</v>
      </c>
      <c r="E198" s="309">
        <v>1.3968152612044539E-3</v>
      </c>
      <c r="F198" s="309">
        <v>0</v>
      </c>
      <c r="G198" s="309">
        <v>0</v>
      </c>
      <c r="H198" s="309">
        <v>0</v>
      </c>
      <c r="I198" s="309">
        <v>0</v>
      </c>
      <c r="J198" s="310">
        <v>8.4527175665303773E-4</v>
      </c>
      <c r="K198" s="310">
        <v>0</v>
      </c>
      <c r="L198" s="309">
        <v>0</v>
      </c>
      <c r="M198" s="309">
        <v>0</v>
      </c>
      <c r="N198" s="309">
        <v>0</v>
      </c>
      <c r="O198" s="310">
        <v>0</v>
      </c>
      <c r="P198" s="310">
        <v>0</v>
      </c>
      <c r="Q198" s="309">
        <v>0</v>
      </c>
      <c r="R198" s="310">
        <v>0</v>
      </c>
      <c r="S198" s="310">
        <v>5.5965906608723454E-4</v>
      </c>
      <c r="T198" s="310"/>
      <c r="U198" s="310"/>
      <c r="V198" s="316"/>
    </row>
    <row r="199" spans="1:22">
      <c r="A199" s="311"/>
      <c r="B199" s="312" t="s">
        <v>782</v>
      </c>
      <c r="C199" s="313">
        <v>5.1606691363720498E-4</v>
      </c>
      <c r="D199" s="314">
        <v>0</v>
      </c>
      <c r="E199" s="314">
        <v>1.3969140508976444E-3</v>
      </c>
      <c r="F199" s="314">
        <v>0</v>
      </c>
      <c r="G199" s="314">
        <v>0</v>
      </c>
      <c r="H199" s="314">
        <v>0</v>
      </c>
      <c r="I199" s="314">
        <v>0</v>
      </c>
      <c r="J199" s="315">
        <v>1.0276538881918344E-3</v>
      </c>
      <c r="K199" s="315">
        <v>0</v>
      </c>
      <c r="L199" s="314">
        <v>0</v>
      </c>
      <c r="M199" s="314">
        <v>0</v>
      </c>
      <c r="N199" s="314">
        <v>0</v>
      </c>
      <c r="O199" s="315">
        <v>0</v>
      </c>
      <c r="P199" s="315">
        <v>0</v>
      </c>
      <c r="Q199" s="314">
        <v>0</v>
      </c>
      <c r="R199" s="315">
        <v>0</v>
      </c>
      <c r="S199" s="315">
        <v>6.8643810953931972E-4</v>
      </c>
      <c r="T199" s="315"/>
      <c r="U199" s="315"/>
      <c r="V199" s="316"/>
    </row>
    <row r="200" spans="1:22">
      <c r="A200" s="311"/>
      <c r="B200" s="317" t="s">
        <v>783</v>
      </c>
      <c r="C200" s="318">
        <v>4.6181476593030762E-2</v>
      </c>
      <c r="D200" s="319">
        <v>0</v>
      </c>
      <c r="E200" s="319">
        <v>9.8789693190421898E-6</v>
      </c>
      <c r="F200" s="319">
        <v>0</v>
      </c>
      <c r="G200" s="319">
        <v>0</v>
      </c>
      <c r="H200" s="319">
        <v>0</v>
      </c>
      <c r="I200" s="319">
        <v>0</v>
      </c>
      <c r="J200" s="320">
        <v>1.8238213153879669E-2</v>
      </c>
      <c r="K200" s="320">
        <v>0</v>
      </c>
      <c r="L200" s="319">
        <v>0</v>
      </c>
      <c r="M200" s="319">
        <v>0</v>
      </c>
      <c r="N200" s="319">
        <v>0</v>
      </c>
      <c r="O200" s="320">
        <v>0</v>
      </c>
      <c r="P200" s="320">
        <v>0</v>
      </c>
      <c r="Q200" s="319">
        <v>0</v>
      </c>
      <c r="R200" s="320">
        <v>0</v>
      </c>
      <c r="S200" s="320">
        <v>1.2677904345208518E-2</v>
      </c>
      <c r="T200" s="320"/>
      <c r="U200" s="320"/>
      <c r="V200" s="316"/>
    </row>
    <row r="201" spans="1:22">
      <c r="A201" s="311"/>
      <c r="B201" s="291" t="s">
        <v>784</v>
      </c>
      <c r="C201" s="308">
        <v>0</v>
      </c>
      <c r="D201" s="309">
        <v>0</v>
      </c>
      <c r="E201" s="309">
        <v>0</v>
      </c>
      <c r="F201" s="309">
        <v>0</v>
      </c>
      <c r="G201" s="309">
        <v>0</v>
      </c>
      <c r="H201" s="309">
        <v>0</v>
      </c>
      <c r="I201" s="309">
        <v>0</v>
      </c>
      <c r="J201" s="310">
        <v>0</v>
      </c>
      <c r="K201" s="310">
        <v>0</v>
      </c>
      <c r="L201" s="309">
        <v>0</v>
      </c>
      <c r="M201" s="309">
        <v>0</v>
      </c>
      <c r="N201" s="309">
        <v>0</v>
      </c>
      <c r="O201" s="310">
        <v>0</v>
      </c>
      <c r="P201" s="310">
        <v>0</v>
      </c>
      <c r="Q201" s="309">
        <v>0</v>
      </c>
      <c r="R201" s="310">
        <v>0</v>
      </c>
      <c r="S201" s="310">
        <v>0</v>
      </c>
      <c r="T201" s="310"/>
      <c r="U201" s="310"/>
      <c r="V201" s="316"/>
    </row>
    <row r="202" spans="1:22">
      <c r="A202" s="311"/>
      <c r="B202" s="312" t="s">
        <v>785</v>
      </c>
      <c r="C202" s="313">
        <v>0</v>
      </c>
      <c r="D202" s="314">
        <v>0</v>
      </c>
      <c r="E202" s="314">
        <v>0</v>
      </c>
      <c r="F202" s="314">
        <v>0</v>
      </c>
      <c r="G202" s="314">
        <v>0</v>
      </c>
      <c r="H202" s="314">
        <v>0</v>
      </c>
      <c r="I202" s="314">
        <v>0</v>
      </c>
      <c r="J202" s="315">
        <v>0</v>
      </c>
      <c r="K202" s="315">
        <v>0</v>
      </c>
      <c r="L202" s="314">
        <v>0</v>
      </c>
      <c r="M202" s="314">
        <v>0</v>
      </c>
      <c r="N202" s="314">
        <v>0</v>
      </c>
      <c r="O202" s="315">
        <v>0</v>
      </c>
      <c r="P202" s="315">
        <v>0</v>
      </c>
      <c r="Q202" s="314">
        <v>0</v>
      </c>
      <c r="R202" s="315">
        <v>0</v>
      </c>
      <c r="S202" s="315">
        <v>0</v>
      </c>
      <c r="T202" s="315"/>
      <c r="U202" s="315"/>
      <c r="V202" s="316"/>
    </row>
    <row r="203" spans="1:22" ht="15.75" thickBot="1">
      <c r="A203" s="311"/>
      <c r="B203" s="325" t="s">
        <v>786</v>
      </c>
      <c r="C203" s="326">
        <v>0</v>
      </c>
      <c r="D203" s="327">
        <v>0</v>
      </c>
      <c r="E203" s="327">
        <v>0</v>
      </c>
      <c r="F203" s="327">
        <v>0</v>
      </c>
      <c r="G203" s="327">
        <v>0</v>
      </c>
      <c r="H203" s="327">
        <v>0</v>
      </c>
      <c r="I203" s="327">
        <v>0</v>
      </c>
      <c r="J203" s="328">
        <v>0</v>
      </c>
      <c r="K203" s="328">
        <v>0</v>
      </c>
      <c r="L203" s="327">
        <v>0</v>
      </c>
      <c r="M203" s="327">
        <v>0</v>
      </c>
      <c r="N203" s="327">
        <v>0</v>
      </c>
      <c r="O203" s="328">
        <v>0</v>
      </c>
      <c r="P203" s="328">
        <v>0</v>
      </c>
      <c r="Q203" s="327">
        <v>0</v>
      </c>
      <c r="R203" s="328">
        <v>0</v>
      </c>
      <c r="S203" s="328">
        <v>0</v>
      </c>
      <c r="T203" s="328"/>
      <c r="U203" s="328"/>
      <c r="V203" s="316"/>
    </row>
    <row r="204" spans="1:22" ht="15.75" thickTop="1">
      <c r="A204" s="311"/>
      <c r="B204" s="312" t="s">
        <v>787</v>
      </c>
      <c r="C204" s="313">
        <v>0.77195780711646655</v>
      </c>
      <c r="D204" s="314">
        <v>0</v>
      </c>
      <c r="E204" s="314">
        <v>0.48642743087654422</v>
      </c>
      <c r="F204" s="314">
        <v>0.74270318814548719</v>
      </c>
      <c r="G204" s="314">
        <v>0</v>
      </c>
      <c r="H204" s="314">
        <v>0</v>
      </c>
      <c r="I204" s="314">
        <v>0</v>
      </c>
      <c r="J204" s="315">
        <v>0.62732225171113287</v>
      </c>
      <c r="K204" s="315">
        <v>0</v>
      </c>
      <c r="L204" s="314">
        <v>0</v>
      </c>
      <c r="M204" s="314">
        <v>0</v>
      </c>
      <c r="N204" s="314">
        <v>0</v>
      </c>
      <c r="O204" s="315">
        <v>0</v>
      </c>
      <c r="P204" s="315">
        <v>0</v>
      </c>
      <c r="Q204" s="314">
        <v>0</v>
      </c>
      <c r="R204" s="315">
        <v>0</v>
      </c>
      <c r="S204" s="315">
        <v>0.62732225171113287</v>
      </c>
      <c r="T204" s="315"/>
      <c r="U204" s="315"/>
      <c r="V204" s="316"/>
    </row>
    <row r="205" spans="1:22">
      <c r="A205" s="311"/>
      <c r="B205" s="312" t="s">
        <v>788</v>
      </c>
      <c r="C205" s="313">
        <v>0.74291933499479479</v>
      </c>
      <c r="D205" s="314">
        <v>0</v>
      </c>
      <c r="E205" s="314">
        <v>0.46925168502582798</v>
      </c>
      <c r="F205" s="314">
        <v>0.81293402777777779</v>
      </c>
      <c r="G205" s="314">
        <v>0</v>
      </c>
      <c r="H205" s="314">
        <v>0</v>
      </c>
      <c r="I205" s="314">
        <v>0</v>
      </c>
      <c r="J205" s="315">
        <v>0.60476175865983495</v>
      </c>
      <c r="K205" s="315">
        <v>0</v>
      </c>
      <c r="L205" s="314">
        <v>0</v>
      </c>
      <c r="M205" s="314">
        <v>0</v>
      </c>
      <c r="N205" s="314">
        <v>0</v>
      </c>
      <c r="O205" s="315">
        <v>0</v>
      </c>
      <c r="P205" s="315">
        <v>0</v>
      </c>
      <c r="Q205" s="314">
        <v>0</v>
      </c>
      <c r="R205" s="315">
        <v>0</v>
      </c>
      <c r="S205" s="315">
        <v>0.60476175865983495</v>
      </c>
      <c r="T205" s="315"/>
      <c r="U205" s="315"/>
      <c r="V205" s="316"/>
    </row>
    <row r="206" spans="1:22">
      <c r="A206" s="311"/>
      <c r="B206" s="317" t="s">
        <v>789</v>
      </c>
      <c r="C206" s="337">
        <v>-2.9038472121671766</v>
      </c>
      <c r="D206" s="319">
        <v>0</v>
      </c>
      <c r="E206" s="319">
        <v>-1.717574585071624</v>
      </c>
      <c r="F206" s="321">
        <v>7.0230839632290598</v>
      </c>
      <c r="G206" s="319">
        <v>0</v>
      </c>
      <c r="H206" s="319">
        <v>0</v>
      </c>
      <c r="I206" s="319">
        <v>0</v>
      </c>
      <c r="J206" s="320">
        <v>-2.2560493051297925</v>
      </c>
      <c r="K206" s="320">
        <v>0</v>
      </c>
      <c r="L206" s="319">
        <v>0</v>
      </c>
      <c r="M206" s="319">
        <v>0</v>
      </c>
      <c r="N206" s="319">
        <v>0</v>
      </c>
      <c r="O206" s="320">
        <v>0</v>
      </c>
      <c r="P206" s="320">
        <v>0</v>
      </c>
      <c r="Q206" s="319">
        <v>0</v>
      </c>
      <c r="R206" s="320">
        <v>0</v>
      </c>
      <c r="S206" s="320">
        <v>-2.2560493051297925</v>
      </c>
      <c r="T206" s="320"/>
      <c r="U206" s="320"/>
      <c r="V206" s="316"/>
    </row>
    <row r="207" spans="1:22">
      <c r="A207" s="311"/>
      <c r="B207" s="291" t="s">
        <v>790</v>
      </c>
      <c r="C207" s="308">
        <v>5.8759758506177533E-2</v>
      </c>
      <c r="D207" s="309">
        <v>0</v>
      </c>
      <c r="E207" s="309">
        <v>2.6772958111726076E-2</v>
      </c>
      <c r="F207" s="309">
        <v>0</v>
      </c>
      <c r="G207" s="309">
        <v>0</v>
      </c>
      <c r="H207" s="309">
        <v>0</v>
      </c>
      <c r="I207" s="309">
        <v>0</v>
      </c>
      <c r="J207" s="310">
        <v>4.21816260468732E-2</v>
      </c>
      <c r="K207" s="310">
        <v>0</v>
      </c>
      <c r="L207" s="309">
        <v>0</v>
      </c>
      <c r="M207" s="309">
        <v>0</v>
      </c>
      <c r="N207" s="309">
        <v>0</v>
      </c>
      <c r="O207" s="310">
        <v>0</v>
      </c>
      <c r="P207" s="310">
        <v>0</v>
      </c>
      <c r="Q207" s="309">
        <v>0</v>
      </c>
      <c r="R207" s="310">
        <v>0</v>
      </c>
      <c r="S207" s="310">
        <v>4.21816260468732E-2</v>
      </c>
      <c r="T207" s="310"/>
      <c r="U207" s="310"/>
      <c r="V207" s="316"/>
    </row>
    <row r="208" spans="1:22">
      <c r="A208" s="311"/>
      <c r="B208" s="312" t="s">
        <v>791</v>
      </c>
      <c r="C208" s="313">
        <v>7.6879396826398314E-2</v>
      </c>
      <c r="D208" s="314">
        <v>0</v>
      </c>
      <c r="E208" s="314">
        <v>2.9128388976025096E-2</v>
      </c>
      <c r="F208" s="314">
        <v>0</v>
      </c>
      <c r="G208" s="314">
        <v>0</v>
      </c>
      <c r="H208" s="314">
        <v>0</v>
      </c>
      <c r="I208" s="314">
        <v>0</v>
      </c>
      <c r="J208" s="315">
        <v>5.214309821127236E-2</v>
      </c>
      <c r="K208" s="315">
        <v>0</v>
      </c>
      <c r="L208" s="314">
        <v>0</v>
      </c>
      <c r="M208" s="314">
        <v>0</v>
      </c>
      <c r="N208" s="314">
        <v>0</v>
      </c>
      <c r="O208" s="315">
        <v>0</v>
      </c>
      <c r="P208" s="315">
        <v>0</v>
      </c>
      <c r="Q208" s="314">
        <v>0</v>
      </c>
      <c r="R208" s="315">
        <v>0</v>
      </c>
      <c r="S208" s="315">
        <v>5.214309821127236E-2</v>
      </c>
      <c r="T208" s="315"/>
      <c r="U208" s="315"/>
      <c r="V208" s="316"/>
    </row>
    <row r="209" spans="1:22">
      <c r="A209" s="311"/>
      <c r="B209" s="317" t="s">
        <v>792</v>
      </c>
      <c r="C209" s="318">
        <v>1.8119638320220781</v>
      </c>
      <c r="D209" s="319">
        <v>0</v>
      </c>
      <c r="E209" s="319">
        <v>0.23554308642990199</v>
      </c>
      <c r="F209" s="319">
        <v>0</v>
      </c>
      <c r="G209" s="319">
        <v>0</v>
      </c>
      <c r="H209" s="319">
        <v>0</v>
      </c>
      <c r="I209" s="319">
        <v>0</v>
      </c>
      <c r="J209" s="320">
        <v>0.99614721643991599</v>
      </c>
      <c r="K209" s="320">
        <v>0</v>
      </c>
      <c r="L209" s="319">
        <v>0</v>
      </c>
      <c r="M209" s="319">
        <v>0</v>
      </c>
      <c r="N209" s="319">
        <v>0</v>
      </c>
      <c r="O209" s="320">
        <v>0</v>
      </c>
      <c r="P209" s="320">
        <v>0</v>
      </c>
      <c r="Q209" s="319">
        <v>0</v>
      </c>
      <c r="R209" s="320">
        <v>0</v>
      </c>
      <c r="S209" s="320">
        <v>0.99614721643991599</v>
      </c>
      <c r="T209" s="320"/>
      <c r="U209" s="320"/>
      <c r="V209" s="316"/>
    </row>
    <row r="210" spans="1:22">
      <c r="A210" s="311"/>
      <c r="B210" s="291" t="s">
        <v>793</v>
      </c>
      <c r="C210" s="308">
        <v>0.16556906187500389</v>
      </c>
      <c r="D210" s="309">
        <v>0</v>
      </c>
      <c r="E210" s="309">
        <v>0.47588632898322786</v>
      </c>
      <c r="F210" s="309">
        <v>0.25729681185451281</v>
      </c>
      <c r="G210" s="309">
        <v>0</v>
      </c>
      <c r="H210" s="309">
        <v>0</v>
      </c>
      <c r="I210" s="309">
        <v>0</v>
      </c>
      <c r="J210" s="310">
        <v>0.32316573240129481</v>
      </c>
      <c r="K210" s="310">
        <v>0</v>
      </c>
      <c r="L210" s="309">
        <v>0</v>
      </c>
      <c r="M210" s="309">
        <v>0</v>
      </c>
      <c r="N210" s="309">
        <v>0</v>
      </c>
      <c r="O210" s="310">
        <v>0</v>
      </c>
      <c r="P210" s="310">
        <v>0</v>
      </c>
      <c r="Q210" s="309">
        <v>0</v>
      </c>
      <c r="R210" s="310">
        <v>0</v>
      </c>
      <c r="S210" s="310">
        <v>0.32316573240129481</v>
      </c>
      <c r="T210" s="310"/>
      <c r="U210" s="310"/>
      <c r="V210" s="316"/>
    </row>
    <row r="211" spans="1:22">
      <c r="A211" s="311"/>
      <c r="B211" s="312" t="s">
        <v>794</v>
      </c>
      <c r="C211" s="313">
        <v>0.17645351588378183</v>
      </c>
      <c r="D211" s="314">
        <v>0</v>
      </c>
      <c r="E211" s="314">
        <v>0.49315997601903944</v>
      </c>
      <c r="F211" s="314">
        <v>0.18706597222222221</v>
      </c>
      <c r="G211" s="314">
        <v>0</v>
      </c>
      <c r="H211" s="314">
        <v>0</v>
      </c>
      <c r="I211" s="314">
        <v>0</v>
      </c>
      <c r="J211" s="315">
        <v>0.3369864694873132</v>
      </c>
      <c r="K211" s="315">
        <v>0</v>
      </c>
      <c r="L211" s="314">
        <v>0</v>
      </c>
      <c r="M211" s="314">
        <v>0</v>
      </c>
      <c r="N211" s="314">
        <v>0</v>
      </c>
      <c r="O211" s="315">
        <v>0</v>
      </c>
      <c r="P211" s="315">
        <v>0</v>
      </c>
      <c r="Q211" s="314">
        <v>0</v>
      </c>
      <c r="R211" s="315">
        <v>0</v>
      </c>
      <c r="S211" s="315">
        <v>0.3369864694873132</v>
      </c>
      <c r="T211" s="315"/>
      <c r="U211" s="315"/>
      <c r="V211" s="316"/>
    </row>
    <row r="212" spans="1:22">
      <c r="A212" s="311"/>
      <c r="B212" s="317" t="s">
        <v>795</v>
      </c>
      <c r="C212" s="318">
        <v>1.0884454008777937</v>
      </c>
      <c r="D212" s="319">
        <v>0</v>
      </c>
      <c r="E212" s="319">
        <v>1.7273647035811579</v>
      </c>
      <c r="F212" s="321">
        <v>-7.0230839632290598</v>
      </c>
      <c r="G212" s="319">
        <v>0</v>
      </c>
      <c r="H212" s="319">
        <v>0</v>
      </c>
      <c r="I212" s="319">
        <v>0</v>
      </c>
      <c r="J212" s="320">
        <v>1.3820737086018386</v>
      </c>
      <c r="K212" s="320">
        <v>0</v>
      </c>
      <c r="L212" s="319">
        <v>0</v>
      </c>
      <c r="M212" s="319">
        <v>0</v>
      </c>
      <c r="N212" s="319">
        <v>0</v>
      </c>
      <c r="O212" s="320">
        <v>0</v>
      </c>
      <c r="P212" s="320">
        <v>0</v>
      </c>
      <c r="Q212" s="319">
        <v>0</v>
      </c>
      <c r="R212" s="320">
        <v>0</v>
      </c>
      <c r="S212" s="320">
        <v>1.3820737086018386</v>
      </c>
      <c r="T212" s="320"/>
      <c r="U212" s="320"/>
      <c r="V212" s="316"/>
    </row>
    <row r="213" spans="1:22">
      <c r="A213" s="311"/>
      <c r="B213" s="291" t="s">
        <v>796</v>
      </c>
      <c r="C213" s="308">
        <v>3.7133725023520102E-3</v>
      </c>
      <c r="D213" s="309">
        <v>0</v>
      </c>
      <c r="E213" s="309">
        <v>7.3595620280215625E-3</v>
      </c>
      <c r="F213" s="309">
        <v>0</v>
      </c>
      <c r="G213" s="309">
        <v>0</v>
      </c>
      <c r="H213" s="309">
        <v>0</v>
      </c>
      <c r="I213" s="309">
        <v>0</v>
      </c>
      <c r="J213" s="310">
        <v>5.5327134588872623E-3</v>
      </c>
      <c r="K213" s="310">
        <v>0</v>
      </c>
      <c r="L213" s="309">
        <v>0</v>
      </c>
      <c r="M213" s="309">
        <v>0</v>
      </c>
      <c r="N213" s="309">
        <v>0</v>
      </c>
      <c r="O213" s="310">
        <v>0</v>
      </c>
      <c r="P213" s="310">
        <v>0</v>
      </c>
      <c r="Q213" s="309">
        <v>0</v>
      </c>
      <c r="R213" s="310">
        <v>0</v>
      </c>
      <c r="S213" s="310">
        <v>5.5327134588872623E-3</v>
      </c>
      <c r="T213" s="310"/>
      <c r="U213" s="310"/>
      <c r="V213" s="316"/>
    </row>
    <row r="214" spans="1:22">
      <c r="A214" s="311"/>
      <c r="B214" s="312" t="s">
        <v>797</v>
      </c>
      <c r="C214" s="313">
        <v>2.8770623678980411E-3</v>
      </c>
      <c r="D214" s="314">
        <v>0</v>
      </c>
      <c r="E214" s="314">
        <v>5.4320509171506262E-3</v>
      </c>
      <c r="F214" s="314">
        <v>0</v>
      </c>
      <c r="G214" s="314">
        <v>0</v>
      </c>
      <c r="H214" s="314">
        <v>0</v>
      </c>
      <c r="I214" s="314">
        <v>0</v>
      </c>
      <c r="J214" s="315">
        <v>4.1511981100236248E-3</v>
      </c>
      <c r="K214" s="315">
        <v>0</v>
      </c>
      <c r="L214" s="314">
        <v>0</v>
      </c>
      <c r="M214" s="314">
        <v>0</v>
      </c>
      <c r="N214" s="314">
        <v>0</v>
      </c>
      <c r="O214" s="315">
        <v>0</v>
      </c>
      <c r="P214" s="315">
        <v>0</v>
      </c>
      <c r="Q214" s="314">
        <v>0</v>
      </c>
      <c r="R214" s="315">
        <v>0</v>
      </c>
      <c r="S214" s="315">
        <v>4.1511981100236248E-3</v>
      </c>
      <c r="T214" s="315"/>
      <c r="U214" s="315"/>
      <c r="V214" s="316"/>
    </row>
    <row r="215" spans="1:22">
      <c r="A215" s="311"/>
      <c r="B215" s="317" t="s">
        <v>798</v>
      </c>
      <c r="C215" s="318">
        <v>-8.3631013445396904E-2</v>
      </c>
      <c r="D215" s="319">
        <v>0</v>
      </c>
      <c r="E215" s="319">
        <v>-0.19275111108709364</v>
      </c>
      <c r="F215" s="319">
        <v>0</v>
      </c>
      <c r="G215" s="319">
        <v>0</v>
      </c>
      <c r="H215" s="319">
        <v>0</v>
      </c>
      <c r="I215" s="319">
        <v>0</v>
      </c>
      <c r="J215" s="320">
        <v>-0.13815153488636375</v>
      </c>
      <c r="K215" s="320">
        <v>0</v>
      </c>
      <c r="L215" s="319">
        <v>0</v>
      </c>
      <c r="M215" s="319">
        <v>0</v>
      </c>
      <c r="N215" s="319">
        <v>0</v>
      </c>
      <c r="O215" s="320">
        <v>0</v>
      </c>
      <c r="P215" s="320">
        <v>0</v>
      </c>
      <c r="Q215" s="319">
        <v>0</v>
      </c>
      <c r="R215" s="320">
        <v>0</v>
      </c>
      <c r="S215" s="320">
        <v>-0.13815153488636375</v>
      </c>
      <c r="T215" s="320"/>
      <c r="U215" s="320"/>
      <c r="V215" s="316"/>
    </row>
    <row r="216" spans="1:22">
      <c r="A216" s="311"/>
      <c r="B216" s="291" t="s">
        <v>799</v>
      </c>
      <c r="C216" s="308">
        <v>0</v>
      </c>
      <c r="D216" s="309">
        <v>0</v>
      </c>
      <c r="E216" s="309">
        <v>3.5537200004802324E-3</v>
      </c>
      <c r="F216" s="309">
        <v>0</v>
      </c>
      <c r="G216" s="309">
        <v>0</v>
      </c>
      <c r="H216" s="309">
        <v>0</v>
      </c>
      <c r="I216" s="309">
        <v>0</v>
      </c>
      <c r="J216" s="310">
        <v>1.7976763818118877E-3</v>
      </c>
      <c r="K216" s="310">
        <v>0</v>
      </c>
      <c r="L216" s="309">
        <v>0</v>
      </c>
      <c r="M216" s="309">
        <v>0</v>
      </c>
      <c r="N216" s="309">
        <v>0</v>
      </c>
      <c r="O216" s="310">
        <v>0</v>
      </c>
      <c r="P216" s="310">
        <v>0</v>
      </c>
      <c r="Q216" s="309">
        <v>0</v>
      </c>
      <c r="R216" s="310">
        <v>0</v>
      </c>
      <c r="S216" s="310">
        <v>1.7976763818118877E-3</v>
      </c>
      <c r="T216" s="310"/>
      <c r="U216" s="310"/>
      <c r="V216" s="316"/>
    </row>
    <row r="217" spans="1:22">
      <c r="A217" s="311"/>
      <c r="B217" s="312" t="s">
        <v>800</v>
      </c>
      <c r="C217" s="313">
        <v>8.7068992712703867E-4</v>
      </c>
      <c r="D217" s="314">
        <v>0</v>
      </c>
      <c r="E217" s="314">
        <v>3.0278990619568708E-3</v>
      </c>
      <c r="F217" s="314">
        <v>0</v>
      </c>
      <c r="G217" s="314">
        <v>0</v>
      </c>
      <c r="H217" s="314">
        <v>0</v>
      </c>
      <c r="I217" s="314">
        <v>0</v>
      </c>
      <c r="J217" s="315">
        <v>1.9574755315558555E-3</v>
      </c>
      <c r="K217" s="315">
        <v>0</v>
      </c>
      <c r="L217" s="314">
        <v>0</v>
      </c>
      <c r="M217" s="314">
        <v>0</v>
      </c>
      <c r="N217" s="314">
        <v>0</v>
      </c>
      <c r="O217" s="315">
        <v>0</v>
      </c>
      <c r="P217" s="315">
        <v>0</v>
      </c>
      <c r="Q217" s="314">
        <v>0</v>
      </c>
      <c r="R217" s="315">
        <v>0</v>
      </c>
      <c r="S217" s="315">
        <v>1.9574755315558555E-3</v>
      </c>
      <c r="T217" s="315"/>
      <c r="U217" s="315"/>
      <c r="V217" s="316"/>
    </row>
    <row r="218" spans="1:22">
      <c r="A218" s="311"/>
      <c r="B218" s="317" t="s">
        <v>801</v>
      </c>
      <c r="C218" s="318">
        <v>0</v>
      </c>
      <c r="D218" s="319">
        <v>0</v>
      </c>
      <c r="E218" s="319">
        <v>-5.2582093852336163E-2</v>
      </c>
      <c r="F218" s="319">
        <v>0</v>
      </c>
      <c r="G218" s="319">
        <v>0</v>
      </c>
      <c r="H218" s="319">
        <v>0</v>
      </c>
      <c r="I218" s="319">
        <v>0</v>
      </c>
      <c r="J218" s="320">
        <v>1.5979914974396783E-2</v>
      </c>
      <c r="K218" s="320">
        <v>0</v>
      </c>
      <c r="L218" s="319">
        <v>0</v>
      </c>
      <c r="M218" s="319">
        <v>0</v>
      </c>
      <c r="N218" s="319">
        <v>0</v>
      </c>
      <c r="O218" s="320">
        <v>0</v>
      </c>
      <c r="P218" s="320">
        <v>0</v>
      </c>
      <c r="Q218" s="319">
        <v>0</v>
      </c>
      <c r="R218" s="320">
        <v>0</v>
      </c>
      <c r="S218" s="320">
        <v>1.5979914974396783E-2</v>
      </c>
      <c r="T218" s="320"/>
      <c r="U218" s="320"/>
      <c r="V218" s="316"/>
    </row>
    <row r="219" spans="1:22">
      <c r="A219" s="311"/>
      <c r="B219" s="291" t="s">
        <v>802</v>
      </c>
      <c r="C219" s="308">
        <v>0</v>
      </c>
      <c r="D219" s="309">
        <v>0</v>
      </c>
      <c r="E219" s="309">
        <v>0</v>
      </c>
      <c r="F219" s="309">
        <v>0</v>
      </c>
      <c r="G219" s="309">
        <v>0</v>
      </c>
      <c r="H219" s="309">
        <v>0</v>
      </c>
      <c r="I219" s="309">
        <v>0</v>
      </c>
      <c r="J219" s="310">
        <v>0</v>
      </c>
      <c r="K219" s="310">
        <v>0</v>
      </c>
      <c r="L219" s="309">
        <v>0</v>
      </c>
      <c r="M219" s="309">
        <v>0</v>
      </c>
      <c r="N219" s="309">
        <v>0</v>
      </c>
      <c r="O219" s="310">
        <v>0</v>
      </c>
      <c r="P219" s="310">
        <v>0</v>
      </c>
      <c r="Q219" s="309">
        <v>0</v>
      </c>
      <c r="R219" s="310">
        <v>0</v>
      </c>
      <c r="S219" s="310">
        <v>0</v>
      </c>
      <c r="T219" s="310"/>
      <c r="U219" s="310"/>
      <c r="V219" s="316"/>
    </row>
    <row r="220" spans="1:22">
      <c r="A220" s="311"/>
      <c r="B220" s="312" t="s">
        <v>803</v>
      </c>
      <c r="C220" s="313">
        <v>0</v>
      </c>
      <c r="D220" s="314">
        <v>0</v>
      </c>
      <c r="E220" s="314">
        <v>0</v>
      </c>
      <c r="F220" s="314">
        <v>0</v>
      </c>
      <c r="G220" s="314">
        <v>0</v>
      </c>
      <c r="H220" s="314">
        <v>0</v>
      </c>
      <c r="I220" s="314">
        <v>0</v>
      </c>
      <c r="J220" s="315">
        <v>0</v>
      </c>
      <c r="K220" s="315">
        <v>0</v>
      </c>
      <c r="L220" s="314">
        <v>0</v>
      </c>
      <c r="M220" s="314">
        <v>0</v>
      </c>
      <c r="N220" s="314">
        <v>0</v>
      </c>
      <c r="O220" s="315">
        <v>0</v>
      </c>
      <c r="P220" s="315">
        <v>0</v>
      </c>
      <c r="Q220" s="314">
        <v>0</v>
      </c>
      <c r="R220" s="315">
        <v>0</v>
      </c>
      <c r="S220" s="315">
        <v>0</v>
      </c>
      <c r="T220" s="315"/>
      <c r="U220" s="315"/>
      <c r="V220" s="316"/>
    </row>
    <row r="221" spans="1:22" ht="15.75" thickBot="1">
      <c r="A221" s="329"/>
      <c r="B221" s="330" t="s">
        <v>804</v>
      </c>
      <c r="C221" s="331">
        <v>0</v>
      </c>
      <c r="D221" s="332">
        <v>0</v>
      </c>
      <c r="E221" s="332">
        <v>0</v>
      </c>
      <c r="F221" s="332">
        <v>0</v>
      </c>
      <c r="G221" s="332">
        <v>0</v>
      </c>
      <c r="H221" s="332">
        <v>0</v>
      </c>
      <c r="I221" s="332">
        <v>0</v>
      </c>
      <c r="J221" s="333">
        <v>0</v>
      </c>
      <c r="K221" s="333">
        <v>0</v>
      </c>
      <c r="L221" s="332">
        <v>0</v>
      </c>
      <c r="M221" s="332">
        <v>0</v>
      </c>
      <c r="N221" s="332">
        <v>0</v>
      </c>
      <c r="O221" s="333">
        <v>0</v>
      </c>
      <c r="P221" s="333">
        <v>0</v>
      </c>
      <c r="Q221" s="332">
        <v>0</v>
      </c>
      <c r="R221" s="333">
        <v>0</v>
      </c>
      <c r="S221" s="333">
        <v>0</v>
      </c>
      <c r="T221" s="333"/>
      <c r="U221" s="333"/>
      <c r="V221" s="316"/>
    </row>
    <row r="222" spans="1:22">
      <c r="A222" s="307" t="s">
        <v>281</v>
      </c>
      <c r="B222" s="291" t="s">
        <v>769</v>
      </c>
      <c r="C222" s="308">
        <v>0.98653789874158615</v>
      </c>
      <c r="D222" s="309">
        <v>0.90954970571616567</v>
      </c>
      <c r="E222" s="309">
        <v>0.87885738962099791</v>
      </c>
      <c r="F222" s="309">
        <v>0.79257131948211956</v>
      </c>
      <c r="G222" s="309">
        <v>0.8740234375</v>
      </c>
      <c r="H222" s="309">
        <v>0.77356656948493707</v>
      </c>
      <c r="I222" s="309">
        <v>0</v>
      </c>
      <c r="J222" s="310">
        <v>0.89100255853984089</v>
      </c>
      <c r="K222" s="310">
        <v>0</v>
      </c>
      <c r="L222" s="309">
        <v>0.86433417472218865</v>
      </c>
      <c r="M222" s="309">
        <v>0.92520256553243696</v>
      </c>
      <c r="N222" s="309">
        <v>0.79023730423070537</v>
      </c>
      <c r="O222" s="310">
        <v>0.87062044899378443</v>
      </c>
      <c r="P222" s="310">
        <v>0.92347929542899532</v>
      </c>
      <c r="Q222" s="309">
        <v>0</v>
      </c>
      <c r="R222" s="310">
        <v>0.92347929542899532</v>
      </c>
      <c r="S222" s="310">
        <v>0.88855275090707808</v>
      </c>
      <c r="T222" s="310"/>
      <c r="U222" s="310"/>
      <c r="V222" s="316"/>
    </row>
    <row r="223" spans="1:22">
      <c r="A223" s="311"/>
      <c r="B223" s="312" t="s">
        <v>770</v>
      </c>
      <c r="C223" s="313">
        <v>0.97687609075043624</v>
      </c>
      <c r="D223" s="314">
        <v>0.89944207906532503</v>
      </c>
      <c r="E223" s="314">
        <v>0.87595253345264368</v>
      </c>
      <c r="F223" s="314">
        <v>0.77496965312882704</v>
      </c>
      <c r="G223" s="314">
        <v>0.87671232876712324</v>
      </c>
      <c r="H223" s="314">
        <v>0.74513438368860108</v>
      </c>
      <c r="I223" s="314">
        <v>0</v>
      </c>
      <c r="J223" s="315">
        <v>0.87983309624839157</v>
      </c>
      <c r="K223" s="315">
        <v>0</v>
      </c>
      <c r="L223" s="314">
        <v>0.84421679692947993</v>
      </c>
      <c r="M223" s="314">
        <v>0.88537090831292409</v>
      </c>
      <c r="N223" s="314">
        <v>0.75817453761510145</v>
      </c>
      <c r="O223" s="315">
        <v>0.84365469666345139</v>
      </c>
      <c r="P223" s="315">
        <v>0.89965644174715675</v>
      </c>
      <c r="Q223" s="314">
        <v>0</v>
      </c>
      <c r="R223" s="315">
        <v>0.89965644174715675</v>
      </c>
      <c r="S223" s="315">
        <v>0.87294585023416849</v>
      </c>
      <c r="T223" s="315"/>
      <c r="U223" s="315"/>
      <c r="V223" s="316"/>
    </row>
    <row r="224" spans="1:22">
      <c r="A224" s="311"/>
      <c r="B224" s="317" t="s">
        <v>771</v>
      </c>
      <c r="C224" s="318">
        <v>-0.96618079911499066</v>
      </c>
      <c r="D224" s="319">
        <v>-1.010762665084064</v>
      </c>
      <c r="E224" s="319">
        <v>-0.29048561683542307</v>
      </c>
      <c r="F224" s="319">
        <v>-1.7601666353292522</v>
      </c>
      <c r="G224" s="319">
        <v>0.2688891267123239</v>
      </c>
      <c r="H224" s="319">
        <v>-2.8432185796335996</v>
      </c>
      <c r="I224" s="319">
        <v>0</v>
      </c>
      <c r="J224" s="320">
        <v>-1.1169462291449328</v>
      </c>
      <c r="K224" s="320">
        <v>0</v>
      </c>
      <c r="L224" s="319">
        <v>-2.0117377792708724</v>
      </c>
      <c r="M224" s="319">
        <v>-3.9831657219512873</v>
      </c>
      <c r="N224" s="319">
        <v>-3.2062766615603921</v>
      </c>
      <c r="O224" s="320">
        <v>-2.6965752330333048</v>
      </c>
      <c r="P224" s="320">
        <v>-2.3822853681838563</v>
      </c>
      <c r="Q224" s="319">
        <v>0</v>
      </c>
      <c r="R224" s="320">
        <v>-2.3822853681838563</v>
      </c>
      <c r="S224" s="320">
        <v>-1.5606900672909596</v>
      </c>
      <c r="T224" s="320"/>
      <c r="U224" s="320"/>
      <c r="V224" s="316"/>
    </row>
    <row r="225" spans="1:22">
      <c r="A225" s="311"/>
      <c r="B225" s="291" t="s">
        <v>772</v>
      </c>
      <c r="C225" s="308">
        <v>0</v>
      </c>
      <c r="D225" s="309">
        <v>0</v>
      </c>
      <c r="E225" s="309">
        <v>0</v>
      </c>
      <c r="F225" s="309">
        <v>0</v>
      </c>
      <c r="G225" s="309">
        <v>0</v>
      </c>
      <c r="H225" s="309">
        <v>0</v>
      </c>
      <c r="I225" s="309">
        <v>0</v>
      </c>
      <c r="J225" s="310">
        <v>0</v>
      </c>
      <c r="K225" s="310">
        <v>0</v>
      </c>
      <c r="L225" s="309">
        <v>0</v>
      </c>
      <c r="M225" s="309">
        <v>0</v>
      </c>
      <c r="N225" s="309">
        <v>0</v>
      </c>
      <c r="O225" s="310">
        <v>0</v>
      </c>
      <c r="P225" s="310">
        <v>0</v>
      </c>
      <c r="Q225" s="309">
        <v>0</v>
      </c>
      <c r="R225" s="310">
        <v>0</v>
      </c>
      <c r="S225" s="310">
        <v>0</v>
      </c>
      <c r="T225" s="310"/>
      <c r="U225" s="310"/>
      <c r="V225" s="316"/>
    </row>
    <row r="226" spans="1:22">
      <c r="A226" s="311"/>
      <c r="B226" s="312" t="s">
        <v>773</v>
      </c>
      <c r="C226" s="313">
        <v>0</v>
      </c>
      <c r="D226" s="314">
        <v>0</v>
      </c>
      <c r="E226" s="314">
        <v>0</v>
      </c>
      <c r="F226" s="314">
        <v>0</v>
      </c>
      <c r="G226" s="314">
        <v>0</v>
      </c>
      <c r="H226" s="314">
        <v>0</v>
      </c>
      <c r="I226" s="314">
        <v>0</v>
      </c>
      <c r="J226" s="315">
        <v>0</v>
      </c>
      <c r="K226" s="315">
        <v>0</v>
      </c>
      <c r="L226" s="314">
        <v>0</v>
      </c>
      <c r="M226" s="314">
        <v>0</v>
      </c>
      <c r="N226" s="314">
        <v>0</v>
      </c>
      <c r="O226" s="315">
        <v>0</v>
      </c>
      <c r="P226" s="315">
        <v>0</v>
      </c>
      <c r="Q226" s="314">
        <v>0</v>
      </c>
      <c r="R226" s="315">
        <v>0</v>
      </c>
      <c r="S226" s="315">
        <v>0</v>
      </c>
      <c r="T226" s="315"/>
      <c r="U226" s="315"/>
      <c r="V226" s="316"/>
    </row>
    <row r="227" spans="1:22">
      <c r="A227" s="311"/>
      <c r="B227" s="317" t="s">
        <v>774</v>
      </c>
      <c r="C227" s="318">
        <v>0</v>
      </c>
      <c r="D227" s="319">
        <v>0</v>
      </c>
      <c r="E227" s="319">
        <v>0</v>
      </c>
      <c r="F227" s="319">
        <v>0</v>
      </c>
      <c r="G227" s="319">
        <v>0</v>
      </c>
      <c r="H227" s="319">
        <v>0</v>
      </c>
      <c r="I227" s="319">
        <v>0</v>
      </c>
      <c r="J227" s="320">
        <v>0</v>
      </c>
      <c r="K227" s="320">
        <v>0</v>
      </c>
      <c r="L227" s="319">
        <v>0</v>
      </c>
      <c r="M227" s="319">
        <v>0</v>
      </c>
      <c r="N227" s="319">
        <v>0</v>
      </c>
      <c r="O227" s="320">
        <v>0</v>
      </c>
      <c r="P227" s="320">
        <v>0</v>
      </c>
      <c r="Q227" s="319">
        <v>0</v>
      </c>
      <c r="R227" s="320">
        <v>0</v>
      </c>
      <c r="S227" s="320">
        <v>0</v>
      </c>
      <c r="T227" s="320"/>
      <c r="U227" s="320"/>
      <c r="V227" s="316"/>
    </row>
    <row r="228" spans="1:22">
      <c r="A228" s="311"/>
      <c r="B228" s="291" t="s">
        <v>775</v>
      </c>
      <c r="C228" s="308">
        <v>1.3462101258413817E-2</v>
      </c>
      <c r="D228" s="309">
        <v>9.0450294283834262E-2</v>
      </c>
      <c r="E228" s="309">
        <v>0.12114261037900216</v>
      </c>
      <c r="F228" s="309">
        <v>0.20742868051788041</v>
      </c>
      <c r="G228" s="309">
        <v>0.1259765625</v>
      </c>
      <c r="H228" s="309">
        <v>0.22643343051506301</v>
      </c>
      <c r="I228" s="309">
        <v>0</v>
      </c>
      <c r="J228" s="310">
        <v>0.10899744146015894</v>
      </c>
      <c r="K228" s="310">
        <v>0</v>
      </c>
      <c r="L228" s="309">
        <v>0.13566582527781143</v>
      </c>
      <c r="M228" s="309">
        <v>7.4797434467563165E-2</v>
      </c>
      <c r="N228" s="309">
        <v>0.20976269576929463</v>
      </c>
      <c r="O228" s="310">
        <v>0.12937955100621565</v>
      </c>
      <c r="P228" s="310">
        <v>7.6520704571004641E-2</v>
      </c>
      <c r="Q228" s="309">
        <v>0</v>
      </c>
      <c r="R228" s="310">
        <v>7.6520704571004641E-2</v>
      </c>
      <c r="S228" s="310">
        <v>0.11144724909292171</v>
      </c>
      <c r="T228" s="310"/>
      <c r="U228" s="310"/>
      <c r="V228" s="316"/>
    </row>
    <row r="229" spans="1:22">
      <c r="A229" s="311"/>
      <c r="B229" s="312" t="s">
        <v>776</v>
      </c>
      <c r="C229" s="313">
        <v>2.3123909249563784E-2</v>
      </c>
      <c r="D229" s="314">
        <v>0.10055792093467476</v>
      </c>
      <c r="E229" s="314">
        <v>0.12404746654735649</v>
      </c>
      <c r="F229" s="314">
        <v>0.2250303468711731</v>
      </c>
      <c r="G229" s="314">
        <v>0.12328767123287671</v>
      </c>
      <c r="H229" s="314">
        <v>0.25486561631139892</v>
      </c>
      <c r="I229" s="314">
        <v>0</v>
      </c>
      <c r="J229" s="315">
        <v>0.12016690375160842</v>
      </c>
      <c r="K229" s="315">
        <v>0</v>
      </c>
      <c r="L229" s="314">
        <v>0.15578320307052007</v>
      </c>
      <c r="M229" s="314">
        <v>0.11462909168707587</v>
      </c>
      <c r="N229" s="314">
        <v>0.24182546238489855</v>
      </c>
      <c r="O229" s="315">
        <v>0.1563453033365485</v>
      </c>
      <c r="P229" s="315">
        <v>0.10034355825284333</v>
      </c>
      <c r="Q229" s="314">
        <v>0</v>
      </c>
      <c r="R229" s="315">
        <v>0.10034355825284333</v>
      </c>
      <c r="S229" s="315">
        <v>0.12705414976583143</v>
      </c>
      <c r="T229" s="315"/>
      <c r="U229" s="315"/>
      <c r="V229" s="316"/>
    </row>
    <row r="230" spans="1:22">
      <c r="A230" s="311"/>
      <c r="B230" s="317" t="s">
        <v>777</v>
      </c>
      <c r="C230" s="318">
        <v>0.96618079911499677</v>
      </c>
      <c r="D230" s="319">
        <v>1.0107626650840502</v>
      </c>
      <c r="E230" s="319">
        <v>0.29048561683543278</v>
      </c>
      <c r="F230" s="319">
        <v>1.7601666353292689</v>
      </c>
      <c r="G230" s="319">
        <v>-0.26888912671232945</v>
      </c>
      <c r="H230" s="319">
        <v>2.8432185796335911</v>
      </c>
      <c r="I230" s="319">
        <v>0</v>
      </c>
      <c r="J230" s="320">
        <v>1.1169462291449481</v>
      </c>
      <c r="K230" s="320">
        <v>0</v>
      </c>
      <c r="L230" s="319">
        <v>2.0117377792708639</v>
      </c>
      <c r="M230" s="319">
        <v>3.9831657219512708</v>
      </c>
      <c r="N230" s="319">
        <v>3.2062766615603921</v>
      </c>
      <c r="O230" s="320">
        <v>2.6965752330332853</v>
      </c>
      <c r="P230" s="320">
        <v>2.3822853681838687</v>
      </c>
      <c r="Q230" s="319">
        <v>0</v>
      </c>
      <c r="R230" s="320">
        <v>2.3822853681838687</v>
      </c>
      <c r="S230" s="320">
        <v>1.560690067290972</v>
      </c>
      <c r="T230" s="320"/>
      <c r="U230" s="320"/>
      <c r="V230" s="316"/>
    </row>
    <row r="231" spans="1:22">
      <c r="A231" s="311"/>
      <c r="B231" s="291" t="s">
        <v>778</v>
      </c>
      <c r="C231" s="308">
        <v>0</v>
      </c>
      <c r="D231" s="309">
        <v>0</v>
      </c>
      <c r="E231" s="309">
        <v>0</v>
      </c>
      <c r="F231" s="309">
        <v>0</v>
      </c>
      <c r="G231" s="309">
        <v>0</v>
      </c>
      <c r="H231" s="309">
        <v>0</v>
      </c>
      <c r="I231" s="309">
        <v>0</v>
      </c>
      <c r="J231" s="310">
        <v>0</v>
      </c>
      <c r="K231" s="310">
        <v>0</v>
      </c>
      <c r="L231" s="309">
        <v>0</v>
      </c>
      <c r="M231" s="309">
        <v>0</v>
      </c>
      <c r="N231" s="309">
        <v>0</v>
      </c>
      <c r="O231" s="310">
        <v>0</v>
      </c>
      <c r="P231" s="310">
        <v>0</v>
      </c>
      <c r="Q231" s="309">
        <v>0</v>
      </c>
      <c r="R231" s="310">
        <v>0</v>
      </c>
      <c r="S231" s="310">
        <v>0</v>
      </c>
      <c r="T231" s="310"/>
      <c r="U231" s="310"/>
      <c r="V231" s="316"/>
    </row>
    <row r="232" spans="1:22">
      <c r="A232" s="311"/>
      <c r="B232" s="312" t="s">
        <v>779</v>
      </c>
      <c r="C232" s="313">
        <v>0</v>
      </c>
      <c r="D232" s="314">
        <v>0</v>
      </c>
      <c r="E232" s="314">
        <v>0</v>
      </c>
      <c r="F232" s="314">
        <v>0</v>
      </c>
      <c r="G232" s="314">
        <v>0</v>
      </c>
      <c r="H232" s="314">
        <v>0</v>
      </c>
      <c r="I232" s="314">
        <v>0</v>
      </c>
      <c r="J232" s="315">
        <v>0</v>
      </c>
      <c r="K232" s="315">
        <v>0</v>
      </c>
      <c r="L232" s="314">
        <v>0</v>
      </c>
      <c r="M232" s="314">
        <v>0</v>
      </c>
      <c r="N232" s="314">
        <v>0</v>
      </c>
      <c r="O232" s="315">
        <v>0</v>
      </c>
      <c r="P232" s="315">
        <v>0</v>
      </c>
      <c r="Q232" s="314">
        <v>0</v>
      </c>
      <c r="R232" s="315">
        <v>0</v>
      </c>
      <c r="S232" s="315">
        <v>0</v>
      </c>
      <c r="T232" s="315"/>
      <c r="U232" s="315"/>
      <c r="V232" s="316"/>
    </row>
    <row r="233" spans="1:22">
      <c r="A233" s="311"/>
      <c r="B233" s="317" t="s">
        <v>780</v>
      </c>
      <c r="C233" s="318">
        <v>0</v>
      </c>
      <c r="D233" s="319">
        <v>0</v>
      </c>
      <c r="E233" s="319">
        <v>0</v>
      </c>
      <c r="F233" s="319">
        <v>0</v>
      </c>
      <c r="G233" s="319">
        <v>0</v>
      </c>
      <c r="H233" s="319">
        <v>0</v>
      </c>
      <c r="I233" s="319">
        <v>0</v>
      </c>
      <c r="J233" s="320">
        <v>0</v>
      </c>
      <c r="K233" s="320">
        <v>0</v>
      </c>
      <c r="L233" s="319">
        <v>0</v>
      </c>
      <c r="M233" s="319">
        <v>0</v>
      </c>
      <c r="N233" s="319">
        <v>0</v>
      </c>
      <c r="O233" s="320">
        <v>0</v>
      </c>
      <c r="P233" s="320">
        <v>0</v>
      </c>
      <c r="Q233" s="319">
        <v>0</v>
      </c>
      <c r="R233" s="320">
        <v>0</v>
      </c>
      <c r="S233" s="320">
        <v>0</v>
      </c>
      <c r="T233" s="320"/>
      <c r="U233" s="320"/>
      <c r="V233" s="316"/>
    </row>
    <row r="234" spans="1:22">
      <c r="A234" s="311"/>
      <c r="B234" s="291" t="s">
        <v>781</v>
      </c>
      <c r="C234" s="308">
        <v>0</v>
      </c>
      <c r="D234" s="309">
        <v>0</v>
      </c>
      <c r="E234" s="309">
        <v>0</v>
      </c>
      <c r="F234" s="309">
        <v>0</v>
      </c>
      <c r="G234" s="309">
        <v>0</v>
      </c>
      <c r="H234" s="309">
        <v>0</v>
      </c>
      <c r="I234" s="309">
        <v>0</v>
      </c>
      <c r="J234" s="310">
        <v>0</v>
      </c>
      <c r="K234" s="310">
        <v>0</v>
      </c>
      <c r="L234" s="309">
        <v>0</v>
      </c>
      <c r="M234" s="309">
        <v>0</v>
      </c>
      <c r="N234" s="309">
        <v>0</v>
      </c>
      <c r="O234" s="310">
        <v>0</v>
      </c>
      <c r="P234" s="310">
        <v>0</v>
      </c>
      <c r="Q234" s="309">
        <v>0</v>
      </c>
      <c r="R234" s="310">
        <v>0</v>
      </c>
      <c r="S234" s="310">
        <v>0</v>
      </c>
      <c r="T234" s="310"/>
      <c r="U234" s="310"/>
      <c r="V234" s="316"/>
    </row>
    <row r="235" spans="1:22">
      <c r="A235" s="311"/>
      <c r="B235" s="312" t="s">
        <v>782</v>
      </c>
      <c r="C235" s="313">
        <v>0</v>
      </c>
      <c r="D235" s="314">
        <v>0</v>
      </c>
      <c r="E235" s="314">
        <v>0</v>
      </c>
      <c r="F235" s="314">
        <v>0</v>
      </c>
      <c r="G235" s="314">
        <v>0</v>
      </c>
      <c r="H235" s="314">
        <v>0</v>
      </c>
      <c r="I235" s="314">
        <v>0</v>
      </c>
      <c r="J235" s="315">
        <v>0</v>
      </c>
      <c r="K235" s="315">
        <v>0</v>
      </c>
      <c r="L235" s="314">
        <v>0</v>
      </c>
      <c r="M235" s="314">
        <v>0</v>
      </c>
      <c r="N235" s="314">
        <v>0</v>
      </c>
      <c r="O235" s="315">
        <v>0</v>
      </c>
      <c r="P235" s="315">
        <v>0</v>
      </c>
      <c r="Q235" s="314">
        <v>0</v>
      </c>
      <c r="R235" s="315">
        <v>0</v>
      </c>
      <c r="S235" s="315">
        <v>0</v>
      </c>
      <c r="T235" s="315"/>
      <c r="U235" s="315"/>
      <c r="V235" s="316"/>
    </row>
    <row r="236" spans="1:22">
      <c r="A236" s="311"/>
      <c r="B236" s="317" t="s">
        <v>783</v>
      </c>
      <c r="C236" s="318">
        <v>0</v>
      </c>
      <c r="D236" s="319">
        <v>0</v>
      </c>
      <c r="E236" s="319">
        <v>0</v>
      </c>
      <c r="F236" s="319">
        <v>0</v>
      </c>
      <c r="G236" s="319">
        <v>0</v>
      </c>
      <c r="H236" s="319">
        <v>0</v>
      </c>
      <c r="I236" s="319">
        <v>0</v>
      </c>
      <c r="J236" s="320">
        <v>0</v>
      </c>
      <c r="K236" s="320">
        <v>0</v>
      </c>
      <c r="L236" s="319">
        <v>0</v>
      </c>
      <c r="M236" s="319">
        <v>0</v>
      </c>
      <c r="N236" s="319">
        <v>0</v>
      </c>
      <c r="O236" s="320">
        <v>0</v>
      </c>
      <c r="P236" s="320">
        <v>0</v>
      </c>
      <c r="Q236" s="319">
        <v>0</v>
      </c>
      <c r="R236" s="320">
        <v>0</v>
      </c>
      <c r="S236" s="320">
        <v>0</v>
      </c>
      <c r="T236" s="320"/>
      <c r="U236" s="320"/>
      <c r="V236" s="316"/>
    </row>
    <row r="237" spans="1:22">
      <c r="A237" s="311"/>
      <c r="B237" s="291" t="s">
        <v>784</v>
      </c>
      <c r="C237" s="308">
        <v>0</v>
      </c>
      <c r="D237" s="309">
        <v>0</v>
      </c>
      <c r="E237" s="309">
        <v>0</v>
      </c>
      <c r="F237" s="309">
        <v>0</v>
      </c>
      <c r="G237" s="309">
        <v>0</v>
      </c>
      <c r="H237" s="309">
        <v>0</v>
      </c>
      <c r="I237" s="309">
        <v>0</v>
      </c>
      <c r="J237" s="310">
        <v>0</v>
      </c>
      <c r="K237" s="310">
        <v>0</v>
      </c>
      <c r="L237" s="309">
        <v>0</v>
      </c>
      <c r="M237" s="309">
        <v>0</v>
      </c>
      <c r="N237" s="309">
        <v>0</v>
      </c>
      <c r="O237" s="310">
        <v>0</v>
      </c>
      <c r="P237" s="310">
        <v>0</v>
      </c>
      <c r="Q237" s="309">
        <v>0</v>
      </c>
      <c r="R237" s="310">
        <v>0</v>
      </c>
      <c r="S237" s="310">
        <v>0</v>
      </c>
      <c r="T237" s="310"/>
      <c r="U237" s="310"/>
      <c r="V237" s="316"/>
    </row>
    <row r="238" spans="1:22">
      <c r="A238" s="311"/>
      <c r="B238" s="312" t="s">
        <v>785</v>
      </c>
      <c r="C238" s="313">
        <v>0</v>
      </c>
      <c r="D238" s="314">
        <v>0</v>
      </c>
      <c r="E238" s="314">
        <v>0</v>
      </c>
      <c r="F238" s="314">
        <v>0</v>
      </c>
      <c r="G238" s="314">
        <v>0</v>
      </c>
      <c r="H238" s="314">
        <v>0</v>
      </c>
      <c r="I238" s="314">
        <v>0</v>
      </c>
      <c r="J238" s="315">
        <v>0</v>
      </c>
      <c r="K238" s="315">
        <v>0</v>
      </c>
      <c r="L238" s="314">
        <v>0</v>
      </c>
      <c r="M238" s="314">
        <v>0</v>
      </c>
      <c r="N238" s="314">
        <v>0</v>
      </c>
      <c r="O238" s="315">
        <v>0</v>
      </c>
      <c r="P238" s="315">
        <v>0</v>
      </c>
      <c r="Q238" s="314">
        <v>0</v>
      </c>
      <c r="R238" s="315">
        <v>0</v>
      </c>
      <c r="S238" s="315">
        <v>0</v>
      </c>
      <c r="T238" s="315"/>
      <c r="U238" s="315"/>
      <c r="V238" s="316"/>
    </row>
    <row r="239" spans="1:22" ht="15.75" thickBot="1">
      <c r="A239" s="311"/>
      <c r="B239" s="325" t="s">
        <v>786</v>
      </c>
      <c r="C239" s="326">
        <v>0</v>
      </c>
      <c r="D239" s="327">
        <v>0</v>
      </c>
      <c r="E239" s="327">
        <v>0</v>
      </c>
      <c r="F239" s="327">
        <v>0</v>
      </c>
      <c r="G239" s="327">
        <v>0</v>
      </c>
      <c r="H239" s="327">
        <v>0</v>
      </c>
      <c r="I239" s="327">
        <v>0</v>
      </c>
      <c r="J239" s="328">
        <v>0</v>
      </c>
      <c r="K239" s="328">
        <v>0</v>
      </c>
      <c r="L239" s="327">
        <v>0</v>
      </c>
      <c r="M239" s="327">
        <v>0</v>
      </c>
      <c r="N239" s="327">
        <v>0</v>
      </c>
      <c r="O239" s="328">
        <v>0</v>
      </c>
      <c r="P239" s="328">
        <v>0</v>
      </c>
      <c r="Q239" s="327">
        <v>0</v>
      </c>
      <c r="R239" s="328">
        <v>0</v>
      </c>
      <c r="S239" s="328">
        <v>0</v>
      </c>
      <c r="T239" s="328"/>
      <c r="U239" s="328"/>
      <c r="V239" s="316"/>
    </row>
    <row r="240" spans="1:22" ht="15.75" thickTop="1">
      <c r="A240" s="311"/>
      <c r="B240" s="312" t="s">
        <v>787</v>
      </c>
      <c r="C240" s="313">
        <v>0.97387695312499989</v>
      </c>
      <c r="D240" s="314">
        <v>0.86948585420024505</v>
      </c>
      <c r="E240" s="314">
        <v>0.74405591834557916</v>
      </c>
      <c r="F240" s="314">
        <v>0.56037684275862831</v>
      </c>
      <c r="G240" s="314">
        <v>0.78504672897196248</v>
      </c>
      <c r="H240" s="314">
        <v>0</v>
      </c>
      <c r="I240" s="314">
        <v>0</v>
      </c>
      <c r="J240" s="315">
        <v>0.81084700312736602</v>
      </c>
      <c r="K240" s="315">
        <v>0</v>
      </c>
      <c r="L240" s="314">
        <v>0</v>
      </c>
      <c r="M240" s="314">
        <v>0</v>
      </c>
      <c r="N240" s="314">
        <v>0</v>
      </c>
      <c r="O240" s="315">
        <v>0</v>
      </c>
      <c r="P240" s="315">
        <v>0</v>
      </c>
      <c r="Q240" s="314">
        <v>0</v>
      </c>
      <c r="R240" s="315">
        <v>0</v>
      </c>
      <c r="S240" s="315">
        <v>0.81084700312736602</v>
      </c>
      <c r="T240" s="315"/>
      <c r="U240" s="315"/>
      <c r="V240" s="316"/>
    </row>
    <row r="241" spans="1:22">
      <c r="A241" s="311"/>
      <c r="B241" s="312" t="s">
        <v>788</v>
      </c>
      <c r="C241" s="313">
        <v>0.9569128787878789</v>
      </c>
      <c r="D241" s="314">
        <v>0.85071515494325145</v>
      </c>
      <c r="E241" s="314">
        <v>0.73154368069289921</v>
      </c>
      <c r="F241" s="314">
        <v>0.47359967438561767</v>
      </c>
      <c r="G241" s="314">
        <v>0.82383419689119219</v>
      </c>
      <c r="H241" s="314">
        <v>0</v>
      </c>
      <c r="I241" s="314">
        <v>0</v>
      </c>
      <c r="J241" s="315">
        <v>0.77097492773615806</v>
      </c>
      <c r="K241" s="315">
        <v>0</v>
      </c>
      <c r="L241" s="314">
        <v>0</v>
      </c>
      <c r="M241" s="314">
        <v>0</v>
      </c>
      <c r="N241" s="314">
        <v>0</v>
      </c>
      <c r="O241" s="315">
        <v>0</v>
      </c>
      <c r="P241" s="315">
        <v>0</v>
      </c>
      <c r="Q241" s="314">
        <v>0</v>
      </c>
      <c r="R241" s="315">
        <v>0</v>
      </c>
      <c r="S241" s="315">
        <v>0.77097492773615806</v>
      </c>
      <c r="T241" s="315"/>
      <c r="U241" s="315"/>
      <c r="V241" s="316"/>
    </row>
    <row r="242" spans="1:22">
      <c r="A242" s="311"/>
      <c r="B242" s="317" t="s">
        <v>789</v>
      </c>
      <c r="C242" s="318">
        <v>-1.6964074337120993</v>
      </c>
      <c r="D242" s="319">
        <v>-1.8770699256993595</v>
      </c>
      <c r="E242" s="319">
        <v>-1.2512237652679947</v>
      </c>
      <c r="F242" s="319">
        <v>-8.6777168373010642</v>
      </c>
      <c r="G242" s="319">
        <v>3.8787467919229712</v>
      </c>
      <c r="H242" s="319">
        <v>0</v>
      </c>
      <c r="I242" s="319">
        <v>0</v>
      </c>
      <c r="J242" s="320">
        <v>-3.9872075391207962</v>
      </c>
      <c r="K242" s="320">
        <v>0</v>
      </c>
      <c r="L242" s="319">
        <v>0</v>
      </c>
      <c r="M242" s="319">
        <v>0</v>
      </c>
      <c r="N242" s="319">
        <v>0</v>
      </c>
      <c r="O242" s="320">
        <v>0</v>
      </c>
      <c r="P242" s="320">
        <v>0</v>
      </c>
      <c r="Q242" s="319">
        <v>0</v>
      </c>
      <c r="R242" s="320">
        <v>0</v>
      </c>
      <c r="S242" s="320">
        <v>-3.9872075391207962</v>
      </c>
      <c r="T242" s="320"/>
      <c r="U242" s="320"/>
      <c r="V242" s="316"/>
    </row>
    <row r="243" spans="1:22">
      <c r="A243" s="311"/>
      <c r="B243" s="291" t="s">
        <v>790</v>
      </c>
      <c r="C243" s="308">
        <v>0</v>
      </c>
      <c r="D243" s="309">
        <v>0</v>
      </c>
      <c r="E243" s="309">
        <v>0</v>
      </c>
      <c r="F243" s="309">
        <v>0</v>
      </c>
      <c r="G243" s="309">
        <v>0</v>
      </c>
      <c r="H243" s="309">
        <v>0</v>
      </c>
      <c r="I243" s="309">
        <v>0</v>
      </c>
      <c r="J243" s="310">
        <v>0</v>
      </c>
      <c r="K243" s="310">
        <v>0</v>
      </c>
      <c r="L243" s="309">
        <v>0</v>
      </c>
      <c r="M243" s="309">
        <v>0</v>
      </c>
      <c r="N243" s="309">
        <v>0</v>
      </c>
      <c r="O243" s="310">
        <v>0</v>
      </c>
      <c r="P243" s="310">
        <v>0</v>
      </c>
      <c r="Q243" s="309">
        <v>0</v>
      </c>
      <c r="R243" s="310">
        <v>0</v>
      </c>
      <c r="S243" s="310">
        <v>0</v>
      </c>
      <c r="T243" s="310"/>
      <c r="U243" s="310"/>
      <c r="V243" s="316"/>
    </row>
    <row r="244" spans="1:22">
      <c r="A244" s="311"/>
      <c r="B244" s="312" t="s">
        <v>791</v>
      </c>
      <c r="C244" s="313">
        <v>0</v>
      </c>
      <c r="D244" s="314">
        <v>0</v>
      </c>
      <c r="E244" s="314">
        <v>0</v>
      </c>
      <c r="F244" s="314">
        <v>0</v>
      </c>
      <c r="G244" s="314">
        <v>0</v>
      </c>
      <c r="H244" s="314">
        <v>0</v>
      </c>
      <c r="I244" s="314">
        <v>0</v>
      </c>
      <c r="J244" s="315">
        <v>0</v>
      </c>
      <c r="K244" s="315">
        <v>0</v>
      </c>
      <c r="L244" s="314">
        <v>0</v>
      </c>
      <c r="M244" s="314">
        <v>0</v>
      </c>
      <c r="N244" s="314">
        <v>0</v>
      </c>
      <c r="O244" s="315">
        <v>0</v>
      </c>
      <c r="P244" s="315">
        <v>0</v>
      </c>
      <c r="Q244" s="314">
        <v>0</v>
      </c>
      <c r="R244" s="315">
        <v>0</v>
      </c>
      <c r="S244" s="315">
        <v>0</v>
      </c>
      <c r="T244" s="315"/>
      <c r="U244" s="315"/>
      <c r="V244" s="316"/>
    </row>
    <row r="245" spans="1:22">
      <c r="A245" s="311"/>
      <c r="B245" s="317" t="s">
        <v>792</v>
      </c>
      <c r="C245" s="318">
        <v>0</v>
      </c>
      <c r="D245" s="319">
        <v>0</v>
      </c>
      <c r="E245" s="319">
        <v>0</v>
      </c>
      <c r="F245" s="319">
        <v>0</v>
      </c>
      <c r="G245" s="319">
        <v>0</v>
      </c>
      <c r="H245" s="319">
        <v>0</v>
      </c>
      <c r="I245" s="319">
        <v>0</v>
      </c>
      <c r="J245" s="320">
        <v>0</v>
      </c>
      <c r="K245" s="320">
        <v>0</v>
      </c>
      <c r="L245" s="319">
        <v>0</v>
      </c>
      <c r="M245" s="319">
        <v>0</v>
      </c>
      <c r="N245" s="319">
        <v>0</v>
      </c>
      <c r="O245" s="320">
        <v>0</v>
      </c>
      <c r="P245" s="320">
        <v>0</v>
      </c>
      <c r="Q245" s="319">
        <v>0</v>
      </c>
      <c r="R245" s="320">
        <v>0</v>
      </c>
      <c r="S245" s="320">
        <v>0</v>
      </c>
      <c r="T245" s="320"/>
      <c r="U245" s="320"/>
      <c r="V245" s="316"/>
    </row>
    <row r="246" spans="1:22">
      <c r="A246" s="311"/>
      <c r="B246" s="291" t="s">
        <v>793</v>
      </c>
      <c r="C246" s="308">
        <v>2.612304687500008E-2</v>
      </c>
      <c r="D246" s="309">
        <v>0.13051414579975498</v>
      </c>
      <c r="E246" s="309">
        <v>0.25594408165442073</v>
      </c>
      <c r="F246" s="309">
        <v>0.43962315724137169</v>
      </c>
      <c r="G246" s="309">
        <v>0.21495327102803746</v>
      </c>
      <c r="H246" s="309">
        <v>0</v>
      </c>
      <c r="I246" s="309">
        <v>0</v>
      </c>
      <c r="J246" s="310">
        <v>0.18915299687263387</v>
      </c>
      <c r="K246" s="310">
        <v>0</v>
      </c>
      <c r="L246" s="309">
        <v>0</v>
      </c>
      <c r="M246" s="309">
        <v>0</v>
      </c>
      <c r="N246" s="309">
        <v>0</v>
      </c>
      <c r="O246" s="310">
        <v>0</v>
      </c>
      <c r="P246" s="310">
        <v>0</v>
      </c>
      <c r="Q246" s="309">
        <v>0</v>
      </c>
      <c r="R246" s="310">
        <v>0</v>
      </c>
      <c r="S246" s="310">
        <v>0.18915299687263387</v>
      </c>
      <c r="T246" s="310"/>
      <c r="U246" s="310"/>
      <c r="V246" s="316"/>
    </row>
    <row r="247" spans="1:22">
      <c r="A247" s="311"/>
      <c r="B247" s="312" t="s">
        <v>794</v>
      </c>
      <c r="C247" s="313">
        <v>4.3087121212121091E-2</v>
      </c>
      <c r="D247" s="314">
        <v>0.14928484505674866</v>
      </c>
      <c r="E247" s="314">
        <v>0.26845631930710073</v>
      </c>
      <c r="F247" s="314">
        <v>0.52640032561438244</v>
      </c>
      <c r="G247" s="314">
        <v>0.17616580310880789</v>
      </c>
      <c r="H247" s="314">
        <v>0</v>
      </c>
      <c r="I247" s="314">
        <v>0</v>
      </c>
      <c r="J247" s="315">
        <v>0.229025072263842</v>
      </c>
      <c r="K247" s="315">
        <v>0</v>
      </c>
      <c r="L247" s="314">
        <v>0</v>
      </c>
      <c r="M247" s="314">
        <v>0</v>
      </c>
      <c r="N247" s="314">
        <v>0</v>
      </c>
      <c r="O247" s="315">
        <v>0</v>
      </c>
      <c r="P247" s="315">
        <v>0</v>
      </c>
      <c r="Q247" s="314">
        <v>0</v>
      </c>
      <c r="R247" s="315">
        <v>0</v>
      </c>
      <c r="S247" s="315">
        <v>0.229025072263842</v>
      </c>
      <c r="T247" s="315"/>
      <c r="U247" s="315"/>
      <c r="V247" s="316"/>
    </row>
    <row r="248" spans="1:22">
      <c r="A248" s="311"/>
      <c r="B248" s="317" t="s">
        <v>795</v>
      </c>
      <c r="C248" s="318">
        <v>1.6964074337121011</v>
      </c>
      <c r="D248" s="319">
        <v>1.8770699256993679</v>
      </c>
      <c r="E248" s="319">
        <v>1.2512237652680003</v>
      </c>
      <c r="F248" s="319">
        <v>8.6777168373010749</v>
      </c>
      <c r="G248" s="319">
        <v>-3.8787467919229575</v>
      </c>
      <c r="H248" s="319">
        <v>0</v>
      </c>
      <c r="I248" s="319">
        <v>0</v>
      </c>
      <c r="J248" s="320">
        <v>3.9872075391208126</v>
      </c>
      <c r="K248" s="320">
        <v>0</v>
      </c>
      <c r="L248" s="319">
        <v>0</v>
      </c>
      <c r="M248" s="319">
        <v>0</v>
      </c>
      <c r="N248" s="319">
        <v>0</v>
      </c>
      <c r="O248" s="320">
        <v>0</v>
      </c>
      <c r="P248" s="320">
        <v>0</v>
      </c>
      <c r="Q248" s="319">
        <v>0</v>
      </c>
      <c r="R248" s="320">
        <v>0</v>
      </c>
      <c r="S248" s="320">
        <v>3.9872075391208126</v>
      </c>
      <c r="T248" s="320"/>
      <c r="U248" s="320"/>
      <c r="V248" s="316"/>
    </row>
    <row r="249" spans="1:22">
      <c r="A249" s="311"/>
      <c r="B249" s="291" t="s">
        <v>796</v>
      </c>
      <c r="C249" s="308">
        <v>0</v>
      </c>
      <c r="D249" s="309">
        <v>0</v>
      </c>
      <c r="E249" s="309">
        <v>0</v>
      </c>
      <c r="F249" s="309">
        <v>0</v>
      </c>
      <c r="G249" s="309">
        <v>0</v>
      </c>
      <c r="H249" s="309">
        <v>0</v>
      </c>
      <c r="I249" s="309">
        <v>0</v>
      </c>
      <c r="J249" s="310">
        <v>0</v>
      </c>
      <c r="K249" s="310">
        <v>0</v>
      </c>
      <c r="L249" s="309">
        <v>0</v>
      </c>
      <c r="M249" s="309">
        <v>0</v>
      </c>
      <c r="N249" s="309">
        <v>0</v>
      </c>
      <c r="O249" s="310">
        <v>0</v>
      </c>
      <c r="P249" s="310">
        <v>0</v>
      </c>
      <c r="Q249" s="309">
        <v>0</v>
      </c>
      <c r="R249" s="310">
        <v>0</v>
      </c>
      <c r="S249" s="310">
        <v>0</v>
      </c>
      <c r="T249" s="310"/>
      <c r="U249" s="310"/>
      <c r="V249" s="316"/>
    </row>
    <row r="250" spans="1:22">
      <c r="A250" s="311"/>
      <c r="B250" s="312" t="s">
        <v>797</v>
      </c>
      <c r="C250" s="313">
        <v>0</v>
      </c>
      <c r="D250" s="314">
        <v>0</v>
      </c>
      <c r="E250" s="314">
        <v>0</v>
      </c>
      <c r="F250" s="314">
        <v>0</v>
      </c>
      <c r="G250" s="314">
        <v>0</v>
      </c>
      <c r="H250" s="314">
        <v>0</v>
      </c>
      <c r="I250" s="314">
        <v>0</v>
      </c>
      <c r="J250" s="315">
        <v>0</v>
      </c>
      <c r="K250" s="315">
        <v>0</v>
      </c>
      <c r="L250" s="314">
        <v>0</v>
      </c>
      <c r="M250" s="314">
        <v>0</v>
      </c>
      <c r="N250" s="314">
        <v>0</v>
      </c>
      <c r="O250" s="315">
        <v>0</v>
      </c>
      <c r="P250" s="315">
        <v>0</v>
      </c>
      <c r="Q250" s="314">
        <v>0</v>
      </c>
      <c r="R250" s="315">
        <v>0</v>
      </c>
      <c r="S250" s="315">
        <v>0</v>
      </c>
      <c r="T250" s="315"/>
      <c r="U250" s="315"/>
      <c r="V250" s="316"/>
    </row>
    <row r="251" spans="1:22">
      <c r="A251" s="311"/>
      <c r="B251" s="317" t="s">
        <v>798</v>
      </c>
      <c r="C251" s="318">
        <v>0</v>
      </c>
      <c r="D251" s="319">
        <v>0</v>
      </c>
      <c r="E251" s="319">
        <v>0</v>
      </c>
      <c r="F251" s="319">
        <v>0</v>
      </c>
      <c r="G251" s="319">
        <v>0</v>
      </c>
      <c r="H251" s="319">
        <v>0</v>
      </c>
      <c r="I251" s="319">
        <v>0</v>
      </c>
      <c r="J251" s="320">
        <v>0</v>
      </c>
      <c r="K251" s="320">
        <v>0</v>
      </c>
      <c r="L251" s="319">
        <v>0</v>
      </c>
      <c r="M251" s="319">
        <v>0</v>
      </c>
      <c r="N251" s="319">
        <v>0</v>
      </c>
      <c r="O251" s="320">
        <v>0</v>
      </c>
      <c r="P251" s="320">
        <v>0</v>
      </c>
      <c r="Q251" s="319">
        <v>0</v>
      </c>
      <c r="R251" s="320">
        <v>0</v>
      </c>
      <c r="S251" s="320">
        <v>0</v>
      </c>
      <c r="T251" s="320"/>
      <c r="U251" s="320"/>
      <c r="V251" s="316"/>
    </row>
    <row r="252" spans="1:22">
      <c r="A252" s="311"/>
      <c r="B252" s="291" t="s">
        <v>799</v>
      </c>
      <c r="C252" s="308">
        <v>0</v>
      </c>
      <c r="D252" s="309">
        <v>0</v>
      </c>
      <c r="E252" s="309">
        <v>0</v>
      </c>
      <c r="F252" s="309">
        <v>0</v>
      </c>
      <c r="G252" s="309">
        <v>0</v>
      </c>
      <c r="H252" s="309">
        <v>0</v>
      </c>
      <c r="I252" s="309">
        <v>0</v>
      </c>
      <c r="J252" s="310">
        <v>0</v>
      </c>
      <c r="K252" s="310">
        <v>0</v>
      </c>
      <c r="L252" s="309">
        <v>0</v>
      </c>
      <c r="M252" s="309">
        <v>0</v>
      </c>
      <c r="N252" s="309">
        <v>0</v>
      </c>
      <c r="O252" s="310">
        <v>0</v>
      </c>
      <c r="P252" s="310">
        <v>0</v>
      </c>
      <c r="Q252" s="309">
        <v>0</v>
      </c>
      <c r="R252" s="310">
        <v>0</v>
      </c>
      <c r="S252" s="310">
        <v>0</v>
      </c>
      <c r="T252" s="310"/>
      <c r="U252" s="310"/>
      <c r="V252" s="316"/>
    </row>
    <row r="253" spans="1:22">
      <c r="A253" s="311"/>
      <c r="B253" s="312" t="s">
        <v>800</v>
      </c>
      <c r="C253" s="313">
        <v>0</v>
      </c>
      <c r="D253" s="314">
        <v>0</v>
      </c>
      <c r="E253" s="314">
        <v>0</v>
      </c>
      <c r="F253" s="314">
        <v>0</v>
      </c>
      <c r="G253" s="314">
        <v>0</v>
      </c>
      <c r="H253" s="314">
        <v>0</v>
      </c>
      <c r="I253" s="314">
        <v>0</v>
      </c>
      <c r="J253" s="315">
        <v>0</v>
      </c>
      <c r="K253" s="315">
        <v>0</v>
      </c>
      <c r="L253" s="314">
        <v>0</v>
      </c>
      <c r="M253" s="314">
        <v>0</v>
      </c>
      <c r="N253" s="314">
        <v>0</v>
      </c>
      <c r="O253" s="315">
        <v>0</v>
      </c>
      <c r="P253" s="315">
        <v>0</v>
      </c>
      <c r="Q253" s="314">
        <v>0</v>
      </c>
      <c r="R253" s="315">
        <v>0</v>
      </c>
      <c r="S253" s="315">
        <v>0</v>
      </c>
      <c r="T253" s="315"/>
      <c r="U253" s="315"/>
      <c r="V253" s="316"/>
    </row>
    <row r="254" spans="1:22">
      <c r="A254" s="311"/>
      <c r="B254" s="317" t="s">
        <v>801</v>
      </c>
      <c r="C254" s="318">
        <v>0</v>
      </c>
      <c r="D254" s="319">
        <v>0</v>
      </c>
      <c r="E254" s="319">
        <v>0</v>
      </c>
      <c r="F254" s="319">
        <v>0</v>
      </c>
      <c r="G254" s="319">
        <v>0</v>
      </c>
      <c r="H254" s="319">
        <v>0</v>
      </c>
      <c r="I254" s="319">
        <v>0</v>
      </c>
      <c r="J254" s="320">
        <v>0</v>
      </c>
      <c r="K254" s="320">
        <v>0</v>
      </c>
      <c r="L254" s="319">
        <v>0</v>
      </c>
      <c r="M254" s="319">
        <v>0</v>
      </c>
      <c r="N254" s="319">
        <v>0</v>
      </c>
      <c r="O254" s="320">
        <v>0</v>
      </c>
      <c r="P254" s="320">
        <v>0</v>
      </c>
      <c r="Q254" s="319">
        <v>0</v>
      </c>
      <c r="R254" s="320">
        <v>0</v>
      </c>
      <c r="S254" s="320">
        <v>0</v>
      </c>
      <c r="T254" s="320"/>
      <c r="U254" s="320"/>
      <c r="V254" s="316"/>
    </row>
    <row r="255" spans="1:22">
      <c r="A255" s="311"/>
      <c r="B255" s="291" t="s">
        <v>802</v>
      </c>
      <c r="C255" s="308">
        <v>0</v>
      </c>
      <c r="D255" s="309">
        <v>0</v>
      </c>
      <c r="E255" s="309">
        <v>0</v>
      </c>
      <c r="F255" s="309">
        <v>0</v>
      </c>
      <c r="G255" s="309">
        <v>0</v>
      </c>
      <c r="H255" s="309">
        <v>0</v>
      </c>
      <c r="I255" s="309">
        <v>0</v>
      </c>
      <c r="J255" s="310">
        <v>0</v>
      </c>
      <c r="K255" s="310">
        <v>0</v>
      </c>
      <c r="L255" s="309">
        <v>0</v>
      </c>
      <c r="M255" s="309">
        <v>0</v>
      </c>
      <c r="N255" s="309">
        <v>0</v>
      </c>
      <c r="O255" s="310">
        <v>0</v>
      </c>
      <c r="P255" s="310">
        <v>0</v>
      </c>
      <c r="Q255" s="309">
        <v>0</v>
      </c>
      <c r="R255" s="310">
        <v>0</v>
      </c>
      <c r="S255" s="310">
        <v>0</v>
      </c>
      <c r="T255" s="310"/>
      <c r="U255" s="310"/>
      <c r="V255" s="316"/>
    </row>
    <row r="256" spans="1:22">
      <c r="A256" s="311"/>
      <c r="B256" s="312" t="s">
        <v>803</v>
      </c>
      <c r="C256" s="313">
        <v>0</v>
      </c>
      <c r="D256" s="314">
        <v>0</v>
      </c>
      <c r="E256" s="314">
        <v>0</v>
      </c>
      <c r="F256" s="314">
        <v>0</v>
      </c>
      <c r="G256" s="314">
        <v>0</v>
      </c>
      <c r="H256" s="314">
        <v>0</v>
      </c>
      <c r="I256" s="314">
        <v>0</v>
      </c>
      <c r="J256" s="315">
        <v>0</v>
      </c>
      <c r="K256" s="315">
        <v>0</v>
      </c>
      <c r="L256" s="314">
        <v>0</v>
      </c>
      <c r="M256" s="314">
        <v>0</v>
      </c>
      <c r="N256" s="314">
        <v>0</v>
      </c>
      <c r="O256" s="315">
        <v>0</v>
      </c>
      <c r="P256" s="315">
        <v>0</v>
      </c>
      <c r="Q256" s="314">
        <v>0</v>
      </c>
      <c r="R256" s="315">
        <v>0</v>
      </c>
      <c r="S256" s="315">
        <v>0</v>
      </c>
      <c r="T256" s="315"/>
      <c r="U256" s="315"/>
      <c r="V256" s="316"/>
    </row>
    <row r="257" spans="1:22" ht="15.75" thickBot="1">
      <c r="A257" s="329"/>
      <c r="B257" s="330" t="s">
        <v>804</v>
      </c>
      <c r="C257" s="331">
        <v>0</v>
      </c>
      <c r="D257" s="332">
        <v>0</v>
      </c>
      <c r="E257" s="332">
        <v>0</v>
      </c>
      <c r="F257" s="332">
        <v>0</v>
      </c>
      <c r="G257" s="332">
        <v>0</v>
      </c>
      <c r="H257" s="332">
        <v>0</v>
      </c>
      <c r="I257" s="332">
        <v>0</v>
      </c>
      <c r="J257" s="333">
        <v>0</v>
      </c>
      <c r="K257" s="333">
        <v>0</v>
      </c>
      <c r="L257" s="332">
        <v>0</v>
      </c>
      <c r="M257" s="332">
        <v>0</v>
      </c>
      <c r="N257" s="332">
        <v>0</v>
      </c>
      <c r="O257" s="333">
        <v>0</v>
      </c>
      <c r="P257" s="333">
        <v>0</v>
      </c>
      <c r="Q257" s="332">
        <v>0</v>
      </c>
      <c r="R257" s="333">
        <v>0</v>
      </c>
      <c r="S257" s="333">
        <v>0</v>
      </c>
      <c r="T257" s="333"/>
      <c r="U257" s="333"/>
      <c r="V257" s="316"/>
    </row>
    <row r="258" spans="1:22">
      <c r="A258" s="307" t="s">
        <v>528</v>
      </c>
      <c r="B258" s="291" t="s">
        <v>769</v>
      </c>
      <c r="C258" s="308">
        <v>0.9443639631499342</v>
      </c>
      <c r="D258" s="309">
        <v>0.88679590143986009</v>
      </c>
      <c r="E258" s="309">
        <v>0.86451400051717164</v>
      </c>
      <c r="F258" s="309">
        <v>0.84743156159603983</v>
      </c>
      <c r="G258" s="309">
        <v>0.81359486447931528</v>
      </c>
      <c r="H258" s="309">
        <v>1</v>
      </c>
      <c r="I258" s="309">
        <v>1.5090498143397852E-2</v>
      </c>
      <c r="J258" s="310">
        <v>0.71439289820277396</v>
      </c>
      <c r="K258" s="310">
        <v>0</v>
      </c>
      <c r="L258" s="309">
        <v>0.7296143758565754</v>
      </c>
      <c r="M258" s="309">
        <v>0.72131946761576393</v>
      </c>
      <c r="N258" s="309">
        <v>0.74026365719332965</v>
      </c>
      <c r="O258" s="310">
        <v>0.72860319815569308</v>
      </c>
      <c r="P258" s="310">
        <v>0</v>
      </c>
      <c r="Q258" s="309">
        <v>0</v>
      </c>
      <c r="R258" s="310">
        <v>0</v>
      </c>
      <c r="S258" s="310">
        <v>0.72078479411175311</v>
      </c>
      <c r="T258" s="310"/>
      <c r="U258" s="310"/>
      <c r="V258" s="316"/>
    </row>
    <row r="259" spans="1:22">
      <c r="A259" s="311"/>
      <c r="B259" s="312" t="s">
        <v>770</v>
      </c>
      <c r="C259" s="313">
        <v>0.93668378143679765</v>
      </c>
      <c r="D259" s="314">
        <v>0.87667822990803834</v>
      </c>
      <c r="E259" s="314">
        <v>0.85314703493095045</v>
      </c>
      <c r="F259" s="314">
        <v>0.8373185326158733</v>
      </c>
      <c r="G259" s="314">
        <v>0.76428464194565382</v>
      </c>
      <c r="H259" s="314">
        <v>1</v>
      </c>
      <c r="I259" s="314">
        <v>1.3711689494394778E-2</v>
      </c>
      <c r="J259" s="315">
        <v>0.68064087310607102</v>
      </c>
      <c r="K259" s="315">
        <v>0</v>
      </c>
      <c r="L259" s="314">
        <v>0.68461453458639465</v>
      </c>
      <c r="M259" s="314">
        <v>0.69142462856215781</v>
      </c>
      <c r="N259" s="314">
        <v>0.74499612890124256</v>
      </c>
      <c r="O259" s="315">
        <v>0.68958576659224435</v>
      </c>
      <c r="P259" s="315">
        <v>0</v>
      </c>
      <c r="Q259" s="314">
        <v>0</v>
      </c>
      <c r="R259" s="315">
        <v>0</v>
      </c>
      <c r="S259" s="315">
        <v>0.68449512367908083</v>
      </c>
      <c r="T259" s="315"/>
      <c r="U259" s="315"/>
      <c r="V259" s="316"/>
    </row>
    <row r="260" spans="1:22" s="338" customFormat="1">
      <c r="A260" s="311"/>
      <c r="B260" s="317" t="s">
        <v>771</v>
      </c>
      <c r="C260" s="318">
        <v>-0.7680181713136558</v>
      </c>
      <c r="D260" s="319">
        <v>-1.0117671531821748</v>
      </c>
      <c r="E260" s="319">
        <v>-1.1366965586221189</v>
      </c>
      <c r="F260" s="319">
        <v>-1.0113028980166527</v>
      </c>
      <c r="G260" s="319">
        <v>-4.9310222533661463</v>
      </c>
      <c r="H260" s="319">
        <v>0</v>
      </c>
      <c r="I260" s="319">
        <v>-0.1378808649003074</v>
      </c>
      <c r="J260" s="320">
        <v>-3.3752025096702942</v>
      </c>
      <c r="K260" s="320">
        <v>0</v>
      </c>
      <c r="L260" s="319">
        <v>-4.4999841270180756</v>
      </c>
      <c r="M260" s="319">
        <v>-2.9894839053606126</v>
      </c>
      <c r="N260" s="319">
        <v>0.47324717079129108</v>
      </c>
      <c r="O260" s="320">
        <v>-3.9017431563448723</v>
      </c>
      <c r="P260" s="320">
        <v>0</v>
      </c>
      <c r="Q260" s="319">
        <v>0</v>
      </c>
      <c r="R260" s="320">
        <v>0</v>
      </c>
      <c r="S260" s="320">
        <v>-3.6289670432672283</v>
      </c>
      <c r="T260" s="320"/>
      <c r="U260" s="320"/>
      <c r="V260" s="316"/>
    </row>
    <row r="261" spans="1:22">
      <c r="A261" s="311"/>
      <c r="B261" s="291" t="s">
        <v>772</v>
      </c>
      <c r="C261" s="308">
        <v>2.4483637470781198E-2</v>
      </c>
      <c r="D261" s="309">
        <v>1.5267782198183163E-2</v>
      </c>
      <c r="E261" s="309">
        <v>2.396660919414445E-2</v>
      </c>
      <c r="F261" s="309">
        <v>1.7006788374307941E-2</v>
      </c>
      <c r="G261" s="309">
        <v>1.7546362339514979E-3</v>
      </c>
      <c r="H261" s="309">
        <v>0</v>
      </c>
      <c r="I261" s="309">
        <v>9.493784418892497E-3</v>
      </c>
      <c r="J261" s="310">
        <v>1.7760215851455742E-2</v>
      </c>
      <c r="K261" s="310">
        <v>0</v>
      </c>
      <c r="L261" s="309">
        <v>0.10503862602080925</v>
      </c>
      <c r="M261" s="309">
        <v>4.8277907537166799E-2</v>
      </c>
      <c r="N261" s="309">
        <v>5.7409376495516723E-2</v>
      </c>
      <c r="O261" s="310">
        <v>9.0906721303246368E-2</v>
      </c>
      <c r="P261" s="310">
        <v>0</v>
      </c>
      <c r="Q261" s="309">
        <v>0</v>
      </c>
      <c r="R261" s="310">
        <v>0</v>
      </c>
      <c r="S261" s="310">
        <v>5.0662044138154012E-2</v>
      </c>
      <c r="T261" s="310"/>
      <c r="U261" s="310"/>
      <c r="V261" s="316"/>
    </row>
    <row r="262" spans="1:22">
      <c r="A262" s="311"/>
      <c r="B262" s="312" t="s">
        <v>773</v>
      </c>
      <c r="C262" s="313">
        <v>2.4069075742192064E-2</v>
      </c>
      <c r="D262" s="314">
        <v>1.4668456247535676E-2</v>
      </c>
      <c r="E262" s="314">
        <v>2.298294069861901E-2</v>
      </c>
      <c r="F262" s="314">
        <v>1.6821819093060977E-2</v>
      </c>
      <c r="G262" s="314">
        <v>2.6797778111394686E-2</v>
      </c>
      <c r="H262" s="314">
        <v>0</v>
      </c>
      <c r="I262" s="314">
        <v>7.2383069306061323E-2</v>
      </c>
      <c r="J262" s="315">
        <v>3.211720172654571E-2</v>
      </c>
      <c r="K262" s="315">
        <v>0</v>
      </c>
      <c r="L262" s="314">
        <v>0.14948076077989964</v>
      </c>
      <c r="M262" s="314">
        <v>6.2866380110752101E-2</v>
      </c>
      <c r="N262" s="314">
        <v>4.9721407810735002E-2</v>
      </c>
      <c r="O262" s="315">
        <v>0.12652257949538132</v>
      </c>
      <c r="P262" s="315">
        <v>0</v>
      </c>
      <c r="Q262" s="314">
        <v>0</v>
      </c>
      <c r="R262" s="315">
        <v>0</v>
      </c>
      <c r="S262" s="315">
        <v>7.2795381061290049E-2</v>
      </c>
      <c r="T262" s="315"/>
      <c r="U262" s="315"/>
      <c r="V262" s="316"/>
    </row>
    <row r="263" spans="1:22" s="338" customFormat="1">
      <c r="A263" s="311"/>
      <c r="B263" s="317" t="s">
        <v>774</v>
      </c>
      <c r="C263" s="318">
        <v>-4.1456172858913426E-2</v>
      </c>
      <c r="D263" s="319">
        <v>-5.9932595064748732E-2</v>
      </c>
      <c r="E263" s="319">
        <v>-9.8366849552544017E-2</v>
      </c>
      <c r="F263" s="319">
        <v>-1.8496928124696332E-2</v>
      </c>
      <c r="G263" s="319">
        <v>2.5043141877443187</v>
      </c>
      <c r="H263" s="319">
        <v>0</v>
      </c>
      <c r="I263" s="319">
        <v>6.2889284887168824</v>
      </c>
      <c r="J263" s="320">
        <v>1.4356985875089969</v>
      </c>
      <c r="K263" s="320">
        <v>0</v>
      </c>
      <c r="L263" s="319">
        <v>4.4442134759090379</v>
      </c>
      <c r="M263" s="319">
        <v>1.4588472573585303</v>
      </c>
      <c r="N263" s="319">
        <v>-0.76879686847817208</v>
      </c>
      <c r="O263" s="320">
        <v>3.5615858192134948</v>
      </c>
      <c r="P263" s="320">
        <v>0</v>
      </c>
      <c r="Q263" s="319">
        <v>0</v>
      </c>
      <c r="R263" s="320">
        <v>0</v>
      </c>
      <c r="S263" s="320">
        <v>2.2133336923136038</v>
      </c>
      <c r="T263" s="320"/>
      <c r="U263" s="320"/>
      <c r="V263" s="316"/>
    </row>
    <row r="264" spans="1:22">
      <c r="A264" s="311"/>
      <c r="B264" s="291" t="s">
        <v>775</v>
      </c>
      <c r="C264" s="308">
        <v>3.0067129584159972E-2</v>
      </c>
      <c r="D264" s="309">
        <v>9.7936316361956696E-2</v>
      </c>
      <c r="E264" s="309">
        <v>0.11151939028868391</v>
      </c>
      <c r="F264" s="309">
        <v>0.13457802328141594</v>
      </c>
      <c r="G264" s="309">
        <v>0.18465049928673324</v>
      </c>
      <c r="H264" s="309">
        <v>0</v>
      </c>
      <c r="I264" s="309">
        <v>0.97541571743770961</v>
      </c>
      <c r="J264" s="310">
        <v>0.26740502659439086</v>
      </c>
      <c r="K264" s="310">
        <v>0</v>
      </c>
      <c r="L264" s="309">
        <v>0.16499467792766156</v>
      </c>
      <c r="M264" s="309">
        <v>0.22567011455900346</v>
      </c>
      <c r="N264" s="309">
        <v>0.1906444320998863</v>
      </c>
      <c r="O264" s="310">
        <v>0.17858903703949316</v>
      </c>
      <c r="P264" s="310">
        <v>0</v>
      </c>
      <c r="Q264" s="309">
        <v>0</v>
      </c>
      <c r="R264" s="310">
        <v>0</v>
      </c>
      <c r="S264" s="310">
        <v>0.22745495079241837</v>
      </c>
      <c r="T264" s="310"/>
      <c r="U264" s="310"/>
      <c r="V264" s="316"/>
    </row>
    <row r="265" spans="1:22">
      <c r="A265" s="311"/>
      <c r="B265" s="312" t="s">
        <v>776</v>
      </c>
      <c r="C265" s="313">
        <v>3.8414890452222572E-2</v>
      </c>
      <c r="D265" s="314">
        <v>0.10865331384442595</v>
      </c>
      <c r="E265" s="314">
        <v>0.12387002437043054</v>
      </c>
      <c r="F265" s="314">
        <v>0.13317259338776366</v>
      </c>
      <c r="G265" s="314">
        <v>0.20891757994295151</v>
      </c>
      <c r="H265" s="314">
        <v>0</v>
      </c>
      <c r="I265" s="314">
        <v>0.9137923464914206</v>
      </c>
      <c r="J265" s="315">
        <v>0.28484616491598191</v>
      </c>
      <c r="K265" s="315">
        <v>0</v>
      </c>
      <c r="L265" s="314">
        <v>0.16560043379153849</v>
      </c>
      <c r="M265" s="314">
        <v>0.24030625907703976</v>
      </c>
      <c r="N265" s="314">
        <v>0.1949828021678153</v>
      </c>
      <c r="O265" s="315">
        <v>0.18198749735161995</v>
      </c>
      <c r="P265" s="315">
        <v>0</v>
      </c>
      <c r="Q265" s="314">
        <v>0</v>
      </c>
      <c r="R265" s="315">
        <v>0</v>
      </c>
      <c r="S265" s="315">
        <v>0.24052556132111771</v>
      </c>
      <c r="T265" s="315"/>
      <c r="U265" s="315"/>
      <c r="V265" s="316"/>
    </row>
    <row r="266" spans="1:22" s="338" customFormat="1">
      <c r="A266" s="311"/>
      <c r="B266" s="317" t="s">
        <v>777</v>
      </c>
      <c r="C266" s="318">
        <v>0.83477608680626003</v>
      </c>
      <c r="D266" s="319">
        <v>1.071699748246925</v>
      </c>
      <c r="E266" s="319">
        <v>1.2350634081746636</v>
      </c>
      <c r="F266" s="319">
        <v>-0.14054298936522769</v>
      </c>
      <c r="G266" s="319">
        <v>2.4267080656218272</v>
      </c>
      <c r="H266" s="319">
        <v>0</v>
      </c>
      <c r="I266" s="319">
        <v>-6.1623370946289002</v>
      </c>
      <c r="J266" s="320">
        <v>1.7441138321591054</v>
      </c>
      <c r="K266" s="320">
        <v>0</v>
      </c>
      <c r="L266" s="319">
        <v>6.0575586387692781E-2</v>
      </c>
      <c r="M266" s="319">
        <v>1.4636144518036298</v>
      </c>
      <c r="N266" s="319">
        <v>0.43383700679290038</v>
      </c>
      <c r="O266" s="320">
        <v>0.33984603121267887</v>
      </c>
      <c r="P266" s="320">
        <v>0</v>
      </c>
      <c r="Q266" s="319">
        <v>0</v>
      </c>
      <c r="R266" s="320">
        <v>0</v>
      </c>
      <c r="S266" s="320">
        <v>1.3070610528699345</v>
      </c>
      <c r="T266" s="320"/>
      <c r="U266" s="320"/>
      <c r="V266" s="316"/>
    </row>
    <row r="267" spans="1:22">
      <c r="A267" s="311"/>
      <c r="B267" s="291" t="s">
        <v>778</v>
      </c>
      <c r="C267" s="308">
        <v>1.0852697951246341E-3</v>
      </c>
      <c r="D267" s="309">
        <v>0</v>
      </c>
      <c r="E267" s="309">
        <v>0</v>
      </c>
      <c r="F267" s="309">
        <v>9.8362674823626269E-4</v>
      </c>
      <c r="G267" s="309">
        <v>0</v>
      </c>
      <c r="H267" s="309">
        <v>0</v>
      </c>
      <c r="I267" s="309">
        <v>0</v>
      </c>
      <c r="J267" s="310">
        <v>4.418593513793873E-4</v>
      </c>
      <c r="K267" s="310">
        <v>0</v>
      </c>
      <c r="L267" s="309">
        <v>3.5232019495382071E-4</v>
      </c>
      <c r="M267" s="309">
        <v>4.7325102880658434E-3</v>
      </c>
      <c r="N267" s="309">
        <v>1.1682534211267368E-2</v>
      </c>
      <c r="O267" s="310">
        <v>1.9010435015673938E-3</v>
      </c>
      <c r="P267" s="310">
        <v>0</v>
      </c>
      <c r="Q267" s="309">
        <v>0</v>
      </c>
      <c r="R267" s="310">
        <v>0</v>
      </c>
      <c r="S267" s="310">
        <v>1.0982109576745073E-3</v>
      </c>
      <c r="T267" s="310"/>
      <c r="U267" s="310"/>
      <c r="V267" s="316"/>
    </row>
    <row r="268" spans="1:22">
      <c r="A268" s="311"/>
      <c r="B268" s="312" t="s">
        <v>779</v>
      </c>
      <c r="C268" s="313">
        <v>8.3225236878776596E-4</v>
      </c>
      <c r="D268" s="314">
        <v>0</v>
      </c>
      <c r="E268" s="314">
        <v>0</v>
      </c>
      <c r="F268" s="314">
        <v>1.2687054903302054E-2</v>
      </c>
      <c r="G268" s="314">
        <v>0</v>
      </c>
      <c r="H268" s="314">
        <v>0</v>
      </c>
      <c r="I268" s="314">
        <v>1.1289470812327601E-4</v>
      </c>
      <c r="J268" s="315">
        <v>2.3957602514013635E-3</v>
      </c>
      <c r="K268" s="315">
        <v>0</v>
      </c>
      <c r="L268" s="314">
        <v>3.0427084216721019E-4</v>
      </c>
      <c r="M268" s="314">
        <v>5.3069529880197738E-3</v>
      </c>
      <c r="N268" s="314">
        <v>1.0299661120207136E-2</v>
      </c>
      <c r="O268" s="315">
        <v>1.8854171208112572E-3</v>
      </c>
      <c r="P268" s="315">
        <v>0</v>
      </c>
      <c r="Q268" s="314">
        <v>0</v>
      </c>
      <c r="R268" s="315">
        <v>0</v>
      </c>
      <c r="S268" s="315">
        <v>2.1758593317818004E-3</v>
      </c>
      <c r="T268" s="315"/>
      <c r="U268" s="315"/>
      <c r="V268" s="316"/>
    </row>
    <row r="269" spans="1:22" s="338" customFormat="1">
      <c r="A269" s="311"/>
      <c r="B269" s="317" t="s">
        <v>780</v>
      </c>
      <c r="C269" s="318">
        <v>-2.5301742633686817E-2</v>
      </c>
      <c r="D269" s="319">
        <v>0</v>
      </c>
      <c r="E269" s="319">
        <v>0</v>
      </c>
      <c r="F269" s="319">
        <v>1.1703428155065791</v>
      </c>
      <c r="G269" s="319">
        <v>0</v>
      </c>
      <c r="H269" s="319">
        <v>0</v>
      </c>
      <c r="I269" s="319">
        <v>0</v>
      </c>
      <c r="J269" s="320">
        <v>0.19539009000219765</v>
      </c>
      <c r="K269" s="320">
        <v>0</v>
      </c>
      <c r="L269" s="319">
        <v>-4.8049352786610515E-3</v>
      </c>
      <c r="M269" s="319">
        <v>5.7444269995393038E-2</v>
      </c>
      <c r="N269" s="319">
        <v>-0.13828730910602322</v>
      </c>
      <c r="O269" s="320">
        <v>-1.562638075613661E-3</v>
      </c>
      <c r="P269" s="320">
        <v>0</v>
      </c>
      <c r="Q269" s="319">
        <v>0</v>
      </c>
      <c r="R269" s="320">
        <v>0</v>
      </c>
      <c r="S269" s="320">
        <v>0.10776483741072931</v>
      </c>
      <c r="T269" s="320"/>
      <c r="U269" s="320"/>
      <c r="V269" s="316"/>
    </row>
    <row r="270" spans="1:22">
      <c r="A270" s="311"/>
      <c r="B270" s="291" t="s">
        <v>781</v>
      </c>
      <c r="C270" s="308">
        <v>0</v>
      </c>
      <c r="D270" s="309">
        <v>0</v>
      </c>
      <c r="E270" s="309">
        <v>0</v>
      </c>
      <c r="F270" s="309">
        <v>0</v>
      </c>
      <c r="G270" s="309">
        <v>0</v>
      </c>
      <c r="H270" s="309">
        <v>0</v>
      </c>
      <c r="I270" s="309">
        <v>0</v>
      </c>
      <c r="J270" s="310">
        <v>0</v>
      </c>
      <c r="K270" s="310">
        <v>0</v>
      </c>
      <c r="L270" s="309">
        <v>0</v>
      </c>
      <c r="M270" s="309">
        <v>0</v>
      </c>
      <c r="N270" s="309">
        <v>0</v>
      </c>
      <c r="O270" s="310">
        <v>0</v>
      </c>
      <c r="P270" s="310">
        <v>0</v>
      </c>
      <c r="Q270" s="309">
        <v>0</v>
      </c>
      <c r="R270" s="310">
        <v>0</v>
      </c>
      <c r="S270" s="310">
        <v>0</v>
      </c>
      <c r="T270" s="310"/>
      <c r="U270" s="310"/>
      <c r="V270" s="316"/>
    </row>
    <row r="271" spans="1:22">
      <c r="A271" s="311"/>
      <c r="B271" s="312" t="s">
        <v>782</v>
      </c>
      <c r="C271" s="313">
        <v>0</v>
      </c>
      <c r="D271" s="314">
        <v>0</v>
      </c>
      <c r="E271" s="314">
        <v>0</v>
      </c>
      <c r="F271" s="314">
        <v>0</v>
      </c>
      <c r="G271" s="314">
        <v>0</v>
      </c>
      <c r="H271" s="314">
        <v>0</v>
      </c>
      <c r="I271" s="314">
        <v>0</v>
      </c>
      <c r="J271" s="315">
        <v>0</v>
      </c>
      <c r="K271" s="315">
        <v>0</v>
      </c>
      <c r="L271" s="314">
        <v>0</v>
      </c>
      <c r="M271" s="314">
        <v>0</v>
      </c>
      <c r="N271" s="314">
        <v>0</v>
      </c>
      <c r="O271" s="315">
        <v>0</v>
      </c>
      <c r="P271" s="315">
        <v>0</v>
      </c>
      <c r="Q271" s="314">
        <v>0</v>
      </c>
      <c r="R271" s="315">
        <v>0</v>
      </c>
      <c r="S271" s="315">
        <v>0</v>
      </c>
      <c r="T271" s="315"/>
      <c r="U271" s="315"/>
      <c r="V271" s="316"/>
    </row>
    <row r="272" spans="1:22" s="338" customFormat="1">
      <c r="A272" s="311"/>
      <c r="B272" s="317" t="s">
        <v>783</v>
      </c>
      <c r="C272" s="318">
        <v>0</v>
      </c>
      <c r="D272" s="319">
        <v>0</v>
      </c>
      <c r="E272" s="319">
        <v>0</v>
      </c>
      <c r="F272" s="319">
        <v>0</v>
      </c>
      <c r="G272" s="319">
        <v>0</v>
      </c>
      <c r="H272" s="319">
        <v>0</v>
      </c>
      <c r="I272" s="319">
        <v>0</v>
      </c>
      <c r="J272" s="320">
        <v>0</v>
      </c>
      <c r="K272" s="320">
        <v>0</v>
      </c>
      <c r="L272" s="319">
        <v>0</v>
      </c>
      <c r="M272" s="319">
        <v>0</v>
      </c>
      <c r="N272" s="319">
        <v>0</v>
      </c>
      <c r="O272" s="320">
        <v>0</v>
      </c>
      <c r="P272" s="320">
        <v>0</v>
      </c>
      <c r="Q272" s="319">
        <v>0</v>
      </c>
      <c r="R272" s="320">
        <v>0</v>
      </c>
      <c r="S272" s="320">
        <v>0</v>
      </c>
      <c r="T272" s="320"/>
      <c r="U272" s="320"/>
      <c r="V272" s="316"/>
    </row>
    <row r="273" spans="1:22">
      <c r="A273" s="311"/>
      <c r="B273" s="291" t="s">
        <v>784</v>
      </c>
      <c r="C273" s="308">
        <v>0</v>
      </c>
      <c r="D273" s="309">
        <v>0</v>
      </c>
      <c r="E273" s="309">
        <v>0</v>
      </c>
      <c r="F273" s="309">
        <v>0</v>
      </c>
      <c r="G273" s="309">
        <v>0</v>
      </c>
      <c r="H273" s="309">
        <v>0</v>
      </c>
      <c r="I273" s="309">
        <v>0</v>
      </c>
      <c r="J273" s="310">
        <v>0</v>
      </c>
      <c r="K273" s="310">
        <v>0</v>
      </c>
      <c r="L273" s="309">
        <v>0</v>
      </c>
      <c r="M273" s="309">
        <v>0</v>
      </c>
      <c r="N273" s="309">
        <v>0</v>
      </c>
      <c r="O273" s="310">
        <v>0</v>
      </c>
      <c r="P273" s="310">
        <v>0</v>
      </c>
      <c r="Q273" s="309">
        <v>0</v>
      </c>
      <c r="R273" s="310">
        <v>0</v>
      </c>
      <c r="S273" s="310">
        <v>0</v>
      </c>
      <c r="T273" s="310"/>
      <c r="U273" s="310"/>
      <c r="V273" s="316"/>
    </row>
    <row r="274" spans="1:22">
      <c r="A274" s="311"/>
      <c r="B274" s="312" t="s">
        <v>785</v>
      </c>
      <c r="C274" s="313">
        <v>0</v>
      </c>
      <c r="D274" s="314">
        <v>0</v>
      </c>
      <c r="E274" s="314">
        <v>0</v>
      </c>
      <c r="F274" s="314">
        <v>0</v>
      </c>
      <c r="G274" s="314">
        <v>0</v>
      </c>
      <c r="H274" s="314">
        <v>0</v>
      </c>
      <c r="I274" s="314">
        <v>0</v>
      </c>
      <c r="J274" s="315">
        <v>0</v>
      </c>
      <c r="K274" s="315">
        <v>0</v>
      </c>
      <c r="L274" s="314">
        <v>0</v>
      </c>
      <c r="M274" s="314">
        <v>9.5779262030559447E-5</v>
      </c>
      <c r="N274" s="314">
        <v>0</v>
      </c>
      <c r="O274" s="315">
        <v>1.8739439943154482E-5</v>
      </c>
      <c r="P274" s="315">
        <v>0</v>
      </c>
      <c r="Q274" s="314">
        <v>0</v>
      </c>
      <c r="R274" s="315">
        <v>0</v>
      </c>
      <c r="S274" s="315">
        <v>8.0746067295749938E-6</v>
      </c>
      <c r="T274" s="315"/>
      <c r="U274" s="315"/>
      <c r="V274" s="316"/>
    </row>
    <row r="275" spans="1:22" s="338" customFormat="1" ht="15.75" thickBot="1">
      <c r="A275" s="311"/>
      <c r="B275" s="325" t="s">
        <v>786</v>
      </c>
      <c r="C275" s="326">
        <v>0</v>
      </c>
      <c r="D275" s="327">
        <v>0</v>
      </c>
      <c r="E275" s="327">
        <v>0</v>
      </c>
      <c r="F275" s="327">
        <v>0</v>
      </c>
      <c r="G275" s="327">
        <v>0</v>
      </c>
      <c r="H275" s="327">
        <v>0</v>
      </c>
      <c r="I275" s="327">
        <v>0</v>
      </c>
      <c r="J275" s="328">
        <v>0</v>
      </c>
      <c r="K275" s="328">
        <v>0</v>
      </c>
      <c r="L275" s="327">
        <v>0</v>
      </c>
      <c r="M275" s="327">
        <v>0</v>
      </c>
      <c r="N275" s="327">
        <v>0</v>
      </c>
      <c r="O275" s="328">
        <v>0</v>
      </c>
      <c r="P275" s="328">
        <v>0</v>
      </c>
      <c r="Q275" s="327">
        <v>0</v>
      </c>
      <c r="R275" s="328">
        <v>0</v>
      </c>
      <c r="S275" s="328">
        <v>0</v>
      </c>
      <c r="T275" s="328"/>
      <c r="U275" s="328"/>
      <c r="V275" s="316"/>
    </row>
    <row r="276" spans="1:22" ht="15.75" thickTop="1">
      <c r="A276" s="311"/>
      <c r="B276" s="312" t="s">
        <v>787</v>
      </c>
      <c r="C276" s="313">
        <v>0.75281981571727885</v>
      </c>
      <c r="D276" s="314">
        <v>0.76745373955741569</v>
      </c>
      <c r="E276" s="314">
        <v>0.70413081434859426</v>
      </c>
      <c r="F276" s="314">
        <v>0.67560548315711821</v>
      </c>
      <c r="G276" s="314">
        <v>0.83770161290322576</v>
      </c>
      <c r="H276" s="314">
        <v>1</v>
      </c>
      <c r="I276" s="314">
        <v>0.1109591588649394</v>
      </c>
      <c r="J276" s="315">
        <v>0.50643810111091792</v>
      </c>
      <c r="K276" s="315">
        <v>0</v>
      </c>
      <c r="L276" s="314">
        <v>0</v>
      </c>
      <c r="M276" s="314">
        <v>0</v>
      </c>
      <c r="N276" s="314">
        <v>0</v>
      </c>
      <c r="O276" s="315">
        <v>0</v>
      </c>
      <c r="P276" s="315">
        <v>0</v>
      </c>
      <c r="Q276" s="314">
        <v>0</v>
      </c>
      <c r="R276" s="315">
        <v>0</v>
      </c>
      <c r="S276" s="315">
        <v>0.50643810111091792</v>
      </c>
      <c r="T276" s="315"/>
      <c r="U276" s="315"/>
      <c r="V276" s="316"/>
    </row>
    <row r="277" spans="1:22">
      <c r="A277" s="311"/>
      <c r="B277" s="312" t="s">
        <v>788</v>
      </c>
      <c r="C277" s="313">
        <v>0.76779832060778008</v>
      </c>
      <c r="D277" s="314">
        <v>0.73138311434447822</v>
      </c>
      <c r="E277" s="314">
        <v>0.69614485475561716</v>
      </c>
      <c r="F277" s="314">
        <v>0.6193291908866172</v>
      </c>
      <c r="G277" s="314">
        <v>0.7280071813285458</v>
      </c>
      <c r="H277" s="314">
        <v>1</v>
      </c>
      <c r="I277" s="314">
        <v>0.10201963895201749</v>
      </c>
      <c r="J277" s="315">
        <v>0.48391558309296506</v>
      </c>
      <c r="K277" s="315">
        <v>0</v>
      </c>
      <c r="L277" s="314">
        <v>0</v>
      </c>
      <c r="M277" s="314">
        <v>0</v>
      </c>
      <c r="N277" s="314">
        <v>0</v>
      </c>
      <c r="O277" s="315">
        <v>0</v>
      </c>
      <c r="P277" s="315">
        <v>0</v>
      </c>
      <c r="Q277" s="314">
        <v>0</v>
      </c>
      <c r="R277" s="315">
        <v>0</v>
      </c>
      <c r="S277" s="315">
        <v>0.48391558309296506</v>
      </c>
      <c r="T277" s="315"/>
      <c r="U277" s="315"/>
      <c r="V277" s="316"/>
    </row>
    <row r="278" spans="1:22" s="338" customFormat="1">
      <c r="A278" s="311"/>
      <c r="B278" s="317" t="s">
        <v>789</v>
      </c>
      <c r="C278" s="318">
        <v>1.4978504890501232</v>
      </c>
      <c r="D278" s="319">
        <v>-3.6070625212937468</v>
      </c>
      <c r="E278" s="319">
        <v>-0.79859595929770988</v>
      </c>
      <c r="F278" s="319">
        <v>-5.627629227050102</v>
      </c>
      <c r="G278" s="319">
        <v>-10.969443157467996</v>
      </c>
      <c r="H278" s="319">
        <v>0</v>
      </c>
      <c r="I278" s="319">
        <v>-0.89395199129219116</v>
      </c>
      <c r="J278" s="320">
        <v>-2.2522518017952855</v>
      </c>
      <c r="K278" s="320">
        <v>0</v>
      </c>
      <c r="L278" s="319">
        <v>0</v>
      </c>
      <c r="M278" s="319">
        <v>0</v>
      </c>
      <c r="N278" s="319">
        <v>0</v>
      </c>
      <c r="O278" s="320">
        <v>0</v>
      </c>
      <c r="P278" s="320">
        <v>0</v>
      </c>
      <c r="Q278" s="319">
        <v>0</v>
      </c>
      <c r="R278" s="320">
        <v>0</v>
      </c>
      <c r="S278" s="320">
        <v>-2.2522518017952855</v>
      </c>
      <c r="T278" s="320"/>
      <c r="U278" s="320"/>
      <c r="V278" s="316"/>
    </row>
    <row r="279" spans="1:22">
      <c r="A279" s="311"/>
      <c r="B279" s="291" t="s">
        <v>790</v>
      </c>
      <c r="C279" s="308">
        <v>0.18458499682832849</v>
      </c>
      <c r="D279" s="309">
        <v>5.0173837103923279E-2</v>
      </c>
      <c r="E279" s="309">
        <v>8.6631049588591386E-2</v>
      </c>
      <c r="F279" s="309">
        <v>2.3466314236537989E-2</v>
      </c>
      <c r="G279" s="309">
        <v>6.1491935483870969E-2</v>
      </c>
      <c r="H279" s="309">
        <v>0</v>
      </c>
      <c r="I279" s="309">
        <v>3.408946585383555E-2</v>
      </c>
      <c r="J279" s="310">
        <v>8.2102753615894697E-2</v>
      </c>
      <c r="K279" s="310">
        <v>0</v>
      </c>
      <c r="L279" s="309">
        <v>0</v>
      </c>
      <c r="M279" s="309">
        <v>0</v>
      </c>
      <c r="N279" s="309">
        <v>0</v>
      </c>
      <c r="O279" s="310">
        <v>0</v>
      </c>
      <c r="P279" s="310">
        <v>0</v>
      </c>
      <c r="Q279" s="309">
        <v>0</v>
      </c>
      <c r="R279" s="310">
        <v>0</v>
      </c>
      <c r="S279" s="310">
        <v>8.2102753615894697E-2</v>
      </c>
      <c r="T279" s="310"/>
      <c r="U279" s="310"/>
      <c r="V279" s="316"/>
    </row>
    <row r="280" spans="1:22">
      <c r="A280" s="311"/>
      <c r="B280" s="312" t="s">
        <v>791</v>
      </c>
      <c r="C280" s="313">
        <v>0.15676866150028243</v>
      </c>
      <c r="D280" s="314">
        <v>5.8625554554571573E-2</v>
      </c>
      <c r="E280" s="314">
        <v>8.9138057924585484E-2</v>
      </c>
      <c r="F280" s="314">
        <v>2.1998396472238925E-2</v>
      </c>
      <c r="G280" s="314">
        <v>0.12872531418312388</v>
      </c>
      <c r="H280" s="314">
        <v>0</v>
      </c>
      <c r="I280" s="314">
        <v>3.0551863127653189E-2</v>
      </c>
      <c r="J280" s="315">
        <v>7.4810935826593164E-2</v>
      </c>
      <c r="K280" s="315">
        <v>0</v>
      </c>
      <c r="L280" s="314">
        <v>0</v>
      </c>
      <c r="M280" s="314">
        <v>0</v>
      </c>
      <c r="N280" s="314">
        <v>0</v>
      </c>
      <c r="O280" s="315">
        <v>0</v>
      </c>
      <c r="P280" s="315">
        <v>0</v>
      </c>
      <c r="Q280" s="314">
        <v>0</v>
      </c>
      <c r="R280" s="315">
        <v>0</v>
      </c>
      <c r="S280" s="315">
        <v>7.4810935826593164E-2</v>
      </c>
      <c r="T280" s="315"/>
      <c r="U280" s="315"/>
      <c r="V280" s="316"/>
    </row>
    <row r="281" spans="1:22" s="338" customFormat="1">
      <c r="A281" s="311"/>
      <c r="B281" s="317" t="s">
        <v>792</v>
      </c>
      <c r="C281" s="318">
        <v>-2.781633532804606</v>
      </c>
      <c r="D281" s="319">
        <v>0.84517174506482939</v>
      </c>
      <c r="E281" s="319">
        <v>0.25070083359940987</v>
      </c>
      <c r="F281" s="319">
        <v>-0.14679177642990643</v>
      </c>
      <c r="G281" s="319">
        <v>6.7233378699252917</v>
      </c>
      <c r="H281" s="319">
        <v>0</v>
      </c>
      <c r="I281" s="319">
        <v>-0.35376027261823617</v>
      </c>
      <c r="J281" s="320">
        <v>-0.72918177893015335</v>
      </c>
      <c r="K281" s="320">
        <v>0</v>
      </c>
      <c r="L281" s="319">
        <v>0</v>
      </c>
      <c r="M281" s="319">
        <v>0</v>
      </c>
      <c r="N281" s="319">
        <v>0</v>
      </c>
      <c r="O281" s="320">
        <v>0</v>
      </c>
      <c r="P281" s="320">
        <v>0</v>
      </c>
      <c r="Q281" s="319">
        <v>0</v>
      </c>
      <c r="R281" s="320">
        <v>0</v>
      </c>
      <c r="S281" s="320">
        <v>-0.72918177893015335</v>
      </c>
      <c r="T281" s="320"/>
      <c r="U281" s="320"/>
      <c r="V281" s="316"/>
    </row>
    <row r="282" spans="1:22">
      <c r="A282" s="311"/>
      <c r="B282" s="291" t="s">
        <v>793</v>
      </c>
      <c r="C282" s="308">
        <v>5.7807039809002446E-2</v>
      </c>
      <c r="D282" s="309">
        <v>0.18237242333866105</v>
      </c>
      <c r="E282" s="309">
        <v>0.2088931174004412</v>
      </c>
      <c r="F282" s="309">
        <v>0.28244098844357018</v>
      </c>
      <c r="G282" s="309">
        <v>0.10080645161290322</v>
      </c>
      <c r="H282" s="309">
        <v>0</v>
      </c>
      <c r="I282" s="309">
        <v>0.85393080049350456</v>
      </c>
      <c r="J282" s="310">
        <v>0.40780786282492854</v>
      </c>
      <c r="K282" s="310">
        <v>0</v>
      </c>
      <c r="L282" s="309">
        <v>0</v>
      </c>
      <c r="M282" s="309">
        <v>0</v>
      </c>
      <c r="N282" s="309">
        <v>0</v>
      </c>
      <c r="O282" s="310">
        <v>0</v>
      </c>
      <c r="P282" s="310">
        <v>0</v>
      </c>
      <c r="Q282" s="309">
        <v>0</v>
      </c>
      <c r="R282" s="310">
        <v>0</v>
      </c>
      <c r="S282" s="310">
        <v>0.40780786282492854</v>
      </c>
      <c r="T282" s="310"/>
      <c r="U282" s="310"/>
      <c r="V282" s="316"/>
    </row>
    <row r="283" spans="1:22">
      <c r="A283" s="311"/>
      <c r="B283" s="312" t="s">
        <v>794</v>
      </c>
      <c r="C283" s="313">
        <v>7.1681994452801212E-2</v>
      </c>
      <c r="D283" s="314">
        <v>0.20999133110095017</v>
      </c>
      <c r="E283" s="314">
        <v>0.21448980475345253</v>
      </c>
      <c r="F283" s="314">
        <v>0.30338411171243401</v>
      </c>
      <c r="G283" s="314">
        <v>0.14326750448833034</v>
      </c>
      <c r="H283" s="314">
        <v>0</v>
      </c>
      <c r="I283" s="314">
        <v>0.8666352214742078</v>
      </c>
      <c r="J283" s="315">
        <v>0.43452729028824483</v>
      </c>
      <c r="K283" s="315">
        <v>0</v>
      </c>
      <c r="L283" s="314">
        <v>0</v>
      </c>
      <c r="M283" s="314">
        <v>0</v>
      </c>
      <c r="N283" s="314">
        <v>0</v>
      </c>
      <c r="O283" s="315">
        <v>0</v>
      </c>
      <c r="P283" s="315">
        <v>0</v>
      </c>
      <c r="Q283" s="314">
        <v>0</v>
      </c>
      <c r="R283" s="315">
        <v>0</v>
      </c>
      <c r="S283" s="315">
        <v>0.43452729028824483</v>
      </c>
      <c r="T283" s="315"/>
      <c r="U283" s="315"/>
      <c r="V283" s="316"/>
    </row>
    <row r="284" spans="1:22" s="338" customFormat="1">
      <c r="A284" s="311"/>
      <c r="B284" s="317" t="s">
        <v>795</v>
      </c>
      <c r="C284" s="318">
        <v>1.3874954643798767</v>
      </c>
      <c r="D284" s="319">
        <v>2.761890776228912</v>
      </c>
      <c r="E284" s="321">
        <v>0.55966873530113315</v>
      </c>
      <c r="F284" s="319">
        <v>2.0943123268863828</v>
      </c>
      <c r="G284" s="319">
        <v>4.2461052875427114</v>
      </c>
      <c r="H284" s="319">
        <v>0</v>
      </c>
      <c r="I284" s="319">
        <v>1.2704420980703235</v>
      </c>
      <c r="J284" s="320">
        <v>2.671942746331629</v>
      </c>
      <c r="K284" s="320">
        <v>0</v>
      </c>
      <c r="L284" s="319">
        <v>0</v>
      </c>
      <c r="M284" s="319">
        <v>0</v>
      </c>
      <c r="N284" s="319">
        <v>0</v>
      </c>
      <c r="O284" s="320">
        <v>0</v>
      </c>
      <c r="P284" s="320">
        <v>0</v>
      </c>
      <c r="Q284" s="319">
        <v>0</v>
      </c>
      <c r="R284" s="320">
        <v>0</v>
      </c>
      <c r="S284" s="320">
        <v>2.671942746331629</v>
      </c>
      <c r="T284" s="320"/>
      <c r="U284" s="320"/>
      <c r="V284" s="316"/>
    </row>
    <row r="285" spans="1:22">
      <c r="A285" s="311"/>
      <c r="B285" s="291" t="s">
        <v>796</v>
      </c>
      <c r="C285" s="308">
        <v>4.7881476453902937E-3</v>
      </c>
      <c r="D285" s="309">
        <v>0</v>
      </c>
      <c r="E285" s="309">
        <v>3.4501866237310108E-4</v>
      </c>
      <c r="F285" s="309">
        <v>1.8487214162773543E-2</v>
      </c>
      <c r="G285" s="309">
        <v>0</v>
      </c>
      <c r="H285" s="309">
        <v>0</v>
      </c>
      <c r="I285" s="309">
        <v>1.0205747877204442E-3</v>
      </c>
      <c r="J285" s="310">
        <v>3.6512824482588966E-3</v>
      </c>
      <c r="K285" s="310">
        <v>0</v>
      </c>
      <c r="L285" s="309">
        <v>0</v>
      </c>
      <c r="M285" s="309">
        <v>0</v>
      </c>
      <c r="N285" s="309">
        <v>0</v>
      </c>
      <c r="O285" s="310">
        <v>0</v>
      </c>
      <c r="P285" s="310">
        <v>0</v>
      </c>
      <c r="Q285" s="309">
        <v>0</v>
      </c>
      <c r="R285" s="310">
        <v>0</v>
      </c>
      <c r="S285" s="310">
        <v>3.6512824482588966E-3</v>
      </c>
      <c r="T285" s="310"/>
      <c r="U285" s="310"/>
      <c r="V285" s="316"/>
    </row>
    <row r="286" spans="1:22">
      <c r="A286" s="311"/>
      <c r="B286" s="312" t="s">
        <v>797</v>
      </c>
      <c r="C286" s="313">
        <v>3.7510234391363124E-3</v>
      </c>
      <c r="D286" s="314">
        <v>0</v>
      </c>
      <c r="E286" s="314">
        <v>2.272825663448634E-4</v>
      </c>
      <c r="F286" s="314">
        <v>5.528830092870983E-2</v>
      </c>
      <c r="G286" s="314">
        <v>0</v>
      </c>
      <c r="H286" s="314">
        <v>0</v>
      </c>
      <c r="I286" s="314">
        <v>7.9327644612152133E-4</v>
      </c>
      <c r="J286" s="315">
        <v>6.7461907921969556E-3</v>
      </c>
      <c r="K286" s="315">
        <v>0</v>
      </c>
      <c r="L286" s="314">
        <v>0</v>
      </c>
      <c r="M286" s="314">
        <v>0</v>
      </c>
      <c r="N286" s="314">
        <v>0</v>
      </c>
      <c r="O286" s="315">
        <v>0</v>
      </c>
      <c r="P286" s="315">
        <v>0</v>
      </c>
      <c r="Q286" s="314">
        <v>0</v>
      </c>
      <c r="R286" s="315">
        <v>0</v>
      </c>
      <c r="S286" s="315">
        <v>6.7461907921969556E-3</v>
      </c>
      <c r="T286" s="315"/>
      <c r="U286" s="315"/>
      <c r="V286" s="316"/>
    </row>
    <row r="287" spans="1:22" s="338" customFormat="1">
      <c r="A287" s="311"/>
      <c r="B287" s="317" t="s">
        <v>798</v>
      </c>
      <c r="C287" s="318">
        <v>-0.10371242062539812</v>
      </c>
      <c r="D287" s="319">
        <v>0</v>
      </c>
      <c r="E287" s="319">
        <v>-1.1773609602823767E-2</v>
      </c>
      <c r="F287" s="319">
        <v>3.6801086765936284</v>
      </c>
      <c r="G287" s="319">
        <v>0</v>
      </c>
      <c r="H287" s="319">
        <v>0</v>
      </c>
      <c r="I287" s="319">
        <v>-2.2729834159892288E-2</v>
      </c>
      <c r="J287" s="320">
        <v>0.30949083439380587</v>
      </c>
      <c r="K287" s="320">
        <v>0</v>
      </c>
      <c r="L287" s="319">
        <v>0</v>
      </c>
      <c r="M287" s="319">
        <v>0</v>
      </c>
      <c r="N287" s="319">
        <v>0</v>
      </c>
      <c r="O287" s="320">
        <v>0</v>
      </c>
      <c r="P287" s="320">
        <v>0</v>
      </c>
      <c r="Q287" s="319">
        <v>0</v>
      </c>
      <c r="R287" s="320">
        <v>0</v>
      </c>
      <c r="S287" s="320">
        <v>0.30949083439380587</v>
      </c>
      <c r="T287" s="320"/>
      <c r="U287" s="320"/>
      <c r="V287" s="316"/>
    </row>
    <row r="288" spans="1:22">
      <c r="A288" s="311"/>
      <c r="B288" s="291" t="s">
        <v>799</v>
      </c>
      <c r="C288" s="308">
        <v>0</v>
      </c>
      <c r="D288" s="309">
        <v>0</v>
      </c>
      <c r="E288" s="309">
        <v>0</v>
      </c>
      <c r="F288" s="309">
        <v>0</v>
      </c>
      <c r="G288" s="309">
        <v>0</v>
      </c>
      <c r="H288" s="309">
        <v>0</v>
      </c>
      <c r="I288" s="309">
        <v>0</v>
      </c>
      <c r="J288" s="310">
        <v>0</v>
      </c>
      <c r="K288" s="310">
        <v>0</v>
      </c>
      <c r="L288" s="309">
        <v>0</v>
      </c>
      <c r="M288" s="309">
        <v>0</v>
      </c>
      <c r="N288" s="309">
        <v>0</v>
      </c>
      <c r="O288" s="310">
        <v>0</v>
      </c>
      <c r="P288" s="310">
        <v>0</v>
      </c>
      <c r="Q288" s="309">
        <v>0</v>
      </c>
      <c r="R288" s="310">
        <v>0</v>
      </c>
      <c r="S288" s="310">
        <v>0</v>
      </c>
      <c r="T288" s="310"/>
      <c r="U288" s="310"/>
      <c r="V288" s="316"/>
    </row>
    <row r="289" spans="1:22">
      <c r="A289" s="311"/>
      <c r="B289" s="312" t="s">
        <v>800</v>
      </c>
      <c r="C289" s="313">
        <v>0</v>
      </c>
      <c r="D289" s="314">
        <v>0</v>
      </c>
      <c r="E289" s="314">
        <v>0</v>
      </c>
      <c r="F289" s="314">
        <v>0</v>
      </c>
      <c r="G289" s="314">
        <v>0</v>
      </c>
      <c r="H289" s="314">
        <v>0</v>
      </c>
      <c r="I289" s="314">
        <v>0</v>
      </c>
      <c r="J289" s="315">
        <v>0</v>
      </c>
      <c r="K289" s="315">
        <v>0</v>
      </c>
      <c r="L289" s="314">
        <v>0</v>
      </c>
      <c r="M289" s="314">
        <v>0</v>
      </c>
      <c r="N289" s="314">
        <v>0</v>
      </c>
      <c r="O289" s="315">
        <v>0</v>
      </c>
      <c r="P289" s="315">
        <v>0</v>
      </c>
      <c r="Q289" s="314">
        <v>0</v>
      </c>
      <c r="R289" s="315">
        <v>0</v>
      </c>
      <c r="S289" s="315">
        <v>0</v>
      </c>
      <c r="T289" s="315"/>
      <c r="U289" s="315"/>
      <c r="V289" s="316"/>
    </row>
    <row r="290" spans="1:22" s="338" customFormat="1">
      <c r="A290" s="311"/>
      <c r="B290" s="317" t="s">
        <v>801</v>
      </c>
      <c r="C290" s="318">
        <v>0</v>
      </c>
      <c r="D290" s="319">
        <v>0</v>
      </c>
      <c r="E290" s="319">
        <v>0</v>
      </c>
      <c r="F290" s="319">
        <v>0</v>
      </c>
      <c r="G290" s="319">
        <v>0</v>
      </c>
      <c r="H290" s="319">
        <v>0</v>
      </c>
      <c r="I290" s="319">
        <v>0</v>
      </c>
      <c r="J290" s="320">
        <v>0</v>
      </c>
      <c r="K290" s="320">
        <v>0</v>
      </c>
      <c r="L290" s="319">
        <v>0</v>
      </c>
      <c r="M290" s="319">
        <v>0</v>
      </c>
      <c r="N290" s="319">
        <v>0</v>
      </c>
      <c r="O290" s="320">
        <v>0</v>
      </c>
      <c r="P290" s="320">
        <v>0</v>
      </c>
      <c r="Q290" s="319">
        <v>0</v>
      </c>
      <c r="R290" s="320">
        <v>0</v>
      </c>
      <c r="S290" s="320">
        <v>0</v>
      </c>
      <c r="T290" s="320"/>
      <c r="U290" s="320"/>
      <c r="V290" s="316"/>
    </row>
    <row r="291" spans="1:22">
      <c r="A291" s="311"/>
      <c r="B291" s="291" t="s">
        <v>802</v>
      </c>
      <c r="C291" s="308">
        <v>0</v>
      </c>
      <c r="D291" s="309">
        <v>0</v>
      </c>
      <c r="E291" s="309">
        <v>0</v>
      </c>
      <c r="F291" s="309">
        <v>0</v>
      </c>
      <c r="G291" s="309">
        <v>0</v>
      </c>
      <c r="H291" s="309">
        <v>0</v>
      </c>
      <c r="I291" s="309">
        <v>0</v>
      </c>
      <c r="J291" s="310">
        <v>0</v>
      </c>
      <c r="K291" s="310">
        <v>0</v>
      </c>
      <c r="L291" s="309">
        <v>0</v>
      </c>
      <c r="M291" s="309">
        <v>0</v>
      </c>
      <c r="N291" s="309">
        <v>0</v>
      </c>
      <c r="O291" s="310">
        <v>0</v>
      </c>
      <c r="P291" s="310">
        <v>0</v>
      </c>
      <c r="Q291" s="309">
        <v>0</v>
      </c>
      <c r="R291" s="310">
        <v>0</v>
      </c>
      <c r="S291" s="310">
        <v>0</v>
      </c>
      <c r="T291" s="310"/>
      <c r="U291" s="310"/>
      <c r="V291" s="316"/>
    </row>
    <row r="292" spans="1:22">
      <c r="A292" s="311"/>
      <c r="B292" s="312" t="s">
        <v>803</v>
      </c>
      <c r="C292" s="313">
        <v>0</v>
      </c>
      <c r="D292" s="314">
        <v>0</v>
      </c>
      <c r="E292" s="314">
        <v>0</v>
      </c>
      <c r="F292" s="314">
        <v>0</v>
      </c>
      <c r="G292" s="314">
        <v>0</v>
      </c>
      <c r="H292" s="314">
        <v>0</v>
      </c>
      <c r="I292" s="314">
        <v>0</v>
      </c>
      <c r="J292" s="315">
        <v>0</v>
      </c>
      <c r="K292" s="315">
        <v>0</v>
      </c>
      <c r="L292" s="314">
        <v>0</v>
      </c>
      <c r="M292" s="314">
        <v>0</v>
      </c>
      <c r="N292" s="314">
        <v>0</v>
      </c>
      <c r="O292" s="315">
        <v>0</v>
      </c>
      <c r="P292" s="315">
        <v>0</v>
      </c>
      <c r="Q292" s="314">
        <v>0</v>
      </c>
      <c r="R292" s="315">
        <v>0</v>
      </c>
      <c r="S292" s="315">
        <v>0</v>
      </c>
      <c r="T292" s="315"/>
      <c r="U292" s="315"/>
      <c r="V292" s="316"/>
    </row>
    <row r="293" spans="1:22" s="338" customFormat="1" ht="15.75" thickBot="1">
      <c r="A293" s="329"/>
      <c r="B293" s="330" t="s">
        <v>804</v>
      </c>
      <c r="C293" s="331">
        <v>0</v>
      </c>
      <c r="D293" s="332">
        <v>0</v>
      </c>
      <c r="E293" s="332">
        <v>0</v>
      </c>
      <c r="F293" s="332">
        <v>0</v>
      </c>
      <c r="G293" s="332">
        <v>0</v>
      </c>
      <c r="H293" s="332">
        <v>0</v>
      </c>
      <c r="I293" s="332">
        <v>0</v>
      </c>
      <c r="J293" s="333">
        <v>0</v>
      </c>
      <c r="K293" s="333">
        <v>0</v>
      </c>
      <c r="L293" s="332">
        <v>0</v>
      </c>
      <c r="M293" s="332">
        <v>0</v>
      </c>
      <c r="N293" s="332">
        <v>0</v>
      </c>
      <c r="O293" s="333">
        <v>0</v>
      </c>
      <c r="P293" s="333">
        <v>0</v>
      </c>
      <c r="Q293" s="332">
        <v>0</v>
      </c>
      <c r="R293" s="333">
        <v>0</v>
      </c>
      <c r="S293" s="333">
        <v>0</v>
      </c>
      <c r="T293" s="333"/>
      <c r="U293" s="333"/>
      <c r="V293" s="316"/>
    </row>
    <row r="294" spans="1:22">
      <c r="A294" s="307" t="s">
        <v>313</v>
      </c>
      <c r="B294" s="291" t="s">
        <v>769</v>
      </c>
      <c r="C294" s="308">
        <v>0.82767528046889161</v>
      </c>
      <c r="D294" s="309">
        <v>0.82948330002854698</v>
      </c>
      <c r="E294" s="309">
        <v>0</v>
      </c>
      <c r="F294" s="309">
        <v>0.80155847715636652</v>
      </c>
      <c r="G294" s="309">
        <v>0.49317447785832197</v>
      </c>
      <c r="H294" s="309">
        <v>0</v>
      </c>
      <c r="I294" s="309">
        <v>0</v>
      </c>
      <c r="J294" s="310">
        <v>0.81220169467667558</v>
      </c>
      <c r="K294" s="310">
        <v>0</v>
      </c>
      <c r="L294" s="309">
        <v>0.75983852897764659</v>
      </c>
      <c r="M294" s="309">
        <v>0.75570756030946928</v>
      </c>
      <c r="N294" s="309">
        <v>0.83076566125290019</v>
      </c>
      <c r="O294" s="310">
        <v>0.76177834509423548</v>
      </c>
      <c r="P294" s="310">
        <v>0</v>
      </c>
      <c r="Q294" s="309">
        <v>0</v>
      </c>
      <c r="R294" s="310">
        <v>0</v>
      </c>
      <c r="S294" s="310">
        <v>0.78579857531720354</v>
      </c>
      <c r="T294" s="310"/>
      <c r="U294" s="310"/>
      <c r="V294" s="316"/>
    </row>
    <row r="295" spans="1:22">
      <c r="A295" s="311"/>
      <c r="B295" s="312" t="s">
        <v>770</v>
      </c>
      <c r="C295" s="313">
        <v>0.82109486469677195</v>
      </c>
      <c r="D295" s="314">
        <v>0.81548423199465647</v>
      </c>
      <c r="E295" s="314">
        <v>0</v>
      </c>
      <c r="F295" s="314">
        <v>0.77560536649214662</v>
      </c>
      <c r="G295" s="314">
        <v>0.49941062557884985</v>
      </c>
      <c r="H295" s="314">
        <v>0</v>
      </c>
      <c r="I295" s="314">
        <v>0</v>
      </c>
      <c r="J295" s="315">
        <v>0.80114736872621617</v>
      </c>
      <c r="K295" s="315">
        <v>0</v>
      </c>
      <c r="L295" s="314">
        <v>0.74678741209555988</v>
      </c>
      <c r="M295" s="314">
        <v>0.74000594670521769</v>
      </c>
      <c r="N295" s="314">
        <v>0.84244178220487276</v>
      </c>
      <c r="O295" s="315">
        <v>0.74870713078229489</v>
      </c>
      <c r="P295" s="315">
        <v>0</v>
      </c>
      <c r="Q295" s="314">
        <v>0</v>
      </c>
      <c r="R295" s="315">
        <v>0</v>
      </c>
      <c r="S295" s="315">
        <v>0.77435870953794017</v>
      </c>
      <c r="T295" s="315"/>
      <c r="U295" s="315"/>
      <c r="V295" s="316"/>
    </row>
    <row r="296" spans="1:22" s="338" customFormat="1">
      <c r="A296" s="311"/>
      <c r="B296" s="317" t="s">
        <v>771</v>
      </c>
      <c r="C296" s="318">
        <v>-0.65804157721196521</v>
      </c>
      <c r="D296" s="319">
        <v>-1.3999068033890505</v>
      </c>
      <c r="E296" s="319">
        <v>0</v>
      </c>
      <c r="F296" s="319">
        <v>-2.5953110664219903</v>
      </c>
      <c r="G296" s="319">
        <v>0.62361477205278848</v>
      </c>
      <c r="H296" s="319">
        <v>0</v>
      </c>
      <c r="I296" s="319">
        <v>0</v>
      </c>
      <c r="J296" s="320">
        <v>-1.1054325950459409</v>
      </c>
      <c r="K296" s="320">
        <v>0</v>
      </c>
      <c r="L296" s="319">
        <v>-1.3051116882086711</v>
      </c>
      <c r="M296" s="319">
        <v>-1.5701613604251596</v>
      </c>
      <c r="N296" s="319">
        <v>1.1676120951972568</v>
      </c>
      <c r="O296" s="320">
        <v>-1.3071214311940582</v>
      </c>
      <c r="P296" s="320">
        <v>0</v>
      </c>
      <c r="Q296" s="319">
        <v>0</v>
      </c>
      <c r="R296" s="320">
        <v>0</v>
      </c>
      <c r="S296" s="320">
        <v>-1.143986577926337</v>
      </c>
      <c r="T296" s="320"/>
      <c r="U296" s="320"/>
      <c r="V296" s="316"/>
    </row>
    <row r="297" spans="1:22">
      <c r="A297" s="311"/>
      <c r="B297" s="291" t="s">
        <v>772</v>
      </c>
      <c r="C297" s="308">
        <v>5.7463393018993336E-2</v>
      </c>
      <c r="D297" s="309">
        <v>6.8899514701684275E-2</v>
      </c>
      <c r="E297" s="309">
        <v>0</v>
      </c>
      <c r="F297" s="309">
        <v>3.2045697056318587E-2</v>
      </c>
      <c r="G297" s="309">
        <v>3.2871599799038256E-3</v>
      </c>
      <c r="H297" s="309">
        <v>0</v>
      </c>
      <c r="I297" s="309">
        <v>0</v>
      </c>
      <c r="J297" s="310">
        <v>5.6923566565721721E-2</v>
      </c>
      <c r="K297" s="310">
        <v>0</v>
      </c>
      <c r="L297" s="309">
        <v>0</v>
      </c>
      <c r="M297" s="309">
        <v>0</v>
      </c>
      <c r="N297" s="309">
        <v>0</v>
      </c>
      <c r="O297" s="310">
        <v>0</v>
      </c>
      <c r="P297" s="310">
        <v>0</v>
      </c>
      <c r="Q297" s="309">
        <v>0</v>
      </c>
      <c r="R297" s="310">
        <v>0</v>
      </c>
      <c r="S297" s="310">
        <v>2.7116746216662518E-2</v>
      </c>
      <c r="T297" s="310"/>
      <c r="U297" s="310"/>
      <c r="V297" s="316"/>
    </row>
    <row r="298" spans="1:22">
      <c r="A298" s="311"/>
      <c r="B298" s="312" t="s">
        <v>773</v>
      </c>
      <c r="C298" s="313">
        <v>5.3455445665296766E-2</v>
      </c>
      <c r="D298" s="314">
        <v>6.2783996225499003E-2</v>
      </c>
      <c r="E298" s="314">
        <v>0</v>
      </c>
      <c r="F298" s="314">
        <v>3.0754350169387126E-2</v>
      </c>
      <c r="G298" s="314">
        <v>2.1329740955909181E-3</v>
      </c>
      <c r="H298" s="314">
        <v>0</v>
      </c>
      <c r="I298" s="314">
        <v>0</v>
      </c>
      <c r="J298" s="315">
        <v>5.2594844170414011E-2</v>
      </c>
      <c r="K298" s="315">
        <v>0</v>
      </c>
      <c r="L298" s="314">
        <v>0</v>
      </c>
      <c r="M298" s="314">
        <v>0</v>
      </c>
      <c r="N298" s="314">
        <v>0</v>
      </c>
      <c r="O298" s="315">
        <v>0</v>
      </c>
      <c r="P298" s="315">
        <v>0</v>
      </c>
      <c r="Q298" s="314">
        <v>0</v>
      </c>
      <c r="R298" s="315">
        <v>0</v>
      </c>
      <c r="S298" s="315">
        <v>2.5727205677842556E-2</v>
      </c>
      <c r="T298" s="315"/>
      <c r="U298" s="315"/>
      <c r="V298" s="316"/>
    </row>
    <row r="299" spans="1:22" s="338" customFormat="1">
      <c r="A299" s="311"/>
      <c r="B299" s="317" t="s">
        <v>774</v>
      </c>
      <c r="C299" s="318">
        <v>-0.40079473536965698</v>
      </c>
      <c r="D299" s="319">
        <v>-0.61155184761852721</v>
      </c>
      <c r="E299" s="319">
        <v>0</v>
      </c>
      <c r="F299" s="319">
        <v>-0.12913468869314609</v>
      </c>
      <c r="G299" s="319">
        <v>-0.11541858843129074</v>
      </c>
      <c r="H299" s="319">
        <v>0</v>
      </c>
      <c r="I299" s="319">
        <v>0</v>
      </c>
      <c r="J299" s="320">
        <v>-0.43287223953077103</v>
      </c>
      <c r="K299" s="320">
        <v>0</v>
      </c>
      <c r="L299" s="319">
        <v>0</v>
      </c>
      <c r="M299" s="319">
        <v>0</v>
      </c>
      <c r="N299" s="319">
        <v>0</v>
      </c>
      <c r="O299" s="320">
        <v>0</v>
      </c>
      <c r="P299" s="320">
        <v>0</v>
      </c>
      <c r="Q299" s="319">
        <v>0</v>
      </c>
      <c r="R299" s="320">
        <v>0</v>
      </c>
      <c r="S299" s="320">
        <v>-0.13895405388199625</v>
      </c>
      <c r="T299" s="320"/>
      <c r="U299" s="320"/>
      <c r="V299" s="316"/>
    </row>
    <row r="300" spans="1:22">
      <c r="A300" s="311"/>
      <c r="B300" s="291" t="s">
        <v>775</v>
      </c>
      <c r="C300" s="308">
        <v>0.10743796451086628</v>
      </c>
      <c r="D300" s="309">
        <v>8.5229803025977727E-2</v>
      </c>
      <c r="E300" s="309">
        <v>0</v>
      </c>
      <c r="F300" s="309">
        <v>0.160111012129103</v>
      </c>
      <c r="G300" s="309">
        <v>0.50353836216177417</v>
      </c>
      <c r="H300" s="309">
        <v>0</v>
      </c>
      <c r="I300" s="309">
        <v>0</v>
      </c>
      <c r="J300" s="310">
        <v>0.12032498356370527</v>
      </c>
      <c r="K300" s="310">
        <v>0</v>
      </c>
      <c r="L300" s="309">
        <v>0.24016147102235341</v>
      </c>
      <c r="M300" s="309">
        <v>0.24429243969053074</v>
      </c>
      <c r="N300" s="309">
        <v>0.16923433874709976</v>
      </c>
      <c r="O300" s="310">
        <v>0.2382216549057645</v>
      </c>
      <c r="P300" s="310">
        <v>0</v>
      </c>
      <c r="Q300" s="309">
        <v>0</v>
      </c>
      <c r="R300" s="310">
        <v>0</v>
      </c>
      <c r="S300" s="310">
        <v>0.1820590792020656</v>
      </c>
      <c r="T300" s="310"/>
      <c r="U300" s="310"/>
      <c r="V300" s="316"/>
    </row>
    <row r="301" spans="1:22">
      <c r="A301" s="311"/>
      <c r="B301" s="312" t="s">
        <v>776</v>
      </c>
      <c r="C301" s="313">
        <v>0.11834733722759479</v>
      </c>
      <c r="D301" s="314">
        <v>0.10400588119922699</v>
      </c>
      <c r="E301" s="314">
        <v>0</v>
      </c>
      <c r="F301" s="314">
        <v>0.18899176162611642</v>
      </c>
      <c r="G301" s="314">
        <v>0.49845640032555921</v>
      </c>
      <c r="H301" s="314">
        <v>0</v>
      </c>
      <c r="I301" s="314">
        <v>0</v>
      </c>
      <c r="J301" s="315">
        <v>0.13547440272664169</v>
      </c>
      <c r="K301" s="315">
        <v>0</v>
      </c>
      <c r="L301" s="314">
        <v>0.25321258790444007</v>
      </c>
      <c r="M301" s="314">
        <v>0.25999405329478226</v>
      </c>
      <c r="N301" s="314">
        <v>0.15755821779512721</v>
      </c>
      <c r="O301" s="315">
        <v>0.25129286921770511</v>
      </c>
      <c r="P301" s="315">
        <v>0</v>
      </c>
      <c r="Q301" s="314">
        <v>0</v>
      </c>
      <c r="R301" s="315">
        <v>0</v>
      </c>
      <c r="S301" s="315">
        <v>0.19463930258571085</v>
      </c>
      <c r="T301" s="315"/>
      <c r="U301" s="315"/>
      <c r="V301" s="316"/>
    </row>
    <row r="302" spans="1:22" s="338" customFormat="1">
      <c r="A302" s="311"/>
      <c r="B302" s="317" t="s">
        <v>777</v>
      </c>
      <c r="C302" s="318">
        <v>1.0909372716728511</v>
      </c>
      <c r="D302" s="319">
        <v>1.8776078173249264</v>
      </c>
      <c r="E302" s="319">
        <v>0</v>
      </c>
      <c r="F302" s="319">
        <v>2.8880749497013412</v>
      </c>
      <c r="G302" s="319">
        <v>-0.50819618362149543</v>
      </c>
      <c r="H302" s="319">
        <v>0</v>
      </c>
      <c r="I302" s="319">
        <v>0</v>
      </c>
      <c r="J302" s="320">
        <v>1.5149419162936413</v>
      </c>
      <c r="K302" s="320">
        <v>0</v>
      </c>
      <c r="L302" s="319">
        <v>1.3051116882086655</v>
      </c>
      <c r="M302" s="319">
        <v>1.5701613604251512</v>
      </c>
      <c r="N302" s="319">
        <v>-1.1676120951972542</v>
      </c>
      <c r="O302" s="320">
        <v>1.3071214311940609</v>
      </c>
      <c r="P302" s="320">
        <v>0</v>
      </c>
      <c r="Q302" s="319">
        <v>0</v>
      </c>
      <c r="R302" s="320">
        <v>0</v>
      </c>
      <c r="S302" s="320">
        <v>1.2580223383645257</v>
      </c>
      <c r="T302" s="320"/>
      <c r="U302" s="320"/>
      <c r="V302" s="316"/>
    </row>
    <row r="303" spans="1:22">
      <c r="A303" s="311"/>
      <c r="B303" s="291" t="s">
        <v>778</v>
      </c>
      <c r="C303" s="308">
        <v>7.423362001248766E-3</v>
      </c>
      <c r="D303" s="309">
        <v>1.5115615186982586E-2</v>
      </c>
      <c r="E303" s="309">
        <v>0</v>
      </c>
      <c r="F303" s="309">
        <v>0</v>
      </c>
      <c r="G303" s="309">
        <v>0</v>
      </c>
      <c r="H303" s="309">
        <v>0</v>
      </c>
      <c r="I303" s="309">
        <v>0</v>
      </c>
      <c r="J303" s="310">
        <v>9.3202129397592128E-3</v>
      </c>
      <c r="K303" s="310">
        <v>0</v>
      </c>
      <c r="L303" s="309">
        <v>0</v>
      </c>
      <c r="M303" s="309">
        <v>0</v>
      </c>
      <c r="N303" s="309">
        <v>0</v>
      </c>
      <c r="O303" s="310">
        <v>0</v>
      </c>
      <c r="P303" s="310">
        <v>0</v>
      </c>
      <c r="Q303" s="309">
        <v>0</v>
      </c>
      <c r="R303" s="310">
        <v>0</v>
      </c>
      <c r="S303" s="310">
        <v>4.4398807773386459E-3</v>
      </c>
      <c r="T303" s="310"/>
      <c r="U303" s="310"/>
      <c r="V303" s="316"/>
    </row>
    <row r="304" spans="1:22">
      <c r="A304" s="311"/>
      <c r="B304" s="312" t="s">
        <v>779</v>
      </c>
      <c r="C304" s="313">
        <v>7.1023524103364594E-3</v>
      </c>
      <c r="D304" s="314">
        <v>1.6096491167914548E-2</v>
      </c>
      <c r="E304" s="314">
        <v>0</v>
      </c>
      <c r="F304" s="314">
        <v>0</v>
      </c>
      <c r="G304" s="314">
        <v>0</v>
      </c>
      <c r="H304" s="314">
        <v>0</v>
      </c>
      <c r="I304" s="314">
        <v>0</v>
      </c>
      <c r="J304" s="315">
        <v>9.6051653472327449E-3</v>
      </c>
      <c r="K304" s="315">
        <v>0</v>
      </c>
      <c r="L304" s="314">
        <v>0</v>
      </c>
      <c r="M304" s="314">
        <v>0</v>
      </c>
      <c r="N304" s="314">
        <v>0</v>
      </c>
      <c r="O304" s="315">
        <v>0</v>
      </c>
      <c r="P304" s="315">
        <v>0</v>
      </c>
      <c r="Q304" s="314">
        <v>0</v>
      </c>
      <c r="R304" s="315">
        <v>0</v>
      </c>
      <c r="S304" s="315">
        <v>4.698446556040012E-3</v>
      </c>
      <c r="T304" s="315"/>
      <c r="U304" s="315"/>
      <c r="V304" s="316"/>
    </row>
    <row r="305" spans="1:22" s="338" customFormat="1">
      <c r="A305" s="311"/>
      <c r="B305" s="317" t="s">
        <v>780</v>
      </c>
      <c r="C305" s="318">
        <v>-3.210095909123066E-2</v>
      </c>
      <c r="D305" s="319">
        <v>9.8087598093196143E-2</v>
      </c>
      <c r="E305" s="319">
        <v>0</v>
      </c>
      <c r="F305" s="319">
        <v>0</v>
      </c>
      <c r="G305" s="319">
        <v>0</v>
      </c>
      <c r="H305" s="319">
        <v>0</v>
      </c>
      <c r="I305" s="319">
        <v>0</v>
      </c>
      <c r="J305" s="320">
        <v>2.8495240747353212E-2</v>
      </c>
      <c r="K305" s="320">
        <v>0</v>
      </c>
      <c r="L305" s="319">
        <v>0</v>
      </c>
      <c r="M305" s="319">
        <v>0</v>
      </c>
      <c r="N305" s="319">
        <v>0</v>
      </c>
      <c r="O305" s="320">
        <v>0</v>
      </c>
      <c r="P305" s="320">
        <v>0</v>
      </c>
      <c r="Q305" s="319">
        <v>0</v>
      </c>
      <c r="R305" s="320">
        <v>0</v>
      </c>
      <c r="S305" s="320">
        <v>2.5856577870136607E-2</v>
      </c>
      <c r="T305" s="320"/>
      <c r="U305" s="320"/>
      <c r="V305" s="316"/>
    </row>
    <row r="306" spans="1:22">
      <c r="A306" s="311"/>
      <c r="B306" s="291" t="s">
        <v>781</v>
      </c>
      <c r="C306" s="308">
        <v>0</v>
      </c>
      <c r="D306" s="309">
        <v>0</v>
      </c>
      <c r="E306" s="309">
        <v>0</v>
      </c>
      <c r="F306" s="309">
        <v>5.8736576244970684E-4</v>
      </c>
      <c r="G306" s="309">
        <v>0</v>
      </c>
      <c r="H306" s="309">
        <v>0</v>
      </c>
      <c r="I306" s="309">
        <v>0</v>
      </c>
      <c r="J306" s="310">
        <v>6.7836814021417214E-5</v>
      </c>
      <c r="K306" s="310">
        <v>0</v>
      </c>
      <c r="L306" s="309">
        <v>0</v>
      </c>
      <c r="M306" s="309">
        <v>0</v>
      </c>
      <c r="N306" s="309">
        <v>0</v>
      </c>
      <c r="O306" s="310">
        <v>0</v>
      </c>
      <c r="P306" s="310">
        <v>0</v>
      </c>
      <c r="Q306" s="309">
        <v>0</v>
      </c>
      <c r="R306" s="310">
        <v>0</v>
      </c>
      <c r="S306" s="310">
        <v>3.2315502716118006E-5</v>
      </c>
      <c r="T306" s="310"/>
      <c r="U306" s="310"/>
      <c r="V306" s="316"/>
    </row>
    <row r="307" spans="1:22">
      <c r="A307" s="311"/>
      <c r="B307" s="312" t="s">
        <v>782</v>
      </c>
      <c r="C307" s="313">
        <v>0</v>
      </c>
      <c r="D307" s="314">
        <v>0</v>
      </c>
      <c r="E307" s="314">
        <v>0</v>
      </c>
      <c r="F307" s="314">
        <v>5.0527409916846316E-4</v>
      </c>
      <c r="G307" s="314">
        <v>0</v>
      </c>
      <c r="H307" s="314">
        <v>0</v>
      </c>
      <c r="I307" s="314">
        <v>0</v>
      </c>
      <c r="J307" s="315">
        <v>5.7434075253954333E-5</v>
      </c>
      <c r="K307" s="315">
        <v>0</v>
      </c>
      <c r="L307" s="314">
        <v>0</v>
      </c>
      <c r="M307" s="314">
        <v>0</v>
      </c>
      <c r="N307" s="314">
        <v>0</v>
      </c>
      <c r="O307" s="315">
        <v>0</v>
      </c>
      <c r="P307" s="315">
        <v>0</v>
      </c>
      <c r="Q307" s="314">
        <v>0</v>
      </c>
      <c r="R307" s="315">
        <v>0</v>
      </c>
      <c r="S307" s="315">
        <v>2.8094355830535382E-5</v>
      </c>
      <c r="T307" s="315"/>
      <c r="U307" s="315"/>
      <c r="V307" s="316"/>
    </row>
    <row r="308" spans="1:22" s="338" customFormat="1">
      <c r="A308" s="311"/>
      <c r="B308" s="317" t="s">
        <v>783</v>
      </c>
      <c r="C308" s="318">
        <v>0</v>
      </c>
      <c r="D308" s="319">
        <v>0</v>
      </c>
      <c r="E308" s="319">
        <v>0</v>
      </c>
      <c r="F308" s="319">
        <v>-8.2091663281243683E-3</v>
      </c>
      <c r="G308" s="319">
        <v>0</v>
      </c>
      <c r="H308" s="319">
        <v>0</v>
      </c>
      <c r="I308" s="319">
        <v>0</v>
      </c>
      <c r="J308" s="320">
        <v>-1.040273876746288E-3</v>
      </c>
      <c r="K308" s="320">
        <v>0</v>
      </c>
      <c r="L308" s="319">
        <v>0</v>
      </c>
      <c r="M308" s="319">
        <v>0</v>
      </c>
      <c r="N308" s="319">
        <v>0</v>
      </c>
      <c r="O308" s="320">
        <v>0</v>
      </c>
      <c r="P308" s="320">
        <v>0</v>
      </c>
      <c r="Q308" s="319">
        <v>0</v>
      </c>
      <c r="R308" s="320">
        <v>0</v>
      </c>
      <c r="S308" s="320">
        <v>-4.2211468855826245E-4</v>
      </c>
      <c r="T308" s="320"/>
      <c r="U308" s="320"/>
      <c r="V308" s="316"/>
    </row>
    <row r="309" spans="1:22">
      <c r="A309" s="311"/>
      <c r="B309" s="291" t="s">
        <v>784</v>
      </c>
      <c r="C309" s="308">
        <v>0</v>
      </c>
      <c r="D309" s="309">
        <v>1.2717670568084499E-3</v>
      </c>
      <c r="E309" s="309">
        <v>0</v>
      </c>
      <c r="F309" s="309">
        <v>5.6974478957621559E-3</v>
      </c>
      <c r="G309" s="309">
        <v>0</v>
      </c>
      <c r="H309" s="309">
        <v>0</v>
      </c>
      <c r="I309" s="309">
        <v>0</v>
      </c>
      <c r="J309" s="310">
        <v>1.1617054401167697E-3</v>
      </c>
      <c r="K309" s="310">
        <v>0</v>
      </c>
      <c r="L309" s="309">
        <v>0</v>
      </c>
      <c r="M309" s="309">
        <v>0</v>
      </c>
      <c r="N309" s="309">
        <v>0</v>
      </c>
      <c r="O309" s="310">
        <v>0</v>
      </c>
      <c r="P309" s="310">
        <v>0</v>
      </c>
      <c r="Q309" s="309">
        <v>0</v>
      </c>
      <c r="R309" s="310">
        <v>0</v>
      </c>
      <c r="S309" s="310">
        <v>5.5340298401352077E-4</v>
      </c>
      <c r="T309" s="310"/>
      <c r="U309" s="310"/>
      <c r="V309" s="316"/>
    </row>
    <row r="310" spans="1:22">
      <c r="A310" s="311"/>
      <c r="B310" s="312" t="s">
        <v>785</v>
      </c>
      <c r="C310" s="313">
        <v>0</v>
      </c>
      <c r="D310" s="314">
        <v>1.6293994127030062E-3</v>
      </c>
      <c r="E310" s="314">
        <v>0</v>
      </c>
      <c r="F310" s="314">
        <v>4.1432476131813981E-3</v>
      </c>
      <c r="G310" s="314">
        <v>0</v>
      </c>
      <c r="H310" s="314">
        <v>0</v>
      </c>
      <c r="I310" s="314">
        <v>0</v>
      </c>
      <c r="J310" s="315">
        <v>1.1207849542414518E-3</v>
      </c>
      <c r="K310" s="315">
        <v>0</v>
      </c>
      <c r="L310" s="314">
        <v>0</v>
      </c>
      <c r="M310" s="314">
        <v>0</v>
      </c>
      <c r="N310" s="314">
        <v>0</v>
      </c>
      <c r="O310" s="315">
        <v>0</v>
      </c>
      <c r="P310" s="315">
        <v>0</v>
      </c>
      <c r="Q310" s="314">
        <v>0</v>
      </c>
      <c r="R310" s="315">
        <v>0</v>
      </c>
      <c r="S310" s="315">
        <v>5.4824128663587615E-4</v>
      </c>
      <c r="T310" s="315"/>
      <c r="U310" s="315"/>
      <c r="V310" s="316"/>
    </row>
    <row r="311" spans="1:22" s="338" customFormat="1" ht="15.75" thickBot="1">
      <c r="A311" s="311"/>
      <c r="B311" s="325" t="s">
        <v>786</v>
      </c>
      <c r="C311" s="326">
        <v>0</v>
      </c>
      <c r="D311" s="327">
        <v>3.5763235589455634E-2</v>
      </c>
      <c r="E311" s="327">
        <v>0</v>
      </c>
      <c r="F311" s="327">
        <v>-0.15542002825807577</v>
      </c>
      <c r="G311" s="327">
        <v>0</v>
      </c>
      <c r="H311" s="327">
        <v>0</v>
      </c>
      <c r="I311" s="327">
        <v>0</v>
      </c>
      <c r="J311" s="328">
        <v>-4.0920485875317906E-3</v>
      </c>
      <c r="K311" s="328">
        <v>0</v>
      </c>
      <c r="L311" s="327">
        <v>0</v>
      </c>
      <c r="M311" s="327">
        <v>0</v>
      </c>
      <c r="N311" s="327">
        <v>0</v>
      </c>
      <c r="O311" s="328">
        <v>0</v>
      </c>
      <c r="P311" s="328">
        <v>0</v>
      </c>
      <c r="Q311" s="327">
        <v>0</v>
      </c>
      <c r="R311" s="328">
        <v>0</v>
      </c>
      <c r="S311" s="328">
        <v>-5.1616973776446185E-4</v>
      </c>
      <c r="T311" s="328"/>
      <c r="U311" s="328"/>
      <c r="V311" s="316"/>
    </row>
    <row r="312" spans="1:22" ht="15.75" thickTop="1">
      <c r="A312" s="311"/>
      <c r="B312" s="312" t="s">
        <v>787</v>
      </c>
      <c r="C312" s="313">
        <v>0.66506554778200733</v>
      </c>
      <c r="D312" s="314">
        <v>0.71376087851199022</v>
      </c>
      <c r="E312" s="314">
        <v>0</v>
      </c>
      <c r="F312" s="314">
        <v>0.25728251209637604</v>
      </c>
      <c r="G312" s="314">
        <v>0.56884930187770821</v>
      </c>
      <c r="H312" s="314">
        <v>0</v>
      </c>
      <c r="I312" s="314">
        <v>0</v>
      </c>
      <c r="J312" s="315">
        <v>0.61672568782348136</v>
      </c>
      <c r="K312" s="315">
        <v>0</v>
      </c>
      <c r="L312" s="314">
        <v>0</v>
      </c>
      <c r="M312" s="314">
        <v>0</v>
      </c>
      <c r="N312" s="314">
        <v>0</v>
      </c>
      <c r="O312" s="315">
        <v>0</v>
      </c>
      <c r="P312" s="315">
        <v>0</v>
      </c>
      <c r="Q312" s="314">
        <v>0</v>
      </c>
      <c r="R312" s="315">
        <v>0</v>
      </c>
      <c r="S312" s="315">
        <v>0.61672568782348136</v>
      </c>
      <c r="T312" s="315"/>
      <c r="U312" s="315"/>
      <c r="V312" s="316"/>
    </row>
    <row r="313" spans="1:22">
      <c r="A313" s="311"/>
      <c r="B313" s="312" t="s">
        <v>788</v>
      </c>
      <c r="C313" s="313">
        <v>0.66180728352465612</v>
      </c>
      <c r="D313" s="314">
        <v>0.70260163416712618</v>
      </c>
      <c r="E313" s="314">
        <v>0</v>
      </c>
      <c r="F313" s="314">
        <v>0.2316813248732208</v>
      </c>
      <c r="G313" s="314">
        <v>0.52924157883860301</v>
      </c>
      <c r="H313" s="314">
        <v>0</v>
      </c>
      <c r="I313" s="314">
        <v>0</v>
      </c>
      <c r="J313" s="315">
        <v>0.60607076643919378</v>
      </c>
      <c r="K313" s="315">
        <v>0</v>
      </c>
      <c r="L313" s="314">
        <v>0</v>
      </c>
      <c r="M313" s="314">
        <v>0</v>
      </c>
      <c r="N313" s="314">
        <v>0</v>
      </c>
      <c r="O313" s="315">
        <v>0</v>
      </c>
      <c r="P313" s="315">
        <v>0</v>
      </c>
      <c r="Q313" s="314">
        <v>0</v>
      </c>
      <c r="R313" s="315">
        <v>0</v>
      </c>
      <c r="S313" s="315">
        <v>0.60607076643919378</v>
      </c>
      <c r="T313" s="315"/>
      <c r="U313" s="315"/>
      <c r="V313" s="316"/>
    </row>
    <row r="314" spans="1:22" s="338" customFormat="1">
      <c r="A314" s="311"/>
      <c r="B314" s="317" t="s">
        <v>789</v>
      </c>
      <c r="C314" s="318">
        <v>-0.32582642573512066</v>
      </c>
      <c r="D314" s="319">
        <v>-1.1159244344864039</v>
      </c>
      <c r="E314" s="319">
        <v>0</v>
      </c>
      <c r="F314" s="321">
        <v>-2.560118722315524</v>
      </c>
      <c r="G314" s="321">
        <v>-3.9607723039105203</v>
      </c>
      <c r="H314" s="319">
        <v>0</v>
      </c>
      <c r="I314" s="319">
        <v>0</v>
      </c>
      <c r="J314" s="320">
        <v>-1.0654921384287586</v>
      </c>
      <c r="K314" s="320">
        <v>0</v>
      </c>
      <c r="L314" s="319">
        <v>0</v>
      </c>
      <c r="M314" s="319">
        <v>0</v>
      </c>
      <c r="N314" s="319">
        <v>0</v>
      </c>
      <c r="O314" s="320">
        <v>0</v>
      </c>
      <c r="P314" s="320">
        <v>0</v>
      </c>
      <c r="Q314" s="319">
        <v>0</v>
      </c>
      <c r="R314" s="320">
        <v>0</v>
      </c>
      <c r="S314" s="320">
        <v>-1.0654921384287586</v>
      </c>
      <c r="T314" s="320"/>
      <c r="U314" s="320"/>
      <c r="V314" s="316"/>
    </row>
    <row r="315" spans="1:22">
      <c r="A315" s="311"/>
      <c r="B315" s="291" t="s">
        <v>790</v>
      </c>
      <c r="C315" s="308">
        <v>5.3767217565476588E-2</v>
      </c>
      <c r="D315" s="309">
        <v>0.10493560723929213</v>
      </c>
      <c r="E315" s="309">
        <v>0</v>
      </c>
      <c r="F315" s="309">
        <v>2.0613212204996543E-2</v>
      </c>
      <c r="G315" s="309">
        <v>0.10303322099181512</v>
      </c>
      <c r="H315" s="309">
        <v>0</v>
      </c>
      <c r="I315" s="309">
        <v>0</v>
      </c>
      <c r="J315" s="310">
        <v>6.9627605877545781E-2</v>
      </c>
      <c r="K315" s="310">
        <v>0</v>
      </c>
      <c r="L315" s="309">
        <v>0</v>
      </c>
      <c r="M315" s="309">
        <v>0</v>
      </c>
      <c r="N315" s="309">
        <v>0</v>
      </c>
      <c r="O315" s="310">
        <v>0</v>
      </c>
      <c r="P315" s="310">
        <v>0</v>
      </c>
      <c r="Q315" s="309">
        <v>0</v>
      </c>
      <c r="R315" s="310">
        <v>0</v>
      </c>
      <c r="S315" s="310">
        <v>6.9627605877545781E-2</v>
      </c>
      <c r="T315" s="310"/>
      <c r="U315" s="310"/>
      <c r="V315" s="316"/>
    </row>
    <row r="316" spans="1:22">
      <c r="A316" s="311"/>
      <c r="B316" s="312" t="s">
        <v>791</v>
      </c>
      <c r="C316" s="313">
        <v>5.6656830732515005E-2</v>
      </c>
      <c r="D316" s="314">
        <v>9.2355506541681287E-2</v>
      </c>
      <c r="E316" s="314">
        <v>0</v>
      </c>
      <c r="F316" s="314">
        <v>1.3670104608148166E-2</v>
      </c>
      <c r="G316" s="314">
        <v>9.5887580078528628E-2</v>
      </c>
      <c r="H316" s="314">
        <v>0</v>
      </c>
      <c r="I316" s="314">
        <v>0</v>
      </c>
      <c r="J316" s="315">
        <v>6.4529998816614725E-2</v>
      </c>
      <c r="K316" s="315">
        <v>0</v>
      </c>
      <c r="L316" s="314">
        <v>0</v>
      </c>
      <c r="M316" s="314">
        <v>0</v>
      </c>
      <c r="N316" s="314">
        <v>0</v>
      </c>
      <c r="O316" s="315">
        <v>0</v>
      </c>
      <c r="P316" s="315">
        <v>0</v>
      </c>
      <c r="Q316" s="314">
        <v>0</v>
      </c>
      <c r="R316" s="315">
        <v>0</v>
      </c>
      <c r="S316" s="315">
        <v>6.4529998816614725E-2</v>
      </c>
      <c r="T316" s="315"/>
      <c r="U316" s="315"/>
      <c r="V316" s="316"/>
    </row>
    <row r="317" spans="1:22" s="338" customFormat="1">
      <c r="A317" s="311"/>
      <c r="B317" s="317" t="s">
        <v>792</v>
      </c>
      <c r="C317" s="318">
        <v>0.28896131670384173</v>
      </c>
      <c r="D317" s="319">
        <v>-1.2580100697610841</v>
      </c>
      <c r="E317" s="319">
        <v>0</v>
      </c>
      <c r="F317" s="319">
        <v>-0.69431075968483769</v>
      </c>
      <c r="G317" s="319">
        <v>-0.71456409132864973</v>
      </c>
      <c r="H317" s="319">
        <v>0</v>
      </c>
      <c r="I317" s="319">
        <v>0</v>
      </c>
      <c r="J317" s="320">
        <v>-0.50976070609310553</v>
      </c>
      <c r="K317" s="320">
        <v>0</v>
      </c>
      <c r="L317" s="319">
        <v>0</v>
      </c>
      <c r="M317" s="319">
        <v>0</v>
      </c>
      <c r="N317" s="319">
        <v>0</v>
      </c>
      <c r="O317" s="320">
        <v>0</v>
      </c>
      <c r="P317" s="320">
        <v>0</v>
      </c>
      <c r="Q317" s="319">
        <v>0</v>
      </c>
      <c r="R317" s="320">
        <v>0</v>
      </c>
      <c r="S317" s="320">
        <v>-0.50976070609310553</v>
      </c>
      <c r="T317" s="320"/>
      <c r="U317" s="320"/>
      <c r="V317" s="316"/>
    </row>
    <row r="318" spans="1:22">
      <c r="A318" s="311"/>
      <c r="B318" s="291" t="s">
        <v>793</v>
      </c>
      <c r="C318" s="308">
        <v>0.2634346847915856</v>
      </c>
      <c r="D318" s="309">
        <v>0.16802344840046976</v>
      </c>
      <c r="E318" s="309">
        <v>0</v>
      </c>
      <c r="F318" s="309">
        <v>0.71788288733089756</v>
      </c>
      <c r="G318" s="309">
        <v>0.32811747713047668</v>
      </c>
      <c r="H318" s="309">
        <v>0</v>
      </c>
      <c r="I318" s="309">
        <v>0</v>
      </c>
      <c r="J318" s="310">
        <v>0.30017866585479192</v>
      </c>
      <c r="K318" s="310">
        <v>0</v>
      </c>
      <c r="L318" s="309">
        <v>0</v>
      </c>
      <c r="M318" s="309">
        <v>0</v>
      </c>
      <c r="N318" s="309">
        <v>0</v>
      </c>
      <c r="O318" s="310">
        <v>0</v>
      </c>
      <c r="P318" s="310">
        <v>0</v>
      </c>
      <c r="Q318" s="309">
        <v>0</v>
      </c>
      <c r="R318" s="310">
        <v>0</v>
      </c>
      <c r="S318" s="310">
        <v>0.30017866585479192</v>
      </c>
      <c r="T318" s="310"/>
      <c r="U318" s="310"/>
      <c r="V318" s="316"/>
    </row>
    <row r="319" spans="1:22">
      <c r="A319" s="311"/>
      <c r="B319" s="312" t="s">
        <v>794</v>
      </c>
      <c r="C319" s="313">
        <v>0.26923325964091133</v>
      </c>
      <c r="D319" s="314">
        <v>0.19710261165973231</v>
      </c>
      <c r="E319" s="314">
        <v>0</v>
      </c>
      <c r="F319" s="314">
        <v>0.75075332565716946</v>
      </c>
      <c r="G319" s="314">
        <v>0.37487084108286833</v>
      </c>
      <c r="H319" s="314">
        <v>0</v>
      </c>
      <c r="I319" s="314">
        <v>0</v>
      </c>
      <c r="J319" s="315">
        <v>0.32040156206855747</v>
      </c>
      <c r="K319" s="315">
        <v>0</v>
      </c>
      <c r="L319" s="314">
        <v>0</v>
      </c>
      <c r="M319" s="314">
        <v>0</v>
      </c>
      <c r="N319" s="314">
        <v>0</v>
      </c>
      <c r="O319" s="315">
        <v>0</v>
      </c>
      <c r="P319" s="315">
        <v>0</v>
      </c>
      <c r="Q319" s="314">
        <v>0</v>
      </c>
      <c r="R319" s="315">
        <v>0</v>
      </c>
      <c r="S319" s="315">
        <v>0.32040156206855747</v>
      </c>
      <c r="T319" s="315"/>
      <c r="U319" s="315"/>
      <c r="V319" s="316"/>
    </row>
    <row r="320" spans="1:22" s="338" customFormat="1">
      <c r="A320" s="311"/>
      <c r="B320" s="317" t="s">
        <v>795</v>
      </c>
      <c r="C320" s="318">
        <v>0.57985748493257216</v>
      </c>
      <c r="D320" s="319">
        <v>2.9079163259262546</v>
      </c>
      <c r="E320" s="319">
        <v>0</v>
      </c>
      <c r="F320" s="321">
        <v>3.28704383262719</v>
      </c>
      <c r="G320" s="319">
        <v>4.6753363952391656</v>
      </c>
      <c r="H320" s="319">
        <v>0</v>
      </c>
      <c r="I320" s="319">
        <v>0</v>
      </c>
      <c r="J320" s="320">
        <v>2.0222896213765553</v>
      </c>
      <c r="K320" s="320">
        <v>0</v>
      </c>
      <c r="L320" s="319">
        <v>0</v>
      </c>
      <c r="M320" s="319">
        <v>0</v>
      </c>
      <c r="N320" s="319">
        <v>0</v>
      </c>
      <c r="O320" s="320">
        <v>0</v>
      </c>
      <c r="P320" s="320">
        <v>0</v>
      </c>
      <c r="Q320" s="319">
        <v>0</v>
      </c>
      <c r="R320" s="320">
        <v>0</v>
      </c>
      <c r="S320" s="320">
        <v>2.0222896213765553</v>
      </c>
      <c r="T320" s="320"/>
      <c r="U320" s="320"/>
      <c r="V320" s="316"/>
    </row>
    <row r="321" spans="1:22">
      <c r="A321" s="311"/>
      <c r="B321" s="291" t="s">
        <v>796</v>
      </c>
      <c r="C321" s="308">
        <v>1.3394340392812051E-2</v>
      </c>
      <c r="D321" s="309">
        <v>1.3159611736245646E-2</v>
      </c>
      <c r="E321" s="309">
        <v>0</v>
      </c>
      <c r="F321" s="309">
        <v>0</v>
      </c>
      <c r="G321" s="309">
        <v>0</v>
      </c>
      <c r="H321" s="309">
        <v>0</v>
      </c>
      <c r="I321" s="309">
        <v>0</v>
      </c>
      <c r="J321" s="310">
        <v>1.0904225487525438E-2</v>
      </c>
      <c r="K321" s="310">
        <v>0</v>
      </c>
      <c r="L321" s="309">
        <v>0</v>
      </c>
      <c r="M321" s="309">
        <v>0</v>
      </c>
      <c r="N321" s="309">
        <v>0</v>
      </c>
      <c r="O321" s="310">
        <v>0</v>
      </c>
      <c r="P321" s="310">
        <v>0</v>
      </c>
      <c r="Q321" s="309">
        <v>0</v>
      </c>
      <c r="R321" s="310">
        <v>0</v>
      </c>
      <c r="S321" s="310">
        <v>1.0904225487525438E-2</v>
      </c>
      <c r="T321" s="310"/>
      <c r="U321" s="310"/>
      <c r="V321" s="316"/>
    </row>
    <row r="322" spans="1:22">
      <c r="A322" s="311"/>
      <c r="B322" s="312" t="s">
        <v>797</v>
      </c>
      <c r="C322" s="313">
        <v>1.0878111500642882E-2</v>
      </c>
      <c r="D322" s="314">
        <v>7.7297107624442326E-3</v>
      </c>
      <c r="E322" s="314">
        <v>0</v>
      </c>
      <c r="F322" s="314">
        <v>0</v>
      </c>
      <c r="G322" s="314">
        <v>0</v>
      </c>
      <c r="H322" s="314">
        <v>0</v>
      </c>
      <c r="I322" s="314">
        <v>0</v>
      </c>
      <c r="J322" s="315">
        <v>7.680170407478995E-3</v>
      </c>
      <c r="K322" s="315">
        <v>0</v>
      </c>
      <c r="L322" s="314">
        <v>0</v>
      </c>
      <c r="M322" s="314">
        <v>0</v>
      </c>
      <c r="N322" s="314">
        <v>0</v>
      </c>
      <c r="O322" s="315">
        <v>0</v>
      </c>
      <c r="P322" s="315">
        <v>0</v>
      </c>
      <c r="Q322" s="314">
        <v>0</v>
      </c>
      <c r="R322" s="315">
        <v>0</v>
      </c>
      <c r="S322" s="315">
        <v>7.680170407478995E-3</v>
      </c>
      <c r="T322" s="315"/>
      <c r="U322" s="315"/>
      <c r="V322" s="316"/>
    </row>
    <row r="323" spans="1:22" s="338" customFormat="1">
      <c r="A323" s="311"/>
      <c r="B323" s="317" t="s">
        <v>798</v>
      </c>
      <c r="C323" s="318">
        <v>-0.25162288921691689</v>
      </c>
      <c r="D323" s="319">
        <v>-0.54299009738014137</v>
      </c>
      <c r="E323" s="319">
        <v>0</v>
      </c>
      <c r="F323" s="319">
        <v>0</v>
      </c>
      <c r="G323" s="319">
        <v>0</v>
      </c>
      <c r="H323" s="319">
        <v>0</v>
      </c>
      <c r="I323" s="319">
        <v>0</v>
      </c>
      <c r="J323" s="320">
        <v>-0.32240550800464435</v>
      </c>
      <c r="K323" s="320">
        <v>0</v>
      </c>
      <c r="L323" s="319">
        <v>0</v>
      </c>
      <c r="M323" s="319">
        <v>0</v>
      </c>
      <c r="N323" s="319">
        <v>0</v>
      </c>
      <c r="O323" s="320">
        <v>0</v>
      </c>
      <c r="P323" s="320">
        <v>0</v>
      </c>
      <c r="Q323" s="319">
        <v>0</v>
      </c>
      <c r="R323" s="320">
        <v>0</v>
      </c>
      <c r="S323" s="320">
        <v>-0.32240550800464435</v>
      </c>
      <c r="T323" s="320"/>
      <c r="U323" s="320"/>
      <c r="V323" s="316"/>
    </row>
    <row r="324" spans="1:22">
      <c r="A324" s="311"/>
      <c r="B324" s="291" t="s">
        <v>799</v>
      </c>
      <c r="C324" s="308">
        <v>0</v>
      </c>
      <c r="D324" s="309">
        <v>0</v>
      </c>
      <c r="E324" s="309">
        <v>0</v>
      </c>
      <c r="F324" s="309">
        <v>2.1477239063888614E-3</v>
      </c>
      <c r="G324" s="309">
        <v>0</v>
      </c>
      <c r="H324" s="309">
        <v>0</v>
      </c>
      <c r="I324" s="309">
        <v>0</v>
      </c>
      <c r="J324" s="310">
        <v>3.4851859567035747E-4</v>
      </c>
      <c r="K324" s="310">
        <v>0</v>
      </c>
      <c r="L324" s="309">
        <v>0</v>
      </c>
      <c r="M324" s="309">
        <v>0</v>
      </c>
      <c r="N324" s="309">
        <v>0</v>
      </c>
      <c r="O324" s="310">
        <v>0</v>
      </c>
      <c r="P324" s="310">
        <v>0</v>
      </c>
      <c r="Q324" s="309">
        <v>0</v>
      </c>
      <c r="R324" s="310">
        <v>0</v>
      </c>
      <c r="S324" s="310">
        <v>3.4851859567035747E-4</v>
      </c>
      <c r="T324" s="310"/>
      <c r="U324" s="310"/>
      <c r="V324" s="316"/>
    </row>
    <row r="325" spans="1:22">
      <c r="A325" s="311"/>
      <c r="B325" s="312" t="s">
        <v>800</v>
      </c>
      <c r="C325" s="313">
        <v>0</v>
      </c>
      <c r="D325" s="314">
        <v>0</v>
      </c>
      <c r="E325" s="314">
        <v>0</v>
      </c>
      <c r="F325" s="314">
        <v>1.3229133491756289E-3</v>
      </c>
      <c r="G325" s="314">
        <v>0</v>
      </c>
      <c r="H325" s="314">
        <v>0</v>
      </c>
      <c r="I325" s="314">
        <v>0</v>
      </c>
      <c r="J325" s="315">
        <v>2.1300934874363931E-4</v>
      </c>
      <c r="K325" s="315">
        <v>0</v>
      </c>
      <c r="L325" s="314">
        <v>0</v>
      </c>
      <c r="M325" s="314">
        <v>0</v>
      </c>
      <c r="N325" s="314">
        <v>0</v>
      </c>
      <c r="O325" s="315">
        <v>0</v>
      </c>
      <c r="P325" s="315">
        <v>0</v>
      </c>
      <c r="Q325" s="314">
        <v>0</v>
      </c>
      <c r="R325" s="315">
        <v>0</v>
      </c>
      <c r="S325" s="315">
        <v>2.1300934874363931E-4</v>
      </c>
      <c r="T325" s="315"/>
      <c r="U325" s="315"/>
      <c r="V325" s="316"/>
    </row>
    <row r="326" spans="1:22" s="338" customFormat="1">
      <c r="A326" s="311"/>
      <c r="B326" s="317" t="s">
        <v>801</v>
      </c>
      <c r="C326" s="318">
        <v>0</v>
      </c>
      <c r="D326" s="319">
        <v>0</v>
      </c>
      <c r="E326" s="319">
        <v>0</v>
      </c>
      <c r="F326" s="319">
        <v>-8.2481055721323235E-2</v>
      </c>
      <c r="G326" s="319">
        <v>0</v>
      </c>
      <c r="H326" s="319">
        <v>0</v>
      </c>
      <c r="I326" s="319">
        <v>0</v>
      </c>
      <c r="J326" s="320">
        <v>-1.3550924692671816E-2</v>
      </c>
      <c r="K326" s="320">
        <v>0</v>
      </c>
      <c r="L326" s="319">
        <v>0</v>
      </c>
      <c r="M326" s="319">
        <v>0</v>
      </c>
      <c r="N326" s="319">
        <v>0</v>
      </c>
      <c r="O326" s="320">
        <v>0</v>
      </c>
      <c r="P326" s="320">
        <v>0</v>
      </c>
      <c r="Q326" s="319">
        <v>0</v>
      </c>
      <c r="R326" s="320">
        <v>0</v>
      </c>
      <c r="S326" s="320">
        <v>-1.3550924692671816E-2</v>
      </c>
      <c r="T326" s="320"/>
      <c r="U326" s="320"/>
      <c r="V326" s="316"/>
    </row>
    <row r="327" spans="1:22">
      <c r="A327" s="311"/>
      <c r="B327" s="291" t="s">
        <v>802</v>
      </c>
      <c r="C327" s="308">
        <v>4.338209468118432E-3</v>
      </c>
      <c r="D327" s="309">
        <v>1.2045411200224848E-4</v>
      </c>
      <c r="E327" s="309">
        <v>0</v>
      </c>
      <c r="F327" s="309">
        <v>2.0736644613409696E-3</v>
      </c>
      <c r="G327" s="309">
        <v>0</v>
      </c>
      <c r="H327" s="309">
        <v>0</v>
      </c>
      <c r="I327" s="309">
        <v>0</v>
      </c>
      <c r="J327" s="310">
        <v>2.2152963609851457E-3</v>
      </c>
      <c r="K327" s="310">
        <v>0</v>
      </c>
      <c r="L327" s="309">
        <v>0</v>
      </c>
      <c r="M327" s="309">
        <v>0</v>
      </c>
      <c r="N327" s="309">
        <v>0</v>
      </c>
      <c r="O327" s="310">
        <v>0</v>
      </c>
      <c r="P327" s="310">
        <v>0</v>
      </c>
      <c r="Q327" s="309">
        <v>0</v>
      </c>
      <c r="R327" s="310">
        <v>0</v>
      </c>
      <c r="S327" s="310">
        <v>2.2152963609851457E-3</v>
      </c>
      <c r="T327" s="310"/>
      <c r="U327" s="310"/>
      <c r="V327" s="316"/>
    </row>
    <row r="328" spans="1:22">
      <c r="A328" s="311"/>
      <c r="B328" s="312" t="s">
        <v>803</v>
      </c>
      <c r="C328" s="324">
        <v>1.4245146012746631E-3</v>
      </c>
      <c r="D328" s="314">
        <v>2.1053686901599078E-4</v>
      </c>
      <c r="E328" s="314">
        <v>0</v>
      </c>
      <c r="F328" s="314">
        <v>2.5723315122859452E-3</v>
      </c>
      <c r="G328" s="314">
        <v>0</v>
      </c>
      <c r="H328" s="314">
        <v>0</v>
      </c>
      <c r="I328" s="314">
        <v>0</v>
      </c>
      <c r="J328" s="315">
        <v>1.1044929194114631E-3</v>
      </c>
      <c r="K328" s="315">
        <v>0</v>
      </c>
      <c r="L328" s="314">
        <v>0</v>
      </c>
      <c r="M328" s="314">
        <v>0</v>
      </c>
      <c r="N328" s="314">
        <v>0</v>
      </c>
      <c r="O328" s="315">
        <v>0</v>
      </c>
      <c r="P328" s="315">
        <v>0</v>
      </c>
      <c r="Q328" s="314">
        <v>0</v>
      </c>
      <c r="R328" s="315">
        <v>0</v>
      </c>
      <c r="S328" s="315">
        <v>1.1044929194114631E-3</v>
      </c>
      <c r="T328" s="315"/>
      <c r="U328" s="315"/>
      <c r="V328" s="316"/>
    </row>
    <row r="329" spans="1:22" s="338" customFormat="1" ht="15.75" thickBot="1">
      <c r="A329" s="329"/>
      <c r="B329" s="330" t="s">
        <v>804</v>
      </c>
      <c r="C329" s="331">
        <v>-0.2913694866843769</v>
      </c>
      <c r="D329" s="332">
        <v>9.0082757013742291E-3</v>
      </c>
      <c r="E329" s="332">
        <v>0</v>
      </c>
      <c r="F329" s="332">
        <v>4.986670509449756E-2</v>
      </c>
      <c r="G329" s="332">
        <v>0</v>
      </c>
      <c r="H329" s="332">
        <v>0</v>
      </c>
      <c r="I329" s="332">
        <v>0</v>
      </c>
      <c r="J329" s="333">
        <v>-0.11108034415736825</v>
      </c>
      <c r="K329" s="333">
        <v>0</v>
      </c>
      <c r="L329" s="332">
        <v>0</v>
      </c>
      <c r="M329" s="332">
        <v>0</v>
      </c>
      <c r="N329" s="332">
        <v>0</v>
      </c>
      <c r="O329" s="333">
        <v>0</v>
      </c>
      <c r="P329" s="333">
        <v>0</v>
      </c>
      <c r="Q329" s="332">
        <v>0</v>
      </c>
      <c r="R329" s="333">
        <v>0</v>
      </c>
      <c r="S329" s="333">
        <v>-0.11108034415736825</v>
      </c>
      <c r="T329" s="333"/>
      <c r="U329" s="333"/>
      <c r="V329" s="316"/>
    </row>
    <row r="330" spans="1:22">
      <c r="A330" s="307" t="s">
        <v>338</v>
      </c>
      <c r="B330" s="291" t="s">
        <v>769</v>
      </c>
      <c r="C330" s="308">
        <v>0.87975523264062938</v>
      </c>
      <c r="D330" s="309">
        <v>0.7985663070787572</v>
      </c>
      <c r="E330" s="309">
        <v>0.88473980377222672</v>
      </c>
      <c r="F330" s="309">
        <v>0.71068746160401097</v>
      </c>
      <c r="G330" s="309">
        <v>0.77943963785200432</v>
      </c>
      <c r="H330" s="309">
        <v>0.9008616720384135</v>
      </c>
      <c r="I330" s="309">
        <v>0</v>
      </c>
      <c r="J330" s="310">
        <v>0.8612109728301075</v>
      </c>
      <c r="K330" s="310">
        <v>0</v>
      </c>
      <c r="L330" s="309">
        <v>0.37417510702115492</v>
      </c>
      <c r="M330" s="309">
        <v>0.39464524082105751</v>
      </c>
      <c r="N330" s="309">
        <v>0.36271011016108057</v>
      </c>
      <c r="O330" s="310">
        <v>0.37994310512903917</v>
      </c>
      <c r="P330" s="310">
        <v>0</v>
      </c>
      <c r="Q330" s="309">
        <v>0</v>
      </c>
      <c r="R330" s="310">
        <v>0</v>
      </c>
      <c r="S330" s="310">
        <v>0.58172524796084923</v>
      </c>
      <c r="T330" s="310"/>
      <c r="U330" s="310"/>
      <c r="V330" s="316"/>
    </row>
    <row r="331" spans="1:22">
      <c r="A331" s="311"/>
      <c r="B331" s="312" t="s">
        <v>770</v>
      </c>
      <c r="C331" s="313">
        <v>0.8672258773410757</v>
      </c>
      <c r="D331" s="314">
        <v>0.78964059861446978</v>
      </c>
      <c r="E331" s="314">
        <v>0.85639009645112274</v>
      </c>
      <c r="F331" s="314">
        <v>0.68868268814878897</v>
      </c>
      <c r="G331" s="314">
        <v>0.75185920116469107</v>
      </c>
      <c r="H331" s="314">
        <v>0.88761777499011441</v>
      </c>
      <c r="I331" s="314">
        <v>0</v>
      </c>
      <c r="J331" s="315">
        <v>0.84317568122924558</v>
      </c>
      <c r="K331" s="315">
        <v>0</v>
      </c>
      <c r="L331" s="314">
        <v>0.37846176705418166</v>
      </c>
      <c r="M331" s="314">
        <v>0.37146194132121102</v>
      </c>
      <c r="N331" s="314">
        <v>0.33987020536138923</v>
      </c>
      <c r="O331" s="315">
        <v>0.37029765237669948</v>
      </c>
      <c r="P331" s="315">
        <v>0</v>
      </c>
      <c r="Q331" s="314">
        <v>0</v>
      </c>
      <c r="R331" s="315">
        <v>0</v>
      </c>
      <c r="S331" s="315">
        <v>0.57333935384456625</v>
      </c>
      <c r="T331" s="315"/>
      <c r="U331" s="315"/>
      <c r="V331" s="316"/>
    </row>
    <row r="332" spans="1:22">
      <c r="A332" s="311"/>
      <c r="B332" s="317" t="s">
        <v>771</v>
      </c>
      <c r="C332" s="318">
        <v>-1.2529355299553679</v>
      </c>
      <c r="D332" s="319">
        <v>-0.89257084642874185</v>
      </c>
      <c r="E332" s="319">
        <v>-2.8349707321103979</v>
      </c>
      <c r="F332" s="321">
        <v>-2.2004773455222004</v>
      </c>
      <c r="G332" s="319">
        <v>-2.7580436687313248</v>
      </c>
      <c r="H332" s="319">
        <v>-1.3243897048299091</v>
      </c>
      <c r="I332" s="319">
        <v>0</v>
      </c>
      <c r="J332" s="320">
        <v>-1.8035291600861925</v>
      </c>
      <c r="K332" s="320">
        <v>0</v>
      </c>
      <c r="L332" s="321">
        <v>0.42866600330267457</v>
      </c>
      <c r="M332" s="319">
        <v>-2.3183299499846486</v>
      </c>
      <c r="N332" s="319">
        <v>-2.2839904799691335</v>
      </c>
      <c r="O332" s="320">
        <v>-0.96454527523396894</v>
      </c>
      <c r="P332" s="320">
        <v>0</v>
      </c>
      <c r="Q332" s="319">
        <v>0</v>
      </c>
      <c r="R332" s="320">
        <v>0</v>
      </c>
      <c r="S332" s="320">
        <v>-0.83858941162829881</v>
      </c>
      <c r="T332" s="320"/>
      <c r="U332" s="320"/>
      <c r="V332" s="316"/>
    </row>
    <row r="333" spans="1:22">
      <c r="A333" s="311"/>
      <c r="B333" s="291" t="s">
        <v>772</v>
      </c>
      <c r="C333" s="308">
        <v>4.1577359997758342E-3</v>
      </c>
      <c r="D333" s="309">
        <v>7.4268608593056778E-4</v>
      </c>
      <c r="E333" s="309">
        <v>6.1747796213633107E-3</v>
      </c>
      <c r="F333" s="309">
        <v>1.4816723145927878E-2</v>
      </c>
      <c r="G333" s="309">
        <v>3.6737538716479799E-2</v>
      </c>
      <c r="H333" s="309">
        <v>4.7359073866999933E-3</v>
      </c>
      <c r="I333" s="309">
        <v>0</v>
      </c>
      <c r="J333" s="310">
        <v>6.5357857550804917E-3</v>
      </c>
      <c r="K333" s="310">
        <v>0</v>
      </c>
      <c r="L333" s="309">
        <v>0.20275095072173063</v>
      </c>
      <c r="M333" s="309">
        <v>0.15645589974775426</v>
      </c>
      <c r="N333" s="309">
        <v>0.14368048351053356</v>
      </c>
      <c r="O333" s="310">
        <v>0.17715841205213043</v>
      </c>
      <c r="P333" s="310">
        <v>0</v>
      </c>
      <c r="Q333" s="309">
        <v>0</v>
      </c>
      <c r="R333" s="310">
        <v>0</v>
      </c>
      <c r="S333" s="310">
        <v>0.10562112178118584</v>
      </c>
      <c r="T333" s="310"/>
      <c r="U333" s="310"/>
      <c r="V333" s="316"/>
    </row>
    <row r="334" spans="1:22">
      <c r="A334" s="311"/>
      <c r="B334" s="312" t="s">
        <v>773</v>
      </c>
      <c r="C334" s="313">
        <v>1.5963340084931591E-3</v>
      </c>
      <c r="D334" s="314">
        <v>4.4213697441203015E-3</v>
      </c>
      <c r="E334" s="314">
        <v>8.7993875015290723E-3</v>
      </c>
      <c r="F334" s="314">
        <v>1.0454963235294117E-2</v>
      </c>
      <c r="G334" s="314">
        <v>5.3370009904073973E-3</v>
      </c>
      <c r="H334" s="314">
        <v>5.1541471795361268E-3</v>
      </c>
      <c r="I334" s="314">
        <v>0</v>
      </c>
      <c r="J334" s="315">
        <v>4.7783126494381897E-3</v>
      </c>
      <c r="K334" s="315">
        <v>0</v>
      </c>
      <c r="L334" s="314">
        <v>0.20825083571726083</v>
      </c>
      <c r="M334" s="314">
        <v>0.15500358649463405</v>
      </c>
      <c r="N334" s="314">
        <v>0.13635533232510563</v>
      </c>
      <c r="O334" s="315">
        <v>0.17849916965600054</v>
      </c>
      <c r="P334" s="315">
        <v>0</v>
      </c>
      <c r="Q334" s="314">
        <v>0</v>
      </c>
      <c r="R334" s="315">
        <v>0</v>
      </c>
      <c r="S334" s="315">
        <v>0.10390788768703602</v>
      </c>
      <c r="T334" s="315"/>
      <c r="U334" s="315"/>
      <c r="V334" s="316"/>
    </row>
    <row r="335" spans="1:22">
      <c r="A335" s="311"/>
      <c r="B335" s="317" t="s">
        <v>774</v>
      </c>
      <c r="C335" s="318">
        <v>-0.25614019912826752</v>
      </c>
      <c r="D335" s="319">
        <v>0.36786836581897342</v>
      </c>
      <c r="E335" s="319">
        <v>0.26246078801657619</v>
      </c>
      <c r="F335" s="319">
        <v>-0.43617599106337607</v>
      </c>
      <c r="G335" s="319">
        <v>-3.1400537726072404</v>
      </c>
      <c r="H335" s="319">
        <v>4.1823979283613352E-2</v>
      </c>
      <c r="I335" s="319">
        <v>0</v>
      </c>
      <c r="J335" s="320">
        <v>-0.17574731056423021</v>
      </c>
      <c r="K335" s="320">
        <v>0</v>
      </c>
      <c r="L335" s="319">
        <v>0.54998849955301965</v>
      </c>
      <c r="M335" s="319">
        <v>-0.14523132531202021</v>
      </c>
      <c r="N335" s="319">
        <v>-0.7325151185427925</v>
      </c>
      <c r="O335" s="320">
        <v>0.13407576038701186</v>
      </c>
      <c r="P335" s="320">
        <v>0</v>
      </c>
      <c r="Q335" s="319">
        <v>0</v>
      </c>
      <c r="R335" s="320">
        <v>0</v>
      </c>
      <c r="S335" s="320">
        <v>-0.17132340941498209</v>
      </c>
      <c r="T335" s="320"/>
      <c r="U335" s="320"/>
      <c r="V335" s="316"/>
    </row>
    <row r="336" spans="1:22">
      <c r="A336" s="311"/>
      <c r="B336" s="291" t="s">
        <v>775</v>
      </c>
      <c r="C336" s="308">
        <v>0.11567606130570167</v>
      </c>
      <c r="D336" s="309">
        <v>0.20065687902830007</v>
      </c>
      <c r="E336" s="309">
        <v>0.10878975733443884</v>
      </c>
      <c r="F336" s="309">
        <v>0.27449581525006111</v>
      </c>
      <c r="G336" s="309">
        <v>0.18137981800142952</v>
      </c>
      <c r="H336" s="309">
        <v>8.7634019601394456E-2</v>
      </c>
      <c r="I336" s="309">
        <v>0</v>
      </c>
      <c r="J336" s="310">
        <v>0.13162955807409144</v>
      </c>
      <c r="K336" s="310">
        <v>0</v>
      </c>
      <c r="L336" s="309">
        <v>0.42177407281474749</v>
      </c>
      <c r="M336" s="309">
        <v>0.43637405843297278</v>
      </c>
      <c r="N336" s="309">
        <v>0.4848436277559206</v>
      </c>
      <c r="O336" s="310">
        <v>0.43640549496869913</v>
      </c>
      <c r="P336" s="310">
        <v>0</v>
      </c>
      <c r="Q336" s="309">
        <v>0</v>
      </c>
      <c r="R336" s="310">
        <v>0</v>
      </c>
      <c r="S336" s="310">
        <v>0.30862147746523855</v>
      </c>
      <c r="T336" s="310"/>
      <c r="U336" s="310"/>
      <c r="V336" s="316"/>
    </row>
    <row r="337" spans="1:22">
      <c r="A337" s="311"/>
      <c r="B337" s="312" t="s">
        <v>776</v>
      </c>
      <c r="C337" s="313">
        <v>0.12990647242860173</v>
      </c>
      <c r="D337" s="314">
        <v>0.20591444680991569</v>
      </c>
      <c r="E337" s="314">
        <v>0.13470185096988238</v>
      </c>
      <c r="F337" s="314">
        <v>0.30086234861591693</v>
      </c>
      <c r="G337" s="314">
        <v>0.19137260666127717</v>
      </c>
      <c r="H337" s="314">
        <v>9.0333928741869948E-2</v>
      </c>
      <c r="I337" s="314">
        <v>0</v>
      </c>
      <c r="J337" s="315">
        <v>0.1480863028667338</v>
      </c>
      <c r="K337" s="315">
        <v>0</v>
      </c>
      <c r="L337" s="314">
        <v>0.41211065003944369</v>
      </c>
      <c r="M337" s="314">
        <v>0.46771322177696795</v>
      </c>
      <c r="N337" s="314">
        <v>0.51265510308331463</v>
      </c>
      <c r="O337" s="315">
        <v>0.44689548154626663</v>
      </c>
      <c r="P337" s="315">
        <v>0</v>
      </c>
      <c r="Q337" s="314">
        <v>0</v>
      </c>
      <c r="R337" s="315">
        <v>0</v>
      </c>
      <c r="S337" s="315">
        <v>0.31859448139084035</v>
      </c>
      <c r="T337" s="315"/>
      <c r="U337" s="315"/>
      <c r="V337" s="316"/>
    </row>
    <row r="338" spans="1:22">
      <c r="A338" s="311"/>
      <c r="B338" s="317" t="s">
        <v>777</v>
      </c>
      <c r="C338" s="318">
        <v>1.4230411122900064</v>
      </c>
      <c r="D338" s="319">
        <v>0.52575677816156241</v>
      </c>
      <c r="E338" s="319">
        <v>2.5912093635443543</v>
      </c>
      <c r="F338" s="321">
        <v>2.6366533365855815</v>
      </c>
      <c r="G338" s="319">
        <v>0.99927886598476512</v>
      </c>
      <c r="H338" s="319">
        <v>0.26999091404754927</v>
      </c>
      <c r="I338" s="319">
        <v>0</v>
      </c>
      <c r="J338" s="320">
        <v>1.6456744792642364</v>
      </c>
      <c r="K338" s="320">
        <v>0</v>
      </c>
      <c r="L338" s="321">
        <v>-0.96634227753037982</v>
      </c>
      <c r="M338" s="319">
        <v>3.1339163343995171</v>
      </c>
      <c r="N338" s="319">
        <v>2.7811475327394031</v>
      </c>
      <c r="O338" s="320">
        <v>1.0489986577567501</v>
      </c>
      <c r="P338" s="320">
        <v>0</v>
      </c>
      <c r="Q338" s="319">
        <v>0</v>
      </c>
      <c r="R338" s="320">
        <v>0</v>
      </c>
      <c r="S338" s="320">
        <v>0.99730039256017977</v>
      </c>
      <c r="T338" s="320"/>
      <c r="U338" s="320"/>
      <c r="V338" s="316"/>
    </row>
    <row r="339" spans="1:22">
      <c r="A339" s="311"/>
      <c r="B339" s="291" t="s">
        <v>778</v>
      </c>
      <c r="C339" s="308">
        <v>9.1178421047715668E-5</v>
      </c>
      <c r="D339" s="309">
        <v>3.4127807012126748E-5</v>
      </c>
      <c r="E339" s="309">
        <v>2.9565927197117966E-4</v>
      </c>
      <c r="F339" s="309">
        <v>0</v>
      </c>
      <c r="G339" s="309">
        <v>2.4430054300863054E-3</v>
      </c>
      <c r="H339" s="309">
        <v>5.9790830757087418E-3</v>
      </c>
      <c r="I339" s="309">
        <v>0</v>
      </c>
      <c r="J339" s="310">
        <v>4.5602223118368742E-4</v>
      </c>
      <c r="K339" s="310">
        <v>0</v>
      </c>
      <c r="L339" s="309">
        <v>7.3509450266702394E-4</v>
      </c>
      <c r="M339" s="309">
        <v>6.6236281267467584E-3</v>
      </c>
      <c r="N339" s="309">
        <v>7.4385484128702229E-3</v>
      </c>
      <c r="O339" s="310">
        <v>3.8707752873339014E-3</v>
      </c>
      <c r="P339" s="310">
        <v>0</v>
      </c>
      <c r="Q339" s="309">
        <v>0</v>
      </c>
      <c r="R339" s="310">
        <v>0</v>
      </c>
      <c r="S339" s="310">
        <v>2.4390649340064151E-3</v>
      </c>
      <c r="T339" s="310"/>
      <c r="U339" s="310"/>
      <c r="V339" s="316"/>
    </row>
    <row r="340" spans="1:22">
      <c r="A340" s="311"/>
      <c r="B340" s="312" t="s">
        <v>779</v>
      </c>
      <c r="C340" s="313">
        <v>7.4501396138736408E-5</v>
      </c>
      <c r="D340" s="314">
        <v>2.3584831494240584E-5</v>
      </c>
      <c r="E340" s="314">
        <v>1.0866507746578137E-4</v>
      </c>
      <c r="F340" s="314">
        <v>0</v>
      </c>
      <c r="G340" s="314">
        <v>1.8198298459094074E-3</v>
      </c>
      <c r="H340" s="314">
        <v>1.6894149088479526E-2</v>
      </c>
      <c r="I340" s="314">
        <v>0</v>
      </c>
      <c r="J340" s="315">
        <v>6.5578558486058746E-4</v>
      </c>
      <c r="K340" s="315">
        <v>0</v>
      </c>
      <c r="L340" s="314">
        <v>8.5988473606133406E-4</v>
      </c>
      <c r="M340" s="314">
        <v>5.5393673634674704E-3</v>
      </c>
      <c r="N340" s="314">
        <v>7.2612526013029789E-3</v>
      </c>
      <c r="O340" s="315">
        <v>3.4866441652220393E-3</v>
      </c>
      <c r="P340" s="315">
        <v>0</v>
      </c>
      <c r="Q340" s="314">
        <v>0</v>
      </c>
      <c r="R340" s="315">
        <v>0</v>
      </c>
      <c r="S340" s="315">
        <v>2.2711460712077601E-3</v>
      </c>
      <c r="T340" s="315"/>
      <c r="U340" s="315"/>
      <c r="V340" s="316"/>
    </row>
    <row r="341" spans="1:22">
      <c r="A341" s="311"/>
      <c r="B341" s="317" t="s">
        <v>780</v>
      </c>
      <c r="C341" s="318">
        <v>-1.6677024908979261E-3</v>
      </c>
      <c r="D341" s="319">
        <v>-1.0542975517886166E-3</v>
      </c>
      <c r="E341" s="319">
        <v>-1.869941945053983E-2</v>
      </c>
      <c r="F341" s="319">
        <v>0</v>
      </c>
      <c r="G341" s="319">
        <v>-6.2317558417689795E-2</v>
      </c>
      <c r="H341" s="319">
        <v>1.0915066012770787</v>
      </c>
      <c r="I341" s="319">
        <v>0</v>
      </c>
      <c r="J341" s="320">
        <v>1.9976335367690005E-2</v>
      </c>
      <c r="K341" s="320">
        <v>0</v>
      </c>
      <c r="L341" s="319">
        <v>1.2479023339431012E-2</v>
      </c>
      <c r="M341" s="319">
        <v>-0.10842607632792879</v>
      </c>
      <c r="N341" s="319">
        <v>-1.7729581156724402E-2</v>
      </c>
      <c r="O341" s="320">
        <v>-3.8413112211186207E-2</v>
      </c>
      <c r="P341" s="320">
        <v>0</v>
      </c>
      <c r="Q341" s="319">
        <v>0</v>
      </c>
      <c r="R341" s="320">
        <v>0</v>
      </c>
      <c r="S341" s="320">
        <v>-1.6791886279865498E-2</v>
      </c>
      <c r="T341" s="320"/>
      <c r="U341" s="320"/>
      <c r="V341" s="316"/>
    </row>
    <row r="342" spans="1:22">
      <c r="A342" s="311"/>
      <c r="B342" s="291" t="s">
        <v>781</v>
      </c>
      <c r="C342" s="308">
        <v>3.1979163284540275E-4</v>
      </c>
      <c r="D342" s="309">
        <v>0</v>
      </c>
      <c r="E342" s="309">
        <v>0</v>
      </c>
      <c r="F342" s="309">
        <v>0</v>
      </c>
      <c r="G342" s="309">
        <v>0</v>
      </c>
      <c r="H342" s="309">
        <v>7.8931789778333226E-4</v>
      </c>
      <c r="I342" s="309">
        <v>0</v>
      </c>
      <c r="J342" s="310">
        <v>1.6766110953685966E-4</v>
      </c>
      <c r="K342" s="310">
        <v>0</v>
      </c>
      <c r="L342" s="309">
        <v>5.6477493969992593E-4</v>
      </c>
      <c r="M342" s="309">
        <v>5.9011728714686781E-3</v>
      </c>
      <c r="N342" s="309">
        <v>1.3272301595950286E-3</v>
      </c>
      <c r="O342" s="310">
        <v>2.6222125627974823E-3</v>
      </c>
      <c r="P342" s="310">
        <v>0</v>
      </c>
      <c r="Q342" s="309">
        <v>0</v>
      </c>
      <c r="R342" s="310">
        <v>0</v>
      </c>
      <c r="S342" s="310">
        <v>1.593087858720002E-3</v>
      </c>
      <c r="T342" s="310"/>
      <c r="U342" s="310"/>
      <c r="V342" s="316"/>
    </row>
    <row r="343" spans="1:22">
      <c r="A343" s="311"/>
      <c r="B343" s="312" t="s">
        <v>782</v>
      </c>
      <c r="C343" s="313">
        <v>1.1968148256906955E-3</v>
      </c>
      <c r="D343" s="314">
        <v>0</v>
      </c>
      <c r="E343" s="314">
        <v>0</v>
      </c>
      <c r="F343" s="314">
        <v>0</v>
      </c>
      <c r="G343" s="314">
        <v>4.9611361337714925E-2</v>
      </c>
      <c r="H343" s="314">
        <v>0</v>
      </c>
      <c r="I343" s="314">
        <v>0</v>
      </c>
      <c r="J343" s="315">
        <v>3.3039176697218582E-3</v>
      </c>
      <c r="K343" s="315">
        <v>0</v>
      </c>
      <c r="L343" s="314">
        <v>3.1686245305244165E-4</v>
      </c>
      <c r="M343" s="314">
        <v>2.8188304371949143E-4</v>
      </c>
      <c r="N343" s="314">
        <v>3.8581066288874855E-3</v>
      </c>
      <c r="O343" s="315">
        <v>8.2105225581132456E-4</v>
      </c>
      <c r="P343" s="315">
        <v>0</v>
      </c>
      <c r="Q343" s="314">
        <v>0</v>
      </c>
      <c r="R343" s="315">
        <v>0</v>
      </c>
      <c r="S343" s="315">
        <v>1.8871310063495771E-3</v>
      </c>
      <c r="T343" s="315"/>
      <c r="U343" s="315"/>
      <c r="V343" s="316"/>
    </row>
    <row r="344" spans="1:22">
      <c r="A344" s="311"/>
      <c r="B344" s="317" t="s">
        <v>783</v>
      </c>
      <c r="C344" s="318">
        <v>8.7702319284529276E-2</v>
      </c>
      <c r="D344" s="319">
        <v>0</v>
      </c>
      <c r="E344" s="319">
        <v>0</v>
      </c>
      <c r="F344" s="319">
        <v>0</v>
      </c>
      <c r="G344" s="319">
        <v>0</v>
      </c>
      <c r="H344" s="319">
        <v>-7.893178977833322E-2</v>
      </c>
      <c r="I344" s="319">
        <v>0</v>
      </c>
      <c r="J344" s="320">
        <v>0.31362565601849984</v>
      </c>
      <c r="K344" s="320">
        <v>0</v>
      </c>
      <c r="L344" s="319">
        <v>-2.4791248664748428E-2</v>
      </c>
      <c r="M344" s="319">
        <v>-0.56192898277491865</v>
      </c>
      <c r="N344" s="319">
        <v>0.25308764692924568</v>
      </c>
      <c r="O344" s="320">
        <v>-0.18011603069861579</v>
      </c>
      <c r="P344" s="320">
        <v>0</v>
      </c>
      <c r="Q344" s="319">
        <v>0</v>
      </c>
      <c r="R344" s="320">
        <v>0</v>
      </c>
      <c r="S344" s="320">
        <v>2.9404314762957514E-2</v>
      </c>
      <c r="T344" s="320"/>
      <c r="U344" s="320"/>
      <c r="V344" s="316"/>
    </row>
    <row r="345" spans="1:22">
      <c r="A345" s="311"/>
      <c r="B345" s="291" t="s">
        <v>784</v>
      </c>
      <c r="C345" s="308">
        <v>0</v>
      </c>
      <c r="D345" s="309">
        <v>0</v>
      </c>
      <c r="E345" s="309">
        <v>0</v>
      </c>
      <c r="F345" s="309">
        <v>0</v>
      </c>
      <c r="G345" s="309">
        <v>0</v>
      </c>
      <c r="H345" s="309">
        <v>0</v>
      </c>
      <c r="I345" s="309">
        <v>0</v>
      </c>
      <c r="J345" s="310">
        <v>0</v>
      </c>
      <c r="K345" s="310">
        <v>0</v>
      </c>
      <c r="L345" s="309">
        <v>0</v>
      </c>
      <c r="M345" s="309">
        <v>0</v>
      </c>
      <c r="N345" s="309">
        <v>0</v>
      </c>
      <c r="O345" s="310">
        <v>0</v>
      </c>
      <c r="P345" s="310">
        <v>0</v>
      </c>
      <c r="Q345" s="309">
        <v>0</v>
      </c>
      <c r="R345" s="310">
        <v>0</v>
      </c>
      <c r="S345" s="310">
        <v>0</v>
      </c>
      <c r="T345" s="310"/>
      <c r="U345" s="310"/>
      <c r="V345" s="316"/>
    </row>
    <row r="346" spans="1:22">
      <c r="A346" s="311"/>
      <c r="B346" s="312" t="s">
        <v>785</v>
      </c>
      <c r="C346" s="313">
        <v>0</v>
      </c>
      <c r="D346" s="314">
        <v>0</v>
      </c>
      <c r="E346" s="314">
        <v>0</v>
      </c>
      <c r="F346" s="314">
        <v>0</v>
      </c>
      <c r="G346" s="314">
        <v>0</v>
      </c>
      <c r="H346" s="314">
        <v>0</v>
      </c>
      <c r="I346" s="314">
        <v>0</v>
      </c>
      <c r="J346" s="315">
        <v>0</v>
      </c>
      <c r="K346" s="315">
        <v>0</v>
      </c>
      <c r="L346" s="314">
        <v>0</v>
      </c>
      <c r="M346" s="314">
        <v>0</v>
      </c>
      <c r="N346" s="314">
        <v>0</v>
      </c>
      <c r="O346" s="315">
        <v>0</v>
      </c>
      <c r="P346" s="315">
        <v>0</v>
      </c>
      <c r="Q346" s="314">
        <v>0</v>
      </c>
      <c r="R346" s="315">
        <v>0</v>
      </c>
      <c r="S346" s="315">
        <v>0</v>
      </c>
      <c r="T346" s="315"/>
      <c r="U346" s="315"/>
      <c r="V346" s="316"/>
    </row>
    <row r="347" spans="1:22" ht="15.75" thickBot="1">
      <c r="A347" s="311"/>
      <c r="B347" s="325" t="s">
        <v>786</v>
      </c>
      <c r="C347" s="326">
        <v>0</v>
      </c>
      <c r="D347" s="327">
        <v>0</v>
      </c>
      <c r="E347" s="327">
        <v>0</v>
      </c>
      <c r="F347" s="327">
        <v>0</v>
      </c>
      <c r="G347" s="327">
        <v>0</v>
      </c>
      <c r="H347" s="327">
        <v>0</v>
      </c>
      <c r="I347" s="327">
        <v>0</v>
      </c>
      <c r="J347" s="328">
        <v>0</v>
      </c>
      <c r="K347" s="328">
        <v>0</v>
      </c>
      <c r="L347" s="327">
        <v>0</v>
      </c>
      <c r="M347" s="327">
        <v>0</v>
      </c>
      <c r="N347" s="327">
        <v>0</v>
      </c>
      <c r="O347" s="328">
        <v>0</v>
      </c>
      <c r="P347" s="328">
        <v>0</v>
      </c>
      <c r="Q347" s="327">
        <v>0</v>
      </c>
      <c r="R347" s="328">
        <v>0</v>
      </c>
      <c r="S347" s="328">
        <v>0</v>
      </c>
      <c r="T347" s="328"/>
      <c r="U347" s="328"/>
      <c r="V347" s="316"/>
    </row>
    <row r="348" spans="1:22" ht="15.75" thickTop="1">
      <c r="A348" s="311"/>
      <c r="B348" s="312" t="s">
        <v>787</v>
      </c>
      <c r="C348" s="313">
        <v>0.80058661433760592</v>
      </c>
      <c r="D348" s="314">
        <v>0.45795100388641247</v>
      </c>
      <c r="E348" s="314">
        <v>0.66665811911019934</v>
      </c>
      <c r="F348" s="314">
        <v>0.52990691225985342</v>
      </c>
      <c r="G348" s="314">
        <v>0.6806197455873938</v>
      </c>
      <c r="H348" s="314">
        <v>0.78219533275713049</v>
      </c>
      <c r="I348" s="314">
        <v>0</v>
      </c>
      <c r="J348" s="315">
        <v>0.72858532315972468</v>
      </c>
      <c r="K348" s="315">
        <v>0</v>
      </c>
      <c r="L348" s="314">
        <v>0</v>
      </c>
      <c r="M348" s="314">
        <v>0</v>
      </c>
      <c r="N348" s="314">
        <v>0</v>
      </c>
      <c r="O348" s="315">
        <v>0</v>
      </c>
      <c r="P348" s="315">
        <v>0</v>
      </c>
      <c r="Q348" s="314">
        <v>0</v>
      </c>
      <c r="R348" s="315">
        <v>0</v>
      </c>
      <c r="S348" s="315">
        <v>0.72858532315972468</v>
      </c>
      <c r="T348" s="315"/>
      <c r="U348" s="315"/>
      <c r="V348" s="316"/>
    </row>
    <row r="349" spans="1:22">
      <c r="A349" s="311"/>
      <c r="B349" s="312" t="s">
        <v>788</v>
      </c>
      <c r="C349" s="313">
        <v>0.79337477178948701</v>
      </c>
      <c r="D349" s="314">
        <v>0.42564528320590822</v>
      </c>
      <c r="E349" s="314">
        <v>0.63654139701522661</v>
      </c>
      <c r="F349" s="314">
        <v>0.45270216332721319</v>
      </c>
      <c r="G349" s="314">
        <v>0.55979978925184404</v>
      </c>
      <c r="H349" s="314">
        <v>0.89815817984832069</v>
      </c>
      <c r="I349" s="314">
        <v>0</v>
      </c>
      <c r="J349" s="315">
        <v>0.70791581026612926</v>
      </c>
      <c r="K349" s="315">
        <v>0</v>
      </c>
      <c r="L349" s="314">
        <v>0</v>
      </c>
      <c r="M349" s="314">
        <v>0</v>
      </c>
      <c r="N349" s="314">
        <v>0</v>
      </c>
      <c r="O349" s="315">
        <v>0</v>
      </c>
      <c r="P349" s="315">
        <v>0</v>
      </c>
      <c r="Q349" s="314">
        <v>0</v>
      </c>
      <c r="R349" s="315">
        <v>0</v>
      </c>
      <c r="S349" s="315">
        <v>0.70791581026612926</v>
      </c>
      <c r="T349" s="315"/>
      <c r="U349" s="315"/>
      <c r="V349" s="316"/>
    </row>
    <row r="350" spans="1:22">
      <c r="A350" s="311"/>
      <c r="B350" s="317" t="s">
        <v>789</v>
      </c>
      <c r="C350" s="318">
        <v>-0.72118425481189075</v>
      </c>
      <c r="D350" s="319">
        <v>-3.2305720680504244</v>
      </c>
      <c r="E350" s="319">
        <v>-3.0116722094972737</v>
      </c>
      <c r="F350" s="319">
        <v>-7.720474893264023</v>
      </c>
      <c r="G350" s="319">
        <v>-12.081995633554977</v>
      </c>
      <c r="H350" s="319">
        <v>11.59628470911902</v>
      </c>
      <c r="I350" s="319">
        <v>0</v>
      </c>
      <c r="J350" s="320">
        <v>-2.0669512893595421</v>
      </c>
      <c r="K350" s="320">
        <v>0</v>
      </c>
      <c r="L350" s="319">
        <v>0</v>
      </c>
      <c r="M350" s="319">
        <v>0</v>
      </c>
      <c r="N350" s="319">
        <v>0</v>
      </c>
      <c r="O350" s="320">
        <v>0</v>
      </c>
      <c r="P350" s="320">
        <v>0</v>
      </c>
      <c r="Q350" s="319">
        <v>0</v>
      </c>
      <c r="R350" s="320">
        <v>0</v>
      </c>
      <c r="S350" s="320">
        <v>-2.0669512893595421</v>
      </c>
      <c r="T350" s="320"/>
      <c r="U350" s="320"/>
      <c r="V350" s="316"/>
    </row>
    <row r="351" spans="1:22">
      <c r="A351" s="311"/>
      <c r="B351" s="291" t="s">
        <v>790</v>
      </c>
      <c r="C351" s="308">
        <v>4.4171433343075446E-2</v>
      </c>
      <c r="D351" s="309">
        <v>5.9090852651576292E-2</v>
      </c>
      <c r="E351" s="309">
        <v>5.2189242900185909E-2</v>
      </c>
      <c r="F351" s="309">
        <v>0.18904733610615965</v>
      </c>
      <c r="G351" s="309">
        <v>3.028302302037942E-2</v>
      </c>
      <c r="H351" s="309">
        <v>2.5929127052722557E-3</v>
      </c>
      <c r="I351" s="309">
        <v>0</v>
      </c>
      <c r="J351" s="310">
        <v>4.8909903791888421E-2</v>
      </c>
      <c r="K351" s="310">
        <v>0</v>
      </c>
      <c r="L351" s="309">
        <v>0</v>
      </c>
      <c r="M351" s="309">
        <v>0</v>
      </c>
      <c r="N351" s="309">
        <v>0</v>
      </c>
      <c r="O351" s="310">
        <v>0</v>
      </c>
      <c r="P351" s="310">
        <v>0</v>
      </c>
      <c r="Q351" s="309">
        <v>0</v>
      </c>
      <c r="R351" s="310">
        <v>0</v>
      </c>
      <c r="S351" s="310">
        <v>4.8909903791888421E-2</v>
      </c>
      <c r="T351" s="310"/>
      <c r="U351" s="310"/>
      <c r="V351" s="316"/>
    </row>
    <row r="352" spans="1:22">
      <c r="A352" s="311"/>
      <c r="B352" s="312" t="s">
        <v>791</v>
      </c>
      <c r="C352" s="313">
        <v>1.4510495045325511E-2</v>
      </c>
      <c r="D352" s="314">
        <v>5.3506152340119705E-2</v>
      </c>
      <c r="E352" s="314">
        <v>6.1209299978554038E-2</v>
      </c>
      <c r="F352" s="314">
        <v>0.12117825496926639</v>
      </c>
      <c r="G352" s="314">
        <v>2.5553213909378293E-2</v>
      </c>
      <c r="H352" s="314">
        <v>0</v>
      </c>
      <c r="I352" s="314">
        <v>0</v>
      </c>
      <c r="J352" s="315">
        <v>3.0692950377706002E-2</v>
      </c>
      <c r="K352" s="315">
        <v>0</v>
      </c>
      <c r="L352" s="314">
        <v>0</v>
      </c>
      <c r="M352" s="314">
        <v>0</v>
      </c>
      <c r="N352" s="314">
        <v>0</v>
      </c>
      <c r="O352" s="315">
        <v>0</v>
      </c>
      <c r="P352" s="315">
        <v>0</v>
      </c>
      <c r="Q352" s="314">
        <v>0</v>
      </c>
      <c r="R352" s="315">
        <v>0</v>
      </c>
      <c r="S352" s="315">
        <v>3.0692950377706002E-2</v>
      </c>
      <c r="T352" s="315"/>
      <c r="U352" s="315"/>
      <c r="V352" s="316"/>
    </row>
    <row r="353" spans="1:22">
      <c r="A353" s="311"/>
      <c r="B353" s="317" t="s">
        <v>792</v>
      </c>
      <c r="C353" s="318">
        <v>-2.9660938297749935</v>
      </c>
      <c r="D353" s="319">
        <v>-0.55847003114565874</v>
      </c>
      <c r="E353" s="319">
        <v>0.90200570783681289</v>
      </c>
      <c r="F353" s="321">
        <v>-6.7869081136893259</v>
      </c>
      <c r="G353" s="319">
        <v>-0.47298091110011264</v>
      </c>
      <c r="H353" s="319">
        <v>-0.25929127052722556</v>
      </c>
      <c r="I353" s="319">
        <v>0</v>
      </c>
      <c r="J353" s="320">
        <v>-1.8216953414182417</v>
      </c>
      <c r="K353" s="320">
        <v>0</v>
      </c>
      <c r="L353" s="319">
        <v>0</v>
      </c>
      <c r="M353" s="319">
        <v>0</v>
      </c>
      <c r="N353" s="319">
        <v>0</v>
      </c>
      <c r="O353" s="320">
        <v>0</v>
      </c>
      <c r="P353" s="320">
        <v>0</v>
      </c>
      <c r="Q353" s="319">
        <v>0</v>
      </c>
      <c r="R353" s="320">
        <v>0</v>
      </c>
      <c r="S353" s="320">
        <v>-1.8216953414182417</v>
      </c>
      <c r="T353" s="320"/>
      <c r="U353" s="320"/>
      <c r="V353" s="316"/>
    </row>
    <row r="354" spans="1:22">
      <c r="A354" s="311"/>
      <c r="B354" s="291" t="s">
        <v>793</v>
      </c>
      <c r="C354" s="308">
        <v>0.15226295353012401</v>
      </c>
      <c r="D354" s="309">
        <v>0.48295814346201127</v>
      </c>
      <c r="E354" s="309">
        <v>0.27790884031027629</v>
      </c>
      <c r="F354" s="309">
        <v>0.28104575163398693</v>
      </c>
      <c r="G354" s="309">
        <v>0.27708085743210531</v>
      </c>
      <c r="H354" s="309">
        <v>0.21521175453759722</v>
      </c>
      <c r="I354" s="309">
        <v>0</v>
      </c>
      <c r="J354" s="310">
        <v>0.2195615599829758</v>
      </c>
      <c r="K354" s="310">
        <v>0</v>
      </c>
      <c r="L354" s="309">
        <v>0</v>
      </c>
      <c r="M354" s="309">
        <v>0</v>
      </c>
      <c r="N354" s="309">
        <v>0</v>
      </c>
      <c r="O354" s="310">
        <v>0</v>
      </c>
      <c r="P354" s="310">
        <v>0</v>
      </c>
      <c r="Q354" s="309">
        <v>0</v>
      </c>
      <c r="R354" s="310">
        <v>0</v>
      </c>
      <c r="S354" s="310">
        <v>0.2195615599829758</v>
      </c>
      <c r="T354" s="310"/>
      <c r="U354" s="310"/>
      <c r="V354" s="316"/>
    </row>
    <row r="355" spans="1:22">
      <c r="A355" s="311"/>
      <c r="B355" s="312" t="s">
        <v>794</v>
      </c>
      <c r="C355" s="313">
        <v>0.18873141337498286</v>
      </c>
      <c r="D355" s="314">
        <v>0.52082378161361076</v>
      </c>
      <c r="E355" s="314">
        <v>0.30032547401884724</v>
      </c>
      <c r="F355" s="314">
        <v>0.42611958170352038</v>
      </c>
      <c r="G355" s="314">
        <v>0.34466104671584125</v>
      </c>
      <c r="H355" s="314">
        <v>0.10184182015167931</v>
      </c>
      <c r="I355" s="314">
        <v>0</v>
      </c>
      <c r="J355" s="315">
        <v>0.25671462509676213</v>
      </c>
      <c r="K355" s="315">
        <v>0</v>
      </c>
      <c r="L355" s="314">
        <v>0</v>
      </c>
      <c r="M355" s="314">
        <v>0</v>
      </c>
      <c r="N355" s="314">
        <v>0</v>
      </c>
      <c r="O355" s="315">
        <v>0</v>
      </c>
      <c r="P355" s="315">
        <v>0</v>
      </c>
      <c r="Q355" s="314">
        <v>0</v>
      </c>
      <c r="R355" s="315">
        <v>0</v>
      </c>
      <c r="S355" s="315">
        <v>0.25671462509676213</v>
      </c>
      <c r="T355" s="315"/>
      <c r="U355" s="315"/>
      <c r="V355" s="316"/>
    </row>
    <row r="356" spans="1:22">
      <c r="A356" s="311"/>
      <c r="B356" s="317" t="s">
        <v>795</v>
      </c>
      <c r="C356" s="318">
        <v>3.6468459844858856</v>
      </c>
      <c r="D356" s="319">
        <v>3.786563815159949</v>
      </c>
      <c r="E356" s="319">
        <v>2.2416633708570943</v>
      </c>
      <c r="F356" s="321">
        <v>14.507383006953345</v>
      </c>
      <c r="G356" s="319">
        <v>6.7580189283735939</v>
      </c>
      <c r="H356" s="319">
        <v>-11.336993438591792</v>
      </c>
      <c r="I356" s="319">
        <v>0</v>
      </c>
      <c r="J356" s="320">
        <v>3.7153065113786328</v>
      </c>
      <c r="K356" s="320">
        <v>0</v>
      </c>
      <c r="L356" s="319">
        <v>0</v>
      </c>
      <c r="M356" s="319">
        <v>0</v>
      </c>
      <c r="N356" s="319">
        <v>0</v>
      </c>
      <c r="O356" s="320">
        <v>0</v>
      </c>
      <c r="P356" s="320">
        <v>0</v>
      </c>
      <c r="Q356" s="319">
        <v>0</v>
      </c>
      <c r="R356" s="320">
        <v>0</v>
      </c>
      <c r="S356" s="320">
        <v>3.7153065113786328</v>
      </c>
      <c r="T356" s="320"/>
      <c r="U356" s="320"/>
      <c r="V356" s="316"/>
    </row>
    <row r="357" spans="1:22">
      <c r="A357" s="311"/>
      <c r="B357" s="291" t="s">
        <v>796</v>
      </c>
      <c r="C357" s="308">
        <v>2.8600058452674207E-4</v>
      </c>
      <c r="D357" s="309">
        <v>0</v>
      </c>
      <c r="E357" s="309">
        <v>3.2437976793384189E-3</v>
      </c>
      <c r="F357" s="309">
        <v>0</v>
      </c>
      <c r="G357" s="309">
        <v>1.2016373960121484E-2</v>
      </c>
      <c r="H357" s="309">
        <v>0</v>
      </c>
      <c r="I357" s="309">
        <v>0</v>
      </c>
      <c r="J357" s="310">
        <v>1.2221138567164896E-3</v>
      </c>
      <c r="K357" s="310">
        <v>0</v>
      </c>
      <c r="L357" s="309">
        <v>0</v>
      </c>
      <c r="M357" s="309">
        <v>0</v>
      </c>
      <c r="N357" s="309">
        <v>0</v>
      </c>
      <c r="O357" s="310">
        <v>0</v>
      </c>
      <c r="P357" s="310">
        <v>0</v>
      </c>
      <c r="Q357" s="309">
        <v>0</v>
      </c>
      <c r="R357" s="310">
        <v>0</v>
      </c>
      <c r="S357" s="310">
        <v>1.2221138567164896E-3</v>
      </c>
      <c r="T357" s="310"/>
      <c r="U357" s="310"/>
      <c r="V357" s="316"/>
    </row>
    <row r="358" spans="1:22">
      <c r="A358" s="311"/>
      <c r="B358" s="312" t="s">
        <v>797</v>
      </c>
      <c r="C358" s="313">
        <v>2.2372545088065514E-4</v>
      </c>
      <c r="D358" s="314">
        <v>2.4782840361333812E-5</v>
      </c>
      <c r="E358" s="314">
        <v>1.9238289873721127E-3</v>
      </c>
      <c r="F358" s="314">
        <v>0</v>
      </c>
      <c r="G358" s="314">
        <v>7.9030558482613277E-4</v>
      </c>
      <c r="H358" s="314">
        <v>0</v>
      </c>
      <c r="I358" s="314">
        <v>0</v>
      </c>
      <c r="J358" s="315">
        <v>5.7523423110802658E-4</v>
      </c>
      <c r="K358" s="315">
        <v>0</v>
      </c>
      <c r="L358" s="314">
        <v>0</v>
      </c>
      <c r="M358" s="314">
        <v>0</v>
      </c>
      <c r="N358" s="314">
        <v>0</v>
      </c>
      <c r="O358" s="315">
        <v>0</v>
      </c>
      <c r="P358" s="315">
        <v>0</v>
      </c>
      <c r="Q358" s="314">
        <v>0</v>
      </c>
      <c r="R358" s="315">
        <v>0</v>
      </c>
      <c r="S358" s="315">
        <v>5.7523423110802658E-4</v>
      </c>
      <c r="T358" s="315"/>
      <c r="U358" s="315"/>
      <c r="V358" s="316"/>
    </row>
    <row r="359" spans="1:22">
      <c r="A359" s="311"/>
      <c r="B359" s="317" t="s">
        <v>798</v>
      </c>
      <c r="C359" s="318">
        <v>-6.2275133646086936E-3</v>
      </c>
      <c r="D359" s="319">
        <v>0</v>
      </c>
      <c r="E359" s="319">
        <v>-0.13199686919663062</v>
      </c>
      <c r="F359" s="319">
        <v>0</v>
      </c>
      <c r="G359" s="319">
        <v>-1.1226068375295351</v>
      </c>
      <c r="H359" s="319">
        <v>0</v>
      </c>
      <c r="I359" s="319">
        <v>0</v>
      </c>
      <c r="J359" s="320">
        <v>-6.4687962560846302E-2</v>
      </c>
      <c r="K359" s="320">
        <v>0</v>
      </c>
      <c r="L359" s="319">
        <v>0</v>
      </c>
      <c r="M359" s="319">
        <v>0</v>
      </c>
      <c r="N359" s="319">
        <v>0</v>
      </c>
      <c r="O359" s="320">
        <v>0</v>
      </c>
      <c r="P359" s="320">
        <v>0</v>
      </c>
      <c r="Q359" s="319">
        <v>0</v>
      </c>
      <c r="R359" s="320">
        <v>0</v>
      </c>
      <c r="S359" s="320">
        <v>-6.4687962560846302E-2</v>
      </c>
      <c r="T359" s="320"/>
      <c r="U359" s="320"/>
      <c r="V359" s="316"/>
    </row>
    <row r="360" spans="1:22">
      <c r="A360" s="311"/>
      <c r="B360" s="291" t="s">
        <v>799</v>
      </c>
      <c r="C360" s="308">
        <v>2.6929982046678637E-3</v>
      </c>
      <c r="D360" s="309">
        <v>0</v>
      </c>
      <c r="E360" s="309">
        <v>0</v>
      </c>
      <c r="F360" s="309">
        <v>0</v>
      </c>
      <c r="G360" s="309">
        <v>0</v>
      </c>
      <c r="H360" s="309">
        <v>0</v>
      </c>
      <c r="I360" s="309">
        <v>0</v>
      </c>
      <c r="J360" s="310">
        <v>1.7210992086946196E-3</v>
      </c>
      <c r="K360" s="310">
        <v>0</v>
      </c>
      <c r="L360" s="309">
        <v>0</v>
      </c>
      <c r="M360" s="309">
        <v>0</v>
      </c>
      <c r="N360" s="309">
        <v>0</v>
      </c>
      <c r="O360" s="310">
        <v>0</v>
      </c>
      <c r="P360" s="310">
        <v>0</v>
      </c>
      <c r="Q360" s="309">
        <v>0</v>
      </c>
      <c r="R360" s="310">
        <v>0</v>
      </c>
      <c r="S360" s="310">
        <v>1.7210992086946196E-3</v>
      </c>
      <c r="T360" s="310"/>
      <c r="U360" s="310"/>
      <c r="V360" s="316"/>
    </row>
    <row r="361" spans="1:22">
      <c r="A361" s="311"/>
      <c r="B361" s="312" t="s">
        <v>800</v>
      </c>
      <c r="C361" s="313">
        <v>3.159594339323969E-3</v>
      </c>
      <c r="D361" s="314">
        <v>0</v>
      </c>
      <c r="E361" s="314">
        <v>0</v>
      </c>
      <c r="F361" s="314">
        <v>0</v>
      </c>
      <c r="G361" s="314">
        <v>6.9195644538110293E-2</v>
      </c>
      <c r="H361" s="314">
        <v>0</v>
      </c>
      <c r="I361" s="314">
        <v>0</v>
      </c>
      <c r="J361" s="315">
        <v>4.1013800282945836E-3</v>
      </c>
      <c r="K361" s="315">
        <v>0</v>
      </c>
      <c r="L361" s="314">
        <v>0</v>
      </c>
      <c r="M361" s="314">
        <v>0</v>
      </c>
      <c r="N361" s="314">
        <v>0</v>
      </c>
      <c r="O361" s="315">
        <v>0</v>
      </c>
      <c r="P361" s="315">
        <v>0</v>
      </c>
      <c r="Q361" s="314">
        <v>0</v>
      </c>
      <c r="R361" s="315">
        <v>0</v>
      </c>
      <c r="S361" s="315">
        <v>4.1013800282945836E-3</v>
      </c>
      <c r="T361" s="315"/>
      <c r="U361" s="315"/>
      <c r="V361" s="316"/>
    </row>
    <row r="362" spans="1:22">
      <c r="A362" s="311"/>
      <c r="B362" s="317" t="s">
        <v>801</v>
      </c>
      <c r="C362" s="318">
        <v>4.6659613465610539E-2</v>
      </c>
      <c r="D362" s="319">
        <v>0</v>
      </c>
      <c r="E362" s="319">
        <v>0</v>
      </c>
      <c r="F362" s="319">
        <v>0</v>
      </c>
      <c r="G362" s="319">
        <v>0</v>
      </c>
      <c r="H362" s="319">
        <v>0</v>
      </c>
      <c r="I362" s="319">
        <v>0</v>
      </c>
      <c r="J362" s="320">
        <v>0.23802808195999642</v>
      </c>
      <c r="K362" s="320">
        <v>0</v>
      </c>
      <c r="L362" s="319">
        <v>0</v>
      </c>
      <c r="M362" s="319">
        <v>0</v>
      </c>
      <c r="N362" s="319">
        <v>0</v>
      </c>
      <c r="O362" s="320">
        <v>0</v>
      </c>
      <c r="P362" s="320">
        <v>0</v>
      </c>
      <c r="Q362" s="319">
        <v>0</v>
      </c>
      <c r="R362" s="320">
        <v>0</v>
      </c>
      <c r="S362" s="320">
        <v>0.23802808195999642</v>
      </c>
      <c r="T362" s="320"/>
      <c r="U362" s="320"/>
      <c r="V362" s="316"/>
    </row>
    <row r="363" spans="1:22">
      <c r="A363" s="311"/>
      <c r="B363" s="291" t="s">
        <v>802</v>
      </c>
      <c r="C363" s="308">
        <v>0</v>
      </c>
      <c r="D363" s="309">
        <v>0</v>
      </c>
      <c r="E363" s="309">
        <v>0</v>
      </c>
      <c r="F363" s="309">
        <v>0</v>
      </c>
      <c r="G363" s="309">
        <v>0</v>
      </c>
      <c r="H363" s="309">
        <v>0</v>
      </c>
      <c r="I363" s="309">
        <v>0</v>
      </c>
      <c r="J363" s="310">
        <v>0</v>
      </c>
      <c r="K363" s="310">
        <v>0</v>
      </c>
      <c r="L363" s="309">
        <v>0</v>
      </c>
      <c r="M363" s="309">
        <v>0</v>
      </c>
      <c r="N363" s="309">
        <v>0</v>
      </c>
      <c r="O363" s="310">
        <v>0</v>
      </c>
      <c r="P363" s="310">
        <v>0</v>
      </c>
      <c r="Q363" s="309">
        <v>0</v>
      </c>
      <c r="R363" s="310">
        <v>0</v>
      </c>
      <c r="S363" s="310">
        <v>0</v>
      </c>
      <c r="T363" s="310"/>
      <c r="U363" s="310"/>
      <c r="V363" s="316"/>
    </row>
    <row r="364" spans="1:22">
      <c r="A364" s="311"/>
      <c r="B364" s="312" t="s">
        <v>803</v>
      </c>
      <c r="C364" s="313">
        <v>0</v>
      </c>
      <c r="D364" s="314">
        <v>0</v>
      </c>
      <c r="E364" s="314">
        <v>0</v>
      </c>
      <c r="F364" s="314">
        <v>0</v>
      </c>
      <c r="G364" s="314">
        <v>0</v>
      </c>
      <c r="H364" s="314">
        <v>0</v>
      </c>
      <c r="I364" s="314">
        <v>0</v>
      </c>
      <c r="J364" s="315">
        <v>0</v>
      </c>
      <c r="K364" s="315">
        <v>0</v>
      </c>
      <c r="L364" s="314">
        <v>0</v>
      </c>
      <c r="M364" s="314">
        <v>0</v>
      </c>
      <c r="N364" s="314">
        <v>0</v>
      </c>
      <c r="O364" s="315">
        <v>0</v>
      </c>
      <c r="P364" s="315">
        <v>0</v>
      </c>
      <c r="Q364" s="314">
        <v>0</v>
      </c>
      <c r="R364" s="315">
        <v>0</v>
      </c>
      <c r="S364" s="315">
        <v>0</v>
      </c>
      <c r="T364" s="315"/>
      <c r="U364" s="315"/>
      <c r="V364" s="316"/>
    </row>
    <row r="365" spans="1:22" ht="15.75" thickBot="1">
      <c r="A365" s="329"/>
      <c r="B365" s="330" t="s">
        <v>804</v>
      </c>
      <c r="C365" s="331">
        <v>0</v>
      </c>
      <c r="D365" s="332">
        <v>0</v>
      </c>
      <c r="E365" s="332">
        <v>0</v>
      </c>
      <c r="F365" s="332">
        <v>0</v>
      </c>
      <c r="G365" s="332">
        <v>0</v>
      </c>
      <c r="H365" s="332">
        <v>0</v>
      </c>
      <c r="I365" s="332">
        <v>0</v>
      </c>
      <c r="J365" s="333">
        <v>0</v>
      </c>
      <c r="K365" s="333">
        <v>0</v>
      </c>
      <c r="L365" s="332">
        <v>0</v>
      </c>
      <c r="M365" s="332">
        <v>0</v>
      </c>
      <c r="N365" s="332">
        <v>0</v>
      </c>
      <c r="O365" s="333">
        <v>0</v>
      </c>
      <c r="P365" s="333">
        <v>0</v>
      </c>
      <c r="Q365" s="332">
        <v>0</v>
      </c>
      <c r="R365" s="333">
        <v>0</v>
      </c>
      <c r="S365" s="333">
        <v>0</v>
      </c>
      <c r="T365" s="333"/>
      <c r="U365" s="333"/>
      <c r="V365" s="316"/>
    </row>
    <row r="366" spans="1:22">
      <c r="A366" s="307" t="s">
        <v>558</v>
      </c>
      <c r="B366" s="291" t="s">
        <v>769</v>
      </c>
      <c r="C366" s="308">
        <v>0.86494253114380415</v>
      </c>
      <c r="D366" s="309">
        <v>0</v>
      </c>
      <c r="E366" s="309">
        <v>0.53684526433962332</v>
      </c>
      <c r="F366" s="309">
        <v>0.65792076258564192</v>
      </c>
      <c r="G366" s="309">
        <v>0.80373139972178365</v>
      </c>
      <c r="H366" s="309">
        <v>0.77587381686444623</v>
      </c>
      <c r="I366" s="309">
        <v>0</v>
      </c>
      <c r="J366" s="310">
        <v>0.76734228363420742</v>
      </c>
      <c r="K366" s="310">
        <v>0.65786161629836881</v>
      </c>
      <c r="L366" s="309">
        <v>0.6473601858329916</v>
      </c>
      <c r="M366" s="309">
        <v>0.70152912178199744</v>
      </c>
      <c r="N366" s="309">
        <v>0.6863591249688028</v>
      </c>
      <c r="O366" s="310">
        <v>0.66775619157078425</v>
      </c>
      <c r="P366" s="310">
        <v>0</v>
      </c>
      <c r="Q366" s="309">
        <v>0</v>
      </c>
      <c r="R366" s="310">
        <v>0</v>
      </c>
      <c r="S366" s="310">
        <v>0.73161854728906095</v>
      </c>
      <c r="T366" s="310"/>
      <c r="U366" s="310"/>
      <c r="V366" s="316"/>
    </row>
    <row r="367" spans="1:22">
      <c r="A367" s="311"/>
      <c r="B367" s="312" t="s">
        <v>770</v>
      </c>
      <c r="C367" s="313">
        <v>0.86299528541815018</v>
      </c>
      <c r="D367" s="314">
        <v>0</v>
      </c>
      <c r="E367" s="314">
        <v>0.7668223072696686</v>
      </c>
      <c r="F367" s="314">
        <v>0.61751333768682004</v>
      </c>
      <c r="G367" s="314">
        <v>0.79007805948003351</v>
      </c>
      <c r="H367" s="314">
        <v>0.7699221716682576</v>
      </c>
      <c r="I367" s="314">
        <v>0</v>
      </c>
      <c r="J367" s="315">
        <v>0.81430963568845016</v>
      </c>
      <c r="K367" s="315">
        <v>0.66444025263660844</v>
      </c>
      <c r="L367" s="314">
        <v>0.65693007215073773</v>
      </c>
      <c r="M367" s="314">
        <v>0.70669898931640296</v>
      </c>
      <c r="N367" s="314">
        <v>0.69606762650658915</v>
      </c>
      <c r="O367" s="315">
        <v>0.67644247679632208</v>
      </c>
      <c r="P367" s="315">
        <v>0</v>
      </c>
      <c r="Q367" s="314">
        <v>0</v>
      </c>
      <c r="R367" s="315">
        <v>0</v>
      </c>
      <c r="S367" s="315">
        <v>0.76524623224948385</v>
      </c>
      <c r="T367" s="315"/>
      <c r="U367" s="315"/>
      <c r="V367" s="316"/>
    </row>
    <row r="368" spans="1:22">
      <c r="A368" s="311"/>
      <c r="B368" s="317" t="s">
        <v>771</v>
      </c>
      <c r="C368" s="318">
        <v>-0.19472457256539677</v>
      </c>
      <c r="D368" s="319">
        <v>0</v>
      </c>
      <c r="E368" s="321">
        <v>22.997704293004528</v>
      </c>
      <c r="F368" s="319">
        <v>-4.040742489882188</v>
      </c>
      <c r="G368" s="319">
        <v>-1.3653340241750134</v>
      </c>
      <c r="H368" s="319">
        <v>-0.59516451961886263</v>
      </c>
      <c r="I368" s="319">
        <v>0</v>
      </c>
      <c r="J368" s="320">
        <v>4.6967352054242735</v>
      </c>
      <c r="K368" s="320">
        <v>0.65786363382396296</v>
      </c>
      <c r="L368" s="319">
        <v>0.95698863177461346</v>
      </c>
      <c r="M368" s="319">
        <v>0.51698675344055145</v>
      </c>
      <c r="N368" s="319">
        <v>0.97085015377863515</v>
      </c>
      <c r="O368" s="320">
        <v>0.86862852255378264</v>
      </c>
      <c r="P368" s="320">
        <v>0</v>
      </c>
      <c r="Q368" s="319">
        <v>0</v>
      </c>
      <c r="R368" s="320">
        <v>0</v>
      </c>
      <c r="S368" s="320">
        <v>3.3627684960422899</v>
      </c>
      <c r="T368" s="320"/>
      <c r="U368" s="320"/>
      <c r="V368" s="316"/>
    </row>
    <row r="369" spans="1:22">
      <c r="A369" s="311"/>
      <c r="B369" s="291" t="s">
        <v>772</v>
      </c>
      <c r="C369" s="308">
        <v>9.3785485918768414E-3</v>
      </c>
      <c r="D369" s="309">
        <v>0</v>
      </c>
      <c r="E369" s="309">
        <v>0.25829476952489633</v>
      </c>
      <c r="F369" s="309">
        <v>4.968722073279714E-3</v>
      </c>
      <c r="G369" s="309">
        <v>8.3785759629289268E-3</v>
      </c>
      <c r="H369" s="309">
        <v>1.3020394119909059E-3</v>
      </c>
      <c r="I369" s="309">
        <v>0</v>
      </c>
      <c r="J369" s="310">
        <v>6.4493133207692677E-2</v>
      </c>
      <c r="K369" s="310">
        <v>4.3092598442569109E-2</v>
      </c>
      <c r="L369" s="309">
        <v>5.5513815125123642E-2</v>
      </c>
      <c r="M369" s="309">
        <v>2.6460653642505022E-2</v>
      </c>
      <c r="N369" s="309">
        <v>6.2397339385110079E-2</v>
      </c>
      <c r="O369" s="310">
        <v>5.0697521734049227E-2</v>
      </c>
      <c r="P369" s="310">
        <v>0</v>
      </c>
      <c r="Q369" s="309">
        <v>0</v>
      </c>
      <c r="R369" s="310">
        <v>0</v>
      </c>
      <c r="S369" s="310">
        <v>5.9544341897650628E-2</v>
      </c>
      <c r="T369" s="310"/>
      <c r="U369" s="310"/>
      <c r="V369" s="316"/>
    </row>
    <row r="370" spans="1:22">
      <c r="A370" s="311"/>
      <c r="B370" s="312" t="s">
        <v>773</v>
      </c>
      <c r="C370" s="313">
        <v>9.0564332278792389E-3</v>
      </c>
      <c r="D370" s="314">
        <v>0</v>
      </c>
      <c r="E370" s="314">
        <v>1.639040931653447E-2</v>
      </c>
      <c r="F370" s="314">
        <v>9.5119577136802153E-3</v>
      </c>
      <c r="G370" s="314">
        <v>8.2909000309212538E-3</v>
      </c>
      <c r="H370" s="314">
        <v>0</v>
      </c>
      <c r="I370" s="314">
        <v>0</v>
      </c>
      <c r="J370" s="315">
        <v>1.0004127987589406E-2</v>
      </c>
      <c r="K370" s="315">
        <v>5.2757053767401117E-3</v>
      </c>
      <c r="L370" s="314">
        <v>4.1252055683977287E-2</v>
      </c>
      <c r="M370" s="314">
        <v>7.9890415403124429E-3</v>
      </c>
      <c r="N370" s="314">
        <v>3.4030155231440228E-2</v>
      </c>
      <c r="O370" s="315">
        <v>2.8391977398491676E-2</v>
      </c>
      <c r="P370" s="315">
        <v>0</v>
      </c>
      <c r="Q370" s="314">
        <v>0</v>
      </c>
      <c r="R370" s="315">
        <v>0</v>
      </c>
      <c r="S370" s="315">
        <v>1.6547894329564623E-2</v>
      </c>
      <c r="T370" s="315"/>
      <c r="U370" s="315"/>
      <c r="V370" s="316"/>
    </row>
    <row r="371" spans="1:22">
      <c r="A371" s="311"/>
      <c r="B371" s="317" t="s">
        <v>774</v>
      </c>
      <c r="C371" s="318">
        <v>-3.2211536399760245E-2</v>
      </c>
      <c r="D371" s="319">
        <v>0</v>
      </c>
      <c r="E371" s="321">
        <v>-24.190436020836188</v>
      </c>
      <c r="F371" s="319">
        <v>0.45432356404005014</v>
      </c>
      <c r="G371" s="319">
        <v>-8.7675932007673027E-3</v>
      </c>
      <c r="H371" s="319">
        <v>-0.13020394119909059</v>
      </c>
      <c r="I371" s="319">
        <v>0</v>
      </c>
      <c r="J371" s="320">
        <v>-5.4489005220103266</v>
      </c>
      <c r="K371" s="320">
        <v>-3.7816893065829</v>
      </c>
      <c r="L371" s="319">
        <v>-1.4261759441146356</v>
      </c>
      <c r="M371" s="319">
        <v>-1.8471612102192578</v>
      </c>
      <c r="N371" s="319">
        <v>-2.8367184153669851</v>
      </c>
      <c r="O371" s="320">
        <v>-2.230554433555755</v>
      </c>
      <c r="P371" s="320">
        <v>0</v>
      </c>
      <c r="Q371" s="319">
        <v>0</v>
      </c>
      <c r="R371" s="320">
        <v>0</v>
      </c>
      <c r="S371" s="320">
        <v>-4.2996447568086005</v>
      </c>
      <c r="T371" s="320"/>
      <c r="U371" s="320"/>
      <c r="V371" s="316"/>
    </row>
    <row r="372" spans="1:22">
      <c r="A372" s="311"/>
      <c r="B372" s="291" t="s">
        <v>775</v>
      </c>
      <c r="C372" s="308">
        <v>0.12007659720679989</v>
      </c>
      <c r="D372" s="309">
        <v>0</v>
      </c>
      <c r="E372" s="309">
        <v>0.19420783330060504</v>
      </c>
      <c r="F372" s="309">
        <v>0.30199582960977062</v>
      </c>
      <c r="G372" s="309">
        <v>0.13507245313978883</v>
      </c>
      <c r="H372" s="309">
        <v>0.20535792591193355</v>
      </c>
      <c r="I372" s="309">
        <v>0</v>
      </c>
      <c r="J372" s="310">
        <v>0.15108483742637072</v>
      </c>
      <c r="K372" s="310">
        <v>0.28771354503562635</v>
      </c>
      <c r="L372" s="309">
        <v>0.29635743900631734</v>
      </c>
      <c r="M372" s="309">
        <v>0.20296238816870549</v>
      </c>
      <c r="N372" s="309">
        <v>0.21212077241411334</v>
      </c>
      <c r="O372" s="310">
        <v>0.25823675616849501</v>
      </c>
      <c r="P372" s="310">
        <v>0</v>
      </c>
      <c r="Q372" s="309">
        <v>0</v>
      </c>
      <c r="R372" s="310">
        <v>0</v>
      </c>
      <c r="S372" s="310">
        <v>0.18952260333029192</v>
      </c>
      <c r="T372" s="310"/>
      <c r="U372" s="310"/>
      <c r="V372" s="316"/>
    </row>
    <row r="373" spans="1:22">
      <c r="A373" s="311"/>
      <c r="B373" s="312" t="s">
        <v>776</v>
      </c>
      <c r="C373" s="313">
        <v>0.12476131074380992</v>
      </c>
      <c r="D373" s="314">
        <v>0</v>
      </c>
      <c r="E373" s="314">
        <v>0.20724682283593165</v>
      </c>
      <c r="F373" s="314">
        <v>0.34267690146745355</v>
      </c>
      <c r="G373" s="314">
        <v>0.14772350615866831</v>
      </c>
      <c r="H373" s="314">
        <v>0.21503473359299335</v>
      </c>
      <c r="I373" s="314">
        <v>0</v>
      </c>
      <c r="J373" s="315">
        <v>0.15998739965078557</v>
      </c>
      <c r="K373" s="315">
        <v>0.32336092294981611</v>
      </c>
      <c r="L373" s="314">
        <v>0.30073924790794793</v>
      </c>
      <c r="M373" s="314">
        <v>0.21684863176962002</v>
      </c>
      <c r="N373" s="314">
        <v>0.23556429676874735</v>
      </c>
      <c r="O373" s="315">
        <v>0.2733925385196494</v>
      </c>
      <c r="P373" s="315">
        <v>0</v>
      </c>
      <c r="Q373" s="314">
        <v>0</v>
      </c>
      <c r="R373" s="315">
        <v>0</v>
      </c>
      <c r="S373" s="315">
        <v>0.2003453944414707</v>
      </c>
      <c r="T373" s="315"/>
      <c r="U373" s="315"/>
      <c r="V373" s="316"/>
    </row>
    <row r="374" spans="1:22">
      <c r="A374" s="311"/>
      <c r="B374" s="317" t="s">
        <v>777</v>
      </c>
      <c r="C374" s="318">
        <v>0.46847135370100268</v>
      </c>
      <c r="D374" s="319">
        <v>0</v>
      </c>
      <c r="E374" s="319">
        <v>1.3038989535326617</v>
      </c>
      <c r="F374" s="319">
        <v>4.0681071857682936</v>
      </c>
      <c r="G374" s="319">
        <v>1.2651053018879477</v>
      </c>
      <c r="H374" s="319">
        <v>0.96768076810598014</v>
      </c>
      <c r="I374" s="319">
        <v>0</v>
      </c>
      <c r="J374" s="320">
        <v>0.89025622244148506</v>
      </c>
      <c r="K374" s="320">
        <v>3.5647377914189757</v>
      </c>
      <c r="L374" s="319">
        <v>0.43818089016305906</v>
      </c>
      <c r="M374" s="319">
        <v>1.3886243600914532</v>
      </c>
      <c r="N374" s="319">
        <v>2.3443524354634011</v>
      </c>
      <c r="O374" s="320">
        <v>1.515578235115439</v>
      </c>
      <c r="P374" s="320">
        <v>0</v>
      </c>
      <c r="Q374" s="319">
        <v>0</v>
      </c>
      <c r="R374" s="320">
        <v>0</v>
      </c>
      <c r="S374" s="320">
        <v>1.0822791111178787</v>
      </c>
      <c r="T374" s="320"/>
      <c r="U374" s="320"/>
      <c r="V374" s="316"/>
    </row>
    <row r="375" spans="1:22">
      <c r="A375" s="311"/>
      <c r="B375" s="291" t="s">
        <v>778</v>
      </c>
      <c r="C375" s="308">
        <v>1.2922635983088275E-3</v>
      </c>
      <c r="D375" s="309">
        <v>0</v>
      </c>
      <c r="E375" s="309">
        <v>3.1085702429427303E-3</v>
      </c>
      <c r="F375" s="309">
        <v>2.2591599642537982E-2</v>
      </c>
      <c r="G375" s="309">
        <v>4.4191488045174643E-2</v>
      </c>
      <c r="H375" s="309">
        <v>1.7466217811629305E-2</v>
      </c>
      <c r="I375" s="309">
        <v>0</v>
      </c>
      <c r="J375" s="310">
        <v>1.123770485659726E-2</v>
      </c>
      <c r="K375" s="310">
        <v>1.0735542618750345E-2</v>
      </c>
      <c r="L375" s="309">
        <v>8.7884667744259057E-5</v>
      </c>
      <c r="M375" s="309">
        <v>6.2639218550301259E-2</v>
      </c>
      <c r="N375" s="309">
        <v>3.885867514844072E-2</v>
      </c>
      <c r="O375" s="310">
        <v>2.1814070131063071E-2</v>
      </c>
      <c r="P375" s="310">
        <v>0</v>
      </c>
      <c r="Q375" s="309">
        <v>0</v>
      </c>
      <c r="R375" s="310">
        <v>0</v>
      </c>
      <c r="S375" s="310">
        <v>1.5031681271640769E-2</v>
      </c>
      <c r="T375" s="310"/>
      <c r="U375" s="310"/>
      <c r="V375" s="316"/>
    </row>
    <row r="376" spans="1:22">
      <c r="A376" s="311"/>
      <c r="B376" s="312" t="s">
        <v>779</v>
      </c>
      <c r="C376" s="313">
        <v>1.3758507343707526E-4</v>
      </c>
      <c r="D376" s="314">
        <v>0</v>
      </c>
      <c r="E376" s="314">
        <v>1.7766818531112702E-3</v>
      </c>
      <c r="F376" s="314">
        <v>3.0297803132046181E-2</v>
      </c>
      <c r="G376" s="314">
        <v>4.2602368256552968E-2</v>
      </c>
      <c r="H376" s="314">
        <v>1.4632005072428424E-2</v>
      </c>
      <c r="I376" s="314">
        <v>0</v>
      </c>
      <c r="J376" s="315">
        <v>1.0326627018011675E-2</v>
      </c>
      <c r="K376" s="315">
        <v>3.3445981256314673E-3</v>
      </c>
      <c r="L376" s="314">
        <v>0</v>
      </c>
      <c r="M376" s="314">
        <v>6.1983787607748426E-2</v>
      </c>
      <c r="N376" s="314">
        <v>3.4041879660460538E-2</v>
      </c>
      <c r="O376" s="315">
        <v>1.9614385489482179E-2</v>
      </c>
      <c r="P376" s="315">
        <v>0</v>
      </c>
      <c r="Q376" s="314">
        <v>0</v>
      </c>
      <c r="R376" s="315">
        <v>0</v>
      </c>
      <c r="S376" s="315">
        <v>1.3631903231660067E-2</v>
      </c>
      <c r="T376" s="315"/>
      <c r="U376" s="315"/>
      <c r="V376" s="316"/>
    </row>
    <row r="377" spans="1:22">
      <c r="A377" s="311"/>
      <c r="B377" s="317" t="s">
        <v>780</v>
      </c>
      <c r="C377" s="318">
        <v>-0.11546785248717523</v>
      </c>
      <c r="D377" s="319">
        <v>0</v>
      </c>
      <c r="E377" s="319">
        <v>-0.13318883898314601</v>
      </c>
      <c r="F377" s="319">
        <v>0.77062034895081999</v>
      </c>
      <c r="G377" s="319">
        <v>-0.15891197886216749</v>
      </c>
      <c r="H377" s="319">
        <v>-0.28342127392008803</v>
      </c>
      <c r="I377" s="319">
        <v>0</v>
      </c>
      <c r="J377" s="320">
        <v>-9.1107783858558444E-2</v>
      </c>
      <c r="K377" s="320">
        <v>-0.73909444931188772</v>
      </c>
      <c r="L377" s="319">
        <v>-8.7884667744259053E-3</v>
      </c>
      <c r="M377" s="319">
        <v>-6.5543094255283291E-2</v>
      </c>
      <c r="N377" s="319">
        <v>-0.48167954879801828</v>
      </c>
      <c r="O377" s="320">
        <v>-0.21996846415808929</v>
      </c>
      <c r="P377" s="320">
        <v>0</v>
      </c>
      <c r="Q377" s="319">
        <v>0</v>
      </c>
      <c r="R377" s="320">
        <v>0</v>
      </c>
      <c r="S377" s="320">
        <v>-0.13997780399807019</v>
      </c>
      <c r="T377" s="320"/>
      <c r="U377" s="320"/>
      <c r="V377" s="316"/>
    </row>
    <row r="378" spans="1:22">
      <c r="A378" s="311"/>
      <c r="B378" s="291" t="s">
        <v>781</v>
      </c>
      <c r="C378" s="308">
        <v>3.4812341033559463E-3</v>
      </c>
      <c r="D378" s="309">
        <v>0</v>
      </c>
      <c r="E378" s="309">
        <v>7.5435625919325379E-3</v>
      </c>
      <c r="F378" s="309">
        <v>1.2523086088769736E-2</v>
      </c>
      <c r="G378" s="309">
        <v>8.6260831303239822E-3</v>
      </c>
      <c r="H378" s="309">
        <v>0</v>
      </c>
      <c r="I378" s="309">
        <v>0</v>
      </c>
      <c r="J378" s="310">
        <v>5.4302248790160388E-3</v>
      </c>
      <c r="K378" s="310">
        <v>0</v>
      </c>
      <c r="L378" s="309">
        <v>6.6516630880949015E-4</v>
      </c>
      <c r="M378" s="309">
        <v>6.4086178564907795E-3</v>
      </c>
      <c r="N378" s="309">
        <v>2.6408808353309228E-4</v>
      </c>
      <c r="O378" s="310">
        <v>1.4001796934492285E-3</v>
      </c>
      <c r="P378" s="310">
        <v>0</v>
      </c>
      <c r="Q378" s="309">
        <v>0</v>
      </c>
      <c r="R378" s="310">
        <v>0</v>
      </c>
      <c r="S378" s="310">
        <v>3.9845584341822882E-3</v>
      </c>
      <c r="T378" s="310"/>
      <c r="U378" s="310"/>
      <c r="V378" s="316"/>
    </row>
    <row r="379" spans="1:22">
      <c r="A379" s="311"/>
      <c r="B379" s="312" t="s">
        <v>782</v>
      </c>
      <c r="C379" s="313">
        <v>2.3289400612712193E-3</v>
      </c>
      <c r="D379" s="314">
        <v>0</v>
      </c>
      <c r="E379" s="314">
        <v>7.7637787247540309E-3</v>
      </c>
      <c r="F379" s="314">
        <v>0</v>
      </c>
      <c r="G379" s="314">
        <v>1.1305166073823935E-2</v>
      </c>
      <c r="H379" s="314">
        <v>4.1108966632060813E-4</v>
      </c>
      <c r="I379" s="314">
        <v>0</v>
      </c>
      <c r="J379" s="315">
        <v>5.0126752522150477E-3</v>
      </c>
      <c r="K379" s="315">
        <v>3.5337271863070561E-3</v>
      </c>
      <c r="L379" s="314">
        <v>1.0786242573370399E-3</v>
      </c>
      <c r="M379" s="314">
        <v>6.4795497659161259E-3</v>
      </c>
      <c r="N379" s="314">
        <v>2.9604183276274443E-4</v>
      </c>
      <c r="O379" s="315">
        <v>2.1518431511961672E-3</v>
      </c>
      <c r="P379" s="315">
        <v>0</v>
      </c>
      <c r="Q379" s="314">
        <v>0</v>
      </c>
      <c r="R379" s="315">
        <v>0</v>
      </c>
      <c r="S379" s="315">
        <v>3.994578116745251E-3</v>
      </c>
      <c r="T379" s="315"/>
      <c r="U379" s="315"/>
      <c r="V379" s="316"/>
    </row>
    <row r="380" spans="1:22">
      <c r="A380" s="311"/>
      <c r="B380" s="317" t="s">
        <v>783</v>
      </c>
      <c r="C380" s="318">
        <v>-0.1152294042084727</v>
      </c>
      <c r="D380" s="319">
        <v>0</v>
      </c>
      <c r="E380" s="319">
        <v>2.2021613282149303E-2</v>
      </c>
      <c r="F380" s="319">
        <v>-1.2523086088769735</v>
      </c>
      <c r="G380" s="319">
        <v>0.2679082943499953</v>
      </c>
      <c r="H380" s="319">
        <v>0</v>
      </c>
      <c r="I380" s="319">
        <v>0</v>
      </c>
      <c r="J380" s="320">
        <v>-4.1754962680099102E-2</v>
      </c>
      <c r="K380" s="320">
        <v>0</v>
      </c>
      <c r="L380" s="319">
        <v>4.1345794852754983E-2</v>
      </c>
      <c r="M380" s="319">
        <v>7.0931909425346433E-3</v>
      </c>
      <c r="N380" s="319">
        <v>3.1953749229652155E-3</v>
      </c>
      <c r="O380" s="320">
        <v>7.5166345774693874E-2</v>
      </c>
      <c r="P380" s="320">
        <v>0</v>
      </c>
      <c r="Q380" s="319">
        <v>0</v>
      </c>
      <c r="R380" s="320">
        <v>0</v>
      </c>
      <c r="S380" s="320">
        <v>1.0019682562962748E-3</v>
      </c>
      <c r="T380" s="320"/>
      <c r="U380" s="320"/>
      <c r="V380" s="316"/>
    </row>
    <row r="381" spans="1:22">
      <c r="A381" s="311"/>
      <c r="B381" s="291" t="s">
        <v>784</v>
      </c>
      <c r="C381" s="308">
        <v>8.2882535585436479E-4</v>
      </c>
      <c r="D381" s="309">
        <v>0</v>
      </c>
      <c r="E381" s="309">
        <v>0</v>
      </c>
      <c r="F381" s="309">
        <v>0</v>
      </c>
      <c r="G381" s="309">
        <v>0</v>
      </c>
      <c r="H381" s="309">
        <v>0</v>
      </c>
      <c r="I381" s="309">
        <v>0</v>
      </c>
      <c r="J381" s="310">
        <v>4.1181599611585479E-4</v>
      </c>
      <c r="K381" s="310">
        <v>5.9669760468532979E-4</v>
      </c>
      <c r="L381" s="309">
        <v>1.5509059013692777E-5</v>
      </c>
      <c r="M381" s="309">
        <v>0</v>
      </c>
      <c r="N381" s="309">
        <v>0</v>
      </c>
      <c r="O381" s="310">
        <v>9.5280702159224477E-5</v>
      </c>
      <c r="P381" s="310">
        <v>0</v>
      </c>
      <c r="Q381" s="309">
        <v>0</v>
      </c>
      <c r="R381" s="310">
        <v>0</v>
      </c>
      <c r="S381" s="310">
        <v>2.9826777717340946E-4</v>
      </c>
      <c r="T381" s="310"/>
      <c r="U381" s="310"/>
      <c r="V381" s="316"/>
    </row>
    <row r="382" spans="1:22">
      <c r="A382" s="311"/>
      <c r="B382" s="312" t="s">
        <v>785</v>
      </c>
      <c r="C382" s="313">
        <v>7.204454754523214E-4</v>
      </c>
      <c r="D382" s="314">
        <v>0</v>
      </c>
      <c r="E382" s="314">
        <v>0</v>
      </c>
      <c r="F382" s="314">
        <v>0</v>
      </c>
      <c r="G382" s="314">
        <v>0</v>
      </c>
      <c r="H382" s="314">
        <v>0</v>
      </c>
      <c r="I382" s="314">
        <v>0</v>
      </c>
      <c r="J382" s="315">
        <v>3.5953440294818209E-4</v>
      </c>
      <c r="K382" s="315">
        <v>4.4793724896850008E-5</v>
      </c>
      <c r="L382" s="314">
        <v>0</v>
      </c>
      <c r="M382" s="314">
        <v>0</v>
      </c>
      <c r="N382" s="314">
        <v>0</v>
      </c>
      <c r="O382" s="315">
        <v>6.778644858510852E-6</v>
      </c>
      <c r="P382" s="315">
        <v>0</v>
      </c>
      <c r="Q382" s="314">
        <v>0</v>
      </c>
      <c r="R382" s="315">
        <v>0</v>
      </c>
      <c r="S382" s="315">
        <v>2.339976310755287E-4</v>
      </c>
      <c r="T382" s="315"/>
      <c r="U382" s="315"/>
      <c r="V382" s="316"/>
    </row>
    <row r="383" spans="1:22" ht="15.75" thickBot="1">
      <c r="A383" s="311"/>
      <c r="B383" s="325" t="s">
        <v>786</v>
      </c>
      <c r="C383" s="326">
        <v>-1.083798804020434E-2</v>
      </c>
      <c r="D383" s="327">
        <v>0</v>
      </c>
      <c r="E383" s="327">
        <v>0</v>
      </c>
      <c r="F383" s="327">
        <v>0</v>
      </c>
      <c r="G383" s="327">
        <v>0</v>
      </c>
      <c r="H383" s="327">
        <v>0</v>
      </c>
      <c r="I383" s="327">
        <v>0</v>
      </c>
      <c r="J383" s="328">
        <v>-5.2281593167672691E-3</v>
      </c>
      <c r="K383" s="328">
        <v>-5.5190387978847975E-2</v>
      </c>
      <c r="L383" s="327">
        <v>-1.5509059013692776E-3</v>
      </c>
      <c r="M383" s="327">
        <v>0</v>
      </c>
      <c r="N383" s="327">
        <v>0</v>
      </c>
      <c r="O383" s="328">
        <v>-8.8502057300713626E-3</v>
      </c>
      <c r="P383" s="328">
        <v>0</v>
      </c>
      <c r="Q383" s="327">
        <v>0</v>
      </c>
      <c r="R383" s="328">
        <v>0</v>
      </c>
      <c r="S383" s="328">
        <v>-6.4270146097880759E-3</v>
      </c>
      <c r="T383" s="328"/>
      <c r="U383" s="328"/>
      <c r="V383" s="316"/>
    </row>
    <row r="384" spans="1:22" ht="15.75" thickTop="1">
      <c r="A384" s="311"/>
      <c r="B384" s="312" t="s">
        <v>787</v>
      </c>
      <c r="C384" s="313">
        <v>0.75287422318292352</v>
      </c>
      <c r="D384" s="314">
        <v>0</v>
      </c>
      <c r="E384" s="314">
        <v>0.62333224861698666</v>
      </c>
      <c r="F384" s="314">
        <v>0.32346938775510203</v>
      </c>
      <c r="G384" s="314">
        <v>0.50286820767275808</v>
      </c>
      <c r="H384" s="314">
        <v>1</v>
      </c>
      <c r="I384" s="314">
        <v>0</v>
      </c>
      <c r="J384" s="315">
        <v>0.70219731214400094</v>
      </c>
      <c r="K384" s="315">
        <v>0</v>
      </c>
      <c r="L384" s="314">
        <v>0</v>
      </c>
      <c r="M384" s="314">
        <v>0</v>
      </c>
      <c r="N384" s="314">
        <v>0</v>
      </c>
      <c r="O384" s="315">
        <v>0</v>
      </c>
      <c r="P384" s="315">
        <v>0</v>
      </c>
      <c r="Q384" s="314">
        <v>0</v>
      </c>
      <c r="R384" s="315">
        <v>0</v>
      </c>
      <c r="S384" s="315">
        <v>0.70219731214400094</v>
      </c>
      <c r="T384" s="315"/>
      <c r="U384" s="315"/>
      <c r="V384" s="316"/>
    </row>
    <row r="385" spans="1:22">
      <c r="A385" s="311"/>
      <c r="B385" s="312" t="s">
        <v>788</v>
      </c>
      <c r="C385" s="313">
        <v>0.76145971274320057</v>
      </c>
      <c r="D385" s="314">
        <v>0</v>
      </c>
      <c r="E385" s="314">
        <v>0.80801625259237309</v>
      </c>
      <c r="F385" s="314">
        <v>0.19760130414531904</v>
      </c>
      <c r="G385" s="314">
        <v>0.46569147708919756</v>
      </c>
      <c r="H385" s="314">
        <v>1</v>
      </c>
      <c r="I385" s="314">
        <v>0</v>
      </c>
      <c r="J385" s="315">
        <v>0.71567949031515277</v>
      </c>
      <c r="K385" s="315">
        <v>0</v>
      </c>
      <c r="L385" s="314">
        <v>0</v>
      </c>
      <c r="M385" s="314">
        <v>0</v>
      </c>
      <c r="N385" s="314">
        <v>0</v>
      </c>
      <c r="O385" s="315">
        <v>0</v>
      </c>
      <c r="P385" s="315">
        <v>0</v>
      </c>
      <c r="Q385" s="314">
        <v>0</v>
      </c>
      <c r="R385" s="315">
        <v>0</v>
      </c>
      <c r="S385" s="315">
        <v>0.71567949031515277</v>
      </c>
      <c r="T385" s="315"/>
      <c r="U385" s="315"/>
      <c r="V385" s="316"/>
    </row>
    <row r="386" spans="1:22">
      <c r="A386" s="311"/>
      <c r="B386" s="317" t="s">
        <v>789</v>
      </c>
      <c r="C386" s="337">
        <v>0.85854895602770487</v>
      </c>
      <c r="D386" s="319">
        <v>0</v>
      </c>
      <c r="E386" s="321">
        <v>18.468400397538641</v>
      </c>
      <c r="F386" s="321">
        <v>-12.586808360978299</v>
      </c>
      <c r="G386" s="319">
        <v>-3.7176730583560524</v>
      </c>
      <c r="H386" s="319">
        <v>0</v>
      </c>
      <c r="I386" s="319">
        <v>0</v>
      </c>
      <c r="J386" s="320">
        <v>1.3482178171151826</v>
      </c>
      <c r="K386" s="320">
        <v>0</v>
      </c>
      <c r="L386" s="319">
        <v>0</v>
      </c>
      <c r="M386" s="319">
        <v>0</v>
      </c>
      <c r="N386" s="319">
        <v>0</v>
      </c>
      <c r="O386" s="320">
        <v>0</v>
      </c>
      <c r="P386" s="320">
        <v>0</v>
      </c>
      <c r="Q386" s="319">
        <v>0</v>
      </c>
      <c r="R386" s="320">
        <v>0</v>
      </c>
      <c r="S386" s="320">
        <v>1.3482178171151826</v>
      </c>
      <c r="T386" s="320"/>
      <c r="U386" s="320"/>
      <c r="V386" s="316"/>
    </row>
    <row r="387" spans="1:22">
      <c r="A387" s="311"/>
      <c r="B387" s="291" t="s">
        <v>790</v>
      </c>
      <c r="C387" s="308">
        <v>5.6491488786814377E-2</v>
      </c>
      <c r="D387" s="309">
        <v>0</v>
      </c>
      <c r="E387" s="309">
        <v>0.21821103156524568</v>
      </c>
      <c r="F387" s="309">
        <v>7.3852040816326528E-2</v>
      </c>
      <c r="G387" s="309">
        <v>4.9134696841340916E-3</v>
      </c>
      <c r="H387" s="309">
        <v>0</v>
      </c>
      <c r="I387" s="309">
        <v>0</v>
      </c>
      <c r="J387" s="310">
        <v>7.1546936127946811E-2</v>
      </c>
      <c r="K387" s="310">
        <v>0</v>
      </c>
      <c r="L387" s="309">
        <v>0</v>
      </c>
      <c r="M387" s="309">
        <v>0</v>
      </c>
      <c r="N387" s="309">
        <v>0</v>
      </c>
      <c r="O387" s="310">
        <v>0</v>
      </c>
      <c r="P387" s="310">
        <v>0</v>
      </c>
      <c r="Q387" s="309">
        <v>0</v>
      </c>
      <c r="R387" s="310">
        <v>0</v>
      </c>
      <c r="S387" s="310">
        <v>7.1546936127946811E-2</v>
      </c>
      <c r="T387" s="310"/>
      <c r="U387" s="310"/>
      <c r="V387" s="316"/>
    </row>
    <row r="388" spans="1:22">
      <c r="A388" s="311"/>
      <c r="B388" s="312" t="s">
        <v>791</v>
      </c>
      <c r="C388" s="313">
        <v>7.5226647652032186E-2</v>
      </c>
      <c r="D388" s="314">
        <v>0</v>
      </c>
      <c r="E388" s="314">
        <v>4.8461505904262075E-3</v>
      </c>
      <c r="F388" s="314">
        <v>0.14496972519795062</v>
      </c>
      <c r="G388" s="314">
        <v>3.1378339716672051E-3</v>
      </c>
      <c r="H388" s="314">
        <v>0</v>
      </c>
      <c r="I388" s="314">
        <v>0</v>
      </c>
      <c r="J388" s="315">
        <v>5.7667643005852066E-2</v>
      </c>
      <c r="K388" s="315">
        <v>0</v>
      </c>
      <c r="L388" s="314">
        <v>0</v>
      </c>
      <c r="M388" s="314">
        <v>0</v>
      </c>
      <c r="N388" s="314">
        <v>0</v>
      </c>
      <c r="O388" s="315">
        <v>0</v>
      </c>
      <c r="P388" s="315">
        <v>0</v>
      </c>
      <c r="Q388" s="314">
        <v>0</v>
      </c>
      <c r="R388" s="315">
        <v>0</v>
      </c>
      <c r="S388" s="315">
        <v>5.7667643005852066E-2</v>
      </c>
      <c r="T388" s="315"/>
      <c r="U388" s="315"/>
      <c r="V388" s="316"/>
    </row>
    <row r="389" spans="1:22">
      <c r="A389" s="311"/>
      <c r="B389" s="317" t="s">
        <v>792</v>
      </c>
      <c r="C389" s="337">
        <v>1.8735158865217809</v>
      </c>
      <c r="D389" s="319">
        <v>0</v>
      </c>
      <c r="E389" s="321">
        <v>-21.336488097481947</v>
      </c>
      <c r="F389" s="319">
        <v>7.1117684381624091</v>
      </c>
      <c r="G389" s="319">
        <v>-0.17756357124668865</v>
      </c>
      <c r="H389" s="319">
        <v>0</v>
      </c>
      <c r="I389" s="319">
        <v>0</v>
      </c>
      <c r="J389" s="320">
        <v>-1.3879293122094745</v>
      </c>
      <c r="K389" s="320">
        <v>0</v>
      </c>
      <c r="L389" s="319">
        <v>0</v>
      </c>
      <c r="M389" s="319">
        <v>0</v>
      </c>
      <c r="N389" s="319">
        <v>0</v>
      </c>
      <c r="O389" s="320">
        <v>0</v>
      </c>
      <c r="P389" s="320">
        <v>0</v>
      </c>
      <c r="Q389" s="319">
        <v>0</v>
      </c>
      <c r="R389" s="320">
        <v>0</v>
      </c>
      <c r="S389" s="320">
        <v>-1.3879293122094745</v>
      </c>
      <c r="T389" s="320"/>
      <c r="U389" s="320"/>
      <c r="V389" s="316"/>
    </row>
    <row r="390" spans="1:22">
      <c r="A390" s="311"/>
      <c r="B390" s="291" t="s">
        <v>793</v>
      </c>
      <c r="C390" s="308">
        <v>0.13028235611996758</v>
      </c>
      <c r="D390" s="309">
        <v>0</v>
      </c>
      <c r="E390" s="309">
        <v>0.11428164659941425</v>
      </c>
      <c r="F390" s="309">
        <v>0.59234693877551026</v>
      </c>
      <c r="G390" s="309">
        <v>0.38218564685949413</v>
      </c>
      <c r="H390" s="309">
        <v>0</v>
      </c>
      <c r="I390" s="309">
        <v>0</v>
      </c>
      <c r="J390" s="310">
        <v>0.16375195102669612</v>
      </c>
      <c r="K390" s="310">
        <v>0</v>
      </c>
      <c r="L390" s="309">
        <v>0</v>
      </c>
      <c r="M390" s="309">
        <v>0</v>
      </c>
      <c r="N390" s="309">
        <v>0</v>
      </c>
      <c r="O390" s="310">
        <v>0</v>
      </c>
      <c r="P390" s="310">
        <v>0</v>
      </c>
      <c r="Q390" s="309">
        <v>0</v>
      </c>
      <c r="R390" s="310">
        <v>0</v>
      </c>
      <c r="S390" s="310">
        <v>0.16375195102669612</v>
      </c>
      <c r="T390" s="310"/>
      <c r="U390" s="310"/>
      <c r="V390" s="316"/>
    </row>
    <row r="391" spans="1:22">
      <c r="A391" s="311"/>
      <c r="B391" s="312" t="s">
        <v>794</v>
      </c>
      <c r="C391" s="313">
        <v>0.14082289226172287</v>
      </c>
      <c r="D391" s="314">
        <v>0</v>
      </c>
      <c r="E391" s="314">
        <v>0.14182926313116351</v>
      </c>
      <c r="F391" s="314">
        <v>0.63192827200745227</v>
      </c>
      <c r="G391" s="314">
        <v>0.43899681602141111</v>
      </c>
      <c r="H391" s="314">
        <v>0</v>
      </c>
      <c r="I391" s="314">
        <v>0</v>
      </c>
      <c r="J391" s="315">
        <v>0.19189240781946276</v>
      </c>
      <c r="K391" s="315">
        <v>0</v>
      </c>
      <c r="L391" s="314">
        <v>0</v>
      </c>
      <c r="M391" s="314">
        <v>0</v>
      </c>
      <c r="N391" s="314">
        <v>0</v>
      </c>
      <c r="O391" s="315">
        <v>0</v>
      </c>
      <c r="P391" s="315">
        <v>0</v>
      </c>
      <c r="Q391" s="314">
        <v>0</v>
      </c>
      <c r="R391" s="315">
        <v>0</v>
      </c>
      <c r="S391" s="315">
        <v>0.19189240781946276</v>
      </c>
      <c r="T391" s="315"/>
      <c r="U391" s="315"/>
      <c r="V391" s="316"/>
    </row>
    <row r="392" spans="1:22">
      <c r="A392" s="311"/>
      <c r="B392" s="317" t="s">
        <v>795</v>
      </c>
      <c r="C392" s="337">
        <v>1.0540536141755292</v>
      </c>
      <c r="D392" s="319">
        <v>0</v>
      </c>
      <c r="E392" s="319">
        <v>2.7547616531749251</v>
      </c>
      <c r="F392" s="321">
        <v>3.9581333231942017</v>
      </c>
      <c r="G392" s="319">
        <v>5.6811169161916979</v>
      </c>
      <c r="H392" s="319">
        <v>0</v>
      </c>
      <c r="I392" s="319">
        <v>0</v>
      </c>
      <c r="J392" s="320">
        <v>2.8140456792766639</v>
      </c>
      <c r="K392" s="320">
        <v>0</v>
      </c>
      <c r="L392" s="319">
        <v>0</v>
      </c>
      <c r="M392" s="319">
        <v>0</v>
      </c>
      <c r="N392" s="319">
        <v>0</v>
      </c>
      <c r="O392" s="320">
        <v>0</v>
      </c>
      <c r="P392" s="320">
        <v>0</v>
      </c>
      <c r="Q392" s="319">
        <v>0</v>
      </c>
      <c r="R392" s="320">
        <v>0</v>
      </c>
      <c r="S392" s="320">
        <v>2.8140456792766639</v>
      </c>
      <c r="T392" s="320"/>
      <c r="U392" s="320"/>
      <c r="V392" s="316"/>
    </row>
    <row r="393" spans="1:22">
      <c r="A393" s="311"/>
      <c r="B393" s="291" t="s">
        <v>796</v>
      </c>
      <c r="C393" s="308">
        <v>2.468251823831397E-2</v>
      </c>
      <c r="D393" s="309">
        <v>0</v>
      </c>
      <c r="E393" s="309">
        <v>1.2589489098600717E-2</v>
      </c>
      <c r="F393" s="309">
        <v>7.2704081632653057E-3</v>
      </c>
      <c r="G393" s="309">
        <v>8.9241195691637423E-2</v>
      </c>
      <c r="H393" s="309">
        <v>0</v>
      </c>
      <c r="I393" s="309">
        <v>0</v>
      </c>
      <c r="J393" s="310">
        <v>2.9571990351286156E-2</v>
      </c>
      <c r="K393" s="310">
        <v>0</v>
      </c>
      <c r="L393" s="309">
        <v>0</v>
      </c>
      <c r="M393" s="309">
        <v>0</v>
      </c>
      <c r="N393" s="309">
        <v>0</v>
      </c>
      <c r="O393" s="310">
        <v>0</v>
      </c>
      <c r="P393" s="310">
        <v>0</v>
      </c>
      <c r="Q393" s="309">
        <v>0</v>
      </c>
      <c r="R393" s="310">
        <v>0</v>
      </c>
      <c r="S393" s="310">
        <v>2.9571990351286156E-2</v>
      </c>
      <c r="T393" s="310"/>
      <c r="U393" s="310"/>
      <c r="V393" s="316"/>
    </row>
    <row r="394" spans="1:22">
      <c r="A394" s="311"/>
      <c r="B394" s="312" t="s">
        <v>797</v>
      </c>
      <c r="C394" s="313">
        <v>2.9922583273912602E-3</v>
      </c>
      <c r="D394" s="314">
        <v>0</v>
      </c>
      <c r="E394" s="314">
        <v>1.1152495026876031E-2</v>
      </c>
      <c r="F394" s="314">
        <v>2.5500698649278064E-2</v>
      </c>
      <c r="G394" s="314">
        <v>6.790180425453371E-2</v>
      </c>
      <c r="H394" s="314">
        <v>0</v>
      </c>
      <c r="I394" s="314">
        <v>0</v>
      </c>
      <c r="J394" s="315">
        <v>1.3106011346214648E-2</v>
      </c>
      <c r="K394" s="315">
        <v>0</v>
      </c>
      <c r="L394" s="314">
        <v>0</v>
      </c>
      <c r="M394" s="314">
        <v>0</v>
      </c>
      <c r="N394" s="314">
        <v>0</v>
      </c>
      <c r="O394" s="315">
        <v>0</v>
      </c>
      <c r="P394" s="315">
        <v>0</v>
      </c>
      <c r="Q394" s="314">
        <v>0</v>
      </c>
      <c r="R394" s="315">
        <v>0</v>
      </c>
      <c r="S394" s="315">
        <v>1.3106011346214648E-2</v>
      </c>
      <c r="T394" s="315"/>
      <c r="U394" s="315"/>
      <c r="V394" s="316"/>
    </row>
    <row r="395" spans="1:22">
      <c r="A395" s="311"/>
      <c r="B395" s="317" t="s">
        <v>798</v>
      </c>
      <c r="C395" s="318">
        <v>-2.1690259910922709</v>
      </c>
      <c r="D395" s="319">
        <v>0</v>
      </c>
      <c r="E395" s="319">
        <v>-0.14369940717246857</v>
      </c>
      <c r="F395" s="319">
        <v>1.8230290486012757</v>
      </c>
      <c r="G395" s="319">
        <v>-2.1339391437103714</v>
      </c>
      <c r="H395" s="319">
        <v>0</v>
      </c>
      <c r="I395" s="319">
        <v>0</v>
      </c>
      <c r="J395" s="320">
        <v>-1.6465979005071507</v>
      </c>
      <c r="K395" s="320">
        <v>0</v>
      </c>
      <c r="L395" s="319">
        <v>0</v>
      </c>
      <c r="M395" s="319">
        <v>0</v>
      </c>
      <c r="N395" s="319">
        <v>0</v>
      </c>
      <c r="O395" s="320">
        <v>0</v>
      </c>
      <c r="P395" s="320">
        <v>0</v>
      </c>
      <c r="Q395" s="319">
        <v>0</v>
      </c>
      <c r="R395" s="320">
        <v>0</v>
      </c>
      <c r="S395" s="320">
        <v>-1.6465979005071507</v>
      </c>
      <c r="T395" s="320"/>
      <c r="U395" s="320"/>
      <c r="V395" s="316"/>
    </row>
    <row r="396" spans="1:22">
      <c r="A396" s="311"/>
      <c r="B396" s="291" t="s">
        <v>799</v>
      </c>
      <c r="C396" s="308">
        <v>3.4382599297487167E-2</v>
      </c>
      <c r="D396" s="309">
        <v>0</v>
      </c>
      <c r="E396" s="309">
        <v>3.1585584119752687E-2</v>
      </c>
      <c r="F396" s="309">
        <v>3.0612244897959182E-3</v>
      </c>
      <c r="G396" s="309">
        <v>2.0791480091976278E-2</v>
      </c>
      <c r="H396" s="309">
        <v>0</v>
      </c>
      <c r="I396" s="309">
        <v>0</v>
      </c>
      <c r="J396" s="310">
        <v>3.1966432205623008E-2</v>
      </c>
      <c r="K396" s="310">
        <v>0</v>
      </c>
      <c r="L396" s="309">
        <v>0</v>
      </c>
      <c r="M396" s="309">
        <v>0</v>
      </c>
      <c r="N396" s="309">
        <v>0</v>
      </c>
      <c r="O396" s="310">
        <v>0</v>
      </c>
      <c r="P396" s="310">
        <v>0</v>
      </c>
      <c r="Q396" s="309">
        <v>0</v>
      </c>
      <c r="R396" s="310">
        <v>0</v>
      </c>
      <c r="S396" s="310">
        <v>3.1966432205623008E-2</v>
      </c>
      <c r="T396" s="310"/>
      <c r="U396" s="310"/>
      <c r="V396" s="316"/>
    </row>
    <row r="397" spans="1:22">
      <c r="A397" s="311"/>
      <c r="B397" s="312" t="s">
        <v>800</v>
      </c>
      <c r="C397" s="313">
        <v>1.6094529897117245E-2</v>
      </c>
      <c r="D397" s="314">
        <v>0</v>
      </c>
      <c r="E397" s="314">
        <v>3.4155838659161129E-2</v>
      </c>
      <c r="F397" s="314">
        <v>0</v>
      </c>
      <c r="G397" s="314">
        <v>2.4272068663190437E-2</v>
      </c>
      <c r="H397" s="314">
        <v>0</v>
      </c>
      <c r="I397" s="314">
        <v>0</v>
      </c>
      <c r="J397" s="315">
        <v>1.926231708553805E-2</v>
      </c>
      <c r="K397" s="315">
        <v>0</v>
      </c>
      <c r="L397" s="314">
        <v>0</v>
      </c>
      <c r="M397" s="314">
        <v>0</v>
      </c>
      <c r="N397" s="314">
        <v>0</v>
      </c>
      <c r="O397" s="315">
        <v>0</v>
      </c>
      <c r="P397" s="315">
        <v>0</v>
      </c>
      <c r="Q397" s="314">
        <v>0</v>
      </c>
      <c r="R397" s="315">
        <v>0</v>
      </c>
      <c r="S397" s="315">
        <v>1.926231708553805E-2</v>
      </c>
      <c r="T397" s="315"/>
      <c r="U397" s="315"/>
      <c r="V397" s="316"/>
    </row>
    <row r="398" spans="1:22">
      <c r="A398" s="311"/>
      <c r="B398" s="317" t="s">
        <v>801</v>
      </c>
      <c r="C398" s="318">
        <v>-1.8288069400369922</v>
      </c>
      <c r="D398" s="319">
        <v>0</v>
      </c>
      <c r="E398" s="319">
        <v>0.25702545394084425</v>
      </c>
      <c r="F398" s="319">
        <v>-0.30612244897959184</v>
      </c>
      <c r="G398" s="319">
        <v>0.34805885712141593</v>
      </c>
      <c r="H398" s="319">
        <v>0</v>
      </c>
      <c r="I398" s="319">
        <v>0</v>
      </c>
      <c r="J398" s="320">
        <v>-1.2704115120084958</v>
      </c>
      <c r="K398" s="320">
        <v>0</v>
      </c>
      <c r="L398" s="319">
        <v>0</v>
      </c>
      <c r="M398" s="319">
        <v>0</v>
      </c>
      <c r="N398" s="319">
        <v>0</v>
      </c>
      <c r="O398" s="320">
        <v>0</v>
      </c>
      <c r="P398" s="320">
        <v>0</v>
      </c>
      <c r="Q398" s="319">
        <v>0</v>
      </c>
      <c r="R398" s="320">
        <v>0</v>
      </c>
      <c r="S398" s="320">
        <v>-1.2704115120084958</v>
      </c>
      <c r="T398" s="320"/>
      <c r="U398" s="320"/>
      <c r="V398" s="316"/>
    </row>
    <row r="399" spans="1:22">
      <c r="A399" s="311"/>
      <c r="B399" s="291" t="s">
        <v>802</v>
      </c>
      <c r="C399" s="308">
        <v>1.2868143744933802E-3</v>
      </c>
      <c r="D399" s="309">
        <v>0</v>
      </c>
      <c r="E399" s="309">
        <v>0</v>
      </c>
      <c r="F399" s="309">
        <v>0</v>
      </c>
      <c r="G399" s="309">
        <v>0</v>
      </c>
      <c r="H399" s="309">
        <v>0</v>
      </c>
      <c r="I399" s="309">
        <v>0</v>
      </c>
      <c r="J399" s="310">
        <v>9.653781444469219E-4</v>
      </c>
      <c r="K399" s="310">
        <v>0</v>
      </c>
      <c r="L399" s="309">
        <v>0</v>
      </c>
      <c r="M399" s="309">
        <v>0</v>
      </c>
      <c r="N399" s="309">
        <v>0</v>
      </c>
      <c r="O399" s="310">
        <v>0</v>
      </c>
      <c r="P399" s="310">
        <v>0</v>
      </c>
      <c r="Q399" s="309">
        <v>0</v>
      </c>
      <c r="R399" s="310">
        <v>0</v>
      </c>
      <c r="S399" s="310">
        <v>9.653781444469219E-4</v>
      </c>
      <c r="T399" s="310"/>
      <c r="U399" s="310"/>
      <c r="V399" s="316"/>
    </row>
    <row r="400" spans="1:22">
      <c r="A400" s="311"/>
      <c r="B400" s="312" t="s">
        <v>803</v>
      </c>
      <c r="C400" s="313">
        <v>3.4039591185358732E-3</v>
      </c>
      <c r="D400" s="314">
        <v>0</v>
      </c>
      <c r="E400" s="314">
        <v>0</v>
      </c>
      <c r="F400" s="314">
        <v>0</v>
      </c>
      <c r="G400" s="314">
        <v>0</v>
      </c>
      <c r="H400" s="314">
        <v>0</v>
      </c>
      <c r="I400" s="314">
        <v>0</v>
      </c>
      <c r="J400" s="315">
        <v>2.3921304277797332E-3</v>
      </c>
      <c r="K400" s="315">
        <v>0</v>
      </c>
      <c r="L400" s="314">
        <v>0</v>
      </c>
      <c r="M400" s="314">
        <v>0</v>
      </c>
      <c r="N400" s="314">
        <v>0</v>
      </c>
      <c r="O400" s="315">
        <v>0</v>
      </c>
      <c r="P400" s="315">
        <v>0</v>
      </c>
      <c r="Q400" s="314">
        <v>0</v>
      </c>
      <c r="R400" s="315">
        <v>0</v>
      </c>
      <c r="S400" s="315">
        <v>2.3921304277797332E-3</v>
      </c>
      <c r="T400" s="315"/>
      <c r="U400" s="315"/>
      <c r="V400" s="316"/>
    </row>
    <row r="401" spans="1:22" ht="15.75" thickBot="1">
      <c r="A401" s="329"/>
      <c r="B401" s="330" t="s">
        <v>804</v>
      </c>
      <c r="C401" s="331">
        <v>0.21171447440424931</v>
      </c>
      <c r="D401" s="332">
        <v>0</v>
      </c>
      <c r="E401" s="332">
        <v>0</v>
      </c>
      <c r="F401" s="332">
        <v>0</v>
      </c>
      <c r="G401" s="332">
        <v>0</v>
      </c>
      <c r="H401" s="332">
        <v>0</v>
      </c>
      <c r="I401" s="332">
        <v>0</v>
      </c>
      <c r="J401" s="333">
        <v>0.14267522833328114</v>
      </c>
      <c r="K401" s="333">
        <v>0</v>
      </c>
      <c r="L401" s="332">
        <v>0</v>
      </c>
      <c r="M401" s="332">
        <v>0</v>
      </c>
      <c r="N401" s="332">
        <v>0</v>
      </c>
      <c r="O401" s="333">
        <v>0</v>
      </c>
      <c r="P401" s="333">
        <v>0</v>
      </c>
      <c r="Q401" s="332">
        <v>0</v>
      </c>
      <c r="R401" s="333">
        <v>0</v>
      </c>
      <c r="S401" s="333">
        <v>0.14267522833328114</v>
      </c>
      <c r="T401" s="333"/>
      <c r="U401" s="333"/>
      <c r="V401" s="316"/>
    </row>
    <row r="402" spans="1:22">
      <c r="A402" s="307" t="s">
        <v>586</v>
      </c>
      <c r="B402" s="291" t="s">
        <v>769</v>
      </c>
      <c r="C402" s="308">
        <v>0.91300006780033127</v>
      </c>
      <c r="D402" s="309">
        <v>0</v>
      </c>
      <c r="E402" s="309">
        <v>0.95819003731833763</v>
      </c>
      <c r="F402" s="309">
        <v>0</v>
      </c>
      <c r="G402" s="309">
        <v>0.91899104433688628</v>
      </c>
      <c r="H402" s="309">
        <v>0.84307196194353284</v>
      </c>
      <c r="I402" s="309">
        <v>0</v>
      </c>
      <c r="J402" s="310">
        <v>0.91776424207213392</v>
      </c>
      <c r="K402" s="310">
        <v>0</v>
      </c>
      <c r="L402" s="309">
        <v>0.65888698210345675</v>
      </c>
      <c r="M402" s="309">
        <v>0.65083441934931974</v>
      </c>
      <c r="N402" s="309">
        <v>0.7236992517331039</v>
      </c>
      <c r="O402" s="310">
        <v>0.66529110673475533</v>
      </c>
      <c r="P402" s="310">
        <v>0</v>
      </c>
      <c r="Q402" s="309">
        <v>0</v>
      </c>
      <c r="R402" s="310">
        <v>0</v>
      </c>
      <c r="S402" s="310">
        <v>0.80358951471465545</v>
      </c>
      <c r="T402" s="310"/>
      <c r="U402" s="310"/>
      <c r="V402" s="316"/>
    </row>
    <row r="403" spans="1:22">
      <c r="A403" s="311"/>
      <c r="B403" s="312" t="s">
        <v>770</v>
      </c>
      <c r="C403" s="313">
        <v>0.90943088029613861</v>
      </c>
      <c r="D403" s="314">
        <v>0</v>
      </c>
      <c r="E403" s="314">
        <v>0.93873011429904363</v>
      </c>
      <c r="F403" s="314">
        <v>0</v>
      </c>
      <c r="G403" s="314">
        <v>0.89412425803796813</v>
      </c>
      <c r="H403" s="314">
        <v>0.87425398090785644</v>
      </c>
      <c r="I403" s="314">
        <v>0</v>
      </c>
      <c r="J403" s="315">
        <v>0.90781610041229677</v>
      </c>
      <c r="K403" s="315">
        <v>0</v>
      </c>
      <c r="L403" s="314">
        <v>0.61918475028189512</v>
      </c>
      <c r="M403" s="314">
        <v>0.61759462270224519</v>
      </c>
      <c r="N403" s="314">
        <v>0.74685244250461646</v>
      </c>
      <c r="O403" s="315">
        <v>0.63524728845523382</v>
      </c>
      <c r="P403" s="315">
        <v>0</v>
      </c>
      <c r="Q403" s="314">
        <v>0</v>
      </c>
      <c r="R403" s="315">
        <v>0</v>
      </c>
      <c r="S403" s="315">
        <v>0.7934061791310163</v>
      </c>
      <c r="T403" s="315"/>
      <c r="U403" s="315"/>
      <c r="V403" s="316"/>
    </row>
    <row r="404" spans="1:22">
      <c r="A404" s="311"/>
      <c r="B404" s="317" t="s">
        <v>771</v>
      </c>
      <c r="C404" s="318">
        <v>-0.35691875041926613</v>
      </c>
      <c r="D404" s="319">
        <v>0</v>
      </c>
      <c r="E404" s="319">
        <v>-1.9459923019294001</v>
      </c>
      <c r="F404" s="319">
        <v>0</v>
      </c>
      <c r="G404" s="319">
        <v>-2.4866786298918142</v>
      </c>
      <c r="H404" s="319">
        <v>3.1182018964323599</v>
      </c>
      <c r="I404" s="319">
        <v>0</v>
      </c>
      <c r="J404" s="320">
        <v>-0.99481416598371508</v>
      </c>
      <c r="K404" s="320">
        <v>0</v>
      </c>
      <c r="L404" s="319">
        <v>-3.9702231821561629</v>
      </c>
      <c r="M404" s="319">
        <v>-3.3239796647074549</v>
      </c>
      <c r="N404" s="321">
        <v>2.3153190771512566</v>
      </c>
      <c r="O404" s="320">
        <v>-3.0043818279521517</v>
      </c>
      <c r="P404" s="320">
        <v>0</v>
      </c>
      <c r="Q404" s="319">
        <v>0</v>
      </c>
      <c r="R404" s="320">
        <v>0</v>
      </c>
      <c r="S404" s="320">
        <v>-1.0183335583639153</v>
      </c>
      <c r="T404" s="320"/>
      <c r="U404" s="320"/>
      <c r="V404" s="316"/>
    </row>
    <row r="405" spans="1:22">
      <c r="A405" s="311"/>
      <c r="B405" s="291" t="s">
        <v>772</v>
      </c>
      <c r="C405" s="308">
        <v>2.3576758046446454E-2</v>
      </c>
      <c r="D405" s="309">
        <v>0</v>
      </c>
      <c r="E405" s="309">
        <v>1.0200780673892918E-2</v>
      </c>
      <c r="F405" s="309">
        <v>0</v>
      </c>
      <c r="G405" s="309">
        <v>5.0251592377988288E-3</v>
      </c>
      <c r="H405" s="309">
        <v>3.7338334343445898E-2</v>
      </c>
      <c r="I405" s="309">
        <v>0</v>
      </c>
      <c r="J405" s="310">
        <v>1.8464405720698535E-2</v>
      </c>
      <c r="K405" s="310">
        <v>0</v>
      </c>
      <c r="L405" s="309">
        <v>5.842001424251976E-2</v>
      </c>
      <c r="M405" s="309">
        <v>7.7747479633239899E-2</v>
      </c>
      <c r="N405" s="309">
        <v>7.6167447483753967E-2</v>
      </c>
      <c r="O405" s="310">
        <v>6.5229412351076752E-2</v>
      </c>
      <c r="P405" s="310">
        <v>0</v>
      </c>
      <c r="Q405" s="309">
        <v>0</v>
      </c>
      <c r="R405" s="310">
        <v>0</v>
      </c>
      <c r="S405" s="310">
        <v>3.9612722648593127E-2</v>
      </c>
      <c r="T405" s="310"/>
      <c r="U405" s="310"/>
      <c r="V405" s="316"/>
    </row>
    <row r="406" spans="1:22">
      <c r="A406" s="311"/>
      <c r="B406" s="312" t="s">
        <v>773</v>
      </c>
      <c r="C406" s="313">
        <v>2.3650927054038817E-2</v>
      </c>
      <c r="D406" s="314">
        <v>0</v>
      </c>
      <c r="E406" s="314">
        <v>1.1730347562397948E-2</v>
      </c>
      <c r="F406" s="314">
        <v>0</v>
      </c>
      <c r="G406" s="314">
        <v>4.8693505246553736E-3</v>
      </c>
      <c r="H406" s="314">
        <v>8.4313500293881191E-4</v>
      </c>
      <c r="I406" s="314">
        <v>0</v>
      </c>
      <c r="J406" s="315">
        <v>1.476048104534693E-2</v>
      </c>
      <c r="K406" s="315">
        <v>0</v>
      </c>
      <c r="L406" s="314">
        <v>6.343404895667791E-2</v>
      </c>
      <c r="M406" s="314">
        <v>8.8218477482790755E-2</v>
      </c>
      <c r="N406" s="314">
        <v>4.9300474539074754E-2</v>
      </c>
      <c r="O406" s="315">
        <v>6.7417820876232964E-2</v>
      </c>
      <c r="P406" s="315">
        <v>0</v>
      </c>
      <c r="Q406" s="314">
        <v>0</v>
      </c>
      <c r="R406" s="315">
        <v>0</v>
      </c>
      <c r="S406" s="315">
        <v>3.6863237636157217E-2</v>
      </c>
      <c r="T406" s="315"/>
      <c r="U406" s="315"/>
      <c r="V406" s="316"/>
    </row>
    <row r="407" spans="1:22">
      <c r="A407" s="311"/>
      <c r="B407" s="317" t="s">
        <v>774</v>
      </c>
      <c r="C407" s="318">
        <v>7.4169007592363168E-3</v>
      </c>
      <c r="D407" s="319">
        <v>0</v>
      </c>
      <c r="E407" s="319">
        <v>0.15295668885050295</v>
      </c>
      <c r="F407" s="319">
        <v>0</v>
      </c>
      <c r="G407" s="319">
        <v>-1.5580871314345521E-2</v>
      </c>
      <c r="H407" s="319">
        <v>-3.6495199340507085</v>
      </c>
      <c r="I407" s="319">
        <v>0</v>
      </c>
      <c r="J407" s="320">
        <v>-0.37039246753516053</v>
      </c>
      <c r="K407" s="320">
        <v>0</v>
      </c>
      <c r="L407" s="319">
        <v>0.50140347141581498</v>
      </c>
      <c r="M407" s="319">
        <v>1.0470997849550856</v>
      </c>
      <c r="N407" s="319">
        <v>-2.6866972944679213</v>
      </c>
      <c r="O407" s="320">
        <v>0.2188408525156213</v>
      </c>
      <c r="P407" s="320">
        <v>0</v>
      </c>
      <c r="Q407" s="319">
        <v>0</v>
      </c>
      <c r="R407" s="320">
        <v>0</v>
      </c>
      <c r="S407" s="320">
        <v>-0.27494850124359094</v>
      </c>
      <c r="T407" s="320"/>
      <c r="U407" s="320"/>
      <c r="V407" s="316"/>
    </row>
    <row r="408" spans="1:22">
      <c r="A408" s="311"/>
      <c r="B408" s="291" t="s">
        <v>775</v>
      </c>
      <c r="C408" s="308">
        <v>6.3423174153222295E-2</v>
      </c>
      <c r="D408" s="309">
        <v>0</v>
      </c>
      <c r="E408" s="309">
        <v>3.1609182007769451E-2</v>
      </c>
      <c r="F408" s="309">
        <v>0</v>
      </c>
      <c r="G408" s="309">
        <v>7.5983796425314859E-2</v>
      </c>
      <c r="H408" s="309">
        <v>0.11883955219613718</v>
      </c>
      <c r="I408" s="309">
        <v>0</v>
      </c>
      <c r="J408" s="310">
        <v>6.3704205935976033E-2</v>
      </c>
      <c r="K408" s="310">
        <v>0</v>
      </c>
      <c r="L408" s="309">
        <v>0.27874556866956968</v>
      </c>
      <c r="M408" s="309">
        <v>0.25533591160921165</v>
      </c>
      <c r="N408" s="309">
        <v>0.16589747464766355</v>
      </c>
      <c r="O408" s="310">
        <v>0.2588064517248887</v>
      </c>
      <c r="P408" s="310">
        <v>0</v>
      </c>
      <c r="Q408" s="309">
        <v>0</v>
      </c>
      <c r="R408" s="310">
        <v>0</v>
      </c>
      <c r="S408" s="310">
        <v>0.15193436828577964</v>
      </c>
      <c r="T408" s="310"/>
      <c r="U408" s="310"/>
      <c r="V408" s="316"/>
    </row>
    <row r="409" spans="1:22">
      <c r="A409" s="311"/>
      <c r="B409" s="312" t="s">
        <v>776</v>
      </c>
      <c r="C409" s="313">
        <v>6.6918192649822544E-2</v>
      </c>
      <c r="D409" s="314">
        <v>0</v>
      </c>
      <c r="E409" s="314">
        <v>4.953953813855843E-2</v>
      </c>
      <c r="F409" s="314">
        <v>0</v>
      </c>
      <c r="G409" s="314">
        <v>0.10100639143737652</v>
      </c>
      <c r="H409" s="314">
        <v>0.12490288408920476</v>
      </c>
      <c r="I409" s="314">
        <v>0</v>
      </c>
      <c r="J409" s="315">
        <v>7.7423418542356265E-2</v>
      </c>
      <c r="K409" s="315">
        <v>0</v>
      </c>
      <c r="L409" s="314">
        <v>0.31308431703622569</v>
      </c>
      <c r="M409" s="314">
        <v>0.27830802407718386</v>
      </c>
      <c r="N409" s="314">
        <v>0.18021430004462879</v>
      </c>
      <c r="O409" s="315">
        <v>0.28783697314756346</v>
      </c>
      <c r="P409" s="315">
        <v>0</v>
      </c>
      <c r="Q409" s="314">
        <v>0</v>
      </c>
      <c r="R409" s="315">
        <v>0</v>
      </c>
      <c r="S409" s="315">
        <v>0.16574386153819096</v>
      </c>
      <c r="T409" s="315"/>
      <c r="U409" s="315"/>
      <c r="V409" s="316"/>
    </row>
    <row r="410" spans="1:22">
      <c r="A410" s="311"/>
      <c r="B410" s="317" t="s">
        <v>777</v>
      </c>
      <c r="C410" s="318">
        <v>0.34950184966002495</v>
      </c>
      <c r="D410" s="319">
        <v>0</v>
      </c>
      <c r="E410" s="319">
        <v>1.7930356130788978</v>
      </c>
      <c r="F410" s="319">
        <v>0</v>
      </c>
      <c r="G410" s="319">
        <v>2.5022595012061668</v>
      </c>
      <c r="H410" s="319">
        <v>0.60633318930675828</v>
      </c>
      <c r="I410" s="319">
        <v>0</v>
      </c>
      <c r="J410" s="320">
        <v>1.3719212606380231</v>
      </c>
      <c r="K410" s="320">
        <v>0</v>
      </c>
      <c r="L410" s="319">
        <v>3.4338748366656011</v>
      </c>
      <c r="M410" s="319">
        <v>2.2972112467972208</v>
      </c>
      <c r="N410" s="321">
        <v>1.4316825396965243</v>
      </c>
      <c r="O410" s="320">
        <v>2.9030521422674758</v>
      </c>
      <c r="P410" s="320">
        <v>0</v>
      </c>
      <c r="Q410" s="319">
        <v>0</v>
      </c>
      <c r="R410" s="320">
        <v>0</v>
      </c>
      <c r="S410" s="320">
        <v>1.380949325241132</v>
      </c>
      <c r="T410" s="320"/>
      <c r="U410" s="320"/>
      <c r="V410" s="316"/>
    </row>
    <row r="411" spans="1:22">
      <c r="A411" s="311"/>
      <c r="B411" s="291" t="s">
        <v>778</v>
      </c>
      <c r="C411" s="308">
        <v>0</v>
      </c>
      <c r="D411" s="309">
        <v>0</v>
      </c>
      <c r="E411" s="309">
        <v>0</v>
      </c>
      <c r="F411" s="309">
        <v>0</v>
      </c>
      <c r="G411" s="309">
        <v>0</v>
      </c>
      <c r="H411" s="309">
        <v>0</v>
      </c>
      <c r="I411" s="309">
        <v>0</v>
      </c>
      <c r="J411" s="310">
        <v>0</v>
      </c>
      <c r="K411" s="310">
        <v>0</v>
      </c>
      <c r="L411" s="309">
        <v>3.9474349844538618E-3</v>
      </c>
      <c r="M411" s="309">
        <v>1.6082189408228656E-2</v>
      </c>
      <c r="N411" s="309">
        <v>1.4356959347136164E-2</v>
      </c>
      <c r="O411" s="310">
        <v>8.1288797658787409E-3</v>
      </c>
      <c r="P411" s="310">
        <v>0</v>
      </c>
      <c r="Q411" s="309">
        <v>0</v>
      </c>
      <c r="R411" s="310">
        <v>0</v>
      </c>
      <c r="S411" s="310">
        <v>3.6760847040248315E-3</v>
      </c>
      <c r="T411" s="310"/>
      <c r="U411" s="310"/>
      <c r="V411" s="316"/>
    </row>
    <row r="412" spans="1:22">
      <c r="A412" s="311"/>
      <c r="B412" s="312" t="s">
        <v>779</v>
      </c>
      <c r="C412" s="324">
        <v>0</v>
      </c>
      <c r="D412" s="314">
        <v>0</v>
      </c>
      <c r="E412" s="314">
        <v>0</v>
      </c>
      <c r="F412" s="314">
        <v>0</v>
      </c>
      <c r="G412" s="314">
        <v>0</v>
      </c>
      <c r="H412" s="322">
        <v>0</v>
      </c>
      <c r="I412" s="314">
        <v>0</v>
      </c>
      <c r="J412" s="315">
        <v>0</v>
      </c>
      <c r="K412" s="315">
        <v>0</v>
      </c>
      <c r="L412" s="314">
        <v>4.2968837252012979E-3</v>
      </c>
      <c r="M412" s="314">
        <v>1.5878875737780199E-2</v>
      </c>
      <c r="N412" s="314">
        <v>1.2221735445489422E-2</v>
      </c>
      <c r="O412" s="315">
        <v>8.0289554715278575E-3</v>
      </c>
      <c r="P412" s="315">
        <v>0</v>
      </c>
      <c r="Q412" s="314">
        <v>0</v>
      </c>
      <c r="R412" s="315">
        <v>0</v>
      </c>
      <c r="S412" s="315">
        <v>3.3701293881455209E-3</v>
      </c>
      <c r="T412" s="315"/>
      <c r="U412" s="315"/>
      <c r="V412" s="316"/>
    </row>
    <row r="413" spans="1:22">
      <c r="A413" s="311"/>
      <c r="B413" s="317" t="s">
        <v>780</v>
      </c>
      <c r="C413" s="337">
        <v>0</v>
      </c>
      <c r="D413" s="319">
        <v>0</v>
      </c>
      <c r="E413" s="319">
        <v>0</v>
      </c>
      <c r="F413" s="319">
        <v>0</v>
      </c>
      <c r="G413" s="319">
        <v>0</v>
      </c>
      <c r="H413" s="321">
        <v>0</v>
      </c>
      <c r="I413" s="319">
        <v>0</v>
      </c>
      <c r="J413" s="320">
        <v>0</v>
      </c>
      <c r="K413" s="320">
        <v>0</v>
      </c>
      <c r="L413" s="319">
        <v>3.4944874074743608E-2</v>
      </c>
      <c r="M413" s="319">
        <v>-2.0331367044845727E-2</v>
      </c>
      <c r="N413" s="319">
        <v>-0.2135223901646742</v>
      </c>
      <c r="O413" s="320">
        <v>-9.9924294350883444E-3</v>
      </c>
      <c r="P413" s="320">
        <v>0</v>
      </c>
      <c r="Q413" s="319">
        <v>0</v>
      </c>
      <c r="R413" s="320">
        <v>0</v>
      </c>
      <c r="S413" s="320">
        <v>-3.0595531587931067E-2</v>
      </c>
      <c r="T413" s="320"/>
      <c r="U413" s="320"/>
      <c r="V413" s="316"/>
    </row>
    <row r="414" spans="1:22">
      <c r="A414" s="311"/>
      <c r="B414" s="291" t="s">
        <v>781</v>
      </c>
      <c r="C414" s="308">
        <v>0</v>
      </c>
      <c r="D414" s="309">
        <v>0</v>
      </c>
      <c r="E414" s="309">
        <v>0</v>
      </c>
      <c r="F414" s="309">
        <v>0</v>
      </c>
      <c r="G414" s="309">
        <v>0</v>
      </c>
      <c r="H414" s="309">
        <v>7.5015151688412676E-4</v>
      </c>
      <c r="I414" s="309">
        <v>0</v>
      </c>
      <c r="J414" s="310">
        <v>6.7146271191506491E-5</v>
      </c>
      <c r="K414" s="310">
        <v>0</v>
      </c>
      <c r="L414" s="309">
        <v>0</v>
      </c>
      <c r="M414" s="309">
        <v>0</v>
      </c>
      <c r="N414" s="309">
        <v>1.9878866788342383E-2</v>
      </c>
      <c r="O414" s="310">
        <v>2.5441494234005211E-3</v>
      </c>
      <c r="P414" s="310">
        <v>0</v>
      </c>
      <c r="Q414" s="309">
        <v>0</v>
      </c>
      <c r="R414" s="310">
        <v>0</v>
      </c>
      <c r="S414" s="310">
        <v>1.1873096469469501E-3</v>
      </c>
      <c r="T414" s="310"/>
      <c r="U414" s="310"/>
      <c r="V414" s="316"/>
    </row>
    <row r="415" spans="1:22">
      <c r="A415" s="311"/>
      <c r="B415" s="312" t="s">
        <v>782</v>
      </c>
      <c r="C415" s="324">
        <v>0</v>
      </c>
      <c r="D415" s="314">
        <v>0</v>
      </c>
      <c r="E415" s="314">
        <v>0</v>
      </c>
      <c r="F415" s="314">
        <v>0</v>
      </c>
      <c r="G415" s="314">
        <v>0</v>
      </c>
      <c r="H415" s="314">
        <v>0</v>
      </c>
      <c r="I415" s="314">
        <v>0</v>
      </c>
      <c r="J415" s="315">
        <v>0</v>
      </c>
      <c r="K415" s="315">
        <v>0</v>
      </c>
      <c r="L415" s="314">
        <v>0</v>
      </c>
      <c r="M415" s="314">
        <v>0</v>
      </c>
      <c r="N415" s="314">
        <v>1.1411047466190627E-2</v>
      </c>
      <c r="O415" s="315">
        <v>1.4689620494418788E-3</v>
      </c>
      <c r="P415" s="315">
        <v>0</v>
      </c>
      <c r="Q415" s="314">
        <v>0</v>
      </c>
      <c r="R415" s="315">
        <v>0</v>
      </c>
      <c r="S415" s="315">
        <v>6.1659230648996037E-4</v>
      </c>
      <c r="T415" s="315"/>
      <c r="U415" s="315"/>
      <c r="V415" s="316"/>
    </row>
    <row r="416" spans="1:22">
      <c r="A416" s="311"/>
      <c r="B416" s="317" t="s">
        <v>783</v>
      </c>
      <c r="C416" s="337">
        <v>0</v>
      </c>
      <c r="D416" s="319">
        <v>0</v>
      </c>
      <c r="E416" s="319">
        <v>0</v>
      </c>
      <c r="F416" s="319">
        <v>0</v>
      </c>
      <c r="G416" s="319">
        <v>0</v>
      </c>
      <c r="H416" s="319">
        <v>-7.5015151688412676E-2</v>
      </c>
      <c r="I416" s="319">
        <v>0</v>
      </c>
      <c r="J416" s="320">
        <v>-6.7146271191506493E-3</v>
      </c>
      <c r="K416" s="320">
        <v>0</v>
      </c>
      <c r="L416" s="319">
        <v>0</v>
      </c>
      <c r="M416" s="319">
        <v>0</v>
      </c>
      <c r="N416" s="319">
        <v>-0.84678193221517561</v>
      </c>
      <c r="O416" s="320">
        <v>-0.10751873739586423</v>
      </c>
      <c r="P416" s="320">
        <v>0</v>
      </c>
      <c r="Q416" s="319">
        <v>0</v>
      </c>
      <c r="R416" s="320">
        <v>0</v>
      </c>
      <c r="S416" s="320">
        <v>-5.7071734045698971E-2</v>
      </c>
      <c r="T416" s="320"/>
      <c r="U416" s="320"/>
      <c r="V416" s="316"/>
    </row>
    <row r="417" spans="1:22">
      <c r="A417" s="311"/>
      <c r="B417" s="291" t="s">
        <v>784</v>
      </c>
      <c r="C417" s="308">
        <v>0</v>
      </c>
      <c r="D417" s="309">
        <v>0</v>
      </c>
      <c r="E417" s="309">
        <v>0</v>
      </c>
      <c r="F417" s="309">
        <v>0</v>
      </c>
      <c r="G417" s="309">
        <v>0</v>
      </c>
      <c r="H417" s="309">
        <v>0</v>
      </c>
      <c r="I417" s="309">
        <v>0</v>
      </c>
      <c r="J417" s="310">
        <v>0</v>
      </c>
      <c r="K417" s="310">
        <v>0</v>
      </c>
      <c r="L417" s="309">
        <v>0</v>
      </c>
      <c r="M417" s="309">
        <v>0</v>
      </c>
      <c r="N417" s="309">
        <v>0</v>
      </c>
      <c r="O417" s="310">
        <v>0</v>
      </c>
      <c r="P417" s="310">
        <v>0</v>
      </c>
      <c r="Q417" s="309">
        <v>0</v>
      </c>
      <c r="R417" s="310">
        <v>0</v>
      </c>
      <c r="S417" s="310">
        <v>0</v>
      </c>
      <c r="T417" s="310"/>
      <c r="U417" s="310"/>
      <c r="V417" s="316"/>
    </row>
    <row r="418" spans="1:22">
      <c r="A418" s="311"/>
      <c r="B418" s="312" t="s">
        <v>785</v>
      </c>
      <c r="C418" s="313">
        <v>0</v>
      </c>
      <c r="D418" s="314">
        <v>0</v>
      </c>
      <c r="E418" s="314">
        <v>0</v>
      </c>
      <c r="F418" s="314">
        <v>0</v>
      </c>
      <c r="G418" s="314">
        <v>0</v>
      </c>
      <c r="H418" s="314">
        <v>0</v>
      </c>
      <c r="I418" s="314">
        <v>0</v>
      </c>
      <c r="J418" s="315">
        <v>0</v>
      </c>
      <c r="K418" s="315">
        <v>0</v>
      </c>
      <c r="L418" s="314">
        <v>0</v>
      </c>
      <c r="M418" s="314">
        <v>0</v>
      </c>
      <c r="N418" s="314">
        <v>0</v>
      </c>
      <c r="O418" s="315">
        <v>0</v>
      </c>
      <c r="P418" s="315">
        <v>0</v>
      </c>
      <c r="Q418" s="314">
        <v>0</v>
      </c>
      <c r="R418" s="315">
        <v>0</v>
      </c>
      <c r="S418" s="315">
        <v>0</v>
      </c>
      <c r="T418" s="315"/>
      <c r="U418" s="315"/>
      <c r="V418" s="316"/>
    </row>
    <row r="419" spans="1:22" ht="15.75" thickBot="1">
      <c r="A419" s="311"/>
      <c r="B419" s="325" t="s">
        <v>786</v>
      </c>
      <c r="C419" s="326">
        <v>0</v>
      </c>
      <c r="D419" s="327">
        <v>0</v>
      </c>
      <c r="E419" s="327">
        <v>0</v>
      </c>
      <c r="F419" s="327">
        <v>0</v>
      </c>
      <c r="G419" s="327">
        <v>0</v>
      </c>
      <c r="H419" s="327">
        <v>0</v>
      </c>
      <c r="I419" s="327">
        <v>0</v>
      </c>
      <c r="J419" s="328">
        <v>0</v>
      </c>
      <c r="K419" s="328">
        <v>0</v>
      </c>
      <c r="L419" s="327">
        <v>0</v>
      </c>
      <c r="M419" s="327">
        <v>0</v>
      </c>
      <c r="N419" s="327">
        <v>0</v>
      </c>
      <c r="O419" s="328">
        <v>0</v>
      </c>
      <c r="P419" s="328">
        <v>0</v>
      </c>
      <c r="Q419" s="327">
        <v>0</v>
      </c>
      <c r="R419" s="328">
        <v>0</v>
      </c>
      <c r="S419" s="328">
        <v>0</v>
      </c>
      <c r="T419" s="328"/>
      <c r="U419" s="328"/>
      <c r="V419" s="316"/>
    </row>
    <row r="420" spans="1:22" ht="15.75" thickTop="1">
      <c r="A420" s="311"/>
      <c r="B420" s="312" t="s">
        <v>787</v>
      </c>
      <c r="C420" s="313">
        <v>0.70276253640993425</v>
      </c>
      <c r="D420" s="314">
        <v>0</v>
      </c>
      <c r="E420" s="314">
        <v>0.74734201183431948</v>
      </c>
      <c r="F420" s="314">
        <v>0</v>
      </c>
      <c r="G420" s="314">
        <v>0.62595963000411936</v>
      </c>
      <c r="H420" s="314">
        <v>0.85272256393654899</v>
      </c>
      <c r="I420" s="314">
        <v>0</v>
      </c>
      <c r="J420" s="315">
        <v>0.74475851447767694</v>
      </c>
      <c r="K420" s="315">
        <v>0</v>
      </c>
      <c r="L420" s="314">
        <v>0</v>
      </c>
      <c r="M420" s="314">
        <v>0</v>
      </c>
      <c r="N420" s="314">
        <v>0</v>
      </c>
      <c r="O420" s="315">
        <v>0</v>
      </c>
      <c r="P420" s="315">
        <v>0</v>
      </c>
      <c r="Q420" s="314">
        <v>0</v>
      </c>
      <c r="R420" s="315">
        <v>0</v>
      </c>
      <c r="S420" s="315">
        <v>0.74475851447767694</v>
      </c>
      <c r="T420" s="315"/>
      <c r="U420" s="315"/>
      <c r="V420" s="316"/>
    </row>
    <row r="421" spans="1:22">
      <c r="A421" s="311"/>
      <c r="B421" s="312" t="s">
        <v>788</v>
      </c>
      <c r="C421" s="313">
        <v>0.70072044371166164</v>
      </c>
      <c r="D421" s="314">
        <v>0</v>
      </c>
      <c r="E421" s="314">
        <v>0.72797285967751368</v>
      </c>
      <c r="F421" s="314">
        <v>0</v>
      </c>
      <c r="G421" s="314">
        <v>0.60379948795963045</v>
      </c>
      <c r="H421" s="314">
        <v>0.41660290742157613</v>
      </c>
      <c r="I421" s="314">
        <v>0</v>
      </c>
      <c r="J421" s="315">
        <v>0.69408296680196979</v>
      </c>
      <c r="K421" s="315">
        <v>0</v>
      </c>
      <c r="L421" s="314">
        <v>0</v>
      </c>
      <c r="M421" s="314">
        <v>0</v>
      </c>
      <c r="N421" s="314">
        <v>0</v>
      </c>
      <c r="O421" s="315">
        <v>0</v>
      </c>
      <c r="P421" s="315">
        <v>0</v>
      </c>
      <c r="Q421" s="314">
        <v>0</v>
      </c>
      <c r="R421" s="315">
        <v>0</v>
      </c>
      <c r="S421" s="315">
        <v>0.69408296680196979</v>
      </c>
      <c r="T421" s="315"/>
      <c r="U421" s="315"/>
      <c r="V421" s="316"/>
    </row>
    <row r="422" spans="1:22">
      <c r="A422" s="311"/>
      <c r="B422" s="317" t="s">
        <v>789</v>
      </c>
      <c r="C422" s="318">
        <v>-0.20420926982726018</v>
      </c>
      <c r="D422" s="319">
        <v>0</v>
      </c>
      <c r="E422" s="319">
        <v>-1.9369152156805791</v>
      </c>
      <c r="F422" s="319">
        <v>0</v>
      </c>
      <c r="G422" s="319">
        <v>-2.2160142044488906</v>
      </c>
      <c r="H422" s="321">
        <v>-43.611965651497286</v>
      </c>
      <c r="I422" s="319">
        <v>0</v>
      </c>
      <c r="J422" s="320">
        <v>-5.067554767570714</v>
      </c>
      <c r="K422" s="320">
        <v>0</v>
      </c>
      <c r="L422" s="319">
        <v>0</v>
      </c>
      <c r="M422" s="319">
        <v>0</v>
      </c>
      <c r="N422" s="319">
        <v>0</v>
      </c>
      <c r="O422" s="320">
        <v>0</v>
      </c>
      <c r="P422" s="320">
        <v>0</v>
      </c>
      <c r="Q422" s="319">
        <v>0</v>
      </c>
      <c r="R422" s="320">
        <v>0</v>
      </c>
      <c r="S422" s="320">
        <v>-5.067554767570714</v>
      </c>
      <c r="T422" s="320"/>
      <c r="U422" s="320"/>
      <c r="V422" s="316"/>
    </row>
    <row r="423" spans="1:22">
      <c r="A423" s="311"/>
      <c r="B423" s="291" t="s">
        <v>790</v>
      </c>
      <c r="C423" s="308">
        <v>9.846539439733476E-2</v>
      </c>
      <c r="D423" s="309">
        <v>0</v>
      </c>
      <c r="E423" s="309">
        <v>0.13593372781065088</v>
      </c>
      <c r="F423" s="309">
        <v>0</v>
      </c>
      <c r="G423" s="309">
        <v>7.3025502752499721E-2</v>
      </c>
      <c r="H423" s="309">
        <v>4.592424732923276E-2</v>
      </c>
      <c r="I423" s="309">
        <v>0</v>
      </c>
      <c r="J423" s="310">
        <v>8.6267392944296944E-2</v>
      </c>
      <c r="K423" s="310">
        <v>0</v>
      </c>
      <c r="L423" s="309">
        <v>0</v>
      </c>
      <c r="M423" s="309">
        <v>0</v>
      </c>
      <c r="N423" s="309">
        <v>0</v>
      </c>
      <c r="O423" s="310">
        <v>0</v>
      </c>
      <c r="P423" s="310">
        <v>0</v>
      </c>
      <c r="Q423" s="309">
        <v>0</v>
      </c>
      <c r="R423" s="310">
        <v>0</v>
      </c>
      <c r="S423" s="310">
        <v>8.6267392944296944E-2</v>
      </c>
      <c r="T423" s="310"/>
      <c r="U423" s="310"/>
      <c r="V423" s="316"/>
    </row>
    <row r="424" spans="1:22">
      <c r="A424" s="311"/>
      <c r="B424" s="312" t="s">
        <v>791</v>
      </c>
      <c r="C424" s="313">
        <v>0.10502268980088036</v>
      </c>
      <c r="D424" s="314">
        <v>0</v>
      </c>
      <c r="E424" s="314">
        <v>0.1354871414923278</v>
      </c>
      <c r="F424" s="314">
        <v>0</v>
      </c>
      <c r="G424" s="314">
        <v>4.8235686987495828E-2</v>
      </c>
      <c r="H424" s="314">
        <v>0</v>
      </c>
      <c r="I424" s="314">
        <v>0</v>
      </c>
      <c r="J424" s="315">
        <v>0.10375152738474852</v>
      </c>
      <c r="K424" s="315">
        <v>0</v>
      </c>
      <c r="L424" s="314">
        <v>0</v>
      </c>
      <c r="M424" s="314">
        <v>0</v>
      </c>
      <c r="N424" s="314">
        <v>0</v>
      </c>
      <c r="O424" s="315">
        <v>0</v>
      </c>
      <c r="P424" s="315">
        <v>0</v>
      </c>
      <c r="Q424" s="314">
        <v>0</v>
      </c>
      <c r="R424" s="315">
        <v>0</v>
      </c>
      <c r="S424" s="315">
        <v>0.10375152738474852</v>
      </c>
      <c r="T424" s="315"/>
      <c r="U424" s="315"/>
      <c r="V424" s="316"/>
    </row>
    <row r="425" spans="1:22">
      <c r="A425" s="311"/>
      <c r="B425" s="317" t="s">
        <v>792</v>
      </c>
      <c r="C425" s="318">
        <v>0.65572954035456044</v>
      </c>
      <c r="D425" s="319">
        <v>0</v>
      </c>
      <c r="E425" s="319">
        <v>-4.4658631832308893E-2</v>
      </c>
      <c r="F425" s="319">
        <v>0</v>
      </c>
      <c r="G425" s="319">
        <v>-2.4789815765003893</v>
      </c>
      <c r="H425" s="319">
        <v>-4.5924247329232761</v>
      </c>
      <c r="I425" s="319">
        <v>0</v>
      </c>
      <c r="J425" s="320">
        <v>1.7484134440451577</v>
      </c>
      <c r="K425" s="320">
        <v>0</v>
      </c>
      <c r="L425" s="319">
        <v>0</v>
      </c>
      <c r="M425" s="319">
        <v>0</v>
      </c>
      <c r="N425" s="319">
        <v>0</v>
      </c>
      <c r="O425" s="320">
        <v>0</v>
      </c>
      <c r="P425" s="320">
        <v>0</v>
      </c>
      <c r="Q425" s="319">
        <v>0</v>
      </c>
      <c r="R425" s="320">
        <v>0</v>
      </c>
      <c r="S425" s="320">
        <v>1.7484134440451577</v>
      </c>
      <c r="T425" s="320"/>
      <c r="U425" s="320"/>
      <c r="V425" s="316"/>
    </row>
    <row r="426" spans="1:22">
      <c r="A426" s="311"/>
      <c r="B426" s="291" t="s">
        <v>793</v>
      </c>
      <c r="C426" s="308">
        <v>0.15599155104780554</v>
      </c>
      <c r="D426" s="309">
        <v>0</v>
      </c>
      <c r="E426" s="309">
        <v>0.11672426035502959</v>
      </c>
      <c r="F426" s="309">
        <v>0</v>
      </c>
      <c r="G426" s="309">
        <v>0.30101486724338089</v>
      </c>
      <c r="H426" s="309">
        <v>0.10073162835869214</v>
      </c>
      <c r="I426" s="309">
        <v>0</v>
      </c>
      <c r="J426" s="310">
        <v>0.14393559073593329</v>
      </c>
      <c r="K426" s="310">
        <v>0</v>
      </c>
      <c r="L426" s="309">
        <v>0</v>
      </c>
      <c r="M426" s="309">
        <v>0</v>
      </c>
      <c r="N426" s="309">
        <v>0</v>
      </c>
      <c r="O426" s="310">
        <v>0</v>
      </c>
      <c r="P426" s="310">
        <v>0</v>
      </c>
      <c r="Q426" s="309">
        <v>0</v>
      </c>
      <c r="R426" s="310">
        <v>0</v>
      </c>
      <c r="S426" s="310">
        <v>0.14393559073593329</v>
      </c>
      <c r="T426" s="310"/>
      <c r="U426" s="310"/>
      <c r="V426" s="316"/>
    </row>
    <row r="427" spans="1:22">
      <c r="A427" s="311"/>
      <c r="B427" s="312" t="s">
        <v>794</v>
      </c>
      <c r="C427" s="313">
        <v>0.16832213021192613</v>
      </c>
      <c r="D427" s="314">
        <v>0</v>
      </c>
      <c r="E427" s="314">
        <v>0.13653999883015852</v>
      </c>
      <c r="F427" s="314">
        <v>0</v>
      </c>
      <c r="G427" s="314">
        <v>0.34796482505287374</v>
      </c>
      <c r="H427" s="314">
        <v>0.58339709257842387</v>
      </c>
      <c r="I427" s="314">
        <v>0</v>
      </c>
      <c r="J427" s="315">
        <v>0.18155288008831172</v>
      </c>
      <c r="K427" s="315">
        <v>0</v>
      </c>
      <c r="L427" s="314">
        <v>0</v>
      </c>
      <c r="M427" s="314">
        <v>0</v>
      </c>
      <c r="N427" s="314">
        <v>0</v>
      </c>
      <c r="O427" s="315">
        <v>0</v>
      </c>
      <c r="P427" s="315">
        <v>0</v>
      </c>
      <c r="Q427" s="314">
        <v>0</v>
      </c>
      <c r="R427" s="315">
        <v>0</v>
      </c>
      <c r="S427" s="315">
        <v>0.18155288008831172</v>
      </c>
      <c r="T427" s="315"/>
      <c r="U427" s="315"/>
      <c r="V427" s="316"/>
    </row>
    <row r="428" spans="1:22">
      <c r="A428" s="311"/>
      <c r="B428" s="317" t="s">
        <v>795</v>
      </c>
      <c r="C428" s="318">
        <v>1.2330579164120588</v>
      </c>
      <c r="D428" s="319">
        <v>0</v>
      </c>
      <c r="E428" s="319">
        <v>1.9815738475128937</v>
      </c>
      <c r="F428" s="319">
        <v>0</v>
      </c>
      <c r="G428" s="319">
        <v>4.6949957809492844</v>
      </c>
      <c r="H428" s="321">
        <v>48.266546421973175</v>
      </c>
      <c r="I428" s="319">
        <v>0</v>
      </c>
      <c r="J428" s="320">
        <v>3.7617289352378429</v>
      </c>
      <c r="K428" s="320">
        <v>0</v>
      </c>
      <c r="L428" s="319">
        <v>0</v>
      </c>
      <c r="M428" s="319">
        <v>0</v>
      </c>
      <c r="N428" s="319">
        <v>0</v>
      </c>
      <c r="O428" s="320">
        <v>0</v>
      </c>
      <c r="P428" s="320">
        <v>0</v>
      </c>
      <c r="Q428" s="319">
        <v>0</v>
      </c>
      <c r="R428" s="320">
        <v>0</v>
      </c>
      <c r="S428" s="320">
        <v>3.7617289352378429</v>
      </c>
      <c r="T428" s="320"/>
      <c r="U428" s="320"/>
      <c r="V428" s="316"/>
    </row>
    <row r="429" spans="1:22">
      <c r="A429" s="311"/>
      <c r="B429" s="291" t="s">
        <v>796</v>
      </c>
      <c r="C429" s="308">
        <v>3.8435958543479469E-2</v>
      </c>
      <c r="D429" s="309">
        <v>0</v>
      </c>
      <c r="E429" s="309">
        <v>0</v>
      </c>
      <c r="F429" s="309">
        <v>0</v>
      </c>
      <c r="G429" s="309">
        <v>0</v>
      </c>
      <c r="H429" s="309">
        <v>0</v>
      </c>
      <c r="I429" s="309">
        <v>0</v>
      </c>
      <c r="J429" s="310">
        <v>2.2341359434942403E-2</v>
      </c>
      <c r="K429" s="310">
        <v>0</v>
      </c>
      <c r="L429" s="309">
        <v>0</v>
      </c>
      <c r="M429" s="309">
        <v>0</v>
      </c>
      <c r="N429" s="309">
        <v>0</v>
      </c>
      <c r="O429" s="310">
        <v>0</v>
      </c>
      <c r="P429" s="310">
        <v>0</v>
      </c>
      <c r="Q429" s="309">
        <v>0</v>
      </c>
      <c r="R429" s="310">
        <v>0</v>
      </c>
      <c r="S429" s="310">
        <v>2.2341359434942403E-2</v>
      </c>
      <c r="T429" s="310"/>
      <c r="U429" s="310"/>
      <c r="V429" s="316"/>
    </row>
    <row r="430" spans="1:22">
      <c r="A430" s="311"/>
      <c r="B430" s="312" t="s">
        <v>797</v>
      </c>
      <c r="C430" s="313">
        <v>2.535937118163286E-2</v>
      </c>
      <c r="D430" s="314">
        <v>0</v>
      </c>
      <c r="E430" s="314">
        <v>0</v>
      </c>
      <c r="F430" s="314">
        <v>0</v>
      </c>
      <c r="G430" s="314">
        <v>0</v>
      </c>
      <c r="H430" s="322">
        <v>0</v>
      </c>
      <c r="I430" s="314">
        <v>0</v>
      </c>
      <c r="J430" s="315">
        <v>2.0155332263037166E-2</v>
      </c>
      <c r="K430" s="315">
        <v>0</v>
      </c>
      <c r="L430" s="314">
        <v>0</v>
      </c>
      <c r="M430" s="314">
        <v>0</v>
      </c>
      <c r="N430" s="314">
        <v>0</v>
      </c>
      <c r="O430" s="315">
        <v>0</v>
      </c>
      <c r="P430" s="315">
        <v>0</v>
      </c>
      <c r="Q430" s="314">
        <v>0</v>
      </c>
      <c r="R430" s="315">
        <v>0</v>
      </c>
      <c r="S430" s="315">
        <v>2.0155332263037166E-2</v>
      </c>
      <c r="T430" s="315"/>
      <c r="U430" s="315"/>
      <c r="V430" s="316"/>
    </row>
    <row r="431" spans="1:22">
      <c r="A431" s="311"/>
      <c r="B431" s="317" t="s">
        <v>798</v>
      </c>
      <c r="C431" s="318">
        <v>-1.3076587361846608</v>
      </c>
      <c r="D431" s="319">
        <v>0</v>
      </c>
      <c r="E431" s="319">
        <v>0</v>
      </c>
      <c r="F431" s="319">
        <v>0</v>
      </c>
      <c r="G431" s="319">
        <v>0</v>
      </c>
      <c r="H431" s="321">
        <v>0</v>
      </c>
      <c r="I431" s="319">
        <v>0</v>
      </c>
      <c r="J431" s="320">
        <v>-0.21860271719052365</v>
      </c>
      <c r="K431" s="320">
        <v>0</v>
      </c>
      <c r="L431" s="319">
        <v>0</v>
      </c>
      <c r="M431" s="319">
        <v>0</v>
      </c>
      <c r="N431" s="319">
        <v>0</v>
      </c>
      <c r="O431" s="320">
        <v>0</v>
      </c>
      <c r="P431" s="320">
        <v>0</v>
      </c>
      <c r="Q431" s="319">
        <v>0</v>
      </c>
      <c r="R431" s="320">
        <v>0</v>
      </c>
      <c r="S431" s="320">
        <v>-0.21860271719052365</v>
      </c>
      <c r="T431" s="320"/>
      <c r="U431" s="320"/>
      <c r="V431" s="316"/>
    </row>
    <row r="432" spans="1:22">
      <c r="A432" s="311"/>
      <c r="B432" s="291" t="s">
        <v>799</v>
      </c>
      <c r="C432" s="308">
        <v>4.3445596014459282E-3</v>
      </c>
      <c r="D432" s="309">
        <v>0</v>
      </c>
      <c r="E432" s="309">
        <v>0</v>
      </c>
      <c r="F432" s="309">
        <v>0</v>
      </c>
      <c r="G432" s="309">
        <v>0</v>
      </c>
      <c r="H432" s="309">
        <v>6.2156037552606018E-4</v>
      </c>
      <c r="I432" s="309">
        <v>0</v>
      </c>
      <c r="J432" s="310">
        <v>2.6971424071503803E-3</v>
      </c>
      <c r="K432" s="310">
        <v>0</v>
      </c>
      <c r="L432" s="309">
        <v>0</v>
      </c>
      <c r="M432" s="309">
        <v>0</v>
      </c>
      <c r="N432" s="309">
        <v>0</v>
      </c>
      <c r="O432" s="310">
        <v>0</v>
      </c>
      <c r="P432" s="310">
        <v>0</v>
      </c>
      <c r="Q432" s="309">
        <v>0</v>
      </c>
      <c r="R432" s="310">
        <v>0</v>
      </c>
      <c r="S432" s="310">
        <v>2.6971424071503803E-3</v>
      </c>
      <c r="T432" s="310"/>
      <c r="U432" s="310"/>
      <c r="V432" s="316"/>
    </row>
    <row r="433" spans="1:22">
      <c r="A433" s="311"/>
      <c r="B433" s="312" t="s">
        <v>800</v>
      </c>
      <c r="C433" s="313">
        <v>5.7536509389896466E-4</v>
      </c>
      <c r="D433" s="314">
        <v>0</v>
      </c>
      <c r="E433" s="314">
        <v>0</v>
      </c>
      <c r="F433" s="314">
        <v>0</v>
      </c>
      <c r="G433" s="314">
        <v>0</v>
      </c>
      <c r="H433" s="322">
        <v>0</v>
      </c>
      <c r="I433" s="314">
        <v>0</v>
      </c>
      <c r="J433" s="315">
        <v>4.5729346193277784E-4</v>
      </c>
      <c r="K433" s="315">
        <v>0</v>
      </c>
      <c r="L433" s="314">
        <v>0</v>
      </c>
      <c r="M433" s="314">
        <v>0</v>
      </c>
      <c r="N433" s="314">
        <v>0</v>
      </c>
      <c r="O433" s="315">
        <v>0</v>
      </c>
      <c r="P433" s="315">
        <v>0</v>
      </c>
      <c r="Q433" s="314">
        <v>0</v>
      </c>
      <c r="R433" s="315">
        <v>0</v>
      </c>
      <c r="S433" s="315">
        <v>4.5729346193277784E-4</v>
      </c>
      <c r="T433" s="315"/>
      <c r="U433" s="315"/>
      <c r="V433" s="316"/>
    </row>
    <row r="434" spans="1:22">
      <c r="A434" s="311"/>
      <c r="B434" s="317" t="s">
        <v>801</v>
      </c>
      <c r="C434" s="318">
        <v>-0.37691945075469635</v>
      </c>
      <c r="D434" s="319">
        <v>0</v>
      </c>
      <c r="E434" s="319">
        <v>0</v>
      </c>
      <c r="F434" s="319">
        <v>0</v>
      </c>
      <c r="G434" s="319">
        <v>0</v>
      </c>
      <c r="H434" s="319">
        <v>-6.2156037552606021E-2</v>
      </c>
      <c r="I434" s="319">
        <v>0</v>
      </c>
      <c r="J434" s="320">
        <v>-0.22398489452176026</v>
      </c>
      <c r="K434" s="320">
        <v>0</v>
      </c>
      <c r="L434" s="319">
        <v>0</v>
      </c>
      <c r="M434" s="319">
        <v>0</v>
      </c>
      <c r="N434" s="319">
        <v>0</v>
      </c>
      <c r="O434" s="320">
        <v>0</v>
      </c>
      <c r="P434" s="320">
        <v>0</v>
      </c>
      <c r="Q434" s="319">
        <v>0</v>
      </c>
      <c r="R434" s="320">
        <v>0</v>
      </c>
      <c r="S434" s="320">
        <v>-0.22398489452176026</v>
      </c>
      <c r="T434" s="320"/>
      <c r="U434" s="320"/>
      <c r="V434" s="316"/>
    </row>
    <row r="435" spans="1:22">
      <c r="A435" s="311"/>
      <c r="B435" s="291" t="s">
        <v>802</v>
      </c>
      <c r="C435" s="308">
        <v>0</v>
      </c>
      <c r="D435" s="309">
        <v>0</v>
      </c>
      <c r="E435" s="309">
        <v>0</v>
      </c>
      <c r="F435" s="309">
        <v>0</v>
      </c>
      <c r="G435" s="309">
        <v>0</v>
      </c>
      <c r="H435" s="309">
        <v>0</v>
      </c>
      <c r="I435" s="309">
        <v>0</v>
      </c>
      <c r="J435" s="310">
        <v>0</v>
      </c>
      <c r="K435" s="310">
        <v>0</v>
      </c>
      <c r="L435" s="309">
        <v>0</v>
      </c>
      <c r="M435" s="309">
        <v>0</v>
      </c>
      <c r="N435" s="309">
        <v>0</v>
      </c>
      <c r="O435" s="310">
        <v>0</v>
      </c>
      <c r="P435" s="310">
        <v>0</v>
      </c>
      <c r="Q435" s="309">
        <v>0</v>
      </c>
      <c r="R435" s="310">
        <v>0</v>
      </c>
      <c r="S435" s="310">
        <v>0</v>
      </c>
      <c r="T435" s="310"/>
      <c r="U435" s="310"/>
      <c r="V435" s="316"/>
    </row>
    <row r="436" spans="1:22">
      <c r="A436" s="311"/>
      <c r="B436" s="312" t="s">
        <v>803</v>
      </c>
      <c r="C436" s="313">
        <v>0</v>
      </c>
      <c r="D436" s="314">
        <v>0</v>
      </c>
      <c r="E436" s="314">
        <v>0</v>
      </c>
      <c r="F436" s="314">
        <v>0</v>
      </c>
      <c r="G436" s="314">
        <v>0</v>
      </c>
      <c r="H436" s="314">
        <v>0</v>
      </c>
      <c r="I436" s="314">
        <v>0</v>
      </c>
      <c r="J436" s="315">
        <v>0</v>
      </c>
      <c r="K436" s="315">
        <v>0</v>
      </c>
      <c r="L436" s="314">
        <v>0</v>
      </c>
      <c r="M436" s="314">
        <v>0</v>
      </c>
      <c r="N436" s="314">
        <v>0</v>
      </c>
      <c r="O436" s="315">
        <v>0</v>
      </c>
      <c r="P436" s="315">
        <v>0</v>
      </c>
      <c r="Q436" s="314">
        <v>0</v>
      </c>
      <c r="R436" s="315">
        <v>0</v>
      </c>
      <c r="S436" s="315">
        <v>0</v>
      </c>
      <c r="T436" s="315"/>
      <c r="U436" s="315"/>
      <c r="V436" s="316"/>
    </row>
    <row r="437" spans="1:22" ht="15.75" thickBot="1">
      <c r="A437" s="329"/>
      <c r="B437" s="330" t="s">
        <v>804</v>
      </c>
      <c r="C437" s="331">
        <v>0</v>
      </c>
      <c r="D437" s="332">
        <v>0</v>
      </c>
      <c r="E437" s="332">
        <v>0</v>
      </c>
      <c r="F437" s="332">
        <v>0</v>
      </c>
      <c r="G437" s="332">
        <v>0</v>
      </c>
      <c r="H437" s="332">
        <v>0</v>
      </c>
      <c r="I437" s="332">
        <v>0</v>
      </c>
      <c r="J437" s="333">
        <v>0</v>
      </c>
      <c r="K437" s="333">
        <v>0</v>
      </c>
      <c r="L437" s="332">
        <v>0</v>
      </c>
      <c r="M437" s="332">
        <v>0</v>
      </c>
      <c r="N437" s="332">
        <v>0</v>
      </c>
      <c r="O437" s="333">
        <v>0</v>
      </c>
      <c r="P437" s="333">
        <v>0</v>
      </c>
      <c r="Q437" s="332">
        <v>0</v>
      </c>
      <c r="R437" s="333">
        <v>0</v>
      </c>
      <c r="S437" s="333">
        <v>0</v>
      </c>
      <c r="T437" s="333"/>
      <c r="U437" s="333"/>
      <c r="V437" s="316"/>
    </row>
    <row r="438" spans="1:22">
      <c r="A438" s="307" t="s">
        <v>412</v>
      </c>
      <c r="B438" s="291" t="s">
        <v>769</v>
      </c>
      <c r="C438" s="308">
        <v>0.86595366976302712</v>
      </c>
      <c r="D438" s="309">
        <v>0.72421345187255948</v>
      </c>
      <c r="E438" s="309">
        <v>0.76925318705210688</v>
      </c>
      <c r="F438" s="309">
        <v>0</v>
      </c>
      <c r="G438" s="309">
        <v>0.80507678196622612</v>
      </c>
      <c r="H438" s="309">
        <v>0</v>
      </c>
      <c r="I438" s="309">
        <v>0</v>
      </c>
      <c r="J438" s="310">
        <v>0.79668741640536167</v>
      </c>
      <c r="K438" s="310">
        <v>0</v>
      </c>
      <c r="L438" s="309">
        <v>0.50828735943386605</v>
      </c>
      <c r="M438" s="309">
        <v>0.40791241900555514</v>
      </c>
      <c r="N438" s="309">
        <v>0.36215090295051466</v>
      </c>
      <c r="O438" s="310">
        <v>0.46162483551009315</v>
      </c>
      <c r="P438" s="310">
        <v>0</v>
      </c>
      <c r="Q438" s="309">
        <v>0</v>
      </c>
      <c r="R438" s="310">
        <v>0</v>
      </c>
      <c r="S438" s="310">
        <v>0.67653923211462852</v>
      </c>
      <c r="T438" s="310"/>
      <c r="U438" s="310"/>
      <c r="V438" s="316"/>
    </row>
    <row r="439" spans="1:22">
      <c r="A439" s="311"/>
      <c r="B439" s="312" t="s">
        <v>770</v>
      </c>
      <c r="C439" s="313">
        <v>0.85279746768538689</v>
      </c>
      <c r="D439" s="314">
        <v>0.72221789468505548</v>
      </c>
      <c r="E439" s="314">
        <v>0.74579674167227616</v>
      </c>
      <c r="F439" s="314">
        <v>0</v>
      </c>
      <c r="G439" s="314">
        <v>0.8251266535737245</v>
      </c>
      <c r="H439" s="314">
        <v>0</v>
      </c>
      <c r="I439" s="314">
        <v>0</v>
      </c>
      <c r="J439" s="315">
        <v>0.78333566120729614</v>
      </c>
      <c r="K439" s="315">
        <v>0</v>
      </c>
      <c r="L439" s="314">
        <v>0.52919939950577488</v>
      </c>
      <c r="M439" s="314">
        <v>0.39752539253036684</v>
      </c>
      <c r="N439" s="314">
        <v>0.3391736924121948</v>
      </c>
      <c r="O439" s="315">
        <v>0.4659217230303902</v>
      </c>
      <c r="P439" s="315">
        <v>0</v>
      </c>
      <c r="Q439" s="314">
        <v>0</v>
      </c>
      <c r="R439" s="315">
        <v>0</v>
      </c>
      <c r="S439" s="315">
        <v>0.66945836290363669</v>
      </c>
      <c r="T439" s="315"/>
      <c r="U439" s="315"/>
      <c r="V439" s="316"/>
    </row>
    <row r="440" spans="1:22">
      <c r="A440" s="311"/>
      <c r="B440" s="317" t="s">
        <v>771</v>
      </c>
      <c r="C440" s="318">
        <v>-1.3156202077640233</v>
      </c>
      <c r="D440" s="319">
        <v>-0.19955571875039935</v>
      </c>
      <c r="E440" s="319">
        <v>-2.3456445379830715</v>
      </c>
      <c r="F440" s="319">
        <v>0</v>
      </c>
      <c r="G440" s="319">
        <v>2.0049871607498382</v>
      </c>
      <c r="H440" s="319">
        <v>0</v>
      </c>
      <c r="I440" s="319">
        <v>0</v>
      </c>
      <c r="J440" s="320">
        <v>-1.3351755198065529</v>
      </c>
      <c r="K440" s="320">
        <v>0</v>
      </c>
      <c r="L440" s="319">
        <v>2.0912040071908833</v>
      </c>
      <c r="M440" s="319">
        <v>-1.0387026475188299</v>
      </c>
      <c r="N440" s="319">
        <v>-2.2977210538319861</v>
      </c>
      <c r="O440" s="320">
        <v>0.42968875202970547</v>
      </c>
      <c r="P440" s="320">
        <v>0</v>
      </c>
      <c r="Q440" s="319">
        <v>0</v>
      </c>
      <c r="R440" s="320">
        <v>0</v>
      </c>
      <c r="S440" s="320">
        <v>-0.70808692109918248</v>
      </c>
      <c r="T440" s="320"/>
      <c r="U440" s="320"/>
      <c r="V440" s="316"/>
    </row>
    <row r="441" spans="1:22">
      <c r="A441" s="311"/>
      <c r="B441" s="291" t="s">
        <v>772</v>
      </c>
      <c r="C441" s="308">
        <v>1.8759854011699714E-2</v>
      </c>
      <c r="D441" s="309">
        <v>5.8395332111642495E-2</v>
      </c>
      <c r="E441" s="309">
        <v>9.5039108126549199E-3</v>
      </c>
      <c r="F441" s="309">
        <v>0</v>
      </c>
      <c r="G441" s="309">
        <v>8.2898638801199701E-2</v>
      </c>
      <c r="H441" s="309">
        <v>0</v>
      </c>
      <c r="I441" s="309">
        <v>0</v>
      </c>
      <c r="J441" s="310">
        <v>2.5115208457877718E-2</v>
      </c>
      <c r="K441" s="310">
        <v>0</v>
      </c>
      <c r="L441" s="309">
        <v>0.24578616738262818</v>
      </c>
      <c r="M441" s="309">
        <v>0.31953966908901044</v>
      </c>
      <c r="N441" s="309">
        <v>0.38358713017452323</v>
      </c>
      <c r="O441" s="310">
        <v>0.28097762937266496</v>
      </c>
      <c r="P441" s="310">
        <v>0</v>
      </c>
      <c r="Q441" s="309">
        <v>0</v>
      </c>
      <c r="R441" s="310">
        <v>0</v>
      </c>
      <c r="S441" s="310">
        <v>0.11686345805054681</v>
      </c>
      <c r="T441" s="310"/>
      <c r="U441" s="310"/>
      <c r="V441" s="316"/>
    </row>
    <row r="442" spans="1:22">
      <c r="A442" s="311"/>
      <c r="B442" s="312" t="s">
        <v>773</v>
      </c>
      <c r="C442" s="313">
        <v>1.5181946491738069E-2</v>
      </c>
      <c r="D442" s="314">
        <v>5.7948228078518835E-2</v>
      </c>
      <c r="E442" s="314">
        <v>1.1115823550697852E-2</v>
      </c>
      <c r="F442" s="314">
        <v>0</v>
      </c>
      <c r="G442" s="314">
        <v>4.1667403881880428E-2</v>
      </c>
      <c r="H442" s="314">
        <v>0</v>
      </c>
      <c r="I442" s="314">
        <v>0</v>
      </c>
      <c r="J442" s="315">
        <v>2.1972768597857413E-2</v>
      </c>
      <c r="K442" s="315">
        <v>0</v>
      </c>
      <c r="L442" s="314">
        <v>0.22224623997926676</v>
      </c>
      <c r="M442" s="314">
        <v>0.33970728045689308</v>
      </c>
      <c r="N442" s="314">
        <v>0.39555280297278939</v>
      </c>
      <c r="O442" s="315">
        <v>0.27880815048175012</v>
      </c>
      <c r="P442" s="315">
        <v>0</v>
      </c>
      <c r="Q442" s="314">
        <v>0</v>
      </c>
      <c r="R442" s="315">
        <v>0</v>
      </c>
      <c r="S442" s="315">
        <v>0.11411654642221233</v>
      </c>
      <c r="T442" s="315"/>
      <c r="U442" s="315"/>
      <c r="V442" s="316"/>
    </row>
    <row r="443" spans="1:22">
      <c r="A443" s="311"/>
      <c r="B443" s="317" t="s">
        <v>774</v>
      </c>
      <c r="C443" s="318">
        <v>-0.3577907519961645</v>
      </c>
      <c r="D443" s="319">
        <v>-4.4710403312366032E-2</v>
      </c>
      <c r="E443" s="319">
        <v>0.16119127380429324</v>
      </c>
      <c r="F443" s="319">
        <v>0</v>
      </c>
      <c r="G443" s="319">
        <v>-4.1231234919319268</v>
      </c>
      <c r="H443" s="319">
        <v>0</v>
      </c>
      <c r="I443" s="319">
        <v>0</v>
      </c>
      <c r="J443" s="320">
        <v>-0.31424398600203052</v>
      </c>
      <c r="K443" s="320">
        <v>0</v>
      </c>
      <c r="L443" s="319">
        <v>-2.3539927403361416</v>
      </c>
      <c r="M443" s="319">
        <v>2.0167611367882641</v>
      </c>
      <c r="N443" s="319">
        <v>1.1965672798266158</v>
      </c>
      <c r="O443" s="320">
        <v>-0.21694788909148444</v>
      </c>
      <c r="P443" s="320">
        <v>0</v>
      </c>
      <c r="Q443" s="319">
        <v>0</v>
      </c>
      <c r="R443" s="320">
        <v>0</v>
      </c>
      <c r="S443" s="320">
        <v>-0.27469116283344724</v>
      </c>
      <c r="T443" s="320"/>
      <c r="U443" s="320"/>
      <c r="V443" s="316"/>
    </row>
    <row r="444" spans="1:22">
      <c r="A444" s="311"/>
      <c r="B444" s="291" t="s">
        <v>775</v>
      </c>
      <c r="C444" s="308">
        <v>8.240237330272715E-2</v>
      </c>
      <c r="D444" s="309">
        <v>0.16060290849102218</v>
      </c>
      <c r="E444" s="309">
        <v>0.13987178548161397</v>
      </c>
      <c r="F444" s="309">
        <v>0</v>
      </c>
      <c r="G444" s="309">
        <v>9.3989679873502485E-2</v>
      </c>
      <c r="H444" s="309">
        <v>0</v>
      </c>
      <c r="I444" s="309">
        <v>0</v>
      </c>
      <c r="J444" s="310">
        <v>0.12109916904659916</v>
      </c>
      <c r="K444" s="310">
        <v>0</v>
      </c>
      <c r="L444" s="309">
        <v>0.20311676182980687</v>
      </c>
      <c r="M444" s="309">
        <v>0.17592093287340185</v>
      </c>
      <c r="N444" s="309">
        <v>0.18461445125280593</v>
      </c>
      <c r="O444" s="310">
        <v>0.19110118625189149</v>
      </c>
      <c r="P444" s="310">
        <v>0</v>
      </c>
      <c r="Q444" s="309">
        <v>0</v>
      </c>
      <c r="R444" s="310">
        <v>0</v>
      </c>
      <c r="S444" s="310">
        <v>0.14620079406671282</v>
      </c>
      <c r="T444" s="310"/>
      <c r="U444" s="310"/>
      <c r="V444" s="316"/>
    </row>
    <row r="445" spans="1:22">
      <c r="A445" s="311"/>
      <c r="B445" s="312" t="s">
        <v>776</v>
      </c>
      <c r="C445" s="313">
        <v>9.4662289536584079E-2</v>
      </c>
      <c r="D445" s="314">
        <v>0.16512241919349285</v>
      </c>
      <c r="E445" s="314">
        <v>0.15580207234935001</v>
      </c>
      <c r="F445" s="314">
        <v>0</v>
      </c>
      <c r="G445" s="314">
        <v>0.10700826270811585</v>
      </c>
      <c r="H445" s="314">
        <v>0</v>
      </c>
      <c r="I445" s="314">
        <v>0</v>
      </c>
      <c r="J445" s="315">
        <v>0.1334708465836594</v>
      </c>
      <c r="K445" s="315">
        <v>0</v>
      </c>
      <c r="L445" s="314">
        <v>0.20158996294160686</v>
      </c>
      <c r="M445" s="314">
        <v>0.17533230029211241</v>
      </c>
      <c r="N445" s="314">
        <v>0.18635873256882568</v>
      </c>
      <c r="O445" s="315">
        <v>0.1896555103005613</v>
      </c>
      <c r="P445" s="315">
        <v>0</v>
      </c>
      <c r="Q445" s="314">
        <v>0</v>
      </c>
      <c r="R445" s="315">
        <v>0</v>
      </c>
      <c r="S445" s="315">
        <v>0.15362798822315007</v>
      </c>
      <c r="T445" s="315"/>
      <c r="U445" s="315"/>
      <c r="V445" s="316"/>
    </row>
    <row r="446" spans="1:22">
      <c r="A446" s="311"/>
      <c r="B446" s="317" t="s">
        <v>777</v>
      </c>
      <c r="C446" s="318">
        <v>1.2259916233856929</v>
      </c>
      <c r="D446" s="319">
        <v>0.45195107024706693</v>
      </c>
      <c r="E446" s="319">
        <v>1.5930286867736037</v>
      </c>
      <c r="F446" s="319">
        <v>0</v>
      </c>
      <c r="G446" s="319">
        <v>1.3018582834613366</v>
      </c>
      <c r="H446" s="319">
        <v>0</v>
      </c>
      <c r="I446" s="319">
        <v>0</v>
      </c>
      <c r="J446" s="320">
        <v>1.2371677537060242</v>
      </c>
      <c r="K446" s="320">
        <v>0</v>
      </c>
      <c r="L446" s="319">
        <v>-0.15267988882000094</v>
      </c>
      <c r="M446" s="319">
        <v>-5.8863258128943885E-2</v>
      </c>
      <c r="N446" s="319">
        <v>0.17442813160197523</v>
      </c>
      <c r="O446" s="320">
        <v>-0.14456759513301887</v>
      </c>
      <c r="P446" s="320">
        <v>0</v>
      </c>
      <c r="Q446" s="319">
        <v>0</v>
      </c>
      <c r="R446" s="320">
        <v>0</v>
      </c>
      <c r="S446" s="320">
        <v>0.74271941564372501</v>
      </c>
      <c r="T446" s="320"/>
      <c r="U446" s="320"/>
      <c r="V446" s="316"/>
    </row>
    <row r="447" spans="1:22">
      <c r="A447" s="311"/>
      <c r="B447" s="291" t="s">
        <v>778</v>
      </c>
      <c r="C447" s="308">
        <v>3.3856100650910838E-4</v>
      </c>
      <c r="D447" s="309">
        <v>1.3567269520980712E-2</v>
      </c>
      <c r="E447" s="309">
        <v>1.6421943725930866E-4</v>
      </c>
      <c r="F447" s="309">
        <v>0</v>
      </c>
      <c r="G447" s="309">
        <v>1.6189206070530242E-2</v>
      </c>
      <c r="H447" s="309">
        <v>0</v>
      </c>
      <c r="I447" s="309">
        <v>0</v>
      </c>
      <c r="J447" s="310">
        <v>3.3989268953329562E-3</v>
      </c>
      <c r="K447" s="310">
        <v>0</v>
      </c>
      <c r="L447" s="309">
        <v>6.6754869323780843E-4</v>
      </c>
      <c r="M447" s="309">
        <v>4.6389737707817978E-2</v>
      </c>
      <c r="N447" s="309">
        <v>4.5541871423082365E-2</v>
      </c>
      <c r="O447" s="310">
        <v>2.1277836984788745E-2</v>
      </c>
      <c r="P447" s="310">
        <v>0</v>
      </c>
      <c r="Q447" s="309">
        <v>0</v>
      </c>
      <c r="R447" s="310">
        <v>0</v>
      </c>
      <c r="S447" s="310">
        <v>9.8100235287013494E-3</v>
      </c>
      <c r="T447" s="310"/>
      <c r="U447" s="310"/>
      <c r="V447" s="316"/>
    </row>
    <row r="448" spans="1:22">
      <c r="A448" s="311"/>
      <c r="B448" s="312" t="s">
        <v>779</v>
      </c>
      <c r="C448" s="313">
        <v>3.1614781231586591E-4</v>
      </c>
      <c r="D448" s="314">
        <v>1.3279161678610669E-2</v>
      </c>
      <c r="E448" s="314">
        <v>4.1322474834924104E-4</v>
      </c>
      <c r="F448" s="314">
        <v>0</v>
      </c>
      <c r="G448" s="314">
        <v>2.4257329393655231E-2</v>
      </c>
      <c r="H448" s="314">
        <v>0</v>
      </c>
      <c r="I448" s="314">
        <v>0</v>
      </c>
      <c r="J448" s="315">
        <v>3.8612344209565334E-3</v>
      </c>
      <c r="K448" s="315">
        <v>0</v>
      </c>
      <c r="L448" s="314">
        <v>1.1781275693734364E-3</v>
      </c>
      <c r="M448" s="322">
        <v>3.9787725207355656E-2</v>
      </c>
      <c r="N448" s="314">
        <v>5.4800815119670755E-2</v>
      </c>
      <c r="O448" s="315">
        <v>1.9669189308484995E-2</v>
      </c>
      <c r="P448" s="315">
        <v>0</v>
      </c>
      <c r="Q448" s="314">
        <v>0</v>
      </c>
      <c r="R448" s="315">
        <v>0</v>
      </c>
      <c r="S448" s="315">
        <v>9.532589638176308E-3</v>
      </c>
      <c r="T448" s="315"/>
      <c r="U448" s="315"/>
      <c r="V448" s="316"/>
    </row>
    <row r="449" spans="1:22">
      <c r="A449" s="311"/>
      <c r="B449" s="317" t="s">
        <v>780</v>
      </c>
      <c r="C449" s="318">
        <v>-2.2413194193242475E-3</v>
      </c>
      <c r="D449" s="319">
        <v>-2.8810784237004276E-2</v>
      </c>
      <c r="E449" s="319">
        <v>2.4900531108993242E-2</v>
      </c>
      <c r="F449" s="319">
        <v>0</v>
      </c>
      <c r="G449" s="319">
        <v>0.80681233231249883</v>
      </c>
      <c r="H449" s="319">
        <v>0</v>
      </c>
      <c r="I449" s="319">
        <v>0</v>
      </c>
      <c r="J449" s="320">
        <v>4.6230752562357716E-2</v>
      </c>
      <c r="K449" s="320">
        <v>0</v>
      </c>
      <c r="L449" s="319">
        <v>5.1057887613562794E-2</v>
      </c>
      <c r="M449" s="321">
        <v>-0.6602012500462322</v>
      </c>
      <c r="N449" s="319">
        <v>0.92589436965883898</v>
      </c>
      <c r="O449" s="320">
        <v>-0.16086476763037505</v>
      </c>
      <c r="P449" s="320">
        <v>0</v>
      </c>
      <c r="Q449" s="319">
        <v>0</v>
      </c>
      <c r="R449" s="320">
        <v>0</v>
      </c>
      <c r="S449" s="320">
        <v>-2.774338905250414E-2</v>
      </c>
      <c r="T449" s="320"/>
      <c r="U449" s="320"/>
      <c r="V449" s="316"/>
    </row>
    <row r="450" spans="1:22">
      <c r="A450" s="311"/>
      <c r="B450" s="291" t="s">
        <v>781</v>
      </c>
      <c r="C450" s="308">
        <v>2.6789011957855609E-2</v>
      </c>
      <c r="D450" s="309">
        <v>3.8361363146923899E-2</v>
      </c>
      <c r="E450" s="309">
        <v>7.3824732372431173E-2</v>
      </c>
      <c r="F450" s="309">
        <v>0</v>
      </c>
      <c r="G450" s="309">
        <v>6.0772827793439911E-4</v>
      </c>
      <c r="H450" s="309">
        <v>0</v>
      </c>
      <c r="I450" s="309">
        <v>0</v>
      </c>
      <c r="J450" s="310">
        <v>4.7652222095949999E-2</v>
      </c>
      <c r="K450" s="310">
        <v>0</v>
      </c>
      <c r="L450" s="309">
        <v>4.1299231716126289E-2</v>
      </c>
      <c r="M450" s="309">
        <v>4.8291377426266879E-2</v>
      </c>
      <c r="N450" s="309">
        <v>2.0809318691985681E-2</v>
      </c>
      <c r="O450" s="310">
        <v>4.3637638658676529E-2</v>
      </c>
      <c r="P450" s="310">
        <v>0</v>
      </c>
      <c r="Q450" s="309">
        <v>0</v>
      </c>
      <c r="R450" s="310">
        <v>0</v>
      </c>
      <c r="S450" s="310">
        <v>4.6212655465193264E-2</v>
      </c>
      <c r="T450" s="310"/>
      <c r="U450" s="310"/>
      <c r="V450" s="316"/>
    </row>
    <row r="451" spans="1:22">
      <c r="A451" s="311"/>
      <c r="B451" s="312" t="s">
        <v>782</v>
      </c>
      <c r="C451" s="313">
        <v>3.1398469570528366E-2</v>
      </c>
      <c r="D451" s="314">
        <v>3.6852850981485427E-2</v>
      </c>
      <c r="E451" s="314">
        <v>7.845122430477465E-2</v>
      </c>
      <c r="F451" s="314">
        <v>0</v>
      </c>
      <c r="G451" s="314">
        <v>2.4770431182434224E-4</v>
      </c>
      <c r="H451" s="314">
        <v>0</v>
      </c>
      <c r="I451" s="314">
        <v>0</v>
      </c>
      <c r="J451" s="315">
        <v>5.0912965178379246E-2</v>
      </c>
      <c r="K451" s="315">
        <v>0</v>
      </c>
      <c r="L451" s="314">
        <v>4.4911445209428871E-2</v>
      </c>
      <c r="M451" s="314">
        <v>4.6094979999199689E-2</v>
      </c>
      <c r="N451" s="314">
        <v>2.085747392815759E-2</v>
      </c>
      <c r="O451" s="315">
        <v>4.4702648155836369E-2</v>
      </c>
      <c r="P451" s="315">
        <v>0</v>
      </c>
      <c r="Q451" s="314">
        <v>0</v>
      </c>
      <c r="R451" s="315">
        <v>0</v>
      </c>
      <c r="S451" s="315">
        <v>4.8684915180958355E-2</v>
      </c>
      <c r="T451" s="315"/>
      <c r="U451" s="315"/>
      <c r="V451" s="316"/>
    </row>
    <row r="452" spans="1:22">
      <c r="A452" s="311"/>
      <c r="B452" s="317" t="s">
        <v>783</v>
      </c>
      <c r="C452" s="318">
        <v>0.46094576126727571</v>
      </c>
      <c r="D452" s="319">
        <v>-0.1508512165438472</v>
      </c>
      <c r="E452" s="319">
        <v>0.46264919323434767</v>
      </c>
      <c r="F452" s="319">
        <v>0</v>
      </c>
      <c r="G452" s="319">
        <v>-3.6002396611005689E-2</v>
      </c>
      <c r="H452" s="319">
        <v>0</v>
      </c>
      <c r="I452" s="319">
        <v>0</v>
      </c>
      <c r="J452" s="320">
        <v>0.32607430824292472</v>
      </c>
      <c r="K452" s="320">
        <v>0</v>
      </c>
      <c r="L452" s="319">
        <v>0.36122134933025823</v>
      </c>
      <c r="M452" s="319">
        <v>-0.21963974270671899</v>
      </c>
      <c r="N452" s="319">
        <v>4.8155236171909532E-3</v>
      </c>
      <c r="O452" s="320">
        <v>0.10650094971598398</v>
      </c>
      <c r="P452" s="320">
        <v>0</v>
      </c>
      <c r="Q452" s="319">
        <v>0</v>
      </c>
      <c r="R452" s="320">
        <v>0</v>
      </c>
      <c r="S452" s="320">
        <v>0.24722597157650905</v>
      </c>
      <c r="T452" s="320"/>
      <c r="U452" s="320"/>
      <c r="V452" s="316"/>
    </row>
    <row r="453" spans="1:22">
      <c r="A453" s="311"/>
      <c r="B453" s="291" t="s">
        <v>784</v>
      </c>
      <c r="C453" s="308">
        <v>5.7565299581812624E-3</v>
      </c>
      <c r="D453" s="309">
        <v>4.8596748568711986E-3</v>
      </c>
      <c r="E453" s="309">
        <v>7.3821648439337112E-3</v>
      </c>
      <c r="F453" s="309">
        <v>0</v>
      </c>
      <c r="G453" s="309">
        <v>1.2379650106071093E-3</v>
      </c>
      <c r="H453" s="309">
        <v>0</v>
      </c>
      <c r="I453" s="309">
        <v>0</v>
      </c>
      <c r="J453" s="310">
        <v>6.0470570988785458E-3</v>
      </c>
      <c r="K453" s="310">
        <v>0</v>
      </c>
      <c r="L453" s="309">
        <v>8.4293094433476965E-4</v>
      </c>
      <c r="M453" s="309">
        <v>1.9458638979477126E-3</v>
      </c>
      <c r="N453" s="309">
        <v>3.2963255070881108E-3</v>
      </c>
      <c r="O453" s="310">
        <v>1.3808732218851566E-3</v>
      </c>
      <c r="P453" s="310">
        <v>0</v>
      </c>
      <c r="Q453" s="309">
        <v>0</v>
      </c>
      <c r="R453" s="310">
        <v>0</v>
      </c>
      <c r="S453" s="310">
        <v>4.3738367742172015E-3</v>
      </c>
      <c r="T453" s="310"/>
      <c r="U453" s="310"/>
      <c r="V453" s="316"/>
    </row>
    <row r="454" spans="1:22">
      <c r="A454" s="311"/>
      <c r="B454" s="312" t="s">
        <v>785</v>
      </c>
      <c r="C454" s="313">
        <v>5.643678903446696E-3</v>
      </c>
      <c r="D454" s="314">
        <v>4.5794453828367143E-3</v>
      </c>
      <c r="E454" s="314">
        <v>8.4209133745520477E-3</v>
      </c>
      <c r="F454" s="314">
        <v>0</v>
      </c>
      <c r="G454" s="314">
        <v>1.692646130799672E-3</v>
      </c>
      <c r="H454" s="314">
        <v>0</v>
      </c>
      <c r="I454" s="314">
        <v>0</v>
      </c>
      <c r="J454" s="315">
        <v>6.44652401185124E-3</v>
      </c>
      <c r="K454" s="315">
        <v>0</v>
      </c>
      <c r="L454" s="314">
        <v>8.7482479454915115E-4</v>
      </c>
      <c r="M454" s="314">
        <v>1.552321514072312E-3</v>
      </c>
      <c r="N454" s="314">
        <v>3.2564829983617693E-3</v>
      </c>
      <c r="O454" s="315">
        <v>1.242778722977025E-3</v>
      </c>
      <c r="P454" s="315">
        <v>0</v>
      </c>
      <c r="Q454" s="314">
        <v>0</v>
      </c>
      <c r="R454" s="315">
        <v>0</v>
      </c>
      <c r="S454" s="315">
        <v>4.5795976318662463E-3</v>
      </c>
      <c r="T454" s="315"/>
      <c r="U454" s="315"/>
      <c r="V454" s="316"/>
    </row>
    <row r="455" spans="1:22" ht="15.75" thickBot="1">
      <c r="A455" s="311"/>
      <c r="B455" s="325" t="s">
        <v>786</v>
      </c>
      <c r="C455" s="326">
        <v>-1.1285105473456646E-2</v>
      </c>
      <c r="D455" s="327">
        <v>-2.802294740344843E-2</v>
      </c>
      <c r="E455" s="327">
        <v>0.10387485306183365</v>
      </c>
      <c r="F455" s="327">
        <v>0</v>
      </c>
      <c r="G455" s="327">
        <v>4.5468112019256268E-2</v>
      </c>
      <c r="H455" s="327">
        <v>0</v>
      </c>
      <c r="I455" s="327">
        <v>0</v>
      </c>
      <c r="J455" s="328">
        <v>3.9946691297269424E-2</v>
      </c>
      <c r="K455" s="328">
        <v>0</v>
      </c>
      <c r="L455" s="327">
        <v>3.1893850214381497E-3</v>
      </c>
      <c r="M455" s="327">
        <v>-3.9354238387540062E-2</v>
      </c>
      <c r="N455" s="327">
        <v>-3.9842508726341437E-3</v>
      </c>
      <c r="O455" s="328">
        <v>-1.3809449890813168E-2</v>
      </c>
      <c r="P455" s="328">
        <v>0</v>
      </c>
      <c r="Q455" s="327">
        <v>0</v>
      </c>
      <c r="R455" s="328">
        <v>0</v>
      </c>
      <c r="S455" s="328">
        <v>2.0576085764904481E-2</v>
      </c>
      <c r="T455" s="328"/>
      <c r="U455" s="328"/>
      <c r="V455" s="316"/>
    </row>
    <row r="456" spans="1:22" ht="15.75" thickTop="1">
      <c r="A456" s="311"/>
      <c r="B456" s="312" t="s">
        <v>787</v>
      </c>
      <c r="C456" s="313">
        <v>0.71382149551691187</v>
      </c>
      <c r="D456" s="314">
        <v>0.46489881367759944</v>
      </c>
      <c r="E456" s="314">
        <v>0.52578081889416184</v>
      </c>
      <c r="F456" s="314">
        <v>0</v>
      </c>
      <c r="G456" s="314">
        <v>0.12152244410308927</v>
      </c>
      <c r="H456" s="314">
        <v>0</v>
      </c>
      <c r="I456" s="314">
        <v>0</v>
      </c>
      <c r="J456" s="315">
        <v>0.59335458199874647</v>
      </c>
      <c r="K456" s="315">
        <v>0</v>
      </c>
      <c r="L456" s="314">
        <v>0</v>
      </c>
      <c r="M456" s="314">
        <v>0</v>
      </c>
      <c r="N456" s="314">
        <v>0</v>
      </c>
      <c r="O456" s="315">
        <v>0</v>
      </c>
      <c r="P456" s="315">
        <v>0</v>
      </c>
      <c r="Q456" s="314">
        <v>0</v>
      </c>
      <c r="R456" s="315">
        <v>0</v>
      </c>
      <c r="S456" s="315">
        <v>0.59335458199874647</v>
      </c>
      <c r="T456" s="315"/>
      <c r="U456" s="315"/>
      <c r="V456" s="316"/>
    </row>
    <row r="457" spans="1:22">
      <c r="A457" s="311"/>
      <c r="B457" s="312" t="s">
        <v>788</v>
      </c>
      <c r="C457" s="313">
        <v>0.69795687475043255</v>
      </c>
      <c r="D457" s="314">
        <v>0.45519697437935042</v>
      </c>
      <c r="E457" s="314">
        <v>0.50768449410413818</v>
      </c>
      <c r="F457" s="314">
        <v>0</v>
      </c>
      <c r="G457" s="314">
        <v>0.11525368779380775</v>
      </c>
      <c r="H457" s="314">
        <v>0</v>
      </c>
      <c r="I457" s="314">
        <v>0</v>
      </c>
      <c r="J457" s="315">
        <v>0.57944969741613062</v>
      </c>
      <c r="K457" s="315">
        <v>0</v>
      </c>
      <c r="L457" s="314">
        <v>0</v>
      </c>
      <c r="M457" s="314">
        <v>0</v>
      </c>
      <c r="N457" s="314">
        <v>0</v>
      </c>
      <c r="O457" s="315">
        <v>0</v>
      </c>
      <c r="P457" s="315">
        <v>0</v>
      </c>
      <c r="Q457" s="314">
        <v>0</v>
      </c>
      <c r="R457" s="315">
        <v>0</v>
      </c>
      <c r="S457" s="315">
        <v>0.57944969741613062</v>
      </c>
      <c r="T457" s="315"/>
      <c r="U457" s="315"/>
      <c r="V457" s="316"/>
    </row>
    <row r="458" spans="1:22">
      <c r="A458" s="311"/>
      <c r="B458" s="317" t="s">
        <v>789</v>
      </c>
      <c r="C458" s="318">
        <v>-1.586462076647932</v>
      </c>
      <c r="D458" s="319">
        <v>-0.97018392982490265</v>
      </c>
      <c r="E458" s="319">
        <v>-1.8096324790023655</v>
      </c>
      <c r="F458" s="319">
        <v>0</v>
      </c>
      <c r="G458" s="319">
        <v>-0.62687563092815179</v>
      </c>
      <c r="H458" s="319">
        <v>0</v>
      </c>
      <c r="I458" s="319">
        <v>0</v>
      </c>
      <c r="J458" s="320">
        <v>-1.3904884582615851</v>
      </c>
      <c r="K458" s="320">
        <v>0</v>
      </c>
      <c r="L458" s="319">
        <v>0</v>
      </c>
      <c r="M458" s="319">
        <v>0</v>
      </c>
      <c r="N458" s="319">
        <v>0</v>
      </c>
      <c r="O458" s="320">
        <v>0</v>
      </c>
      <c r="P458" s="320">
        <v>0</v>
      </c>
      <c r="Q458" s="319">
        <v>0</v>
      </c>
      <c r="R458" s="320">
        <v>0</v>
      </c>
      <c r="S458" s="320">
        <v>-1.3904884582615851</v>
      </c>
      <c r="T458" s="320"/>
      <c r="U458" s="320"/>
      <c r="V458" s="316"/>
    </row>
    <row r="459" spans="1:22">
      <c r="A459" s="311"/>
      <c r="B459" s="291" t="s">
        <v>790</v>
      </c>
      <c r="C459" s="308">
        <v>2.1008753092215442E-2</v>
      </c>
      <c r="D459" s="309">
        <v>0.1011165387299372</v>
      </c>
      <c r="E459" s="309">
        <v>1.418165765368061E-2</v>
      </c>
      <c r="F459" s="309">
        <v>0</v>
      </c>
      <c r="G459" s="309">
        <v>1.5360983102918587E-3</v>
      </c>
      <c r="H459" s="309">
        <v>0</v>
      </c>
      <c r="I459" s="309">
        <v>0</v>
      </c>
      <c r="J459" s="310">
        <v>3.673956037568981E-2</v>
      </c>
      <c r="K459" s="310">
        <v>0</v>
      </c>
      <c r="L459" s="309">
        <v>0</v>
      </c>
      <c r="M459" s="309">
        <v>0</v>
      </c>
      <c r="N459" s="309">
        <v>0</v>
      </c>
      <c r="O459" s="310">
        <v>0</v>
      </c>
      <c r="P459" s="310">
        <v>0</v>
      </c>
      <c r="Q459" s="309">
        <v>0</v>
      </c>
      <c r="R459" s="310">
        <v>0</v>
      </c>
      <c r="S459" s="310">
        <v>3.673956037568981E-2</v>
      </c>
      <c r="T459" s="310"/>
      <c r="U459" s="310"/>
      <c r="V459" s="316"/>
    </row>
    <row r="460" spans="1:22">
      <c r="A460" s="311"/>
      <c r="B460" s="312" t="s">
        <v>791</v>
      </c>
      <c r="C460" s="313">
        <v>2.0071875415945694E-2</v>
      </c>
      <c r="D460" s="314">
        <v>9.0680323164540194E-2</v>
      </c>
      <c r="E460" s="314">
        <v>8.8437927836417431E-3</v>
      </c>
      <c r="F460" s="314">
        <v>0</v>
      </c>
      <c r="G460" s="322">
        <v>9.7260496028529742E-4</v>
      </c>
      <c r="H460" s="314">
        <v>0</v>
      </c>
      <c r="I460" s="314">
        <v>0</v>
      </c>
      <c r="J460" s="315">
        <v>3.1703042349041449E-2</v>
      </c>
      <c r="K460" s="315">
        <v>0</v>
      </c>
      <c r="L460" s="314">
        <v>0</v>
      </c>
      <c r="M460" s="314">
        <v>0</v>
      </c>
      <c r="N460" s="314">
        <v>0</v>
      </c>
      <c r="O460" s="315">
        <v>0</v>
      </c>
      <c r="P460" s="315">
        <v>0</v>
      </c>
      <c r="Q460" s="314">
        <v>0</v>
      </c>
      <c r="R460" s="315">
        <v>0</v>
      </c>
      <c r="S460" s="315">
        <v>3.1703042349041449E-2</v>
      </c>
      <c r="T460" s="315"/>
      <c r="U460" s="315"/>
      <c r="V460" s="316"/>
    </row>
    <row r="461" spans="1:22">
      <c r="A461" s="311"/>
      <c r="B461" s="317" t="s">
        <v>792</v>
      </c>
      <c r="C461" s="318">
        <v>-9.3687767626974769E-2</v>
      </c>
      <c r="D461" s="319">
        <v>-1.0436215565397005</v>
      </c>
      <c r="E461" s="319">
        <v>-0.53378648700388664</v>
      </c>
      <c r="F461" s="319">
        <v>0</v>
      </c>
      <c r="G461" s="319">
        <v>-5.6349335000656128E-2</v>
      </c>
      <c r="H461" s="319">
        <v>0</v>
      </c>
      <c r="I461" s="319">
        <v>0</v>
      </c>
      <c r="J461" s="320">
        <v>-0.50365180266483611</v>
      </c>
      <c r="K461" s="320">
        <v>0</v>
      </c>
      <c r="L461" s="319">
        <v>0</v>
      </c>
      <c r="M461" s="319">
        <v>0</v>
      </c>
      <c r="N461" s="319">
        <v>0</v>
      </c>
      <c r="O461" s="320">
        <v>0</v>
      </c>
      <c r="P461" s="320">
        <v>0</v>
      </c>
      <c r="Q461" s="319">
        <v>0</v>
      </c>
      <c r="R461" s="320">
        <v>0</v>
      </c>
      <c r="S461" s="320">
        <v>-0.50365180266483611</v>
      </c>
      <c r="T461" s="320"/>
      <c r="U461" s="320"/>
      <c r="V461" s="316"/>
    </row>
    <row r="462" spans="1:22">
      <c r="A462" s="311"/>
      <c r="B462" s="291" t="s">
        <v>793</v>
      </c>
      <c r="C462" s="308">
        <v>0.1965766719604729</v>
      </c>
      <c r="D462" s="309">
        <v>0.35251919050942082</v>
      </c>
      <c r="E462" s="309">
        <v>0.38003531619026598</v>
      </c>
      <c r="F462" s="309">
        <v>0</v>
      </c>
      <c r="G462" s="309">
        <v>0.87591739204642427</v>
      </c>
      <c r="H462" s="309">
        <v>0</v>
      </c>
      <c r="I462" s="309">
        <v>0</v>
      </c>
      <c r="J462" s="310">
        <v>0.29641102815160175</v>
      </c>
      <c r="K462" s="310">
        <v>0</v>
      </c>
      <c r="L462" s="309">
        <v>0</v>
      </c>
      <c r="M462" s="309">
        <v>0</v>
      </c>
      <c r="N462" s="309">
        <v>0</v>
      </c>
      <c r="O462" s="310">
        <v>0</v>
      </c>
      <c r="P462" s="310">
        <v>0</v>
      </c>
      <c r="Q462" s="309">
        <v>0</v>
      </c>
      <c r="R462" s="310">
        <v>0</v>
      </c>
      <c r="S462" s="310">
        <v>0.29641102815160175</v>
      </c>
      <c r="T462" s="310"/>
      <c r="U462" s="310"/>
      <c r="V462" s="316"/>
    </row>
    <row r="463" spans="1:22">
      <c r="A463" s="311"/>
      <c r="B463" s="312" t="s">
        <v>794</v>
      </c>
      <c r="C463" s="313">
        <v>0.21402236124051643</v>
      </c>
      <c r="D463" s="314">
        <v>0.3778641119597369</v>
      </c>
      <c r="E463" s="314">
        <v>0.40088548337234464</v>
      </c>
      <c r="F463" s="314">
        <v>0</v>
      </c>
      <c r="G463" s="314">
        <v>0.88328740476576428</v>
      </c>
      <c r="H463" s="314">
        <v>0</v>
      </c>
      <c r="I463" s="314">
        <v>0</v>
      </c>
      <c r="J463" s="315">
        <v>0.3162176063806143</v>
      </c>
      <c r="K463" s="315">
        <v>0</v>
      </c>
      <c r="L463" s="314">
        <v>0</v>
      </c>
      <c r="M463" s="314">
        <v>0</v>
      </c>
      <c r="N463" s="314">
        <v>0</v>
      </c>
      <c r="O463" s="315">
        <v>0</v>
      </c>
      <c r="P463" s="315">
        <v>0</v>
      </c>
      <c r="Q463" s="314">
        <v>0</v>
      </c>
      <c r="R463" s="315">
        <v>0</v>
      </c>
      <c r="S463" s="315">
        <v>0.3162176063806143</v>
      </c>
      <c r="T463" s="315"/>
      <c r="U463" s="315"/>
      <c r="V463" s="316"/>
    </row>
    <row r="464" spans="1:22">
      <c r="A464" s="311"/>
      <c r="B464" s="317" t="s">
        <v>795</v>
      </c>
      <c r="C464" s="318">
        <v>1.744568928004353</v>
      </c>
      <c r="D464" s="319">
        <v>2.5344921450316082</v>
      </c>
      <c r="E464" s="319">
        <v>2.085016718207866</v>
      </c>
      <c r="F464" s="319">
        <v>0</v>
      </c>
      <c r="G464" s="319">
        <v>0.73700127193400133</v>
      </c>
      <c r="H464" s="319">
        <v>0</v>
      </c>
      <c r="I464" s="319">
        <v>0</v>
      </c>
      <c r="J464" s="320">
        <v>1.980657822901255</v>
      </c>
      <c r="K464" s="320">
        <v>0</v>
      </c>
      <c r="L464" s="319">
        <v>0</v>
      </c>
      <c r="M464" s="319">
        <v>0</v>
      </c>
      <c r="N464" s="319">
        <v>0</v>
      </c>
      <c r="O464" s="320">
        <v>0</v>
      </c>
      <c r="P464" s="320">
        <v>0</v>
      </c>
      <c r="Q464" s="319">
        <v>0</v>
      </c>
      <c r="R464" s="320">
        <v>0</v>
      </c>
      <c r="S464" s="320">
        <v>1.980657822901255</v>
      </c>
      <c r="T464" s="320"/>
      <c r="U464" s="320"/>
      <c r="V464" s="316"/>
    </row>
    <row r="465" spans="1:22">
      <c r="A465" s="311"/>
      <c r="B465" s="291" t="s">
        <v>796</v>
      </c>
      <c r="C465" s="308">
        <v>1.0987145040302845E-3</v>
      </c>
      <c r="D465" s="309">
        <v>5.7641311933007673E-3</v>
      </c>
      <c r="E465" s="309">
        <v>2.207261891623441E-4</v>
      </c>
      <c r="F465" s="309">
        <v>0</v>
      </c>
      <c r="G465" s="309">
        <v>0</v>
      </c>
      <c r="H465" s="309">
        <v>0</v>
      </c>
      <c r="I465" s="309">
        <v>0</v>
      </c>
      <c r="J465" s="310">
        <v>1.8787632208536434E-3</v>
      </c>
      <c r="K465" s="310">
        <v>0</v>
      </c>
      <c r="L465" s="309">
        <v>0</v>
      </c>
      <c r="M465" s="309">
        <v>0</v>
      </c>
      <c r="N465" s="309">
        <v>0</v>
      </c>
      <c r="O465" s="310">
        <v>0</v>
      </c>
      <c r="P465" s="310">
        <v>0</v>
      </c>
      <c r="Q465" s="309">
        <v>0</v>
      </c>
      <c r="R465" s="310">
        <v>0</v>
      </c>
      <c r="S465" s="310">
        <v>1.8787632208536434E-3</v>
      </c>
      <c r="T465" s="310"/>
      <c r="U465" s="310"/>
      <c r="V465" s="316"/>
    </row>
    <row r="466" spans="1:22">
      <c r="A466" s="311"/>
      <c r="B466" s="312" t="s">
        <v>797</v>
      </c>
      <c r="C466" s="313">
        <v>1.517369892186876E-3</v>
      </c>
      <c r="D466" s="314">
        <v>3.7967418657012934E-3</v>
      </c>
      <c r="E466" s="314">
        <v>8.8327518438369474E-5</v>
      </c>
      <c r="F466" s="314">
        <v>0</v>
      </c>
      <c r="G466" s="314">
        <v>0</v>
      </c>
      <c r="H466" s="314">
        <v>0</v>
      </c>
      <c r="I466" s="314">
        <v>0</v>
      </c>
      <c r="J466" s="315">
        <v>1.5684830165674987E-3</v>
      </c>
      <c r="K466" s="315">
        <v>0</v>
      </c>
      <c r="L466" s="314">
        <v>0</v>
      </c>
      <c r="M466" s="314">
        <v>0</v>
      </c>
      <c r="N466" s="314">
        <v>0</v>
      </c>
      <c r="O466" s="315">
        <v>0</v>
      </c>
      <c r="P466" s="315">
        <v>0</v>
      </c>
      <c r="Q466" s="314">
        <v>0</v>
      </c>
      <c r="R466" s="315">
        <v>0</v>
      </c>
      <c r="S466" s="315">
        <v>1.5684830165674987E-3</v>
      </c>
      <c r="T466" s="315"/>
      <c r="U466" s="315"/>
      <c r="V466" s="316"/>
    </row>
    <row r="467" spans="1:22">
      <c r="A467" s="311"/>
      <c r="B467" s="317" t="s">
        <v>798</v>
      </c>
      <c r="C467" s="318">
        <v>4.1865538815659145E-2</v>
      </c>
      <c r="D467" s="319">
        <v>-0.19673893275994739</v>
      </c>
      <c r="E467" s="319">
        <v>-1.3239867072397462E-2</v>
      </c>
      <c r="F467" s="319">
        <v>0</v>
      </c>
      <c r="G467" s="319">
        <v>0</v>
      </c>
      <c r="H467" s="319">
        <v>0</v>
      </c>
      <c r="I467" s="319">
        <v>0</v>
      </c>
      <c r="J467" s="320">
        <v>-3.1028020428614467E-2</v>
      </c>
      <c r="K467" s="320">
        <v>0</v>
      </c>
      <c r="L467" s="319">
        <v>0</v>
      </c>
      <c r="M467" s="319">
        <v>0</v>
      </c>
      <c r="N467" s="319">
        <v>0</v>
      </c>
      <c r="O467" s="320">
        <v>0</v>
      </c>
      <c r="P467" s="320">
        <v>0</v>
      </c>
      <c r="Q467" s="319">
        <v>0</v>
      </c>
      <c r="R467" s="320">
        <v>0</v>
      </c>
      <c r="S467" s="320">
        <v>-3.1028020428614467E-2</v>
      </c>
      <c r="T467" s="320"/>
      <c r="U467" s="320"/>
      <c r="V467" s="316"/>
    </row>
    <row r="468" spans="1:22">
      <c r="A468" s="311"/>
      <c r="B468" s="291" t="s">
        <v>799</v>
      </c>
      <c r="C468" s="308">
        <v>2.4684452523880393E-2</v>
      </c>
      <c r="D468" s="309">
        <v>2.9825540823447315E-2</v>
      </c>
      <c r="E468" s="309">
        <v>4.3494095574439909E-2</v>
      </c>
      <c r="F468" s="309">
        <v>0</v>
      </c>
      <c r="G468" s="309">
        <v>0</v>
      </c>
      <c r="H468" s="309">
        <v>0</v>
      </c>
      <c r="I468" s="309">
        <v>0</v>
      </c>
      <c r="J468" s="310">
        <v>3.0741970093733948E-2</v>
      </c>
      <c r="K468" s="310">
        <v>0</v>
      </c>
      <c r="L468" s="309">
        <v>0</v>
      </c>
      <c r="M468" s="309">
        <v>0</v>
      </c>
      <c r="N468" s="309">
        <v>0</v>
      </c>
      <c r="O468" s="310">
        <v>0</v>
      </c>
      <c r="P468" s="310">
        <v>0</v>
      </c>
      <c r="Q468" s="309">
        <v>0</v>
      </c>
      <c r="R468" s="310">
        <v>0</v>
      </c>
      <c r="S468" s="310">
        <v>3.0741970093733948E-2</v>
      </c>
      <c r="T468" s="310"/>
      <c r="U468" s="310"/>
      <c r="V468" s="316"/>
    </row>
    <row r="469" spans="1:22">
      <c r="A469" s="311"/>
      <c r="B469" s="312" t="s">
        <v>800</v>
      </c>
      <c r="C469" s="313">
        <v>2.7372554239318513E-2</v>
      </c>
      <c r="D469" s="314">
        <v>2.4428649213426929E-2</v>
      </c>
      <c r="E469" s="314">
        <v>4.0321512167115665E-2</v>
      </c>
      <c r="F469" s="314">
        <v>0</v>
      </c>
      <c r="G469" s="314">
        <v>0</v>
      </c>
      <c r="H469" s="314">
        <v>0</v>
      </c>
      <c r="I469" s="314">
        <v>0</v>
      </c>
      <c r="J469" s="315">
        <v>2.9925004921353596E-2</v>
      </c>
      <c r="K469" s="315">
        <v>0</v>
      </c>
      <c r="L469" s="314">
        <v>0</v>
      </c>
      <c r="M469" s="314">
        <v>0</v>
      </c>
      <c r="N469" s="314">
        <v>0</v>
      </c>
      <c r="O469" s="315">
        <v>0</v>
      </c>
      <c r="P469" s="315">
        <v>0</v>
      </c>
      <c r="Q469" s="314">
        <v>0</v>
      </c>
      <c r="R469" s="315">
        <v>0</v>
      </c>
      <c r="S469" s="315">
        <v>2.9925004921353596E-2</v>
      </c>
      <c r="T469" s="315"/>
      <c r="U469" s="315"/>
      <c r="V469" s="316"/>
    </row>
    <row r="470" spans="1:22">
      <c r="A470" s="311"/>
      <c r="B470" s="317" t="s">
        <v>801</v>
      </c>
      <c r="C470" s="318">
        <v>0.26881017154381204</v>
      </c>
      <c r="D470" s="319">
        <v>-0.53968916100203856</v>
      </c>
      <c r="E470" s="319">
        <v>-0.31725834073242432</v>
      </c>
      <c r="F470" s="319">
        <v>0</v>
      </c>
      <c r="G470" s="319">
        <v>0</v>
      </c>
      <c r="H470" s="319">
        <v>0</v>
      </c>
      <c r="I470" s="319">
        <v>0</v>
      </c>
      <c r="J470" s="320">
        <v>-8.1696517238035241E-2</v>
      </c>
      <c r="K470" s="320">
        <v>0</v>
      </c>
      <c r="L470" s="319">
        <v>0</v>
      </c>
      <c r="M470" s="319">
        <v>0</v>
      </c>
      <c r="N470" s="319">
        <v>0</v>
      </c>
      <c r="O470" s="320">
        <v>0</v>
      </c>
      <c r="P470" s="320">
        <v>0</v>
      </c>
      <c r="Q470" s="319">
        <v>0</v>
      </c>
      <c r="R470" s="320">
        <v>0</v>
      </c>
      <c r="S470" s="320">
        <v>-8.1696517238035241E-2</v>
      </c>
      <c r="T470" s="320"/>
      <c r="U470" s="320"/>
      <c r="V470" s="316"/>
    </row>
    <row r="471" spans="1:22">
      <c r="A471" s="311"/>
      <c r="B471" s="291" t="s">
        <v>802</v>
      </c>
      <c r="C471" s="308">
        <v>4.2809912402489089E-2</v>
      </c>
      <c r="D471" s="309">
        <v>4.5875785066294486E-2</v>
      </c>
      <c r="E471" s="309">
        <v>3.6287385498289373E-2</v>
      </c>
      <c r="F471" s="309">
        <v>0</v>
      </c>
      <c r="G471" s="309">
        <v>1.0240655401945725E-3</v>
      </c>
      <c r="H471" s="309">
        <v>0</v>
      </c>
      <c r="I471" s="309">
        <v>0</v>
      </c>
      <c r="J471" s="310">
        <v>4.0874096159374415E-2</v>
      </c>
      <c r="K471" s="310">
        <v>0</v>
      </c>
      <c r="L471" s="309">
        <v>0</v>
      </c>
      <c r="M471" s="309">
        <v>0</v>
      </c>
      <c r="N471" s="309">
        <v>0</v>
      </c>
      <c r="O471" s="310">
        <v>0</v>
      </c>
      <c r="P471" s="310">
        <v>0</v>
      </c>
      <c r="Q471" s="309">
        <v>0</v>
      </c>
      <c r="R471" s="310">
        <v>0</v>
      </c>
      <c r="S471" s="310">
        <v>4.0874096159374415E-2</v>
      </c>
      <c r="T471" s="310"/>
      <c r="U471" s="310"/>
      <c r="V471" s="316"/>
    </row>
    <row r="472" spans="1:22">
      <c r="A472" s="311"/>
      <c r="B472" s="312" t="s">
        <v>803</v>
      </c>
      <c r="C472" s="313">
        <v>3.9058964461599892E-2</v>
      </c>
      <c r="D472" s="314">
        <v>4.8033199417244272E-2</v>
      </c>
      <c r="E472" s="314">
        <v>4.2176390054321423E-2</v>
      </c>
      <c r="F472" s="314">
        <v>0</v>
      </c>
      <c r="G472" s="314">
        <v>4.8630248014264871E-4</v>
      </c>
      <c r="H472" s="314">
        <v>0</v>
      </c>
      <c r="I472" s="314">
        <v>0</v>
      </c>
      <c r="J472" s="315">
        <v>4.1136165916292537E-2</v>
      </c>
      <c r="K472" s="315">
        <v>0</v>
      </c>
      <c r="L472" s="314">
        <v>0</v>
      </c>
      <c r="M472" s="314">
        <v>0</v>
      </c>
      <c r="N472" s="314">
        <v>0</v>
      </c>
      <c r="O472" s="315">
        <v>0</v>
      </c>
      <c r="P472" s="315">
        <v>0</v>
      </c>
      <c r="Q472" s="314">
        <v>0</v>
      </c>
      <c r="R472" s="315">
        <v>0</v>
      </c>
      <c r="S472" s="315">
        <v>4.1136165916292537E-2</v>
      </c>
      <c r="T472" s="315"/>
      <c r="U472" s="315"/>
      <c r="V472" s="316"/>
    </row>
    <row r="473" spans="1:22" ht="15.75" thickBot="1">
      <c r="A473" s="329"/>
      <c r="B473" s="330" t="s">
        <v>804</v>
      </c>
      <c r="C473" s="331">
        <v>-0.37509479408891977</v>
      </c>
      <c r="D473" s="332">
        <v>0.21574143509497865</v>
      </c>
      <c r="E473" s="332">
        <v>0.58890045560320503</v>
      </c>
      <c r="F473" s="332">
        <v>0</v>
      </c>
      <c r="G473" s="332">
        <v>-5.3776306005192377E-2</v>
      </c>
      <c r="H473" s="332">
        <v>0</v>
      </c>
      <c r="I473" s="332">
        <v>0</v>
      </c>
      <c r="J473" s="333">
        <v>2.6206975691812212E-2</v>
      </c>
      <c r="K473" s="333">
        <v>0</v>
      </c>
      <c r="L473" s="332">
        <v>0</v>
      </c>
      <c r="M473" s="332">
        <v>0</v>
      </c>
      <c r="N473" s="332">
        <v>0</v>
      </c>
      <c r="O473" s="333">
        <v>0</v>
      </c>
      <c r="P473" s="333">
        <v>0</v>
      </c>
      <c r="Q473" s="332">
        <v>0</v>
      </c>
      <c r="R473" s="333">
        <v>0</v>
      </c>
      <c r="S473" s="333">
        <v>2.6206975691812212E-2</v>
      </c>
      <c r="T473" s="333"/>
      <c r="U473" s="333"/>
      <c r="V473" s="316"/>
    </row>
    <row r="474" spans="1:22">
      <c r="A474" s="307" t="s">
        <v>646</v>
      </c>
      <c r="B474" s="291" t="s">
        <v>769</v>
      </c>
      <c r="C474" s="308">
        <v>0.86579962348325445</v>
      </c>
      <c r="D474" s="309">
        <v>0.85535624198498861</v>
      </c>
      <c r="E474" s="309">
        <v>0.8055721500405566</v>
      </c>
      <c r="F474" s="309">
        <v>0.48309086268504337</v>
      </c>
      <c r="G474" s="309">
        <v>0.61138719497738114</v>
      </c>
      <c r="H474" s="309">
        <v>0</v>
      </c>
      <c r="I474" s="309">
        <v>0</v>
      </c>
      <c r="J474" s="310">
        <v>0.83252004511933408</v>
      </c>
      <c r="K474" s="310">
        <v>0.77051024732823648</v>
      </c>
      <c r="L474" s="309">
        <v>0.63771237990879037</v>
      </c>
      <c r="M474" s="309">
        <v>0.53499718706917332</v>
      </c>
      <c r="N474" s="309">
        <v>0.52237636705748913</v>
      </c>
      <c r="O474" s="310">
        <v>0.62363568925390533</v>
      </c>
      <c r="P474" s="310">
        <v>0</v>
      </c>
      <c r="Q474" s="309">
        <v>0</v>
      </c>
      <c r="R474" s="310">
        <v>0</v>
      </c>
      <c r="S474" s="310">
        <v>0.72235776679376196</v>
      </c>
      <c r="T474" s="310"/>
      <c r="U474" s="310"/>
      <c r="V474" s="316"/>
    </row>
    <row r="475" spans="1:22">
      <c r="A475" s="311"/>
      <c r="B475" s="312" t="s">
        <v>770</v>
      </c>
      <c r="C475" s="313">
        <v>0.84618767545872786</v>
      </c>
      <c r="D475" s="314">
        <v>0.8447912773324332</v>
      </c>
      <c r="E475" s="314">
        <v>0.78333005697810332</v>
      </c>
      <c r="F475" s="314">
        <v>0.44115701112351652</v>
      </c>
      <c r="G475" s="314">
        <v>0.63375462377619751</v>
      </c>
      <c r="H475" s="314">
        <v>0</v>
      </c>
      <c r="I475" s="314">
        <v>0</v>
      </c>
      <c r="J475" s="315">
        <v>0.8147005172020334</v>
      </c>
      <c r="K475" s="315">
        <v>0.74883083541069462</v>
      </c>
      <c r="L475" s="314">
        <v>0.62720089108186516</v>
      </c>
      <c r="M475" s="314">
        <v>0.51272831154306697</v>
      </c>
      <c r="N475" s="314">
        <v>0.50505430715856781</v>
      </c>
      <c r="O475" s="315">
        <v>0.61000999214669394</v>
      </c>
      <c r="P475" s="315">
        <v>0</v>
      </c>
      <c r="Q475" s="314">
        <v>0</v>
      </c>
      <c r="R475" s="315">
        <v>0</v>
      </c>
      <c r="S475" s="315">
        <v>0.70807653712588081</v>
      </c>
      <c r="T475" s="315"/>
      <c r="U475" s="315"/>
      <c r="V475" s="316"/>
    </row>
    <row r="476" spans="1:22">
      <c r="A476" s="311"/>
      <c r="B476" s="317" t="s">
        <v>771</v>
      </c>
      <c r="C476" s="318">
        <v>-1.9611948024526593</v>
      </c>
      <c r="D476" s="319">
        <v>-1.0564964652555409</v>
      </c>
      <c r="E476" s="319">
        <v>-2.2242093062453283</v>
      </c>
      <c r="F476" s="321">
        <v>-4.1933851561526847</v>
      </c>
      <c r="G476" s="319">
        <v>2.2367428798816369</v>
      </c>
      <c r="H476" s="319">
        <v>0</v>
      </c>
      <c r="I476" s="319">
        <v>0</v>
      </c>
      <c r="J476" s="320">
        <v>-1.7819527917300682</v>
      </c>
      <c r="K476" s="320">
        <v>-2.1679411917541858</v>
      </c>
      <c r="L476" s="319">
        <v>-1.0511488826925208</v>
      </c>
      <c r="M476" s="319">
        <v>-2.2268875526106346</v>
      </c>
      <c r="N476" s="319">
        <v>-1.7322059898921327</v>
      </c>
      <c r="O476" s="320">
        <v>-1.3625697107211399</v>
      </c>
      <c r="P476" s="320">
        <v>0</v>
      </c>
      <c r="Q476" s="319">
        <v>0</v>
      </c>
      <c r="R476" s="320">
        <v>0</v>
      </c>
      <c r="S476" s="320">
        <v>-1.4281229667881146</v>
      </c>
      <c r="T476" s="320"/>
      <c r="U476" s="320"/>
      <c r="V476" s="316"/>
    </row>
    <row r="477" spans="1:22">
      <c r="A477" s="311"/>
      <c r="B477" s="291" t="s">
        <v>772</v>
      </c>
      <c r="C477" s="308">
        <v>6.5331983357327051E-3</v>
      </c>
      <c r="D477" s="309">
        <v>2.017953625577177E-2</v>
      </c>
      <c r="E477" s="309">
        <v>2.2843568394647785E-2</v>
      </c>
      <c r="F477" s="309">
        <v>7.0621348760705582E-2</v>
      </c>
      <c r="G477" s="309">
        <v>2.783494399817911E-2</v>
      </c>
      <c r="H477" s="309">
        <v>0</v>
      </c>
      <c r="I477" s="309">
        <v>0</v>
      </c>
      <c r="J477" s="310">
        <v>1.4829112558078927E-2</v>
      </c>
      <c r="K477" s="310">
        <v>1.3772134241718074E-2</v>
      </c>
      <c r="L477" s="309">
        <v>0.11586304402706527</v>
      </c>
      <c r="M477" s="309">
        <v>0.20071260914274644</v>
      </c>
      <c r="N477" s="309">
        <v>0.14664372517308252</v>
      </c>
      <c r="O477" s="310">
        <v>0.12596887739551743</v>
      </c>
      <c r="P477" s="310">
        <v>0</v>
      </c>
      <c r="Q477" s="309">
        <v>0</v>
      </c>
      <c r="R477" s="310">
        <v>0</v>
      </c>
      <c r="S477" s="310">
        <v>7.3442452251876775E-2</v>
      </c>
      <c r="T477" s="310"/>
      <c r="U477" s="310"/>
      <c r="V477" s="316"/>
    </row>
    <row r="478" spans="1:22">
      <c r="A478" s="311"/>
      <c r="B478" s="312" t="s">
        <v>773</v>
      </c>
      <c r="C478" s="313">
        <v>8.3142085543801963E-3</v>
      </c>
      <c r="D478" s="314">
        <v>2.0159999600656172E-2</v>
      </c>
      <c r="E478" s="314">
        <v>2.1617594992713283E-2</v>
      </c>
      <c r="F478" s="314">
        <v>6.5783125887331317E-2</v>
      </c>
      <c r="G478" s="314">
        <v>3.5171250099878267E-2</v>
      </c>
      <c r="H478" s="314">
        <v>0</v>
      </c>
      <c r="I478" s="314">
        <v>0</v>
      </c>
      <c r="J478" s="315">
        <v>1.5507772633815104E-2</v>
      </c>
      <c r="K478" s="315">
        <v>1.6994260742329438E-2</v>
      </c>
      <c r="L478" s="314">
        <v>0.11663576779911639</v>
      </c>
      <c r="M478" s="314">
        <v>0.21466299544744505</v>
      </c>
      <c r="N478" s="314">
        <v>0.14252057776467653</v>
      </c>
      <c r="O478" s="315">
        <v>0.12910509846326548</v>
      </c>
      <c r="P478" s="315">
        <v>0</v>
      </c>
      <c r="Q478" s="314">
        <v>0</v>
      </c>
      <c r="R478" s="315">
        <v>0</v>
      </c>
      <c r="S478" s="315">
        <v>7.4681000132591213E-2</v>
      </c>
      <c r="T478" s="315"/>
      <c r="U478" s="315"/>
      <c r="V478" s="316"/>
    </row>
    <row r="479" spans="1:22">
      <c r="A479" s="311"/>
      <c r="B479" s="317" t="s">
        <v>774</v>
      </c>
      <c r="C479" s="318">
        <v>0.1781010218647491</v>
      </c>
      <c r="D479" s="319">
        <v>-1.953665511559774E-3</v>
      </c>
      <c r="E479" s="319">
        <v>-0.12259734019345013</v>
      </c>
      <c r="F479" s="319">
        <v>-0.48382228733742649</v>
      </c>
      <c r="G479" s="319">
        <v>0.73363061016991571</v>
      </c>
      <c r="H479" s="319">
        <v>0</v>
      </c>
      <c r="I479" s="319">
        <v>0</v>
      </c>
      <c r="J479" s="320">
        <v>6.7866007573617715E-2</v>
      </c>
      <c r="K479" s="320">
        <v>0.32221265006113636</v>
      </c>
      <c r="L479" s="319">
        <v>7.7272377205112042E-2</v>
      </c>
      <c r="M479" s="319">
        <v>1.3950386304698608</v>
      </c>
      <c r="N479" s="319">
        <v>-0.41231474084059971</v>
      </c>
      <c r="O479" s="320">
        <v>0.31362210677480518</v>
      </c>
      <c r="P479" s="320">
        <v>0</v>
      </c>
      <c r="Q479" s="319">
        <v>0</v>
      </c>
      <c r="R479" s="320">
        <v>0</v>
      </c>
      <c r="S479" s="320">
        <v>0.12385478807144384</v>
      </c>
      <c r="T479" s="320"/>
      <c r="U479" s="320"/>
      <c r="V479" s="316"/>
    </row>
    <row r="480" spans="1:22">
      <c r="A480" s="311"/>
      <c r="B480" s="291" t="s">
        <v>775</v>
      </c>
      <c r="C480" s="308">
        <v>0.12236430368132128</v>
      </c>
      <c r="D480" s="309">
        <v>0.12395395676803932</v>
      </c>
      <c r="E480" s="309">
        <v>0.16695207443226009</v>
      </c>
      <c r="F480" s="309">
        <v>0.42305456298565025</v>
      </c>
      <c r="G480" s="309">
        <v>0.34854376298094703</v>
      </c>
      <c r="H480" s="309">
        <v>0</v>
      </c>
      <c r="I480" s="309">
        <v>0</v>
      </c>
      <c r="J480" s="310">
        <v>0.14772159579103394</v>
      </c>
      <c r="K480" s="310">
        <v>0.21320271802697408</v>
      </c>
      <c r="L480" s="309">
        <v>0.24425805256499844</v>
      </c>
      <c r="M480" s="309">
        <v>0.24073824493723969</v>
      </c>
      <c r="N480" s="309">
        <v>0.30249849206139412</v>
      </c>
      <c r="O480" s="310">
        <v>0.24362270666173091</v>
      </c>
      <c r="P480" s="310">
        <v>0</v>
      </c>
      <c r="Q480" s="309">
        <v>0</v>
      </c>
      <c r="R480" s="310">
        <v>0</v>
      </c>
      <c r="S480" s="310">
        <v>0.1982983123847622</v>
      </c>
      <c r="T480" s="310"/>
      <c r="U480" s="310"/>
      <c r="V480" s="316"/>
    </row>
    <row r="481" spans="1:22">
      <c r="A481" s="311"/>
      <c r="B481" s="312" t="s">
        <v>776</v>
      </c>
      <c r="C481" s="313">
        <v>0.13942489947101241</v>
      </c>
      <c r="D481" s="314">
        <v>0.13417453446805219</v>
      </c>
      <c r="E481" s="314">
        <v>0.18644137533773128</v>
      </c>
      <c r="F481" s="314">
        <v>0.47757377772264265</v>
      </c>
      <c r="G481" s="314">
        <v>0.31284222994091909</v>
      </c>
      <c r="H481" s="314">
        <v>0</v>
      </c>
      <c r="I481" s="314">
        <v>0</v>
      </c>
      <c r="J481" s="315">
        <v>0.16307126488462553</v>
      </c>
      <c r="K481" s="315">
        <v>0.22852847094401568</v>
      </c>
      <c r="L481" s="314">
        <v>0.25449435434141116</v>
      </c>
      <c r="M481" s="314">
        <v>0.24893216551282596</v>
      </c>
      <c r="N481" s="314">
        <v>0.32310605201696108</v>
      </c>
      <c r="O481" s="315">
        <v>0.25415111874943597</v>
      </c>
      <c r="P481" s="315">
        <v>0</v>
      </c>
      <c r="Q481" s="314">
        <v>0</v>
      </c>
      <c r="R481" s="315">
        <v>0</v>
      </c>
      <c r="S481" s="315">
        <v>0.21051506581871823</v>
      </c>
      <c r="T481" s="315"/>
      <c r="U481" s="315"/>
      <c r="V481" s="316"/>
    </row>
    <row r="482" spans="1:22">
      <c r="A482" s="311"/>
      <c r="B482" s="317" t="s">
        <v>777</v>
      </c>
      <c r="C482" s="318">
        <v>1.7060595789691129</v>
      </c>
      <c r="D482" s="319">
        <v>1.0220577700012876</v>
      </c>
      <c r="E482" s="319">
        <v>1.9489300905471185</v>
      </c>
      <c r="F482" s="319">
        <v>5.4519214736992394</v>
      </c>
      <c r="G482" s="319">
        <v>-3.5701533040027931</v>
      </c>
      <c r="H482" s="319">
        <v>0</v>
      </c>
      <c r="I482" s="319">
        <v>0</v>
      </c>
      <c r="J482" s="320">
        <v>1.5349669093591589</v>
      </c>
      <c r="K482" s="320">
        <v>1.5325752917041608</v>
      </c>
      <c r="L482" s="319">
        <v>1.0236301776412715</v>
      </c>
      <c r="M482" s="319">
        <v>0.81939205755862665</v>
      </c>
      <c r="N482" s="319">
        <v>2.0607559955566956</v>
      </c>
      <c r="O482" s="320">
        <v>1.0528412087705052</v>
      </c>
      <c r="P482" s="320">
        <v>0</v>
      </c>
      <c r="Q482" s="319">
        <v>0</v>
      </c>
      <c r="R482" s="320">
        <v>0</v>
      </c>
      <c r="S482" s="320">
        <v>1.2216753433956034</v>
      </c>
      <c r="T482" s="320"/>
      <c r="U482" s="320"/>
      <c r="V482" s="316"/>
    </row>
    <row r="483" spans="1:22">
      <c r="A483" s="311"/>
      <c r="B483" s="291" t="s">
        <v>778</v>
      </c>
      <c r="C483" s="308">
        <v>3.0091281580737531E-3</v>
      </c>
      <c r="D483" s="309">
        <v>3.9986803712931975E-4</v>
      </c>
      <c r="E483" s="309">
        <v>8.86458274687902E-4</v>
      </c>
      <c r="F483" s="309">
        <v>2.323322556860076E-2</v>
      </c>
      <c r="G483" s="309">
        <v>1.2120292480297412E-2</v>
      </c>
      <c r="H483" s="309">
        <v>0</v>
      </c>
      <c r="I483" s="309">
        <v>0</v>
      </c>
      <c r="J483" s="310">
        <v>2.5600742758713365E-3</v>
      </c>
      <c r="K483" s="310">
        <v>1.0856326132691542E-3</v>
      </c>
      <c r="L483" s="309">
        <v>4.2726893055003629E-4</v>
      </c>
      <c r="M483" s="309">
        <v>2.0618267770407143E-2</v>
      </c>
      <c r="N483" s="309">
        <v>1.7778055468109802E-2</v>
      </c>
      <c r="O483" s="310">
        <v>4.5674814530226931E-3</v>
      </c>
      <c r="P483" s="310">
        <v>0</v>
      </c>
      <c r="Q483" s="309">
        <v>0</v>
      </c>
      <c r="R483" s="310">
        <v>0</v>
      </c>
      <c r="S483" s="310">
        <v>3.6187488101412264E-3</v>
      </c>
      <c r="T483" s="310"/>
      <c r="U483" s="310"/>
      <c r="V483" s="316"/>
    </row>
    <row r="484" spans="1:22">
      <c r="A484" s="311"/>
      <c r="B484" s="312" t="s">
        <v>779</v>
      </c>
      <c r="C484" s="313">
        <v>4.4938782916857916E-3</v>
      </c>
      <c r="D484" s="314">
        <v>3.294586582421758E-4</v>
      </c>
      <c r="E484" s="314">
        <v>4.0736016693664846E-3</v>
      </c>
      <c r="F484" s="314">
        <v>1.5486085266509532E-2</v>
      </c>
      <c r="G484" s="314">
        <v>1.2377854755850516E-2</v>
      </c>
      <c r="H484" s="314">
        <v>0</v>
      </c>
      <c r="I484" s="314">
        <v>0</v>
      </c>
      <c r="J484" s="315">
        <v>4.2271464247494762E-3</v>
      </c>
      <c r="K484" s="315">
        <v>9.5511800348581431E-4</v>
      </c>
      <c r="L484" s="314">
        <v>4.1866513905983497E-4</v>
      </c>
      <c r="M484" s="314">
        <v>2.1156920309014546E-2</v>
      </c>
      <c r="N484" s="314">
        <v>1.8208203895603275E-2</v>
      </c>
      <c r="O484" s="315">
        <v>4.7357969109071219E-3</v>
      </c>
      <c r="P484" s="315">
        <v>0</v>
      </c>
      <c r="Q484" s="314">
        <v>0</v>
      </c>
      <c r="R484" s="315">
        <v>0</v>
      </c>
      <c r="S484" s="315">
        <v>4.492104166624121E-3</v>
      </c>
      <c r="T484" s="315"/>
      <c r="U484" s="315"/>
      <c r="V484" s="316"/>
    </row>
    <row r="485" spans="1:22">
      <c r="A485" s="311"/>
      <c r="B485" s="317" t="s">
        <v>780</v>
      </c>
      <c r="C485" s="318">
        <v>0.14847501336120386</v>
      </c>
      <c r="D485" s="319">
        <v>-7.0409378887143943E-3</v>
      </c>
      <c r="E485" s="319">
        <v>0.31871433946785827</v>
      </c>
      <c r="F485" s="319">
        <v>-0.77471403020912288</v>
      </c>
      <c r="G485" s="319">
        <v>2.5756227555310401E-2</v>
      </c>
      <c r="H485" s="319">
        <v>0</v>
      </c>
      <c r="I485" s="319">
        <v>0</v>
      </c>
      <c r="J485" s="320">
        <v>0.16670721488781398</v>
      </c>
      <c r="K485" s="320">
        <v>-1.3051460978333991E-2</v>
      </c>
      <c r="L485" s="319">
        <v>-8.603791490201327E-4</v>
      </c>
      <c r="M485" s="319">
        <v>5.3865253860740231E-2</v>
      </c>
      <c r="N485" s="319">
        <v>4.301484274934729E-2</v>
      </c>
      <c r="O485" s="320">
        <v>1.6831545788442877E-2</v>
      </c>
      <c r="P485" s="320">
        <v>0</v>
      </c>
      <c r="Q485" s="319">
        <v>0</v>
      </c>
      <c r="R485" s="320">
        <v>0</v>
      </c>
      <c r="S485" s="320">
        <v>8.7335535648289456E-2</v>
      </c>
      <c r="T485" s="320"/>
      <c r="U485" s="320"/>
      <c r="V485" s="316"/>
    </row>
    <row r="486" spans="1:22">
      <c r="A486" s="311"/>
      <c r="B486" s="291" t="s">
        <v>781</v>
      </c>
      <c r="C486" s="308">
        <v>2.2937463416177564E-3</v>
      </c>
      <c r="D486" s="309">
        <v>1.1039695407101606E-4</v>
      </c>
      <c r="E486" s="309">
        <v>3.745748857847645E-3</v>
      </c>
      <c r="F486" s="309">
        <v>0</v>
      </c>
      <c r="G486" s="309">
        <v>1.1380556319528086E-4</v>
      </c>
      <c r="H486" s="309">
        <v>0</v>
      </c>
      <c r="I486" s="309">
        <v>0</v>
      </c>
      <c r="J486" s="310">
        <v>2.3691722556816561E-3</v>
      </c>
      <c r="K486" s="310">
        <v>1.4292677898021806E-3</v>
      </c>
      <c r="L486" s="309">
        <v>1.7392545685958726E-3</v>
      </c>
      <c r="M486" s="309">
        <v>2.9336910804333358E-3</v>
      </c>
      <c r="N486" s="309">
        <v>1.0703360239924447E-2</v>
      </c>
      <c r="O486" s="310">
        <v>2.2052452358236633E-3</v>
      </c>
      <c r="P486" s="310">
        <v>0</v>
      </c>
      <c r="Q486" s="309">
        <v>0</v>
      </c>
      <c r="R486" s="310">
        <v>0</v>
      </c>
      <c r="S486" s="310">
        <v>2.2827197594578038E-3</v>
      </c>
      <c r="T486" s="310"/>
      <c r="U486" s="310"/>
      <c r="V486" s="316"/>
    </row>
    <row r="487" spans="1:22">
      <c r="A487" s="311"/>
      <c r="B487" s="312" t="s">
        <v>782</v>
      </c>
      <c r="C487" s="313">
        <v>1.5793382241937476E-3</v>
      </c>
      <c r="D487" s="314">
        <v>5.4472994061632483E-4</v>
      </c>
      <c r="E487" s="314">
        <v>4.5373710220856824E-3</v>
      </c>
      <c r="F487" s="314">
        <v>0</v>
      </c>
      <c r="G487" s="314">
        <v>5.8540414271546683E-3</v>
      </c>
      <c r="H487" s="314">
        <v>0</v>
      </c>
      <c r="I487" s="314">
        <v>0</v>
      </c>
      <c r="J487" s="315">
        <v>2.4932988547765114E-3</v>
      </c>
      <c r="K487" s="315">
        <v>4.6913148994744405E-3</v>
      </c>
      <c r="L487" s="314">
        <v>1.250321638547453E-3</v>
      </c>
      <c r="M487" s="314">
        <v>2.5196071876475226E-3</v>
      </c>
      <c r="N487" s="314">
        <v>1.1110859164191288E-2</v>
      </c>
      <c r="O487" s="315">
        <v>1.9979937296974396E-3</v>
      </c>
      <c r="P487" s="315">
        <v>0</v>
      </c>
      <c r="Q487" s="314">
        <v>0</v>
      </c>
      <c r="R487" s="315">
        <v>0</v>
      </c>
      <c r="S487" s="315">
        <v>2.23529275618563E-3</v>
      </c>
      <c r="T487" s="315"/>
      <c r="U487" s="315"/>
      <c r="V487" s="316"/>
    </row>
    <row r="488" spans="1:22">
      <c r="A488" s="311"/>
      <c r="B488" s="317" t="s">
        <v>783</v>
      </c>
      <c r="C488" s="318">
        <v>-7.1440811742400884E-2</v>
      </c>
      <c r="D488" s="319">
        <v>4.3433298654530876E-2</v>
      </c>
      <c r="E488" s="319">
        <v>7.9162216423803736E-2</v>
      </c>
      <c r="F488" s="319">
        <v>0</v>
      </c>
      <c r="G488" s="319">
        <v>0.57402358639593876</v>
      </c>
      <c r="H488" s="319">
        <v>0</v>
      </c>
      <c r="I488" s="319">
        <v>0</v>
      </c>
      <c r="J488" s="320">
        <v>1.2412659909485533E-2</v>
      </c>
      <c r="K488" s="320">
        <v>0.32620471096722597</v>
      </c>
      <c r="L488" s="319">
        <v>-4.8893293004841964E-2</v>
      </c>
      <c r="M488" s="319">
        <v>-4.1408389278581315E-2</v>
      </c>
      <c r="N488" s="319">
        <v>4.0749892426684108E-2</v>
      </c>
      <c r="O488" s="320">
        <v>-2.0725150612622371E-2</v>
      </c>
      <c r="P488" s="320">
        <v>0</v>
      </c>
      <c r="Q488" s="319">
        <v>0</v>
      </c>
      <c r="R488" s="320">
        <v>0</v>
      </c>
      <c r="S488" s="320">
        <v>-4.7427003272173824E-3</v>
      </c>
      <c r="T488" s="320"/>
      <c r="U488" s="320"/>
      <c r="V488" s="316"/>
    </row>
    <row r="489" spans="1:22">
      <c r="A489" s="311"/>
      <c r="B489" s="291" t="s">
        <v>784</v>
      </c>
      <c r="C489" s="308">
        <v>0</v>
      </c>
      <c r="D489" s="309">
        <v>0</v>
      </c>
      <c r="E489" s="309">
        <v>0</v>
      </c>
      <c r="F489" s="309">
        <v>0</v>
      </c>
      <c r="G489" s="309">
        <v>0</v>
      </c>
      <c r="H489" s="309">
        <v>0</v>
      </c>
      <c r="I489" s="309">
        <v>0</v>
      </c>
      <c r="J489" s="310">
        <v>0</v>
      </c>
      <c r="K489" s="310">
        <v>0</v>
      </c>
      <c r="L489" s="309">
        <v>0</v>
      </c>
      <c r="M489" s="309">
        <v>0</v>
      </c>
      <c r="N489" s="309">
        <v>0</v>
      </c>
      <c r="O489" s="310">
        <v>0</v>
      </c>
      <c r="P489" s="310">
        <v>0</v>
      </c>
      <c r="Q489" s="309">
        <v>0</v>
      </c>
      <c r="R489" s="310">
        <v>0</v>
      </c>
      <c r="S489" s="310">
        <v>0</v>
      </c>
      <c r="T489" s="310"/>
      <c r="U489" s="310"/>
      <c r="V489" s="316"/>
    </row>
    <row r="490" spans="1:22">
      <c r="A490" s="311"/>
      <c r="B490" s="312" t="s">
        <v>785</v>
      </c>
      <c r="C490" s="313">
        <v>0</v>
      </c>
      <c r="D490" s="314">
        <v>0</v>
      </c>
      <c r="E490" s="314">
        <v>0</v>
      </c>
      <c r="F490" s="314">
        <v>0</v>
      </c>
      <c r="G490" s="314">
        <v>0</v>
      </c>
      <c r="H490" s="314">
        <v>0</v>
      </c>
      <c r="I490" s="314">
        <v>0</v>
      </c>
      <c r="J490" s="315">
        <v>0</v>
      </c>
      <c r="K490" s="315">
        <v>0</v>
      </c>
      <c r="L490" s="314">
        <v>0</v>
      </c>
      <c r="M490" s="314">
        <v>0</v>
      </c>
      <c r="N490" s="314">
        <v>0</v>
      </c>
      <c r="O490" s="315">
        <v>0</v>
      </c>
      <c r="P490" s="315">
        <v>0</v>
      </c>
      <c r="Q490" s="314">
        <v>0</v>
      </c>
      <c r="R490" s="315">
        <v>0</v>
      </c>
      <c r="S490" s="315">
        <v>0</v>
      </c>
      <c r="T490" s="315"/>
      <c r="U490" s="315"/>
      <c r="V490" s="316"/>
    </row>
    <row r="491" spans="1:22" ht="15.75" thickBot="1">
      <c r="A491" s="311"/>
      <c r="B491" s="325" t="s">
        <v>786</v>
      </c>
      <c r="C491" s="326">
        <v>0</v>
      </c>
      <c r="D491" s="327">
        <v>0</v>
      </c>
      <c r="E491" s="327">
        <v>0</v>
      </c>
      <c r="F491" s="327">
        <v>0</v>
      </c>
      <c r="G491" s="327">
        <v>0</v>
      </c>
      <c r="H491" s="327">
        <v>0</v>
      </c>
      <c r="I491" s="327">
        <v>0</v>
      </c>
      <c r="J491" s="328">
        <v>0</v>
      </c>
      <c r="K491" s="328">
        <v>0</v>
      </c>
      <c r="L491" s="327">
        <v>0</v>
      </c>
      <c r="M491" s="327">
        <v>0</v>
      </c>
      <c r="N491" s="327">
        <v>0</v>
      </c>
      <c r="O491" s="328">
        <v>0</v>
      </c>
      <c r="P491" s="328">
        <v>0</v>
      </c>
      <c r="Q491" s="327">
        <v>0</v>
      </c>
      <c r="R491" s="328">
        <v>0</v>
      </c>
      <c r="S491" s="328">
        <v>0</v>
      </c>
      <c r="T491" s="328"/>
      <c r="U491" s="328"/>
      <c r="V491" s="316"/>
    </row>
    <row r="492" spans="1:22" ht="15.75" thickTop="1">
      <c r="A492" s="311"/>
      <c r="B492" s="312" t="s">
        <v>787</v>
      </c>
      <c r="C492" s="313">
        <v>0.83092362552959642</v>
      </c>
      <c r="D492" s="314">
        <v>0.62227271495297554</v>
      </c>
      <c r="E492" s="314">
        <v>0.45577510414444355</v>
      </c>
      <c r="F492" s="314">
        <v>0.2756179469337125</v>
      </c>
      <c r="G492" s="314">
        <v>0.30030693324918961</v>
      </c>
      <c r="H492" s="314">
        <v>0</v>
      </c>
      <c r="I492" s="314">
        <v>0</v>
      </c>
      <c r="J492" s="315">
        <v>0.67671979121686432</v>
      </c>
      <c r="K492" s="315">
        <v>0</v>
      </c>
      <c r="L492" s="314">
        <v>0</v>
      </c>
      <c r="M492" s="314">
        <v>0</v>
      </c>
      <c r="N492" s="314">
        <v>0</v>
      </c>
      <c r="O492" s="315">
        <v>0</v>
      </c>
      <c r="P492" s="315">
        <v>0</v>
      </c>
      <c r="Q492" s="314">
        <v>0</v>
      </c>
      <c r="R492" s="315">
        <v>0</v>
      </c>
      <c r="S492" s="315">
        <v>0.67671979121686432</v>
      </c>
      <c r="T492" s="315"/>
      <c r="U492" s="315"/>
      <c r="V492" s="316"/>
    </row>
    <row r="493" spans="1:22">
      <c r="A493" s="311"/>
      <c r="B493" s="312" t="s">
        <v>788</v>
      </c>
      <c r="C493" s="313">
        <v>0.80965693656333593</v>
      </c>
      <c r="D493" s="314">
        <v>0.61022301340943041</v>
      </c>
      <c r="E493" s="314">
        <v>0.4278040901481438</v>
      </c>
      <c r="F493" s="314">
        <v>0.2255258487766561</v>
      </c>
      <c r="G493" s="314">
        <v>0.35237859878907696</v>
      </c>
      <c r="H493" s="314">
        <v>0</v>
      </c>
      <c r="I493" s="314">
        <v>0</v>
      </c>
      <c r="J493" s="315">
        <v>0.65587724883470655</v>
      </c>
      <c r="K493" s="315">
        <v>0</v>
      </c>
      <c r="L493" s="314">
        <v>0</v>
      </c>
      <c r="M493" s="314">
        <v>0</v>
      </c>
      <c r="N493" s="314">
        <v>0</v>
      </c>
      <c r="O493" s="315">
        <v>0</v>
      </c>
      <c r="P493" s="315">
        <v>0</v>
      </c>
      <c r="Q493" s="314">
        <v>0</v>
      </c>
      <c r="R493" s="315">
        <v>0</v>
      </c>
      <c r="S493" s="315">
        <v>0.65587724883470655</v>
      </c>
      <c r="T493" s="315"/>
      <c r="U493" s="315"/>
      <c r="V493" s="316"/>
    </row>
    <row r="494" spans="1:22">
      <c r="A494" s="311"/>
      <c r="B494" s="317" t="s">
        <v>789</v>
      </c>
      <c r="C494" s="318">
        <v>-2.1266688966260494</v>
      </c>
      <c r="D494" s="319">
        <v>-1.2049701543545122</v>
      </c>
      <c r="E494" s="319">
        <v>-2.7971013996299754</v>
      </c>
      <c r="F494" s="321">
        <v>-5.0092098157056402</v>
      </c>
      <c r="G494" s="321">
        <v>5.2071665539887348</v>
      </c>
      <c r="H494" s="321">
        <v>0</v>
      </c>
      <c r="I494" s="319">
        <v>0</v>
      </c>
      <c r="J494" s="320">
        <v>-2.0842542382157769</v>
      </c>
      <c r="K494" s="320">
        <v>0</v>
      </c>
      <c r="L494" s="319">
        <v>0</v>
      </c>
      <c r="M494" s="319">
        <v>0</v>
      </c>
      <c r="N494" s="319">
        <v>0</v>
      </c>
      <c r="O494" s="320">
        <v>0</v>
      </c>
      <c r="P494" s="320">
        <v>0</v>
      </c>
      <c r="Q494" s="319">
        <v>0</v>
      </c>
      <c r="R494" s="320">
        <v>0</v>
      </c>
      <c r="S494" s="320">
        <v>-2.0842542382157769</v>
      </c>
      <c r="T494" s="320"/>
      <c r="U494" s="320"/>
      <c r="V494" s="316"/>
    </row>
    <row r="495" spans="1:22">
      <c r="A495" s="311"/>
      <c r="B495" s="291" t="s">
        <v>790</v>
      </c>
      <c r="C495" s="308">
        <v>2.0274457097280388E-2</v>
      </c>
      <c r="D495" s="309">
        <v>4.4264457434025677E-2</v>
      </c>
      <c r="E495" s="309">
        <v>3.3042702028992017E-2</v>
      </c>
      <c r="F495" s="309">
        <v>8.6134390221765042E-2</v>
      </c>
      <c r="G495" s="309">
        <v>1.5662201313789047E-2</v>
      </c>
      <c r="H495" s="309">
        <v>0</v>
      </c>
      <c r="I495" s="309">
        <v>0</v>
      </c>
      <c r="J495" s="310">
        <v>2.7503806401092335E-2</v>
      </c>
      <c r="K495" s="310">
        <v>0</v>
      </c>
      <c r="L495" s="309">
        <v>0</v>
      </c>
      <c r="M495" s="309">
        <v>0</v>
      </c>
      <c r="N495" s="309">
        <v>0</v>
      </c>
      <c r="O495" s="310">
        <v>0</v>
      </c>
      <c r="P495" s="310">
        <v>0</v>
      </c>
      <c r="Q495" s="309">
        <v>0</v>
      </c>
      <c r="R495" s="310">
        <v>0</v>
      </c>
      <c r="S495" s="310">
        <v>2.7503806401092335E-2</v>
      </c>
      <c r="T495" s="310"/>
      <c r="U495" s="310"/>
      <c r="V495" s="316"/>
    </row>
    <row r="496" spans="1:22">
      <c r="A496" s="311"/>
      <c r="B496" s="312" t="s">
        <v>791</v>
      </c>
      <c r="C496" s="313">
        <v>1.7107026009324532E-2</v>
      </c>
      <c r="D496" s="314">
        <v>4.197268018642597E-2</v>
      </c>
      <c r="E496" s="314">
        <v>3.1658969246774513E-2</v>
      </c>
      <c r="F496" s="314">
        <v>7.5146190323800655E-2</v>
      </c>
      <c r="G496" s="314">
        <v>8.2540467070307665E-3</v>
      </c>
      <c r="H496" s="314">
        <v>0</v>
      </c>
      <c r="I496" s="314">
        <v>0</v>
      </c>
      <c r="J496" s="315">
        <v>2.4709065931213949E-2</v>
      </c>
      <c r="K496" s="315">
        <v>0</v>
      </c>
      <c r="L496" s="314">
        <v>0</v>
      </c>
      <c r="M496" s="314">
        <v>0</v>
      </c>
      <c r="N496" s="314">
        <v>0</v>
      </c>
      <c r="O496" s="315">
        <v>0</v>
      </c>
      <c r="P496" s="315">
        <v>0</v>
      </c>
      <c r="Q496" s="314">
        <v>0</v>
      </c>
      <c r="R496" s="315">
        <v>0</v>
      </c>
      <c r="S496" s="315">
        <v>2.4709065931213949E-2</v>
      </c>
      <c r="T496" s="315"/>
      <c r="U496" s="315"/>
      <c r="V496" s="316"/>
    </row>
    <row r="497" spans="1:22">
      <c r="A497" s="311"/>
      <c r="B497" s="317" t="s">
        <v>792</v>
      </c>
      <c r="C497" s="318">
        <v>-0.31674310879558565</v>
      </c>
      <c r="D497" s="319">
        <v>-0.22917772475997064</v>
      </c>
      <c r="E497" s="321">
        <v>-0.13837327822175047</v>
      </c>
      <c r="F497" s="321">
        <v>-1.0988199897964388</v>
      </c>
      <c r="G497" s="319">
        <v>-0.74081546067582804</v>
      </c>
      <c r="H497" s="319">
        <v>0</v>
      </c>
      <c r="I497" s="319">
        <v>0</v>
      </c>
      <c r="J497" s="320">
        <v>-0.27947404698783868</v>
      </c>
      <c r="K497" s="320">
        <v>0</v>
      </c>
      <c r="L497" s="319">
        <v>0</v>
      </c>
      <c r="M497" s="319">
        <v>0</v>
      </c>
      <c r="N497" s="319">
        <v>0</v>
      </c>
      <c r="O497" s="320">
        <v>0</v>
      </c>
      <c r="P497" s="320">
        <v>0</v>
      </c>
      <c r="Q497" s="319">
        <v>0</v>
      </c>
      <c r="R497" s="320">
        <v>0</v>
      </c>
      <c r="S497" s="320">
        <v>-0.27947404698783868</v>
      </c>
      <c r="T497" s="320"/>
      <c r="U497" s="320"/>
      <c r="V497" s="316"/>
    </row>
    <row r="498" spans="1:22">
      <c r="A498" s="311"/>
      <c r="B498" s="291" t="s">
        <v>793</v>
      </c>
      <c r="C498" s="308">
        <v>0.14264714334867892</v>
      </c>
      <c r="D498" s="309">
        <v>0.3236062048840424</v>
      </c>
      <c r="E498" s="309">
        <v>0.49798027150540652</v>
      </c>
      <c r="F498" s="309">
        <v>0.68126947629564638</v>
      </c>
      <c r="G498" s="309">
        <v>0.60546169071455203</v>
      </c>
      <c r="H498" s="309">
        <v>0</v>
      </c>
      <c r="I498" s="309">
        <v>0</v>
      </c>
      <c r="J498" s="310">
        <v>0.28665512531521931</v>
      </c>
      <c r="K498" s="310">
        <v>0</v>
      </c>
      <c r="L498" s="309">
        <v>0</v>
      </c>
      <c r="M498" s="309">
        <v>0</v>
      </c>
      <c r="N498" s="309">
        <v>0</v>
      </c>
      <c r="O498" s="310">
        <v>0</v>
      </c>
      <c r="P498" s="310">
        <v>0</v>
      </c>
      <c r="Q498" s="309">
        <v>0</v>
      </c>
      <c r="R498" s="310">
        <v>0</v>
      </c>
      <c r="S498" s="310">
        <v>0.28665512531521931</v>
      </c>
      <c r="T498" s="310"/>
      <c r="U498" s="310"/>
      <c r="V498" s="316"/>
    </row>
    <row r="499" spans="1:22">
      <c r="A499" s="311"/>
      <c r="B499" s="312" t="s">
        <v>794</v>
      </c>
      <c r="C499" s="313">
        <v>0.1676477781554899</v>
      </c>
      <c r="D499" s="314">
        <v>0.33619293835598058</v>
      </c>
      <c r="E499" s="314">
        <v>0.5267138326421078</v>
      </c>
      <c r="F499" s="314">
        <v>0.68431617839583392</v>
      </c>
      <c r="G499" s="314">
        <v>0.60711726183121217</v>
      </c>
      <c r="H499" s="314">
        <v>0</v>
      </c>
      <c r="I499" s="314">
        <v>0</v>
      </c>
      <c r="J499" s="315">
        <v>0.31009566306668557</v>
      </c>
      <c r="K499" s="315">
        <v>0</v>
      </c>
      <c r="L499" s="314">
        <v>0</v>
      </c>
      <c r="M499" s="314">
        <v>0</v>
      </c>
      <c r="N499" s="314">
        <v>0</v>
      </c>
      <c r="O499" s="315">
        <v>0</v>
      </c>
      <c r="P499" s="315">
        <v>0</v>
      </c>
      <c r="Q499" s="314">
        <v>0</v>
      </c>
      <c r="R499" s="315">
        <v>0</v>
      </c>
      <c r="S499" s="315">
        <v>0.31009566306668557</v>
      </c>
      <c r="T499" s="315"/>
      <c r="U499" s="315"/>
      <c r="V499" s="316"/>
    </row>
    <row r="500" spans="1:22">
      <c r="A500" s="311"/>
      <c r="B500" s="317" t="s">
        <v>795</v>
      </c>
      <c r="C500" s="318">
        <v>2.5000634806810975</v>
      </c>
      <c r="D500" s="319">
        <v>1.2586733471938172</v>
      </c>
      <c r="E500" s="321">
        <v>2.8733561136701278</v>
      </c>
      <c r="F500" s="319">
        <v>0.30467021001875372</v>
      </c>
      <c r="G500" s="321">
        <v>0.16555711166601483</v>
      </c>
      <c r="H500" s="321">
        <v>0</v>
      </c>
      <c r="I500" s="319">
        <v>0</v>
      </c>
      <c r="J500" s="320">
        <v>2.3440537751466262</v>
      </c>
      <c r="K500" s="320">
        <v>0</v>
      </c>
      <c r="L500" s="319">
        <v>0</v>
      </c>
      <c r="M500" s="319">
        <v>0</v>
      </c>
      <c r="N500" s="319">
        <v>0</v>
      </c>
      <c r="O500" s="320">
        <v>0</v>
      </c>
      <c r="P500" s="320">
        <v>0</v>
      </c>
      <c r="Q500" s="319">
        <v>0</v>
      </c>
      <c r="R500" s="320">
        <v>0</v>
      </c>
      <c r="S500" s="320">
        <v>2.3440537751466262</v>
      </c>
      <c r="T500" s="320"/>
      <c r="U500" s="320"/>
      <c r="V500" s="316"/>
    </row>
    <row r="501" spans="1:22">
      <c r="A501" s="311"/>
      <c r="B501" s="291" t="s">
        <v>796</v>
      </c>
      <c r="C501" s="308">
        <v>2.0219342068278075E-3</v>
      </c>
      <c r="D501" s="309">
        <v>7.8645188685211448E-3</v>
      </c>
      <c r="E501" s="309">
        <v>2.2751771297679067E-3</v>
      </c>
      <c r="F501" s="309">
        <v>3.0950291955344447E-2</v>
      </c>
      <c r="G501" s="309">
        <v>8.2613809127678496E-3</v>
      </c>
      <c r="H501" s="309">
        <v>0</v>
      </c>
      <c r="I501" s="309">
        <v>0</v>
      </c>
      <c r="J501" s="310">
        <v>3.1872969424222137E-3</v>
      </c>
      <c r="K501" s="310">
        <v>0</v>
      </c>
      <c r="L501" s="309">
        <v>0</v>
      </c>
      <c r="M501" s="309">
        <v>0</v>
      </c>
      <c r="N501" s="309">
        <v>0</v>
      </c>
      <c r="O501" s="310">
        <v>0</v>
      </c>
      <c r="P501" s="310">
        <v>0</v>
      </c>
      <c r="Q501" s="309">
        <v>0</v>
      </c>
      <c r="R501" s="310">
        <v>0</v>
      </c>
      <c r="S501" s="310">
        <v>3.1872969424222137E-3</v>
      </c>
      <c r="T501" s="310"/>
      <c r="U501" s="310"/>
      <c r="V501" s="316"/>
    </row>
    <row r="502" spans="1:22">
      <c r="A502" s="311"/>
      <c r="B502" s="312" t="s">
        <v>797</v>
      </c>
      <c r="C502" s="313">
        <v>1.877365934845173E-3</v>
      </c>
      <c r="D502" s="314">
        <v>9.9922173419091671E-3</v>
      </c>
      <c r="E502" s="314">
        <v>4.3843045542366656E-3</v>
      </c>
      <c r="F502" s="314">
        <v>1.5011782503709306E-2</v>
      </c>
      <c r="G502" s="314">
        <v>7.7845051278882986E-3</v>
      </c>
      <c r="H502" s="322">
        <v>0</v>
      </c>
      <c r="I502" s="314">
        <v>0</v>
      </c>
      <c r="J502" s="315">
        <v>3.7342161995688327E-3</v>
      </c>
      <c r="K502" s="315">
        <v>0</v>
      </c>
      <c r="L502" s="314">
        <v>0</v>
      </c>
      <c r="M502" s="314">
        <v>0</v>
      </c>
      <c r="N502" s="314">
        <v>0</v>
      </c>
      <c r="O502" s="315">
        <v>0</v>
      </c>
      <c r="P502" s="315">
        <v>0</v>
      </c>
      <c r="Q502" s="314">
        <v>0</v>
      </c>
      <c r="R502" s="315">
        <v>0</v>
      </c>
      <c r="S502" s="315">
        <v>3.7342161995688327E-3</v>
      </c>
      <c r="T502" s="315"/>
      <c r="U502" s="315"/>
      <c r="V502" s="316"/>
    </row>
    <row r="503" spans="1:22">
      <c r="A503" s="311"/>
      <c r="B503" s="317" t="s">
        <v>798</v>
      </c>
      <c r="C503" s="318">
        <v>-1.4456827198263442E-2</v>
      </c>
      <c r="D503" s="319">
        <v>0.21276984733880222</v>
      </c>
      <c r="E503" s="319">
        <v>0.21091274244687588</v>
      </c>
      <c r="F503" s="319">
        <v>-1.5938509451635143</v>
      </c>
      <c r="G503" s="319">
        <v>-4.7687578487955101E-2</v>
      </c>
      <c r="H503" s="321">
        <v>0</v>
      </c>
      <c r="I503" s="319">
        <v>0</v>
      </c>
      <c r="J503" s="320">
        <v>5.4691925714661901E-2</v>
      </c>
      <c r="K503" s="320">
        <v>0</v>
      </c>
      <c r="L503" s="319">
        <v>0</v>
      </c>
      <c r="M503" s="319">
        <v>0</v>
      </c>
      <c r="N503" s="319">
        <v>0</v>
      </c>
      <c r="O503" s="320">
        <v>0</v>
      </c>
      <c r="P503" s="320">
        <v>0</v>
      </c>
      <c r="Q503" s="319">
        <v>0</v>
      </c>
      <c r="R503" s="320">
        <v>0</v>
      </c>
      <c r="S503" s="320">
        <v>5.4691925714661901E-2</v>
      </c>
      <c r="T503" s="320"/>
      <c r="U503" s="320"/>
      <c r="V503" s="316"/>
    </row>
    <row r="504" spans="1:22">
      <c r="A504" s="311"/>
      <c r="B504" s="291" t="s">
        <v>799</v>
      </c>
      <c r="C504" s="308">
        <v>4.1328398176164955E-3</v>
      </c>
      <c r="D504" s="309">
        <v>1.9921038604352815E-3</v>
      </c>
      <c r="E504" s="309">
        <v>1.0926745191389977E-2</v>
      </c>
      <c r="F504" s="309">
        <v>0</v>
      </c>
      <c r="G504" s="309">
        <v>1.7211210234933019E-4</v>
      </c>
      <c r="H504" s="309">
        <v>0</v>
      </c>
      <c r="I504" s="309">
        <v>0</v>
      </c>
      <c r="J504" s="310">
        <v>5.9339801244018588E-3</v>
      </c>
      <c r="K504" s="310">
        <v>0</v>
      </c>
      <c r="L504" s="309">
        <v>0</v>
      </c>
      <c r="M504" s="309">
        <v>0</v>
      </c>
      <c r="N504" s="309">
        <v>0</v>
      </c>
      <c r="O504" s="310">
        <v>0</v>
      </c>
      <c r="P504" s="310">
        <v>0</v>
      </c>
      <c r="Q504" s="309">
        <v>0</v>
      </c>
      <c r="R504" s="310">
        <v>0</v>
      </c>
      <c r="S504" s="310">
        <v>5.9339801244018588E-3</v>
      </c>
      <c r="T504" s="310"/>
      <c r="U504" s="310"/>
      <c r="V504" s="316"/>
    </row>
    <row r="505" spans="1:22">
      <c r="A505" s="311"/>
      <c r="B505" s="312" t="s">
        <v>800</v>
      </c>
      <c r="C505" s="313">
        <v>3.7108933370044901E-3</v>
      </c>
      <c r="D505" s="314">
        <v>1.6191507062538579E-3</v>
      </c>
      <c r="E505" s="314">
        <v>9.4388034087372029E-3</v>
      </c>
      <c r="F505" s="314">
        <v>0</v>
      </c>
      <c r="G505" s="314">
        <v>2.4465587544791795E-2</v>
      </c>
      <c r="H505" s="314">
        <v>0</v>
      </c>
      <c r="I505" s="314">
        <v>0</v>
      </c>
      <c r="J505" s="315">
        <v>5.5838059678250968E-3</v>
      </c>
      <c r="K505" s="315">
        <v>0</v>
      </c>
      <c r="L505" s="314">
        <v>0</v>
      </c>
      <c r="M505" s="314">
        <v>0</v>
      </c>
      <c r="N505" s="314">
        <v>0</v>
      </c>
      <c r="O505" s="315">
        <v>0</v>
      </c>
      <c r="P505" s="315">
        <v>0</v>
      </c>
      <c r="Q505" s="314">
        <v>0</v>
      </c>
      <c r="R505" s="315">
        <v>0</v>
      </c>
      <c r="S505" s="315">
        <v>5.5838059678250968E-3</v>
      </c>
      <c r="T505" s="315"/>
      <c r="U505" s="315"/>
      <c r="V505" s="316"/>
    </row>
    <row r="506" spans="1:22">
      <c r="A506" s="311"/>
      <c r="B506" s="317" t="s">
        <v>801</v>
      </c>
      <c r="C506" s="318">
        <v>-4.2194648061200532E-2</v>
      </c>
      <c r="D506" s="319">
        <v>-3.7295315418142357E-2</v>
      </c>
      <c r="E506" s="319">
        <v>-0.14879417826527738</v>
      </c>
      <c r="F506" s="319">
        <v>0</v>
      </c>
      <c r="G506" s="319">
        <v>2.4293475442442465</v>
      </c>
      <c r="H506" s="319">
        <v>0</v>
      </c>
      <c r="I506" s="319">
        <v>0</v>
      </c>
      <c r="J506" s="320">
        <v>-3.5017415657676194E-2</v>
      </c>
      <c r="K506" s="320">
        <v>0</v>
      </c>
      <c r="L506" s="319">
        <v>0</v>
      </c>
      <c r="M506" s="319">
        <v>0</v>
      </c>
      <c r="N506" s="319">
        <v>0</v>
      </c>
      <c r="O506" s="320">
        <v>0</v>
      </c>
      <c r="P506" s="320">
        <v>0</v>
      </c>
      <c r="Q506" s="319">
        <v>0</v>
      </c>
      <c r="R506" s="320">
        <v>0</v>
      </c>
      <c r="S506" s="320">
        <v>-3.5017415657676194E-2</v>
      </c>
      <c r="T506" s="320"/>
      <c r="U506" s="320"/>
      <c r="V506" s="316"/>
    </row>
    <row r="507" spans="1:22">
      <c r="A507" s="311"/>
      <c r="B507" s="291" t="s">
        <v>802</v>
      </c>
      <c r="C507" s="308">
        <v>0</v>
      </c>
      <c r="D507" s="309">
        <v>0</v>
      </c>
      <c r="E507" s="309">
        <v>0</v>
      </c>
      <c r="F507" s="309">
        <v>0</v>
      </c>
      <c r="G507" s="309">
        <v>0</v>
      </c>
      <c r="H507" s="309">
        <v>0</v>
      </c>
      <c r="I507" s="309">
        <v>0</v>
      </c>
      <c r="J507" s="310">
        <v>0</v>
      </c>
      <c r="K507" s="310">
        <v>0</v>
      </c>
      <c r="L507" s="309">
        <v>0</v>
      </c>
      <c r="M507" s="309">
        <v>0</v>
      </c>
      <c r="N507" s="309">
        <v>0</v>
      </c>
      <c r="O507" s="310">
        <v>0</v>
      </c>
      <c r="P507" s="310">
        <v>0</v>
      </c>
      <c r="Q507" s="309">
        <v>0</v>
      </c>
      <c r="R507" s="310">
        <v>0</v>
      </c>
      <c r="S507" s="310">
        <v>0</v>
      </c>
      <c r="T507" s="310"/>
      <c r="U507" s="310"/>
      <c r="V507" s="316"/>
    </row>
    <row r="508" spans="1:22">
      <c r="A508" s="311"/>
      <c r="B508" s="312" t="s">
        <v>803</v>
      </c>
      <c r="C508" s="313">
        <v>0</v>
      </c>
      <c r="D508" s="314">
        <v>0</v>
      </c>
      <c r="E508" s="314">
        <v>0</v>
      </c>
      <c r="F508" s="314">
        <v>0</v>
      </c>
      <c r="G508" s="314">
        <v>0</v>
      </c>
      <c r="H508" s="314">
        <v>0</v>
      </c>
      <c r="I508" s="314">
        <v>0</v>
      </c>
      <c r="J508" s="315">
        <v>0</v>
      </c>
      <c r="K508" s="315">
        <v>0</v>
      </c>
      <c r="L508" s="314">
        <v>0</v>
      </c>
      <c r="M508" s="314">
        <v>0</v>
      </c>
      <c r="N508" s="314">
        <v>0</v>
      </c>
      <c r="O508" s="315">
        <v>0</v>
      </c>
      <c r="P508" s="315">
        <v>0</v>
      </c>
      <c r="Q508" s="314">
        <v>0</v>
      </c>
      <c r="R508" s="315">
        <v>0</v>
      </c>
      <c r="S508" s="315">
        <v>0</v>
      </c>
      <c r="T508" s="315"/>
      <c r="U508" s="315"/>
      <c r="V508" s="316"/>
    </row>
    <row r="509" spans="1:22" ht="15.75" thickBot="1">
      <c r="A509" s="329"/>
      <c r="B509" s="330" t="s">
        <v>804</v>
      </c>
      <c r="C509" s="331">
        <v>0</v>
      </c>
      <c r="D509" s="332">
        <v>0</v>
      </c>
      <c r="E509" s="332">
        <v>0</v>
      </c>
      <c r="F509" s="332">
        <v>0</v>
      </c>
      <c r="G509" s="332">
        <v>0</v>
      </c>
      <c r="H509" s="332">
        <v>0</v>
      </c>
      <c r="I509" s="332">
        <v>0</v>
      </c>
      <c r="J509" s="333">
        <v>0</v>
      </c>
      <c r="K509" s="333">
        <v>0</v>
      </c>
      <c r="L509" s="332">
        <v>0</v>
      </c>
      <c r="M509" s="332">
        <v>0</v>
      </c>
      <c r="N509" s="332">
        <v>0</v>
      </c>
      <c r="O509" s="333">
        <v>0</v>
      </c>
      <c r="P509" s="333">
        <v>0</v>
      </c>
      <c r="Q509" s="332">
        <v>0</v>
      </c>
      <c r="R509" s="333">
        <v>0</v>
      </c>
      <c r="S509" s="333">
        <v>0</v>
      </c>
      <c r="T509" s="333"/>
      <c r="U509" s="333"/>
      <c r="V509" s="316"/>
    </row>
    <row r="510" spans="1:22">
      <c r="A510" s="307" t="s">
        <v>463</v>
      </c>
      <c r="B510" s="291" t="s">
        <v>769</v>
      </c>
      <c r="C510" s="308">
        <v>0.90648323002692588</v>
      </c>
      <c r="D510" s="309">
        <v>0.97552781383986154</v>
      </c>
      <c r="E510" s="309">
        <v>0.91082210731769087</v>
      </c>
      <c r="F510" s="309">
        <v>0</v>
      </c>
      <c r="G510" s="309">
        <v>0.99577782138289883</v>
      </c>
      <c r="H510" s="309">
        <v>0.80502502887947636</v>
      </c>
      <c r="I510" s="309">
        <v>0</v>
      </c>
      <c r="J510" s="310">
        <v>0.91199315471985354</v>
      </c>
      <c r="K510" s="310">
        <v>0</v>
      </c>
      <c r="L510" s="309">
        <v>0.6667586299381657</v>
      </c>
      <c r="M510" s="309">
        <v>0.46814399475081275</v>
      </c>
      <c r="N510" s="309">
        <v>0.43903714127890153</v>
      </c>
      <c r="O510" s="310">
        <v>0.58894783307219378</v>
      </c>
      <c r="P510" s="310">
        <v>0</v>
      </c>
      <c r="Q510" s="309">
        <v>0</v>
      </c>
      <c r="R510" s="310">
        <v>0</v>
      </c>
      <c r="S510" s="310">
        <v>0.77743177483750769</v>
      </c>
      <c r="T510" s="310"/>
      <c r="U510" s="310"/>
      <c r="V510" s="316"/>
    </row>
    <row r="511" spans="1:22">
      <c r="A511" s="311"/>
      <c r="B511" s="312" t="s">
        <v>770</v>
      </c>
      <c r="C511" s="313">
        <v>0.89930440115402155</v>
      </c>
      <c r="D511" s="314">
        <v>0.97344116554949567</v>
      </c>
      <c r="E511" s="314">
        <v>0.91063317394485155</v>
      </c>
      <c r="F511" s="314">
        <v>0</v>
      </c>
      <c r="G511" s="314">
        <v>0.9953421467223782</v>
      </c>
      <c r="H511" s="314">
        <v>0.80313459493086636</v>
      </c>
      <c r="I511" s="314">
        <v>0</v>
      </c>
      <c r="J511" s="315">
        <v>0.9071756069087703</v>
      </c>
      <c r="K511" s="315">
        <v>0</v>
      </c>
      <c r="L511" s="314">
        <v>0.65565847952185297</v>
      </c>
      <c r="M511" s="314">
        <v>0.44978914695270006</v>
      </c>
      <c r="N511" s="314">
        <v>0.41211347674755561</v>
      </c>
      <c r="O511" s="315">
        <v>0.57347941551192183</v>
      </c>
      <c r="P511" s="315">
        <v>0</v>
      </c>
      <c r="Q511" s="314">
        <v>0</v>
      </c>
      <c r="R511" s="315">
        <v>0</v>
      </c>
      <c r="S511" s="315">
        <v>0.77212799774284147</v>
      </c>
      <c r="T511" s="315"/>
      <c r="U511" s="315"/>
      <c r="V511" s="316"/>
    </row>
    <row r="512" spans="1:22">
      <c r="A512" s="311"/>
      <c r="B512" s="317" t="s">
        <v>771</v>
      </c>
      <c r="C512" s="318">
        <v>-0.71788288729043304</v>
      </c>
      <c r="D512" s="319">
        <v>-0.20866482903658667</v>
      </c>
      <c r="E512" s="319">
        <v>-1.8893337283931722E-2</v>
      </c>
      <c r="F512" s="319">
        <v>0</v>
      </c>
      <c r="G512" s="319">
        <v>-4.3567466052063519E-2</v>
      </c>
      <c r="H512" s="319">
        <v>-0.1890433948609993</v>
      </c>
      <c r="I512" s="319">
        <v>0</v>
      </c>
      <c r="J512" s="320">
        <v>-0.48175478110832337</v>
      </c>
      <c r="K512" s="320">
        <v>0</v>
      </c>
      <c r="L512" s="319">
        <v>-1.1100150416312737</v>
      </c>
      <c r="M512" s="319">
        <v>-1.8354847798112695</v>
      </c>
      <c r="N512" s="319">
        <v>-2.6923664531345928</v>
      </c>
      <c r="O512" s="320">
        <v>-1.5468417560271952</v>
      </c>
      <c r="P512" s="320">
        <v>0</v>
      </c>
      <c r="Q512" s="319">
        <v>0</v>
      </c>
      <c r="R512" s="320">
        <v>0</v>
      </c>
      <c r="S512" s="320">
        <v>-0.53037770946662288</v>
      </c>
      <c r="T512" s="320"/>
      <c r="U512" s="320"/>
      <c r="V512" s="316"/>
    </row>
    <row r="513" spans="1:22">
      <c r="A513" s="311"/>
      <c r="B513" s="291" t="s">
        <v>772</v>
      </c>
      <c r="C513" s="308">
        <v>1.7734033545109319E-2</v>
      </c>
      <c r="D513" s="309">
        <v>2.4128709348311784E-2</v>
      </c>
      <c r="E513" s="309">
        <v>1.9356824217418418E-2</v>
      </c>
      <c r="F513" s="309">
        <v>0</v>
      </c>
      <c r="G513" s="309">
        <v>4.2221786171011766E-3</v>
      </c>
      <c r="H513" s="309">
        <v>0</v>
      </c>
      <c r="I513" s="309">
        <v>0</v>
      </c>
      <c r="J513" s="310">
        <v>1.7832647717186574E-2</v>
      </c>
      <c r="K513" s="310">
        <v>0</v>
      </c>
      <c r="L513" s="309">
        <v>6.1799784084207623E-2</v>
      </c>
      <c r="M513" s="309">
        <v>0.22864187221012655</v>
      </c>
      <c r="N513" s="309">
        <v>0.206785780045769</v>
      </c>
      <c r="O513" s="310">
        <v>0.12308991562795318</v>
      </c>
      <c r="P513" s="310">
        <v>0</v>
      </c>
      <c r="Q513" s="309">
        <v>0</v>
      </c>
      <c r="R513" s="310">
        <v>0</v>
      </c>
      <c r="S513" s="310">
        <v>6.1676536681368764E-2</v>
      </c>
      <c r="T513" s="310"/>
      <c r="U513" s="310"/>
      <c r="V513" s="316"/>
    </row>
    <row r="514" spans="1:22">
      <c r="A514" s="311"/>
      <c r="B514" s="312" t="s">
        <v>773</v>
      </c>
      <c r="C514" s="313">
        <v>1.5294946635355709E-2</v>
      </c>
      <c r="D514" s="314">
        <v>2.4138833978309071E-2</v>
      </c>
      <c r="E514" s="314">
        <v>1.7551193835509779E-2</v>
      </c>
      <c r="F514" s="314">
        <v>0</v>
      </c>
      <c r="G514" s="314">
        <v>4.6578532776217546E-3</v>
      </c>
      <c r="H514" s="314">
        <v>0</v>
      </c>
      <c r="I514" s="314">
        <v>0</v>
      </c>
      <c r="J514" s="315">
        <v>1.5781268562112847E-2</v>
      </c>
      <c r="K514" s="315">
        <v>0</v>
      </c>
      <c r="L514" s="314">
        <v>6.7731952981648288E-2</v>
      </c>
      <c r="M514" s="314">
        <v>0.23729781698311189</v>
      </c>
      <c r="N514" s="314">
        <v>0.23048946859462963</v>
      </c>
      <c r="O514" s="315">
        <v>0.13190273015984447</v>
      </c>
      <c r="P514" s="315">
        <v>0</v>
      </c>
      <c r="Q514" s="314">
        <v>0</v>
      </c>
      <c r="R514" s="315">
        <v>0</v>
      </c>
      <c r="S514" s="315">
        <v>6.2775888716399011E-2</v>
      </c>
      <c r="T514" s="315"/>
      <c r="U514" s="315"/>
      <c r="V514" s="316"/>
    </row>
    <row r="515" spans="1:22">
      <c r="A515" s="311"/>
      <c r="B515" s="317" t="s">
        <v>774</v>
      </c>
      <c r="C515" s="318">
        <v>-0.24390869097536094</v>
      </c>
      <c r="D515" s="319">
        <v>1.0124629997287221E-3</v>
      </c>
      <c r="E515" s="319">
        <v>-0.18056303819086392</v>
      </c>
      <c r="F515" s="319">
        <v>0</v>
      </c>
      <c r="G515" s="319">
        <v>4.3567466052057795E-2</v>
      </c>
      <c r="H515" s="319">
        <v>0</v>
      </c>
      <c r="I515" s="319">
        <v>0</v>
      </c>
      <c r="J515" s="320">
        <v>-0.2051379155073727</v>
      </c>
      <c r="K515" s="320">
        <v>0</v>
      </c>
      <c r="L515" s="319">
        <v>0.5932168897440665</v>
      </c>
      <c r="M515" s="319">
        <v>0.86559447729853412</v>
      </c>
      <c r="N515" s="319">
        <v>2.3703688548860624</v>
      </c>
      <c r="O515" s="320">
        <v>0.88128145318912832</v>
      </c>
      <c r="P515" s="320">
        <v>0</v>
      </c>
      <c r="Q515" s="319">
        <v>0</v>
      </c>
      <c r="R515" s="320">
        <v>0</v>
      </c>
      <c r="S515" s="320">
        <v>0.10993520350302474</v>
      </c>
      <c r="T515" s="320"/>
      <c r="U515" s="320"/>
      <c r="V515" s="316"/>
    </row>
    <row r="516" spans="1:22">
      <c r="A516" s="311"/>
      <c r="B516" s="291" t="s">
        <v>775</v>
      </c>
      <c r="C516" s="308">
        <v>6.6407066829478598E-2</v>
      </c>
      <c r="D516" s="309">
        <v>3.4347681182676532E-4</v>
      </c>
      <c r="E516" s="309">
        <v>6.7998106357617161E-2</v>
      </c>
      <c r="F516" s="309">
        <v>0</v>
      </c>
      <c r="G516" s="309">
        <v>0</v>
      </c>
      <c r="H516" s="309">
        <v>0.19497497112052367</v>
      </c>
      <c r="I516" s="309">
        <v>0</v>
      </c>
      <c r="J516" s="310">
        <v>6.3663987776250056E-2</v>
      </c>
      <c r="K516" s="310">
        <v>0</v>
      </c>
      <c r="L516" s="309">
        <v>0.27065419411886732</v>
      </c>
      <c r="M516" s="309">
        <v>0.2584707765417002</v>
      </c>
      <c r="N516" s="309">
        <v>0.27851684772601731</v>
      </c>
      <c r="O516" s="310">
        <v>0.26780146069422384</v>
      </c>
      <c r="P516" s="310">
        <v>0</v>
      </c>
      <c r="Q516" s="309">
        <v>0</v>
      </c>
      <c r="R516" s="310">
        <v>0</v>
      </c>
      <c r="S516" s="310">
        <v>0.14869546231188058</v>
      </c>
      <c r="T516" s="310"/>
      <c r="U516" s="310"/>
      <c r="V516" s="316"/>
    </row>
    <row r="517" spans="1:22">
      <c r="A517" s="311"/>
      <c r="B517" s="312" t="s">
        <v>776</v>
      </c>
      <c r="C517" s="313">
        <v>7.6056158807594046E-2</v>
      </c>
      <c r="D517" s="314">
        <v>2.1248784633909196E-3</v>
      </c>
      <c r="E517" s="314">
        <v>7.0280702976750362E-2</v>
      </c>
      <c r="F517" s="314">
        <v>0</v>
      </c>
      <c r="G517" s="314">
        <v>0</v>
      </c>
      <c r="H517" s="314">
        <v>0.19686540506913366</v>
      </c>
      <c r="I517" s="314">
        <v>0</v>
      </c>
      <c r="J517" s="315">
        <v>7.0580127900189513E-2</v>
      </c>
      <c r="K517" s="315">
        <v>0</v>
      </c>
      <c r="L517" s="314">
        <v>0.27546890645673411</v>
      </c>
      <c r="M517" s="314">
        <v>0.26736333782832344</v>
      </c>
      <c r="N517" s="314">
        <v>0.28031218152632931</v>
      </c>
      <c r="O517" s="315">
        <v>0.27357456480432363</v>
      </c>
      <c r="P517" s="315">
        <v>0</v>
      </c>
      <c r="Q517" s="314">
        <v>0</v>
      </c>
      <c r="R517" s="315">
        <v>0</v>
      </c>
      <c r="S517" s="315">
        <v>0.15273243914813325</v>
      </c>
      <c r="T517" s="315"/>
      <c r="U517" s="315"/>
      <c r="V517" s="316"/>
    </row>
    <row r="518" spans="1:22">
      <c r="A518" s="311"/>
      <c r="B518" s="317" t="s">
        <v>777</v>
      </c>
      <c r="C518" s="318">
        <v>0.96490919781154483</v>
      </c>
      <c r="D518" s="319">
        <v>0.17814016515641543</v>
      </c>
      <c r="E518" s="319">
        <v>0.22825966191332009</v>
      </c>
      <c r="F518" s="319">
        <v>0</v>
      </c>
      <c r="G518" s="319">
        <v>0</v>
      </c>
      <c r="H518" s="319">
        <v>0.1890433948609993</v>
      </c>
      <c r="I518" s="319">
        <v>0</v>
      </c>
      <c r="J518" s="320">
        <v>0.69161401239394571</v>
      </c>
      <c r="K518" s="320">
        <v>0</v>
      </c>
      <c r="L518" s="319">
        <v>0.48147123378667889</v>
      </c>
      <c r="M518" s="319">
        <v>0.88925612866232462</v>
      </c>
      <c r="N518" s="319">
        <v>0.17953338003119934</v>
      </c>
      <c r="O518" s="320">
        <v>0.57731041100997915</v>
      </c>
      <c r="P518" s="320">
        <v>0</v>
      </c>
      <c r="Q518" s="319">
        <v>0</v>
      </c>
      <c r="R518" s="320">
        <v>0</v>
      </c>
      <c r="S518" s="320">
        <v>0.40369768362526759</v>
      </c>
      <c r="T518" s="320"/>
      <c r="U518" s="320"/>
      <c r="V518" s="316"/>
    </row>
    <row r="519" spans="1:22">
      <c r="A519" s="311"/>
      <c r="B519" s="291" t="s">
        <v>778</v>
      </c>
      <c r="C519" s="308">
        <v>9.2327143554170685E-3</v>
      </c>
      <c r="D519" s="309">
        <v>0</v>
      </c>
      <c r="E519" s="309">
        <v>1.8229621072735158E-3</v>
      </c>
      <c r="F519" s="309">
        <v>0</v>
      </c>
      <c r="G519" s="309">
        <v>0</v>
      </c>
      <c r="H519" s="309">
        <v>0</v>
      </c>
      <c r="I519" s="309">
        <v>0</v>
      </c>
      <c r="J519" s="310">
        <v>6.4187406165381331E-3</v>
      </c>
      <c r="K519" s="310">
        <v>0</v>
      </c>
      <c r="L519" s="309">
        <v>7.8739185875931531E-4</v>
      </c>
      <c r="M519" s="309">
        <v>4.4743356497360491E-2</v>
      </c>
      <c r="N519" s="309">
        <v>7.5660230949312152E-2</v>
      </c>
      <c r="O519" s="310">
        <v>2.0160790605629191E-2</v>
      </c>
      <c r="P519" s="310">
        <v>0</v>
      </c>
      <c r="Q519" s="309">
        <v>0</v>
      </c>
      <c r="R519" s="310">
        <v>0</v>
      </c>
      <c r="S519" s="310">
        <v>1.2142857590320235E-2</v>
      </c>
      <c r="T519" s="310"/>
      <c r="U519" s="310"/>
      <c r="V519" s="316"/>
    </row>
    <row r="520" spans="1:22">
      <c r="A520" s="311"/>
      <c r="B520" s="312" t="s">
        <v>779</v>
      </c>
      <c r="C520" s="313">
        <v>9.2574299342383787E-3</v>
      </c>
      <c r="D520" s="314">
        <v>2.9512200880429441E-4</v>
      </c>
      <c r="E520" s="314">
        <v>1.5349292428883351E-3</v>
      </c>
      <c r="F520" s="314">
        <v>0</v>
      </c>
      <c r="G520" s="314">
        <v>0</v>
      </c>
      <c r="H520" s="314">
        <v>0</v>
      </c>
      <c r="I520" s="314">
        <v>0</v>
      </c>
      <c r="J520" s="315">
        <v>6.4068378002401661E-3</v>
      </c>
      <c r="K520" s="315">
        <v>0</v>
      </c>
      <c r="L520" s="314">
        <v>1.1406610397646977E-3</v>
      </c>
      <c r="M520" s="314">
        <v>4.5549698235864584E-2</v>
      </c>
      <c r="N520" s="314">
        <v>7.7084873131485473E-2</v>
      </c>
      <c r="O520" s="315">
        <v>2.1043289523910099E-2</v>
      </c>
      <c r="P520" s="315">
        <v>0</v>
      </c>
      <c r="Q520" s="314">
        <v>0</v>
      </c>
      <c r="R520" s="315">
        <v>0</v>
      </c>
      <c r="S520" s="315">
        <v>1.2330243169897106E-2</v>
      </c>
      <c r="T520" s="315"/>
      <c r="U520" s="315"/>
      <c r="V520" s="316"/>
    </row>
    <row r="521" spans="1:22">
      <c r="A521" s="311"/>
      <c r="B521" s="317" t="s">
        <v>780</v>
      </c>
      <c r="C521" s="318">
        <v>2.4715578821310133E-3</v>
      </c>
      <c r="D521" s="319">
        <v>0</v>
      </c>
      <c r="E521" s="319">
        <v>-2.8803286438518073E-2</v>
      </c>
      <c r="F521" s="319">
        <v>0</v>
      </c>
      <c r="G521" s="319">
        <v>0</v>
      </c>
      <c r="H521" s="319">
        <v>0</v>
      </c>
      <c r="I521" s="319">
        <v>0</v>
      </c>
      <c r="J521" s="320">
        <v>-1.1902816297966988E-3</v>
      </c>
      <c r="K521" s="320">
        <v>0</v>
      </c>
      <c r="L521" s="319">
        <v>3.5326918100538236E-2</v>
      </c>
      <c r="M521" s="319">
        <v>8.063417385040933E-2</v>
      </c>
      <c r="N521" s="319">
        <v>0.14246421821733218</v>
      </c>
      <c r="O521" s="320">
        <v>8.8249891828090857E-2</v>
      </c>
      <c r="P521" s="320">
        <v>0</v>
      </c>
      <c r="Q521" s="319">
        <v>0</v>
      </c>
      <c r="R521" s="320">
        <v>0</v>
      </c>
      <c r="S521" s="320">
        <v>1.8738557957687085E-2</v>
      </c>
      <c r="T521" s="320"/>
      <c r="U521" s="320"/>
      <c r="V521" s="316"/>
    </row>
    <row r="522" spans="1:22">
      <c r="A522" s="311"/>
      <c r="B522" s="291" t="s">
        <v>781</v>
      </c>
      <c r="C522" s="308">
        <v>1.4295524306909095E-4</v>
      </c>
      <c r="D522" s="309">
        <v>0</v>
      </c>
      <c r="E522" s="309">
        <v>0</v>
      </c>
      <c r="F522" s="309">
        <v>0</v>
      </c>
      <c r="G522" s="309">
        <v>0</v>
      </c>
      <c r="H522" s="309">
        <v>0</v>
      </c>
      <c r="I522" s="309">
        <v>0</v>
      </c>
      <c r="J522" s="310">
        <v>9.1469170171659954E-5</v>
      </c>
      <c r="K522" s="310">
        <v>0</v>
      </c>
      <c r="L522" s="309">
        <v>0</v>
      </c>
      <c r="M522" s="309">
        <v>0</v>
      </c>
      <c r="N522" s="309">
        <v>0</v>
      </c>
      <c r="O522" s="310">
        <v>0</v>
      </c>
      <c r="P522" s="310">
        <v>0</v>
      </c>
      <c r="Q522" s="309">
        <v>0</v>
      </c>
      <c r="R522" s="310">
        <v>0</v>
      </c>
      <c r="S522" s="310">
        <v>5.3368578922683312E-5</v>
      </c>
      <c r="T522" s="310"/>
      <c r="U522" s="310"/>
      <c r="V522" s="316"/>
    </row>
    <row r="523" spans="1:22">
      <c r="A523" s="311"/>
      <c r="B523" s="312" t="s">
        <v>782</v>
      </c>
      <c r="C523" s="313">
        <v>8.7063468790377478E-5</v>
      </c>
      <c r="D523" s="314">
        <v>0</v>
      </c>
      <c r="E523" s="314">
        <v>0</v>
      </c>
      <c r="F523" s="314">
        <v>0</v>
      </c>
      <c r="G523" s="314">
        <v>0</v>
      </c>
      <c r="H523" s="314">
        <v>0</v>
      </c>
      <c r="I523" s="314">
        <v>0</v>
      </c>
      <c r="J523" s="315">
        <v>5.6158828687287377E-5</v>
      </c>
      <c r="K523" s="315">
        <v>0</v>
      </c>
      <c r="L523" s="314">
        <v>0</v>
      </c>
      <c r="M523" s="314">
        <v>0</v>
      </c>
      <c r="N523" s="314">
        <v>0</v>
      </c>
      <c r="O523" s="315">
        <v>0</v>
      </c>
      <c r="P523" s="315">
        <v>0</v>
      </c>
      <c r="Q523" s="314">
        <v>0</v>
      </c>
      <c r="R523" s="315">
        <v>0</v>
      </c>
      <c r="S523" s="315">
        <v>3.3431222729214811E-5</v>
      </c>
      <c r="T523" s="315"/>
      <c r="U523" s="315"/>
      <c r="V523" s="316"/>
    </row>
    <row r="524" spans="1:22">
      <c r="A524" s="311"/>
      <c r="B524" s="317" t="s">
        <v>783</v>
      </c>
      <c r="C524" s="318">
        <v>-5.5891774278713476E-3</v>
      </c>
      <c r="D524" s="319">
        <v>0</v>
      </c>
      <c r="E524" s="319">
        <v>0</v>
      </c>
      <c r="F524" s="319">
        <v>0</v>
      </c>
      <c r="G524" s="319">
        <v>0</v>
      </c>
      <c r="H524" s="319">
        <v>0</v>
      </c>
      <c r="I524" s="319">
        <v>0</v>
      </c>
      <c r="J524" s="320">
        <v>-3.5310341484372579E-3</v>
      </c>
      <c r="K524" s="320">
        <v>0</v>
      </c>
      <c r="L524" s="319">
        <v>0</v>
      </c>
      <c r="M524" s="319">
        <v>0</v>
      </c>
      <c r="N524" s="319">
        <v>0</v>
      </c>
      <c r="O524" s="320">
        <v>0</v>
      </c>
      <c r="P524" s="320">
        <v>0</v>
      </c>
      <c r="Q524" s="319">
        <v>0</v>
      </c>
      <c r="R524" s="320">
        <v>0</v>
      </c>
      <c r="S524" s="320">
        <v>-1.9937356193468502E-3</v>
      </c>
      <c r="T524" s="320"/>
      <c r="U524" s="320"/>
      <c r="V524" s="316"/>
    </row>
    <row r="525" spans="1:22">
      <c r="A525" s="311"/>
      <c r="B525" s="291" t="s">
        <v>784</v>
      </c>
      <c r="C525" s="308">
        <v>0</v>
      </c>
      <c r="D525" s="309">
        <v>0</v>
      </c>
      <c r="E525" s="309">
        <v>0</v>
      </c>
      <c r="F525" s="309">
        <v>0</v>
      </c>
      <c r="G525" s="309">
        <v>0</v>
      </c>
      <c r="H525" s="309">
        <v>0</v>
      </c>
      <c r="I525" s="309">
        <v>0</v>
      </c>
      <c r="J525" s="310">
        <v>0</v>
      </c>
      <c r="K525" s="310">
        <v>0</v>
      </c>
      <c r="L525" s="309">
        <v>0</v>
      </c>
      <c r="M525" s="309">
        <v>0</v>
      </c>
      <c r="N525" s="309">
        <v>0</v>
      </c>
      <c r="O525" s="310">
        <v>0</v>
      </c>
      <c r="P525" s="310">
        <v>0</v>
      </c>
      <c r="Q525" s="309">
        <v>0</v>
      </c>
      <c r="R525" s="310">
        <v>0</v>
      </c>
      <c r="S525" s="310">
        <v>0</v>
      </c>
      <c r="T525" s="310"/>
      <c r="U525" s="310"/>
      <c r="V525" s="316"/>
    </row>
    <row r="526" spans="1:22">
      <c r="A526" s="311"/>
      <c r="B526" s="312" t="s">
        <v>785</v>
      </c>
      <c r="C526" s="313">
        <v>0</v>
      </c>
      <c r="D526" s="314">
        <v>0</v>
      </c>
      <c r="E526" s="314">
        <v>0</v>
      </c>
      <c r="F526" s="314">
        <v>0</v>
      </c>
      <c r="G526" s="314">
        <v>0</v>
      </c>
      <c r="H526" s="314">
        <v>0</v>
      </c>
      <c r="I526" s="314">
        <v>0</v>
      </c>
      <c r="J526" s="315">
        <v>0</v>
      </c>
      <c r="K526" s="315">
        <v>0</v>
      </c>
      <c r="L526" s="314">
        <v>0</v>
      </c>
      <c r="M526" s="314">
        <v>0</v>
      </c>
      <c r="N526" s="314">
        <v>0</v>
      </c>
      <c r="O526" s="315">
        <v>0</v>
      </c>
      <c r="P526" s="315">
        <v>0</v>
      </c>
      <c r="Q526" s="314">
        <v>0</v>
      </c>
      <c r="R526" s="315">
        <v>0</v>
      </c>
      <c r="S526" s="315">
        <v>0</v>
      </c>
      <c r="T526" s="315"/>
      <c r="U526" s="315"/>
      <c r="V526" s="316"/>
    </row>
    <row r="527" spans="1:22" ht="15.75" thickBot="1">
      <c r="A527" s="311"/>
      <c r="B527" s="325" t="s">
        <v>786</v>
      </c>
      <c r="C527" s="326">
        <v>0</v>
      </c>
      <c r="D527" s="327">
        <v>0</v>
      </c>
      <c r="E527" s="327">
        <v>0</v>
      </c>
      <c r="F527" s="327">
        <v>0</v>
      </c>
      <c r="G527" s="327">
        <v>0</v>
      </c>
      <c r="H527" s="327">
        <v>0</v>
      </c>
      <c r="I527" s="327">
        <v>0</v>
      </c>
      <c r="J527" s="328">
        <v>0</v>
      </c>
      <c r="K527" s="328">
        <v>0</v>
      </c>
      <c r="L527" s="327">
        <v>0</v>
      </c>
      <c r="M527" s="327">
        <v>0</v>
      </c>
      <c r="N527" s="327">
        <v>0</v>
      </c>
      <c r="O527" s="328">
        <v>0</v>
      </c>
      <c r="P527" s="328">
        <v>0</v>
      </c>
      <c r="Q527" s="327">
        <v>0</v>
      </c>
      <c r="R527" s="328">
        <v>0</v>
      </c>
      <c r="S527" s="328">
        <v>0</v>
      </c>
      <c r="T527" s="328"/>
      <c r="U527" s="328"/>
      <c r="V527" s="316"/>
    </row>
    <row r="528" spans="1:22" ht="15.75" thickTop="1">
      <c r="A528" s="311"/>
      <c r="B528" s="312" t="s">
        <v>787</v>
      </c>
      <c r="C528" s="313">
        <v>0.80618043196147215</v>
      </c>
      <c r="D528" s="314">
        <v>0.90171244768536285</v>
      </c>
      <c r="E528" s="314">
        <v>0.72312346284023621</v>
      </c>
      <c r="F528" s="314">
        <v>0</v>
      </c>
      <c r="G528" s="314">
        <v>0.97745277269957342</v>
      </c>
      <c r="H528" s="314">
        <v>0</v>
      </c>
      <c r="I528" s="314">
        <v>0</v>
      </c>
      <c r="J528" s="315">
        <v>0.80442890835962311</v>
      </c>
      <c r="K528" s="315">
        <v>0</v>
      </c>
      <c r="L528" s="314">
        <v>0</v>
      </c>
      <c r="M528" s="314">
        <v>0</v>
      </c>
      <c r="N528" s="314">
        <v>0</v>
      </c>
      <c r="O528" s="315">
        <v>0</v>
      </c>
      <c r="P528" s="315">
        <v>0</v>
      </c>
      <c r="Q528" s="314">
        <v>0</v>
      </c>
      <c r="R528" s="315">
        <v>0</v>
      </c>
      <c r="S528" s="315">
        <v>0.80442890835962311</v>
      </c>
      <c r="T528" s="315"/>
      <c r="U528" s="315"/>
      <c r="V528" s="316"/>
    </row>
    <row r="529" spans="1:22">
      <c r="A529" s="311"/>
      <c r="B529" s="312" t="s">
        <v>788</v>
      </c>
      <c r="C529" s="313">
        <v>0.8030100593275652</v>
      </c>
      <c r="D529" s="314">
        <v>0.86807558772217708</v>
      </c>
      <c r="E529" s="314">
        <v>0.70991765044630006</v>
      </c>
      <c r="F529" s="314">
        <v>0</v>
      </c>
      <c r="G529" s="314">
        <v>0.98628048780487809</v>
      </c>
      <c r="H529" s="314">
        <v>0</v>
      </c>
      <c r="I529" s="314">
        <v>0</v>
      </c>
      <c r="J529" s="315">
        <v>0.79859763368501369</v>
      </c>
      <c r="K529" s="315">
        <v>0</v>
      </c>
      <c r="L529" s="314">
        <v>0</v>
      </c>
      <c r="M529" s="314">
        <v>0</v>
      </c>
      <c r="N529" s="314">
        <v>0</v>
      </c>
      <c r="O529" s="315">
        <v>0</v>
      </c>
      <c r="P529" s="315">
        <v>0</v>
      </c>
      <c r="Q529" s="314">
        <v>0</v>
      </c>
      <c r="R529" s="315">
        <v>0</v>
      </c>
      <c r="S529" s="315">
        <v>0.79859763368501369</v>
      </c>
      <c r="T529" s="315"/>
      <c r="U529" s="315"/>
      <c r="V529" s="316"/>
    </row>
    <row r="530" spans="1:22">
      <c r="A530" s="311"/>
      <c r="B530" s="317" t="s">
        <v>789</v>
      </c>
      <c r="C530" s="318">
        <v>-0.31703726339069593</v>
      </c>
      <c r="D530" s="319">
        <v>-3.3636859963185772</v>
      </c>
      <c r="E530" s="319">
        <v>-1.3205812393936145</v>
      </c>
      <c r="F530" s="319">
        <v>0</v>
      </c>
      <c r="G530" s="319">
        <v>0.88277151053046676</v>
      </c>
      <c r="H530" s="319">
        <v>0</v>
      </c>
      <c r="I530" s="319">
        <v>0</v>
      </c>
      <c r="J530" s="320">
        <v>-0.58312746746094213</v>
      </c>
      <c r="K530" s="320">
        <v>0</v>
      </c>
      <c r="L530" s="319">
        <v>0</v>
      </c>
      <c r="M530" s="319">
        <v>0</v>
      </c>
      <c r="N530" s="319">
        <v>0</v>
      </c>
      <c r="O530" s="320">
        <v>0</v>
      </c>
      <c r="P530" s="320">
        <v>0</v>
      </c>
      <c r="Q530" s="319">
        <v>0</v>
      </c>
      <c r="R530" s="320">
        <v>0</v>
      </c>
      <c r="S530" s="320">
        <v>-0.58312746746094213</v>
      </c>
      <c r="T530" s="320"/>
      <c r="U530" s="320"/>
      <c r="V530" s="316"/>
    </row>
    <row r="531" spans="1:22">
      <c r="A531" s="311"/>
      <c r="B531" s="291" t="s">
        <v>790</v>
      </c>
      <c r="C531" s="308">
        <v>7.6297849456917852E-2</v>
      </c>
      <c r="D531" s="309">
        <v>8.6481349489189827E-2</v>
      </c>
      <c r="E531" s="309">
        <v>8.8233542944293558E-2</v>
      </c>
      <c r="F531" s="309">
        <v>0</v>
      </c>
      <c r="G531" s="309">
        <v>2.2547227300426569E-2</v>
      </c>
      <c r="H531" s="309">
        <v>0</v>
      </c>
      <c r="I531" s="309">
        <v>0</v>
      </c>
      <c r="J531" s="310">
        <v>7.7999939963707937E-2</v>
      </c>
      <c r="K531" s="310">
        <v>0</v>
      </c>
      <c r="L531" s="309">
        <v>0</v>
      </c>
      <c r="M531" s="309">
        <v>0</v>
      </c>
      <c r="N531" s="309">
        <v>0</v>
      </c>
      <c r="O531" s="310">
        <v>0</v>
      </c>
      <c r="P531" s="310">
        <v>0</v>
      </c>
      <c r="Q531" s="309">
        <v>0</v>
      </c>
      <c r="R531" s="310">
        <v>0</v>
      </c>
      <c r="S531" s="310">
        <v>7.7999939963707937E-2</v>
      </c>
      <c r="T531" s="310"/>
      <c r="U531" s="310"/>
      <c r="V531" s="316"/>
    </row>
    <row r="532" spans="1:22">
      <c r="A532" s="311"/>
      <c r="B532" s="312" t="s">
        <v>791</v>
      </c>
      <c r="C532" s="313">
        <v>7.2042776605567446E-2</v>
      </c>
      <c r="D532" s="314">
        <v>9.0330437185842855E-2</v>
      </c>
      <c r="E532" s="314">
        <v>9.5801900374316157E-2</v>
      </c>
      <c r="F532" s="314">
        <v>0</v>
      </c>
      <c r="G532" s="314">
        <v>1.3719512195121951E-2</v>
      </c>
      <c r="H532" s="314">
        <v>0</v>
      </c>
      <c r="I532" s="314">
        <v>0</v>
      </c>
      <c r="J532" s="315">
        <v>7.5523407831866174E-2</v>
      </c>
      <c r="K532" s="315">
        <v>0</v>
      </c>
      <c r="L532" s="314">
        <v>0</v>
      </c>
      <c r="M532" s="314">
        <v>0</v>
      </c>
      <c r="N532" s="314">
        <v>0</v>
      </c>
      <c r="O532" s="315">
        <v>0</v>
      </c>
      <c r="P532" s="315">
        <v>0</v>
      </c>
      <c r="Q532" s="314">
        <v>0</v>
      </c>
      <c r="R532" s="315">
        <v>0</v>
      </c>
      <c r="S532" s="315">
        <v>7.5523407831866174E-2</v>
      </c>
      <c r="T532" s="315"/>
      <c r="U532" s="315"/>
      <c r="V532" s="316"/>
    </row>
    <row r="533" spans="1:22">
      <c r="A533" s="311"/>
      <c r="B533" s="317" t="s">
        <v>792</v>
      </c>
      <c r="C533" s="318">
        <v>-0.42550728513504055</v>
      </c>
      <c r="D533" s="319">
        <v>0.3849087696653028</v>
      </c>
      <c r="E533" s="319">
        <v>0.75683574300225986</v>
      </c>
      <c r="F533" s="319">
        <v>0</v>
      </c>
      <c r="G533" s="319">
        <v>-0.88277151053046177</v>
      </c>
      <c r="H533" s="319">
        <v>0</v>
      </c>
      <c r="I533" s="319">
        <v>0</v>
      </c>
      <c r="J533" s="320">
        <v>-0.24765321318417632</v>
      </c>
      <c r="K533" s="320">
        <v>0</v>
      </c>
      <c r="L533" s="319">
        <v>0</v>
      </c>
      <c r="M533" s="319">
        <v>0</v>
      </c>
      <c r="N533" s="319">
        <v>0</v>
      </c>
      <c r="O533" s="320">
        <v>0</v>
      </c>
      <c r="P533" s="320">
        <v>0</v>
      </c>
      <c r="Q533" s="319">
        <v>0</v>
      </c>
      <c r="R533" s="320">
        <v>0</v>
      </c>
      <c r="S533" s="320">
        <v>-0.24765321318417632</v>
      </c>
      <c r="T533" s="320"/>
      <c r="U533" s="320"/>
      <c r="V533" s="316"/>
    </row>
    <row r="534" spans="1:22">
      <c r="A534" s="311"/>
      <c r="B534" s="291" t="s">
        <v>793</v>
      </c>
      <c r="C534" s="308">
        <v>8.2560646646656785E-2</v>
      </c>
      <c r="D534" s="309">
        <v>1.0764479046731364E-2</v>
      </c>
      <c r="E534" s="309">
        <v>0.16360188878863796</v>
      </c>
      <c r="F534" s="309">
        <v>0</v>
      </c>
      <c r="G534" s="309">
        <v>0</v>
      </c>
      <c r="H534" s="309">
        <v>0</v>
      </c>
      <c r="I534" s="309">
        <v>0</v>
      </c>
      <c r="J534" s="310">
        <v>8.6003064721155931E-2</v>
      </c>
      <c r="K534" s="310">
        <v>0</v>
      </c>
      <c r="L534" s="309">
        <v>0</v>
      </c>
      <c r="M534" s="309">
        <v>0</v>
      </c>
      <c r="N534" s="309">
        <v>0</v>
      </c>
      <c r="O534" s="310">
        <v>0</v>
      </c>
      <c r="P534" s="310">
        <v>0</v>
      </c>
      <c r="Q534" s="309">
        <v>0</v>
      </c>
      <c r="R534" s="310">
        <v>0</v>
      </c>
      <c r="S534" s="310">
        <v>8.6003064721155931E-2</v>
      </c>
      <c r="T534" s="310"/>
      <c r="U534" s="310"/>
      <c r="V534" s="316"/>
    </row>
    <row r="535" spans="1:22">
      <c r="A535" s="311"/>
      <c r="B535" s="312" t="s">
        <v>794</v>
      </c>
      <c r="C535" s="313">
        <v>8.7991914607044044E-2</v>
      </c>
      <c r="D535" s="322">
        <v>4.1593975091980033E-2</v>
      </c>
      <c r="E535" s="314">
        <v>0.17298473941837028</v>
      </c>
      <c r="F535" s="314">
        <v>0</v>
      </c>
      <c r="G535" s="314">
        <v>0</v>
      </c>
      <c r="H535" s="314">
        <v>0</v>
      </c>
      <c r="I535" s="314">
        <v>0</v>
      </c>
      <c r="J535" s="315">
        <v>9.3223911447950572E-2</v>
      </c>
      <c r="K535" s="315">
        <v>0</v>
      </c>
      <c r="L535" s="314">
        <v>0</v>
      </c>
      <c r="M535" s="314">
        <v>0</v>
      </c>
      <c r="N535" s="314">
        <v>0</v>
      </c>
      <c r="O535" s="315">
        <v>0</v>
      </c>
      <c r="P535" s="315">
        <v>0</v>
      </c>
      <c r="Q535" s="314">
        <v>0</v>
      </c>
      <c r="R535" s="315">
        <v>0</v>
      </c>
      <c r="S535" s="315">
        <v>9.3223911447950572E-2</v>
      </c>
      <c r="T535" s="315"/>
      <c r="U535" s="315"/>
      <c r="V535" s="316"/>
    </row>
    <row r="536" spans="1:22">
      <c r="A536" s="311"/>
      <c r="B536" s="317" t="s">
        <v>795</v>
      </c>
      <c r="C536" s="318">
        <v>0.54312679603872593</v>
      </c>
      <c r="D536" s="319">
        <v>3.0829496045248672</v>
      </c>
      <c r="E536" s="319">
        <v>0.938285062973232</v>
      </c>
      <c r="F536" s="319">
        <v>0</v>
      </c>
      <c r="G536" s="319">
        <v>0</v>
      </c>
      <c r="H536" s="319">
        <v>0</v>
      </c>
      <c r="I536" s="319">
        <v>0</v>
      </c>
      <c r="J536" s="320">
        <v>0.72208467267946408</v>
      </c>
      <c r="K536" s="320">
        <v>0</v>
      </c>
      <c r="L536" s="319">
        <v>0</v>
      </c>
      <c r="M536" s="319">
        <v>0</v>
      </c>
      <c r="N536" s="319">
        <v>0</v>
      </c>
      <c r="O536" s="320">
        <v>0</v>
      </c>
      <c r="P536" s="320">
        <v>0</v>
      </c>
      <c r="Q536" s="319">
        <v>0</v>
      </c>
      <c r="R536" s="320">
        <v>0</v>
      </c>
      <c r="S536" s="320">
        <v>0.72208467267946408</v>
      </c>
      <c r="T536" s="320"/>
      <c r="U536" s="320"/>
      <c r="V536" s="316"/>
    </row>
    <row r="537" spans="1:22">
      <c r="A537" s="311"/>
      <c r="B537" s="291" t="s">
        <v>796</v>
      </c>
      <c r="C537" s="308">
        <v>3.1067179772605383E-2</v>
      </c>
      <c r="D537" s="309">
        <v>1.0417237787159383E-3</v>
      </c>
      <c r="E537" s="309">
        <v>2.5041105426832341E-2</v>
      </c>
      <c r="F537" s="309">
        <v>0</v>
      </c>
      <c r="G537" s="309">
        <v>0</v>
      </c>
      <c r="H537" s="309">
        <v>0</v>
      </c>
      <c r="I537" s="309">
        <v>0</v>
      </c>
      <c r="J537" s="310">
        <v>2.835100277948897E-2</v>
      </c>
      <c r="K537" s="310">
        <v>0</v>
      </c>
      <c r="L537" s="309">
        <v>0</v>
      </c>
      <c r="M537" s="309">
        <v>0</v>
      </c>
      <c r="N537" s="309">
        <v>0</v>
      </c>
      <c r="O537" s="310">
        <v>0</v>
      </c>
      <c r="P537" s="310">
        <v>0</v>
      </c>
      <c r="Q537" s="309">
        <v>0</v>
      </c>
      <c r="R537" s="310">
        <v>0</v>
      </c>
      <c r="S537" s="310">
        <v>2.835100277948897E-2</v>
      </c>
      <c r="T537" s="310"/>
      <c r="U537" s="310"/>
      <c r="V537" s="316"/>
    </row>
    <row r="538" spans="1:22">
      <c r="A538" s="311"/>
      <c r="B538" s="312" t="s">
        <v>797</v>
      </c>
      <c r="C538" s="313">
        <v>3.3510915871359473E-2</v>
      </c>
      <c r="D538" s="314">
        <v>0</v>
      </c>
      <c r="E538" s="314">
        <v>2.1295709761013533E-2</v>
      </c>
      <c r="F538" s="314">
        <v>0</v>
      </c>
      <c r="G538" s="314">
        <v>0</v>
      </c>
      <c r="H538" s="314">
        <v>0</v>
      </c>
      <c r="I538" s="314">
        <v>0</v>
      </c>
      <c r="J538" s="315">
        <v>2.9816200737553648E-2</v>
      </c>
      <c r="K538" s="315">
        <v>0</v>
      </c>
      <c r="L538" s="314">
        <v>0</v>
      </c>
      <c r="M538" s="314">
        <v>0</v>
      </c>
      <c r="N538" s="314">
        <v>0</v>
      </c>
      <c r="O538" s="315">
        <v>0</v>
      </c>
      <c r="P538" s="315">
        <v>0</v>
      </c>
      <c r="Q538" s="314">
        <v>0</v>
      </c>
      <c r="R538" s="315">
        <v>0</v>
      </c>
      <c r="S538" s="315">
        <v>2.9816200737553648E-2</v>
      </c>
      <c r="T538" s="315"/>
      <c r="U538" s="315"/>
      <c r="V538" s="316"/>
    </row>
    <row r="539" spans="1:22">
      <c r="A539" s="311"/>
      <c r="B539" s="317" t="s">
        <v>798</v>
      </c>
      <c r="C539" s="318">
        <v>0.24437360987540901</v>
      </c>
      <c r="D539" s="319">
        <v>-0.10417237787159384</v>
      </c>
      <c r="E539" s="319">
        <v>-0.37453956658188081</v>
      </c>
      <c r="F539" s="319">
        <v>0</v>
      </c>
      <c r="G539" s="319">
        <v>0</v>
      </c>
      <c r="H539" s="319">
        <v>0</v>
      </c>
      <c r="I539" s="319">
        <v>0</v>
      </c>
      <c r="J539" s="320">
        <v>0.14651979580646776</v>
      </c>
      <c r="K539" s="320">
        <v>0</v>
      </c>
      <c r="L539" s="319">
        <v>0</v>
      </c>
      <c r="M539" s="319">
        <v>0</v>
      </c>
      <c r="N539" s="319">
        <v>0</v>
      </c>
      <c r="O539" s="320">
        <v>0</v>
      </c>
      <c r="P539" s="320">
        <v>0</v>
      </c>
      <c r="Q539" s="319">
        <v>0</v>
      </c>
      <c r="R539" s="320">
        <v>0</v>
      </c>
      <c r="S539" s="320">
        <v>0.14651979580646776</v>
      </c>
      <c r="T539" s="320"/>
      <c r="U539" s="320"/>
      <c r="V539" s="316"/>
    </row>
    <row r="540" spans="1:22">
      <c r="A540" s="311"/>
      <c r="B540" s="291" t="s">
        <v>799</v>
      </c>
      <c r="C540" s="308">
        <v>3.8938921623477996E-3</v>
      </c>
      <c r="D540" s="309">
        <v>0</v>
      </c>
      <c r="E540" s="309">
        <v>0</v>
      </c>
      <c r="F540" s="309">
        <v>0</v>
      </c>
      <c r="G540" s="309">
        <v>0</v>
      </c>
      <c r="H540" s="309">
        <v>0</v>
      </c>
      <c r="I540" s="309">
        <v>0</v>
      </c>
      <c r="J540" s="310">
        <v>3.2170841760240164E-3</v>
      </c>
      <c r="K540" s="310">
        <v>0</v>
      </c>
      <c r="L540" s="309">
        <v>0</v>
      </c>
      <c r="M540" s="309">
        <v>0</v>
      </c>
      <c r="N540" s="309">
        <v>0</v>
      </c>
      <c r="O540" s="310">
        <v>0</v>
      </c>
      <c r="P540" s="310">
        <v>0</v>
      </c>
      <c r="Q540" s="309">
        <v>0</v>
      </c>
      <c r="R540" s="310">
        <v>0</v>
      </c>
      <c r="S540" s="310">
        <v>3.2170841760240164E-3</v>
      </c>
      <c r="T540" s="310"/>
      <c r="U540" s="310"/>
      <c r="V540" s="316"/>
    </row>
    <row r="541" spans="1:22">
      <c r="A541" s="311"/>
      <c r="B541" s="312" t="s">
        <v>800</v>
      </c>
      <c r="C541" s="324">
        <v>3.4443335884638171E-3</v>
      </c>
      <c r="D541" s="314">
        <v>0</v>
      </c>
      <c r="E541" s="314">
        <v>0</v>
      </c>
      <c r="F541" s="314">
        <v>0</v>
      </c>
      <c r="G541" s="314">
        <v>0</v>
      </c>
      <c r="H541" s="314">
        <v>0</v>
      </c>
      <c r="I541" s="314">
        <v>0</v>
      </c>
      <c r="J541" s="315">
        <v>2.8388462976158559E-3</v>
      </c>
      <c r="K541" s="315">
        <v>0</v>
      </c>
      <c r="L541" s="314">
        <v>0</v>
      </c>
      <c r="M541" s="314">
        <v>0</v>
      </c>
      <c r="N541" s="314">
        <v>0</v>
      </c>
      <c r="O541" s="315">
        <v>0</v>
      </c>
      <c r="P541" s="315">
        <v>0</v>
      </c>
      <c r="Q541" s="314">
        <v>0</v>
      </c>
      <c r="R541" s="315">
        <v>0</v>
      </c>
      <c r="S541" s="315">
        <v>2.8388462976158559E-3</v>
      </c>
      <c r="T541" s="315"/>
      <c r="U541" s="315"/>
      <c r="V541" s="316"/>
    </row>
    <row r="542" spans="1:22">
      <c r="A542" s="311"/>
      <c r="B542" s="317" t="s">
        <v>801</v>
      </c>
      <c r="C542" s="318">
        <v>-4.4955857388398253E-2</v>
      </c>
      <c r="D542" s="319">
        <v>0</v>
      </c>
      <c r="E542" s="319">
        <v>0</v>
      </c>
      <c r="F542" s="319">
        <v>0</v>
      </c>
      <c r="G542" s="319">
        <v>0</v>
      </c>
      <c r="H542" s="319">
        <v>0</v>
      </c>
      <c r="I542" s="319">
        <v>0</v>
      </c>
      <c r="J542" s="320">
        <v>-3.7823787840816046E-2</v>
      </c>
      <c r="K542" s="320">
        <v>0</v>
      </c>
      <c r="L542" s="319">
        <v>0</v>
      </c>
      <c r="M542" s="319">
        <v>0</v>
      </c>
      <c r="N542" s="319">
        <v>0</v>
      </c>
      <c r="O542" s="320">
        <v>0</v>
      </c>
      <c r="P542" s="320">
        <v>0</v>
      </c>
      <c r="Q542" s="319">
        <v>0</v>
      </c>
      <c r="R542" s="320">
        <v>0</v>
      </c>
      <c r="S542" s="320">
        <v>-3.7823787840816046E-2</v>
      </c>
      <c r="T542" s="320"/>
      <c r="U542" s="320"/>
      <c r="V542" s="316"/>
    </row>
    <row r="543" spans="1:22">
      <c r="A543" s="311"/>
      <c r="B543" s="291" t="s">
        <v>802</v>
      </c>
      <c r="C543" s="308">
        <v>0</v>
      </c>
      <c r="D543" s="309">
        <v>0</v>
      </c>
      <c r="E543" s="309">
        <v>0</v>
      </c>
      <c r="F543" s="309">
        <v>0</v>
      </c>
      <c r="G543" s="309">
        <v>0</v>
      </c>
      <c r="H543" s="309">
        <v>0</v>
      </c>
      <c r="I543" s="309">
        <v>0</v>
      </c>
      <c r="J543" s="310">
        <v>0</v>
      </c>
      <c r="K543" s="310">
        <v>0</v>
      </c>
      <c r="L543" s="309">
        <v>0</v>
      </c>
      <c r="M543" s="309">
        <v>0</v>
      </c>
      <c r="N543" s="309">
        <v>0</v>
      </c>
      <c r="O543" s="310">
        <v>0</v>
      </c>
      <c r="P543" s="310">
        <v>0</v>
      </c>
      <c r="Q543" s="309">
        <v>0</v>
      </c>
      <c r="R543" s="310">
        <v>0</v>
      </c>
      <c r="S543" s="310">
        <v>0</v>
      </c>
      <c r="T543" s="310"/>
      <c r="U543" s="310"/>
      <c r="V543" s="316"/>
    </row>
    <row r="544" spans="1:22">
      <c r="A544" s="311"/>
      <c r="B544" s="312" t="s">
        <v>803</v>
      </c>
      <c r="C544" s="313">
        <v>0</v>
      </c>
      <c r="D544" s="314">
        <v>0</v>
      </c>
      <c r="E544" s="314">
        <v>0</v>
      </c>
      <c r="F544" s="314">
        <v>0</v>
      </c>
      <c r="G544" s="314">
        <v>0</v>
      </c>
      <c r="H544" s="314">
        <v>0</v>
      </c>
      <c r="I544" s="314">
        <v>0</v>
      </c>
      <c r="J544" s="315">
        <v>0</v>
      </c>
      <c r="K544" s="315">
        <v>0</v>
      </c>
      <c r="L544" s="314">
        <v>0</v>
      </c>
      <c r="M544" s="314">
        <v>0</v>
      </c>
      <c r="N544" s="314">
        <v>0</v>
      </c>
      <c r="O544" s="315">
        <v>0</v>
      </c>
      <c r="P544" s="315">
        <v>0</v>
      </c>
      <c r="Q544" s="314">
        <v>0</v>
      </c>
      <c r="R544" s="315">
        <v>0</v>
      </c>
      <c r="S544" s="315">
        <v>0</v>
      </c>
      <c r="T544" s="315"/>
      <c r="U544" s="315"/>
      <c r="V544" s="316"/>
    </row>
    <row r="545" spans="1:22" ht="15.75" thickBot="1">
      <c r="A545" s="329"/>
      <c r="B545" s="330" t="s">
        <v>804</v>
      </c>
      <c r="C545" s="331">
        <v>0</v>
      </c>
      <c r="D545" s="332">
        <v>0</v>
      </c>
      <c r="E545" s="332">
        <v>0</v>
      </c>
      <c r="F545" s="332">
        <v>0</v>
      </c>
      <c r="G545" s="332">
        <v>0</v>
      </c>
      <c r="H545" s="332">
        <v>0</v>
      </c>
      <c r="I545" s="332">
        <v>0</v>
      </c>
      <c r="J545" s="333">
        <v>0</v>
      </c>
      <c r="K545" s="333">
        <v>0</v>
      </c>
      <c r="L545" s="332">
        <v>0</v>
      </c>
      <c r="M545" s="332">
        <v>0</v>
      </c>
      <c r="N545" s="332">
        <v>0</v>
      </c>
      <c r="O545" s="333">
        <v>0</v>
      </c>
      <c r="P545" s="333">
        <v>0</v>
      </c>
      <c r="Q545" s="332">
        <v>0</v>
      </c>
      <c r="R545" s="333">
        <v>0</v>
      </c>
      <c r="S545" s="333">
        <v>0</v>
      </c>
      <c r="T545" s="333"/>
      <c r="U545" s="333"/>
      <c r="V545" s="316"/>
    </row>
    <row r="546" spans="1:22">
      <c r="A546" s="307" t="s">
        <v>502</v>
      </c>
      <c r="B546" s="291" t="s">
        <v>769</v>
      </c>
      <c r="C546" s="308">
        <v>0.89988638316706537</v>
      </c>
      <c r="D546" s="309">
        <v>0</v>
      </c>
      <c r="E546" s="309">
        <v>0.78993273179674239</v>
      </c>
      <c r="F546" s="309">
        <v>0</v>
      </c>
      <c r="G546" s="309">
        <v>0.82674127719624058</v>
      </c>
      <c r="H546" s="309">
        <v>0.67204665272582687</v>
      </c>
      <c r="I546" s="309">
        <v>0</v>
      </c>
      <c r="J546" s="310">
        <v>0.82778026402613647</v>
      </c>
      <c r="K546" s="310">
        <v>0.84227204942479761</v>
      </c>
      <c r="L546" s="309">
        <v>0</v>
      </c>
      <c r="M546" s="309">
        <v>0</v>
      </c>
      <c r="N546" s="309">
        <v>0.60860155807582228</v>
      </c>
      <c r="O546" s="310">
        <v>0.63269245024530729</v>
      </c>
      <c r="P546" s="310">
        <v>0</v>
      </c>
      <c r="Q546" s="309">
        <v>0</v>
      </c>
      <c r="R546" s="310">
        <v>0</v>
      </c>
      <c r="S546" s="310">
        <v>0.78942066687792156</v>
      </c>
      <c r="T546" s="310"/>
      <c r="U546" s="310"/>
      <c r="V546" s="316"/>
    </row>
    <row r="547" spans="1:22">
      <c r="A547" s="311"/>
      <c r="B547" s="312" t="s">
        <v>770</v>
      </c>
      <c r="C547" s="313">
        <v>0.89263676360718336</v>
      </c>
      <c r="D547" s="314">
        <v>0</v>
      </c>
      <c r="E547" s="314">
        <v>0.77082781732493133</v>
      </c>
      <c r="F547" s="314">
        <v>0</v>
      </c>
      <c r="G547" s="314">
        <v>0.81163576317547548</v>
      </c>
      <c r="H547" s="314">
        <v>0.65227307349132768</v>
      </c>
      <c r="I547" s="314">
        <v>0</v>
      </c>
      <c r="J547" s="315">
        <v>0.81525283333253529</v>
      </c>
      <c r="K547" s="315">
        <v>0.84337107062812477</v>
      </c>
      <c r="L547" s="314">
        <v>0</v>
      </c>
      <c r="M547" s="314">
        <v>0</v>
      </c>
      <c r="N547" s="314">
        <v>0.5986936495963795</v>
      </c>
      <c r="O547" s="315">
        <v>0.62327887122246695</v>
      </c>
      <c r="P547" s="315">
        <v>0</v>
      </c>
      <c r="Q547" s="314">
        <v>0</v>
      </c>
      <c r="R547" s="315">
        <v>0</v>
      </c>
      <c r="S547" s="315">
        <v>0.7784832176463562</v>
      </c>
      <c r="T547" s="315"/>
      <c r="U547" s="315"/>
      <c r="V547" s="316"/>
    </row>
    <row r="548" spans="1:22">
      <c r="A548" s="311"/>
      <c r="B548" s="317" t="s">
        <v>771</v>
      </c>
      <c r="C548" s="318">
        <v>-0.72496195598820146</v>
      </c>
      <c r="D548" s="319">
        <v>0</v>
      </c>
      <c r="E548" s="319">
        <v>-1.9104914471811063</v>
      </c>
      <c r="F548" s="319">
        <v>0</v>
      </c>
      <c r="G548" s="319">
        <v>-1.5105514020765098</v>
      </c>
      <c r="H548" s="321">
        <v>-1.9773579234499183</v>
      </c>
      <c r="I548" s="319">
        <v>0</v>
      </c>
      <c r="J548" s="320">
        <v>-1.2527430693601183</v>
      </c>
      <c r="K548" s="320">
        <v>0.10990212033271662</v>
      </c>
      <c r="L548" s="319">
        <v>0</v>
      </c>
      <c r="M548" s="319">
        <v>0</v>
      </c>
      <c r="N548" s="319">
        <v>-0.99079084794427841</v>
      </c>
      <c r="O548" s="320">
        <v>-0.9413579022840346</v>
      </c>
      <c r="P548" s="320">
        <v>0</v>
      </c>
      <c r="Q548" s="319">
        <v>0</v>
      </c>
      <c r="R548" s="320">
        <v>0</v>
      </c>
      <c r="S548" s="320">
        <v>-1.0937449231565366</v>
      </c>
      <c r="T548" s="320"/>
      <c r="U548" s="320"/>
      <c r="V548" s="316"/>
    </row>
    <row r="549" spans="1:22">
      <c r="A549" s="311"/>
      <c r="B549" s="291" t="s">
        <v>772</v>
      </c>
      <c r="C549" s="308">
        <v>1.5483525559224485E-3</v>
      </c>
      <c r="D549" s="309">
        <v>0</v>
      </c>
      <c r="E549" s="309">
        <v>7.6690268884597582E-2</v>
      </c>
      <c r="F549" s="309">
        <v>0</v>
      </c>
      <c r="G549" s="309">
        <v>5.8373983243175546E-2</v>
      </c>
      <c r="H549" s="309">
        <v>8.1490800307988775E-2</v>
      </c>
      <c r="I549" s="309">
        <v>0</v>
      </c>
      <c r="J549" s="310">
        <v>4.0230186280478378E-2</v>
      </c>
      <c r="K549" s="310">
        <v>6.2286962079250108E-2</v>
      </c>
      <c r="L549" s="309">
        <v>0</v>
      </c>
      <c r="M549" s="309">
        <v>0</v>
      </c>
      <c r="N549" s="309">
        <v>0.13838713133446592</v>
      </c>
      <c r="O549" s="310">
        <v>0.1305413782784286</v>
      </c>
      <c r="P549" s="310">
        <v>0</v>
      </c>
      <c r="Q549" s="309">
        <v>0</v>
      </c>
      <c r="R549" s="310">
        <v>0</v>
      </c>
      <c r="S549" s="310">
        <v>5.7987835391808455E-2</v>
      </c>
      <c r="T549" s="310"/>
      <c r="U549" s="310"/>
      <c r="V549" s="316"/>
    </row>
    <row r="550" spans="1:22">
      <c r="A550" s="311"/>
      <c r="B550" s="312" t="s">
        <v>773</v>
      </c>
      <c r="C550" s="313">
        <v>1.680240798644739E-3</v>
      </c>
      <c r="D550" s="314">
        <v>0</v>
      </c>
      <c r="E550" s="314">
        <v>8.3443653501373019E-2</v>
      </c>
      <c r="F550" s="314">
        <v>0</v>
      </c>
      <c r="G550" s="314">
        <v>5.0004411783242789E-2</v>
      </c>
      <c r="H550" s="314">
        <v>8.8124306326304108E-2</v>
      </c>
      <c r="I550" s="314">
        <v>0</v>
      </c>
      <c r="J550" s="315">
        <v>4.0540475837072008E-2</v>
      </c>
      <c r="K550" s="315">
        <v>6.8961553933681974E-2</v>
      </c>
      <c r="L550" s="314">
        <v>0</v>
      </c>
      <c r="M550" s="314">
        <v>0</v>
      </c>
      <c r="N550" s="314">
        <v>0.13334403235383802</v>
      </c>
      <c r="O550" s="315">
        <v>0.12687487188074731</v>
      </c>
      <c r="P550" s="315">
        <v>0</v>
      </c>
      <c r="Q550" s="314">
        <v>0</v>
      </c>
      <c r="R550" s="315">
        <v>0</v>
      </c>
      <c r="S550" s="315">
        <v>5.7076481700222524E-2</v>
      </c>
      <c r="T550" s="315"/>
      <c r="U550" s="315"/>
      <c r="V550" s="316"/>
    </row>
    <row r="551" spans="1:22">
      <c r="A551" s="311"/>
      <c r="B551" s="317" t="s">
        <v>774</v>
      </c>
      <c r="C551" s="318">
        <v>1.3188824272229054E-2</v>
      </c>
      <c r="D551" s="319">
        <v>0</v>
      </c>
      <c r="E551" s="319">
        <v>0.67533846167754374</v>
      </c>
      <c r="F551" s="319">
        <v>0</v>
      </c>
      <c r="G551" s="319">
        <v>-0.83695714599327575</v>
      </c>
      <c r="H551" s="319">
        <v>0.66335060183153327</v>
      </c>
      <c r="I551" s="319">
        <v>0</v>
      </c>
      <c r="J551" s="320">
        <v>3.1028955659363061E-2</v>
      </c>
      <c r="K551" s="320">
        <v>0.66745918544318661</v>
      </c>
      <c r="L551" s="319">
        <v>0</v>
      </c>
      <c r="M551" s="319">
        <v>0</v>
      </c>
      <c r="N551" s="319">
        <v>-0.50430989806279081</v>
      </c>
      <c r="O551" s="320">
        <v>-0.36665063976812906</v>
      </c>
      <c r="P551" s="320">
        <v>0</v>
      </c>
      <c r="Q551" s="319">
        <v>0</v>
      </c>
      <c r="R551" s="320">
        <v>0</v>
      </c>
      <c r="S551" s="320">
        <v>-9.1135369158593105E-2</v>
      </c>
      <c r="T551" s="320"/>
      <c r="U551" s="320"/>
      <c r="V551" s="316"/>
    </row>
    <row r="552" spans="1:22">
      <c r="A552" s="311"/>
      <c r="B552" s="291" t="s">
        <v>775</v>
      </c>
      <c r="C552" s="308">
        <v>9.4413002511129732E-2</v>
      </c>
      <c r="D552" s="309">
        <v>0</v>
      </c>
      <c r="E552" s="309">
        <v>0.126778165501613</v>
      </c>
      <c r="F552" s="309">
        <v>0</v>
      </c>
      <c r="G552" s="309">
        <v>0.11447849500135925</v>
      </c>
      <c r="H552" s="309">
        <v>0.20399207307580647</v>
      </c>
      <c r="I552" s="309">
        <v>0</v>
      </c>
      <c r="J552" s="310">
        <v>0.1221050325698535</v>
      </c>
      <c r="K552" s="310">
        <v>9.5440988495952284E-2</v>
      </c>
      <c r="L552" s="309">
        <v>0</v>
      </c>
      <c r="M552" s="309">
        <v>0</v>
      </c>
      <c r="N552" s="309">
        <v>0.22574039212085037</v>
      </c>
      <c r="O552" s="310">
        <v>0.21230682220642055</v>
      </c>
      <c r="P552" s="310">
        <v>0</v>
      </c>
      <c r="Q552" s="309">
        <v>0</v>
      </c>
      <c r="R552" s="310">
        <v>0</v>
      </c>
      <c r="S552" s="310">
        <v>0.13984117018629114</v>
      </c>
      <c r="T552" s="310"/>
      <c r="U552" s="310"/>
      <c r="V552" s="316"/>
    </row>
    <row r="553" spans="1:22">
      <c r="A553" s="311"/>
      <c r="B553" s="312" t="s">
        <v>776</v>
      </c>
      <c r="C553" s="313">
        <v>9.9853651487620335E-2</v>
      </c>
      <c r="D553" s="314">
        <v>0</v>
      </c>
      <c r="E553" s="314">
        <v>0.13199839625995718</v>
      </c>
      <c r="F553" s="314">
        <v>0</v>
      </c>
      <c r="G553" s="314">
        <v>0.13808566422547994</v>
      </c>
      <c r="H553" s="314">
        <v>0.24574437988291875</v>
      </c>
      <c r="I553" s="314">
        <v>0</v>
      </c>
      <c r="J553" s="315">
        <v>0.13689259226072201</v>
      </c>
      <c r="K553" s="315">
        <v>8.766737543819321E-2</v>
      </c>
      <c r="L553" s="314">
        <v>0</v>
      </c>
      <c r="M553" s="314">
        <v>0</v>
      </c>
      <c r="N553" s="314">
        <v>0.2455681982314519</v>
      </c>
      <c r="O553" s="315">
        <v>0.22970230138267742</v>
      </c>
      <c r="P553" s="315">
        <v>0</v>
      </c>
      <c r="Q553" s="314">
        <v>0</v>
      </c>
      <c r="R553" s="315">
        <v>0</v>
      </c>
      <c r="S553" s="315">
        <v>0.15466884326294789</v>
      </c>
      <c r="T553" s="315"/>
      <c r="U553" s="315"/>
      <c r="V553" s="316"/>
    </row>
    <row r="554" spans="1:22">
      <c r="A554" s="311"/>
      <c r="B554" s="317" t="s">
        <v>777</v>
      </c>
      <c r="C554" s="318">
        <v>0.5440648976490603</v>
      </c>
      <c r="D554" s="319">
        <v>0</v>
      </c>
      <c r="E554" s="319">
        <v>0.52202307583441854</v>
      </c>
      <c r="F554" s="319">
        <v>0</v>
      </c>
      <c r="G554" s="319">
        <v>2.360716922412069</v>
      </c>
      <c r="H554" s="319">
        <v>4.1752306807112287</v>
      </c>
      <c r="I554" s="319">
        <v>0</v>
      </c>
      <c r="J554" s="320">
        <v>1.4787559690868508</v>
      </c>
      <c r="K554" s="320">
        <v>-0.77736130577590745</v>
      </c>
      <c r="L554" s="319">
        <v>0</v>
      </c>
      <c r="M554" s="319">
        <v>0</v>
      </c>
      <c r="N554" s="319">
        <v>1.9827806110601531</v>
      </c>
      <c r="O554" s="320">
        <v>1.7395479176256861</v>
      </c>
      <c r="P554" s="320">
        <v>0</v>
      </c>
      <c r="Q554" s="319">
        <v>0</v>
      </c>
      <c r="R554" s="320">
        <v>0</v>
      </c>
      <c r="S554" s="320">
        <v>1.4827673076656751</v>
      </c>
      <c r="T554" s="320"/>
      <c r="U554" s="320"/>
      <c r="V554" s="316"/>
    </row>
    <row r="555" spans="1:22">
      <c r="A555" s="311"/>
      <c r="B555" s="291" t="s">
        <v>778</v>
      </c>
      <c r="C555" s="308">
        <v>6.0839000232709176E-6</v>
      </c>
      <c r="D555" s="309">
        <v>0</v>
      </c>
      <c r="E555" s="309">
        <v>6.5988338170470499E-3</v>
      </c>
      <c r="F555" s="309">
        <v>0</v>
      </c>
      <c r="G555" s="309">
        <v>2.1075845553760207E-4</v>
      </c>
      <c r="H555" s="309">
        <v>1.6068430729874489E-2</v>
      </c>
      <c r="I555" s="309">
        <v>0</v>
      </c>
      <c r="J555" s="310">
        <v>3.7932086446183476E-3</v>
      </c>
      <c r="K555" s="310">
        <v>0</v>
      </c>
      <c r="L555" s="309">
        <v>0</v>
      </c>
      <c r="M555" s="309">
        <v>0</v>
      </c>
      <c r="N555" s="309">
        <v>2.7270918468861441E-2</v>
      </c>
      <c r="O555" s="310">
        <v>2.4459349269843535E-2</v>
      </c>
      <c r="P555" s="310">
        <v>0</v>
      </c>
      <c r="Q555" s="309">
        <v>0</v>
      </c>
      <c r="R555" s="310">
        <v>0</v>
      </c>
      <c r="S555" s="310">
        <v>7.8567368252283627E-3</v>
      </c>
      <c r="T555" s="310"/>
      <c r="U555" s="310"/>
      <c r="V555" s="316"/>
    </row>
    <row r="556" spans="1:22">
      <c r="A556" s="311"/>
      <c r="B556" s="312" t="s">
        <v>779</v>
      </c>
      <c r="C556" s="313">
        <v>0</v>
      </c>
      <c r="D556" s="314">
        <v>0</v>
      </c>
      <c r="E556" s="314">
        <v>1.3730132913738454E-2</v>
      </c>
      <c r="F556" s="314">
        <v>0</v>
      </c>
      <c r="G556" s="314">
        <v>2.7416081580174708E-4</v>
      </c>
      <c r="H556" s="314">
        <v>1.2774477160453527E-2</v>
      </c>
      <c r="I556" s="314">
        <v>0</v>
      </c>
      <c r="J556" s="315">
        <v>4.5500218540586645E-3</v>
      </c>
      <c r="K556" s="315">
        <v>0</v>
      </c>
      <c r="L556" s="314">
        <v>0</v>
      </c>
      <c r="M556" s="314">
        <v>0</v>
      </c>
      <c r="N556" s="314">
        <v>2.2394119818330633E-2</v>
      </c>
      <c r="O556" s="315">
        <v>2.0143955514108275E-2</v>
      </c>
      <c r="P556" s="315">
        <v>0</v>
      </c>
      <c r="Q556" s="314">
        <v>0</v>
      </c>
      <c r="R556" s="315">
        <v>0</v>
      </c>
      <c r="S556" s="315">
        <v>7.5367964218880645E-3</v>
      </c>
      <c r="T556" s="315"/>
      <c r="U556" s="315"/>
      <c r="V556" s="316"/>
    </row>
    <row r="557" spans="1:22">
      <c r="A557" s="311"/>
      <c r="B557" s="317" t="s">
        <v>780</v>
      </c>
      <c r="C557" s="318">
        <v>-6.0839000232709175E-4</v>
      </c>
      <c r="D557" s="319">
        <v>0</v>
      </c>
      <c r="E557" s="319">
        <v>0.71312990966914036</v>
      </c>
      <c r="F557" s="319">
        <v>0</v>
      </c>
      <c r="G557" s="319">
        <v>6.3402360264145016E-3</v>
      </c>
      <c r="H557" s="319">
        <v>-0.32939535694209621</v>
      </c>
      <c r="I557" s="319">
        <v>0</v>
      </c>
      <c r="J557" s="320">
        <v>7.5681320944031696E-2</v>
      </c>
      <c r="K557" s="320">
        <v>0</v>
      </c>
      <c r="L557" s="319">
        <v>0</v>
      </c>
      <c r="M557" s="319">
        <v>0</v>
      </c>
      <c r="N557" s="319">
        <v>-0.48767986505308081</v>
      </c>
      <c r="O557" s="320">
        <v>-0.43153937557352595</v>
      </c>
      <c r="P557" s="320">
        <v>0</v>
      </c>
      <c r="Q557" s="319">
        <v>0</v>
      </c>
      <c r="R557" s="320">
        <v>0</v>
      </c>
      <c r="S557" s="320">
        <v>-3.1994040334029812E-2</v>
      </c>
      <c r="T557" s="320"/>
      <c r="U557" s="320"/>
      <c r="V557" s="316"/>
    </row>
    <row r="558" spans="1:22">
      <c r="A558" s="311"/>
      <c r="B558" s="291" t="s">
        <v>781</v>
      </c>
      <c r="C558" s="308">
        <v>4.1461778658591301E-3</v>
      </c>
      <c r="D558" s="309">
        <v>0</v>
      </c>
      <c r="E558" s="309">
        <v>0</v>
      </c>
      <c r="F558" s="309">
        <v>0</v>
      </c>
      <c r="G558" s="309">
        <v>1.9548610368705119E-4</v>
      </c>
      <c r="H558" s="309">
        <v>2.6402043160503385E-2</v>
      </c>
      <c r="I558" s="309">
        <v>0</v>
      </c>
      <c r="J558" s="310">
        <v>6.0913084789132538E-3</v>
      </c>
      <c r="K558" s="310">
        <v>0</v>
      </c>
      <c r="L558" s="309">
        <v>0</v>
      </c>
      <c r="M558" s="309">
        <v>0</v>
      </c>
      <c r="N558" s="309">
        <v>0</v>
      </c>
      <c r="O558" s="310">
        <v>0</v>
      </c>
      <c r="P558" s="310">
        <v>0</v>
      </c>
      <c r="Q558" s="309">
        <v>0</v>
      </c>
      <c r="R558" s="310">
        <v>0</v>
      </c>
      <c r="S558" s="310">
        <v>4.8935907187505233E-3</v>
      </c>
      <c r="T558" s="310"/>
      <c r="U558" s="310"/>
      <c r="V558" s="316"/>
    </row>
    <row r="559" spans="1:22">
      <c r="A559" s="311"/>
      <c r="B559" s="312" t="s">
        <v>782</v>
      </c>
      <c r="C559" s="313">
        <v>5.829344106551556E-3</v>
      </c>
      <c r="D559" s="314">
        <v>0</v>
      </c>
      <c r="E559" s="314">
        <v>0</v>
      </c>
      <c r="F559" s="314">
        <v>0</v>
      </c>
      <c r="G559" s="314">
        <v>0</v>
      </c>
      <c r="H559" s="314">
        <v>1.083763138995887E-3</v>
      </c>
      <c r="I559" s="314">
        <v>0</v>
      </c>
      <c r="J559" s="315">
        <v>2.7640767156120061E-3</v>
      </c>
      <c r="K559" s="315">
        <v>0</v>
      </c>
      <c r="L559" s="314">
        <v>0</v>
      </c>
      <c r="M559" s="314">
        <v>0</v>
      </c>
      <c r="N559" s="314">
        <v>0</v>
      </c>
      <c r="O559" s="315">
        <v>0</v>
      </c>
      <c r="P559" s="315">
        <v>0</v>
      </c>
      <c r="Q559" s="314">
        <v>0</v>
      </c>
      <c r="R559" s="315">
        <v>0</v>
      </c>
      <c r="S559" s="315">
        <v>2.234660968585345E-3</v>
      </c>
      <c r="T559" s="315"/>
      <c r="U559" s="315"/>
      <c r="V559" s="316"/>
    </row>
    <row r="560" spans="1:22">
      <c r="A560" s="311"/>
      <c r="B560" s="317" t="s">
        <v>783</v>
      </c>
      <c r="C560" s="318">
        <v>0.16831662406924258</v>
      </c>
      <c r="D560" s="319">
        <v>0</v>
      </c>
      <c r="E560" s="319">
        <v>0</v>
      </c>
      <c r="F560" s="319">
        <v>0</v>
      </c>
      <c r="G560" s="319">
        <v>-1.954861036870512E-2</v>
      </c>
      <c r="H560" s="319">
        <v>-2.5318280021507498</v>
      </c>
      <c r="I560" s="319">
        <v>0</v>
      </c>
      <c r="J560" s="320">
        <v>-0.33272317633012477</v>
      </c>
      <c r="K560" s="320">
        <v>0</v>
      </c>
      <c r="L560" s="319">
        <v>0</v>
      </c>
      <c r="M560" s="319">
        <v>0</v>
      </c>
      <c r="N560" s="319">
        <v>0</v>
      </c>
      <c r="O560" s="320">
        <v>0</v>
      </c>
      <c r="P560" s="320">
        <v>0</v>
      </c>
      <c r="Q560" s="319">
        <v>0</v>
      </c>
      <c r="R560" s="320">
        <v>0</v>
      </c>
      <c r="S560" s="320">
        <v>-0.26589297501651782</v>
      </c>
      <c r="T560" s="320"/>
      <c r="U560" s="320"/>
      <c r="V560" s="316"/>
    </row>
    <row r="561" spans="1:22">
      <c r="A561" s="311"/>
      <c r="B561" s="291" t="s">
        <v>784</v>
      </c>
      <c r="C561" s="308">
        <v>0</v>
      </c>
      <c r="D561" s="309">
        <v>0</v>
      </c>
      <c r="E561" s="309">
        <v>0</v>
      </c>
      <c r="F561" s="309">
        <v>0</v>
      </c>
      <c r="G561" s="309">
        <v>0</v>
      </c>
      <c r="H561" s="309">
        <v>0</v>
      </c>
      <c r="I561" s="309">
        <v>0</v>
      </c>
      <c r="J561" s="310">
        <v>0</v>
      </c>
      <c r="K561" s="310">
        <v>0</v>
      </c>
      <c r="L561" s="309">
        <v>0</v>
      </c>
      <c r="M561" s="309">
        <v>0</v>
      </c>
      <c r="N561" s="309">
        <v>0</v>
      </c>
      <c r="O561" s="310">
        <v>0</v>
      </c>
      <c r="P561" s="310">
        <v>0</v>
      </c>
      <c r="Q561" s="309">
        <v>0</v>
      </c>
      <c r="R561" s="310">
        <v>0</v>
      </c>
      <c r="S561" s="310">
        <v>0</v>
      </c>
      <c r="T561" s="310"/>
      <c r="U561" s="310"/>
      <c r="V561" s="316"/>
    </row>
    <row r="562" spans="1:22">
      <c r="A562" s="311"/>
      <c r="B562" s="312" t="s">
        <v>785</v>
      </c>
      <c r="C562" s="313">
        <v>0</v>
      </c>
      <c r="D562" s="314">
        <v>0</v>
      </c>
      <c r="E562" s="314">
        <v>0</v>
      </c>
      <c r="F562" s="314">
        <v>0</v>
      </c>
      <c r="G562" s="314">
        <v>0</v>
      </c>
      <c r="H562" s="314">
        <v>0</v>
      </c>
      <c r="I562" s="314">
        <v>0</v>
      </c>
      <c r="J562" s="315">
        <v>0</v>
      </c>
      <c r="K562" s="315">
        <v>0</v>
      </c>
      <c r="L562" s="314">
        <v>0</v>
      </c>
      <c r="M562" s="314">
        <v>0</v>
      </c>
      <c r="N562" s="314">
        <v>0</v>
      </c>
      <c r="O562" s="315">
        <v>0</v>
      </c>
      <c r="P562" s="315">
        <v>0</v>
      </c>
      <c r="Q562" s="314">
        <v>0</v>
      </c>
      <c r="R562" s="315">
        <v>0</v>
      </c>
      <c r="S562" s="315">
        <v>0</v>
      </c>
      <c r="T562" s="315"/>
      <c r="U562" s="315"/>
      <c r="V562" s="316"/>
    </row>
    <row r="563" spans="1:22" ht="15.75" thickBot="1">
      <c r="A563" s="311"/>
      <c r="B563" s="325" t="s">
        <v>786</v>
      </c>
      <c r="C563" s="326">
        <v>0</v>
      </c>
      <c r="D563" s="327">
        <v>0</v>
      </c>
      <c r="E563" s="327">
        <v>0</v>
      </c>
      <c r="F563" s="327">
        <v>0</v>
      </c>
      <c r="G563" s="327">
        <v>0</v>
      </c>
      <c r="H563" s="327">
        <v>0</v>
      </c>
      <c r="I563" s="327">
        <v>0</v>
      </c>
      <c r="J563" s="328">
        <v>0</v>
      </c>
      <c r="K563" s="328">
        <v>0</v>
      </c>
      <c r="L563" s="327">
        <v>0</v>
      </c>
      <c r="M563" s="327">
        <v>0</v>
      </c>
      <c r="N563" s="327">
        <v>0</v>
      </c>
      <c r="O563" s="328">
        <v>0</v>
      </c>
      <c r="P563" s="328">
        <v>0</v>
      </c>
      <c r="Q563" s="327">
        <v>0</v>
      </c>
      <c r="R563" s="328">
        <v>0</v>
      </c>
      <c r="S563" s="328">
        <v>0</v>
      </c>
      <c r="T563" s="328"/>
      <c r="U563" s="328"/>
      <c r="V563" s="316"/>
    </row>
    <row r="564" spans="1:22" ht="15.75" thickTop="1">
      <c r="A564" s="311"/>
      <c r="B564" s="312" t="s">
        <v>787</v>
      </c>
      <c r="C564" s="313">
        <v>0.67051167693804736</v>
      </c>
      <c r="D564" s="314">
        <v>0</v>
      </c>
      <c r="E564" s="314">
        <v>0.46946015190333973</v>
      </c>
      <c r="F564" s="314">
        <v>0</v>
      </c>
      <c r="G564" s="314">
        <v>0.34023062830046341</v>
      </c>
      <c r="H564" s="314">
        <v>0.8</v>
      </c>
      <c r="I564" s="314">
        <v>0</v>
      </c>
      <c r="J564" s="315">
        <v>0.56574400104329681</v>
      </c>
      <c r="K564" s="315">
        <v>0</v>
      </c>
      <c r="L564" s="314">
        <v>0</v>
      </c>
      <c r="M564" s="314">
        <v>0</v>
      </c>
      <c r="N564" s="314">
        <v>0</v>
      </c>
      <c r="O564" s="315">
        <v>0</v>
      </c>
      <c r="P564" s="315">
        <v>0</v>
      </c>
      <c r="Q564" s="314">
        <v>0</v>
      </c>
      <c r="R564" s="315">
        <v>0</v>
      </c>
      <c r="S564" s="315">
        <v>0.56574400104329681</v>
      </c>
      <c r="T564" s="315"/>
      <c r="U564" s="315"/>
      <c r="V564" s="316"/>
    </row>
    <row r="565" spans="1:22">
      <c r="A565" s="311"/>
      <c r="B565" s="312" t="s">
        <v>788</v>
      </c>
      <c r="C565" s="313">
        <v>0.66435738426388991</v>
      </c>
      <c r="D565" s="314">
        <v>0</v>
      </c>
      <c r="E565" s="314">
        <v>0.52219120328167734</v>
      </c>
      <c r="F565" s="314">
        <v>0</v>
      </c>
      <c r="G565" s="314">
        <v>0.40069179867655907</v>
      </c>
      <c r="H565" s="314">
        <v>0.66798418972332019</v>
      </c>
      <c r="I565" s="314">
        <v>0</v>
      </c>
      <c r="J565" s="315">
        <v>0.58261802575107291</v>
      </c>
      <c r="K565" s="315">
        <v>0</v>
      </c>
      <c r="L565" s="314">
        <v>0</v>
      </c>
      <c r="M565" s="314">
        <v>0</v>
      </c>
      <c r="N565" s="314">
        <v>0</v>
      </c>
      <c r="O565" s="315">
        <v>0</v>
      </c>
      <c r="P565" s="315">
        <v>0</v>
      </c>
      <c r="Q565" s="314">
        <v>0</v>
      </c>
      <c r="R565" s="315">
        <v>0</v>
      </c>
      <c r="S565" s="315">
        <v>0.58261802575107291</v>
      </c>
      <c r="T565" s="315"/>
      <c r="U565" s="315"/>
      <c r="V565" s="316"/>
    </row>
    <row r="566" spans="1:22">
      <c r="A566" s="311"/>
      <c r="B566" s="317" t="s">
        <v>789</v>
      </c>
      <c r="C566" s="318">
        <v>-0.61542926741574577</v>
      </c>
      <c r="D566" s="319">
        <v>0</v>
      </c>
      <c r="E566" s="321">
        <v>5.2731051378337614</v>
      </c>
      <c r="F566" s="319">
        <v>0</v>
      </c>
      <c r="G566" s="319">
        <v>6.0461170376095659</v>
      </c>
      <c r="H566" s="321">
        <v>-13.201581027667986</v>
      </c>
      <c r="I566" s="319">
        <v>0</v>
      </c>
      <c r="J566" s="320">
        <v>1.6874024707776103</v>
      </c>
      <c r="K566" s="320">
        <v>0</v>
      </c>
      <c r="L566" s="319">
        <v>0</v>
      </c>
      <c r="M566" s="319">
        <v>0</v>
      </c>
      <c r="N566" s="319">
        <v>0</v>
      </c>
      <c r="O566" s="320">
        <v>0</v>
      </c>
      <c r="P566" s="320">
        <v>0</v>
      </c>
      <c r="Q566" s="319">
        <v>0</v>
      </c>
      <c r="R566" s="320">
        <v>0</v>
      </c>
      <c r="S566" s="320">
        <v>1.6874024707776103</v>
      </c>
      <c r="T566" s="320"/>
      <c r="U566" s="320"/>
      <c r="V566" s="316"/>
    </row>
    <row r="567" spans="1:22">
      <c r="A567" s="311"/>
      <c r="B567" s="291" t="s">
        <v>790</v>
      </c>
      <c r="C567" s="308">
        <v>3.7372283490107037E-2</v>
      </c>
      <c r="D567" s="309">
        <v>0</v>
      </c>
      <c r="E567" s="309">
        <v>0.28643330351863922</v>
      </c>
      <c r="F567" s="309">
        <v>0</v>
      </c>
      <c r="G567" s="309">
        <v>7.9696087940510835E-2</v>
      </c>
      <c r="H567" s="309">
        <v>0</v>
      </c>
      <c r="I567" s="309">
        <v>0</v>
      </c>
      <c r="J567" s="310">
        <v>0.13073813249869587</v>
      </c>
      <c r="K567" s="310">
        <v>0</v>
      </c>
      <c r="L567" s="309">
        <v>0</v>
      </c>
      <c r="M567" s="309">
        <v>0</v>
      </c>
      <c r="N567" s="309">
        <v>0</v>
      </c>
      <c r="O567" s="310">
        <v>0</v>
      </c>
      <c r="P567" s="310">
        <v>0</v>
      </c>
      <c r="Q567" s="309">
        <v>0</v>
      </c>
      <c r="R567" s="310">
        <v>0</v>
      </c>
      <c r="S567" s="310">
        <v>0.13073813249869587</v>
      </c>
      <c r="T567" s="310"/>
      <c r="U567" s="310"/>
      <c r="V567" s="316"/>
    </row>
    <row r="568" spans="1:22">
      <c r="A568" s="311"/>
      <c r="B568" s="312" t="s">
        <v>791</v>
      </c>
      <c r="C568" s="313">
        <v>3.0101390833763252E-2</v>
      </c>
      <c r="D568" s="314">
        <v>0</v>
      </c>
      <c r="E568" s="314">
        <v>0.25155252962625341</v>
      </c>
      <c r="F568" s="314">
        <v>0</v>
      </c>
      <c r="G568" s="314">
        <v>7.1836775616603163E-2</v>
      </c>
      <c r="H568" s="314">
        <v>8.5375494071146252E-2</v>
      </c>
      <c r="I568" s="314">
        <v>0</v>
      </c>
      <c r="J568" s="315">
        <v>0.11835300429184549</v>
      </c>
      <c r="K568" s="315">
        <v>0</v>
      </c>
      <c r="L568" s="314">
        <v>0</v>
      </c>
      <c r="M568" s="314">
        <v>0</v>
      </c>
      <c r="N568" s="314">
        <v>0</v>
      </c>
      <c r="O568" s="315">
        <v>0</v>
      </c>
      <c r="P568" s="315">
        <v>0</v>
      </c>
      <c r="Q568" s="314">
        <v>0</v>
      </c>
      <c r="R568" s="315">
        <v>0</v>
      </c>
      <c r="S568" s="315">
        <v>0.11835300429184549</v>
      </c>
      <c r="T568" s="315"/>
      <c r="U568" s="315"/>
      <c r="V568" s="316"/>
    </row>
    <row r="569" spans="1:22">
      <c r="A569" s="311"/>
      <c r="B569" s="317" t="s">
        <v>792</v>
      </c>
      <c r="C569" s="318">
        <v>-0.72708926563437859</v>
      </c>
      <c r="D569" s="319">
        <v>0</v>
      </c>
      <c r="E569" s="319">
        <v>-3.4880773892385806</v>
      </c>
      <c r="F569" s="319">
        <v>0</v>
      </c>
      <c r="G569" s="319">
        <v>-0.78593123239076723</v>
      </c>
      <c r="H569" s="319">
        <v>0</v>
      </c>
      <c r="I569" s="319">
        <v>0</v>
      </c>
      <c r="J569" s="320">
        <v>-1.238512820685038</v>
      </c>
      <c r="K569" s="320">
        <v>0</v>
      </c>
      <c r="L569" s="319">
        <v>0</v>
      </c>
      <c r="M569" s="319">
        <v>0</v>
      </c>
      <c r="N569" s="319">
        <v>0</v>
      </c>
      <c r="O569" s="320">
        <v>0</v>
      </c>
      <c r="P569" s="320">
        <v>0</v>
      </c>
      <c r="Q569" s="319">
        <v>0</v>
      </c>
      <c r="R569" s="320">
        <v>0</v>
      </c>
      <c r="S569" s="320">
        <v>-1.238512820685038</v>
      </c>
      <c r="T569" s="320"/>
      <c r="U569" s="320"/>
      <c r="V569" s="316"/>
    </row>
    <row r="570" spans="1:22">
      <c r="A570" s="311"/>
      <c r="B570" s="291" t="s">
        <v>793</v>
      </c>
      <c r="C570" s="308">
        <v>0.28572007784625364</v>
      </c>
      <c r="D570" s="309">
        <v>0</v>
      </c>
      <c r="E570" s="309">
        <v>0.23766353865045556</v>
      </c>
      <c r="F570" s="309">
        <v>0</v>
      </c>
      <c r="G570" s="309">
        <v>0.58007328375902578</v>
      </c>
      <c r="H570" s="309">
        <v>0.2</v>
      </c>
      <c r="I570" s="309">
        <v>0</v>
      </c>
      <c r="J570" s="310">
        <v>0.2977797339593114</v>
      </c>
      <c r="K570" s="310">
        <v>0</v>
      </c>
      <c r="L570" s="309">
        <v>0</v>
      </c>
      <c r="M570" s="309">
        <v>0</v>
      </c>
      <c r="N570" s="309">
        <v>0</v>
      </c>
      <c r="O570" s="310">
        <v>0</v>
      </c>
      <c r="P570" s="310">
        <v>0</v>
      </c>
      <c r="Q570" s="309">
        <v>0</v>
      </c>
      <c r="R570" s="310">
        <v>0</v>
      </c>
      <c r="S570" s="310">
        <v>0.2977797339593114</v>
      </c>
      <c r="T570" s="310"/>
      <c r="U570" s="310"/>
      <c r="V570" s="316"/>
    </row>
    <row r="571" spans="1:22">
      <c r="A571" s="311"/>
      <c r="B571" s="312" t="s">
        <v>794</v>
      </c>
      <c r="C571" s="313">
        <v>0.299066109350488</v>
      </c>
      <c r="D571" s="314">
        <v>0</v>
      </c>
      <c r="E571" s="314">
        <v>0.21422060164083864</v>
      </c>
      <c r="F571" s="314">
        <v>0</v>
      </c>
      <c r="G571" s="314">
        <v>0.5274714257068378</v>
      </c>
      <c r="H571" s="314">
        <v>0.24664031620553359</v>
      </c>
      <c r="I571" s="314">
        <v>0</v>
      </c>
      <c r="J571" s="315">
        <v>0.29119635193133048</v>
      </c>
      <c r="K571" s="315">
        <v>0</v>
      </c>
      <c r="L571" s="314">
        <v>0</v>
      </c>
      <c r="M571" s="314">
        <v>0</v>
      </c>
      <c r="N571" s="314">
        <v>0</v>
      </c>
      <c r="O571" s="315">
        <v>0</v>
      </c>
      <c r="P571" s="315">
        <v>0</v>
      </c>
      <c r="Q571" s="314">
        <v>0</v>
      </c>
      <c r="R571" s="315">
        <v>0</v>
      </c>
      <c r="S571" s="315">
        <v>0.29119635193133048</v>
      </c>
      <c r="T571" s="315"/>
      <c r="U571" s="315"/>
      <c r="V571" s="316"/>
    </row>
    <row r="572" spans="1:22">
      <c r="A572" s="311"/>
      <c r="B572" s="317" t="s">
        <v>795</v>
      </c>
      <c r="C572" s="318">
        <v>1.3346031504234357</v>
      </c>
      <c r="D572" s="319">
        <v>0</v>
      </c>
      <c r="E572" s="321">
        <v>-2.3442937009616918</v>
      </c>
      <c r="F572" s="319">
        <v>0</v>
      </c>
      <c r="G572" s="319">
        <v>-5.2601858052187982</v>
      </c>
      <c r="H572" s="321">
        <v>4.6640316205533576</v>
      </c>
      <c r="I572" s="319">
        <v>0</v>
      </c>
      <c r="J572" s="320">
        <v>-0.65833820279809219</v>
      </c>
      <c r="K572" s="320">
        <v>0</v>
      </c>
      <c r="L572" s="319">
        <v>0</v>
      </c>
      <c r="M572" s="319">
        <v>0</v>
      </c>
      <c r="N572" s="319">
        <v>0</v>
      </c>
      <c r="O572" s="320">
        <v>0</v>
      </c>
      <c r="P572" s="320">
        <v>0</v>
      </c>
      <c r="Q572" s="319">
        <v>0</v>
      </c>
      <c r="R572" s="320">
        <v>0</v>
      </c>
      <c r="S572" s="320">
        <v>-0.65833820279809219</v>
      </c>
      <c r="T572" s="320"/>
      <c r="U572" s="320"/>
      <c r="V572" s="316"/>
    </row>
    <row r="573" spans="1:22">
      <c r="A573" s="311"/>
      <c r="B573" s="291" t="s">
        <v>796</v>
      </c>
      <c r="C573" s="308">
        <v>2.2096983457671098E-3</v>
      </c>
      <c r="D573" s="309">
        <v>0</v>
      </c>
      <c r="E573" s="309">
        <v>6.4430059275654532E-3</v>
      </c>
      <c r="F573" s="309">
        <v>0</v>
      </c>
      <c r="G573" s="309">
        <v>0</v>
      </c>
      <c r="H573" s="309">
        <v>0</v>
      </c>
      <c r="I573" s="309">
        <v>0</v>
      </c>
      <c r="J573" s="310">
        <v>3.4939575725960702E-3</v>
      </c>
      <c r="K573" s="310">
        <v>0</v>
      </c>
      <c r="L573" s="309">
        <v>0</v>
      </c>
      <c r="M573" s="309">
        <v>0</v>
      </c>
      <c r="N573" s="309">
        <v>0</v>
      </c>
      <c r="O573" s="310">
        <v>0</v>
      </c>
      <c r="P573" s="310">
        <v>0</v>
      </c>
      <c r="Q573" s="309">
        <v>0</v>
      </c>
      <c r="R573" s="310">
        <v>0</v>
      </c>
      <c r="S573" s="310">
        <v>3.4939575725960702E-3</v>
      </c>
      <c r="T573" s="310"/>
      <c r="U573" s="310"/>
      <c r="V573" s="316"/>
    </row>
    <row r="574" spans="1:22">
      <c r="A574" s="311"/>
      <c r="B574" s="312" t="s">
        <v>797</v>
      </c>
      <c r="C574" s="313">
        <v>3.1585929521262596E-5</v>
      </c>
      <c r="D574" s="314">
        <v>0</v>
      </c>
      <c r="E574" s="314">
        <v>1.2035665451230628E-2</v>
      </c>
      <c r="F574" s="314">
        <v>0</v>
      </c>
      <c r="G574" s="314">
        <v>0</v>
      </c>
      <c r="H574" s="314">
        <v>0</v>
      </c>
      <c r="I574" s="314">
        <v>0</v>
      </c>
      <c r="J574" s="315">
        <v>4.5493562231759656E-3</v>
      </c>
      <c r="K574" s="315">
        <v>0</v>
      </c>
      <c r="L574" s="314">
        <v>0</v>
      </c>
      <c r="M574" s="314">
        <v>0</v>
      </c>
      <c r="N574" s="314">
        <v>0</v>
      </c>
      <c r="O574" s="315">
        <v>0</v>
      </c>
      <c r="P574" s="315">
        <v>0</v>
      </c>
      <c r="Q574" s="314">
        <v>0</v>
      </c>
      <c r="R574" s="315">
        <v>0</v>
      </c>
      <c r="S574" s="315">
        <v>4.5493562231759656E-3</v>
      </c>
      <c r="T574" s="315"/>
      <c r="U574" s="315"/>
      <c r="V574" s="316"/>
    </row>
    <row r="575" spans="1:22">
      <c r="A575" s="311"/>
      <c r="B575" s="317" t="s">
        <v>798</v>
      </c>
      <c r="C575" s="318">
        <v>-0.21781124162458471</v>
      </c>
      <c r="D575" s="319">
        <v>0</v>
      </c>
      <c r="E575" s="319">
        <v>0.55926595236651755</v>
      </c>
      <c r="F575" s="319">
        <v>0</v>
      </c>
      <c r="G575" s="319">
        <v>0</v>
      </c>
      <c r="H575" s="319">
        <v>0</v>
      </c>
      <c r="I575" s="319">
        <v>0</v>
      </c>
      <c r="J575" s="320">
        <v>0.10553986505798954</v>
      </c>
      <c r="K575" s="320">
        <v>0</v>
      </c>
      <c r="L575" s="319">
        <v>0</v>
      </c>
      <c r="M575" s="319">
        <v>0</v>
      </c>
      <c r="N575" s="319">
        <v>0</v>
      </c>
      <c r="O575" s="320">
        <v>0</v>
      </c>
      <c r="P575" s="320">
        <v>0</v>
      </c>
      <c r="Q575" s="319">
        <v>0</v>
      </c>
      <c r="R575" s="320">
        <v>0</v>
      </c>
      <c r="S575" s="320">
        <v>0.10553986505798954</v>
      </c>
      <c r="T575" s="320"/>
      <c r="U575" s="320"/>
      <c r="V575" s="316"/>
    </row>
    <row r="576" spans="1:22">
      <c r="A576" s="311"/>
      <c r="B576" s="291" t="s">
        <v>799</v>
      </c>
      <c r="C576" s="308">
        <v>4.186263379824846E-3</v>
      </c>
      <c r="D576" s="309">
        <v>0</v>
      </c>
      <c r="E576" s="309">
        <v>0</v>
      </c>
      <c r="F576" s="309">
        <v>0</v>
      </c>
      <c r="G576" s="309">
        <v>0</v>
      </c>
      <c r="H576" s="309">
        <v>0</v>
      </c>
      <c r="I576" s="309">
        <v>0</v>
      </c>
      <c r="J576" s="310">
        <v>2.2441749260998086E-3</v>
      </c>
      <c r="K576" s="310">
        <v>0</v>
      </c>
      <c r="L576" s="309">
        <v>0</v>
      </c>
      <c r="M576" s="309">
        <v>0</v>
      </c>
      <c r="N576" s="309">
        <v>0</v>
      </c>
      <c r="O576" s="310">
        <v>0</v>
      </c>
      <c r="P576" s="310">
        <v>0</v>
      </c>
      <c r="Q576" s="309">
        <v>0</v>
      </c>
      <c r="R576" s="310">
        <v>0</v>
      </c>
      <c r="S576" s="310">
        <v>2.2441749260998086E-3</v>
      </c>
      <c r="T576" s="310"/>
      <c r="U576" s="310"/>
      <c r="V576" s="316"/>
    </row>
    <row r="577" spans="1:22">
      <c r="A577" s="311"/>
      <c r="B577" s="312" t="s">
        <v>800</v>
      </c>
      <c r="C577" s="313">
        <v>6.4435296223375694E-3</v>
      </c>
      <c r="D577" s="314">
        <v>0</v>
      </c>
      <c r="E577" s="314">
        <v>0</v>
      </c>
      <c r="F577" s="314">
        <v>0</v>
      </c>
      <c r="G577" s="314">
        <v>0</v>
      </c>
      <c r="H577" s="314">
        <v>0</v>
      </c>
      <c r="I577" s="314">
        <v>0</v>
      </c>
      <c r="J577" s="315">
        <v>3.2832618025751075E-3</v>
      </c>
      <c r="K577" s="315">
        <v>0</v>
      </c>
      <c r="L577" s="314">
        <v>0</v>
      </c>
      <c r="M577" s="314">
        <v>0</v>
      </c>
      <c r="N577" s="314">
        <v>0</v>
      </c>
      <c r="O577" s="315">
        <v>0</v>
      </c>
      <c r="P577" s="315">
        <v>0</v>
      </c>
      <c r="Q577" s="314">
        <v>0</v>
      </c>
      <c r="R577" s="315">
        <v>0</v>
      </c>
      <c r="S577" s="315">
        <v>3.2832618025751075E-3</v>
      </c>
      <c r="T577" s="315"/>
      <c r="U577" s="315"/>
      <c r="V577" s="316"/>
    </row>
    <row r="578" spans="1:22">
      <c r="A578" s="311"/>
      <c r="B578" s="317" t="s">
        <v>801</v>
      </c>
      <c r="C578" s="318">
        <v>0.22572662425127235</v>
      </c>
      <c r="D578" s="319">
        <v>0</v>
      </c>
      <c r="E578" s="319">
        <v>0</v>
      </c>
      <c r="F578" s="319">
        <v>0</v>
      </c>
      <c r="G578" s="319">
        <v>0</v>
      </c>
      <c r="H578" s="319">
        <v>0</v>
      </c>
      <c r="I578" s="319">
        <v>0</v>
      </c>
      <c r="J578" s="320">
        <v>0.10390868764752989</v>
      </c>
      <c r="K578" s="320">
        <v>0</v>
      </c>
      <c r="L578" s="319">
        <v>0</v>
      </c>
      <c r="M578" s="319">
        <v>0</v>
      </c>
      <c r="N578" s="319">
        <v>0</v>
      </c>
      <c r="O578" s="320">
        <v>0</v>
      </c>
      <c r="P578" s="320">
        <v>0</v>
      </c>
      <c r="Q578" s="319">
        <v>0</v>
      </c>
      <c r="R578" s="320">
        <v>0</v>
      </c>
      <c r="S578" s="320">
        <v>0.10390868764752989</v>
      </c>
      <c r="T578" s="320"/>
      <c r="U578" s="320"/>
      <c r="V578" s="316"/>
    </row>
    <row r="579" spans="1:22">
      <c r="A579" s="311"/>
      <c r="B579" s="291" t="s">
        <v>802</v>
      </c>
      <c r="C579" s="308">
        <v>0</v>
      </c>
      <c r="D579" s="309">
        <v>0</v>
      </c>
      <c r="E579" s="309">
        <v>0</v>
      </c>
      <c r="F579" s="309">
        <v>0</v>
      </c>
      <c r="G579" s="309">
        <v>0</v>
      </c>
      <c r="H579" s="309">
        <v>0</v>
      </c>
      <c r="I579" s="309">
        <v>0</v>
      </c>
      <c r="J579" s="310">
        <v>0</v>
      </c>
      <c r="K579" s="310">
        <v>0</v>
      </c>
      <c r="L579" s="309">
        <v>0</v>
      </c>
      <c r="M579" s="309">
        <v>0</v>
      </c>
      <c r="N579" s="309">
        <v>0</v>
      </c>
      <c r="O579" s="310">
        <v>0</v>
      </c>
      <c r="P579" s="310">
        <v>0</v>
      </c>
      <c r="Q579" s="309">
        <v>0</v>
      </c>
      <c r="R579" s="310">
        <v>0</v>
      </c>
      <c r="S579" s="310">
        <v>0</v>
      </c>
      <c r="T579" s="310"/>
      <c r="U579" s="310"/>
      <c r="V579" s="316"/>
    </row>
    <row r="580" spans="1:22">
      <c r="A580" s="311"/>
      <c r="B580" s="312" t="s">
        <v>803</v>
      </c>
      <c r="C580" s="313">
        <v>0</v>
      </c>
      <c r="D580" s="314">
        <v>0</v>
      </c>
      <c r="E580" s="314">
        <v>0</v>
      </c>
      <c r="F580" s="314">
        <v>0</v>
      </c>
      <c r="G580" s="314">
        <v>0</v>
      </c>
      <c r="H580" s="314">
        <v>0</v>
      </c>
      <c r="I580" s="314">
        <v>0</v>
      </c>
      <c r="J580" s="315">
        <v>0</v>
      </c>
      <c r="K580" s="315">
        <v>0</v>
      </c>
      <c r="L580" s="314">
        <v>0</v>
      </c>
      <c r="M580" s="314">
        <v>0</v>
      </c>
      <c r="N580" s="314">
        <v>0</v>
      </c>
      <c r="O580" s="315">
        <v>0</v>
      </c>
      <c r="P580" s="315">
        <v>0</v>
      </c>
      <c r="Q580" s="314">
        <v>0</v>
      </c>
      <c r="R580" s="315">
        <v>0</v>
      </c>
      <c r="S580" s="315">
        <v>0</v>
      </c>
      <c r="T580" s="315"/>
      <c r="U580" s="315"/>
      <c r="V580" s="316"/>
    </row>
    <row r="581" spans="1:22" ht="15.75" thickBot="1">
      <c r="A581" s="329"/>
      <c r="B581" s="330" t="s">
        <v>804</v>
      </c>
      <c r="C581" s="331">
        <v>0</v>
      </c>
      <c r="D581" s="332">
        <v>0</v>
      </c>
      <c r="E581" s="332">
        <v>0</v>
      </c>
      <c r="F581" s="332">
        <v>0</v>
      </c>
      <c r="G581" s="332">
        <v>0</v>
      </c>
      <c r="H581" s="332">
        <v>0</v>
      </c>
      <c r="I581" s="332">
        <v>0</v>
      </c>
      <c r="J581" s="333">
        <v>0</v>
      </c>
      <c r="K581" s="333">
        <v>0</v>
      </c>
      <c r="L581" s="332">
        <v>0</v>
      </c>
      <c r="M581" s="332">
        <v>0</v>
      </c>
      <c r="N581" s="332">
        <v>0</v>
      </c>
      <c r="O581" s="333">
        <v>0</v>
      </c>
      <c r="P581" s="333">
        <v>0</v>
      </c>
      <c r="Q581" s="332">
        <v>0</v>
      </c>
      <c r="R581" s="333">
        <v>0</v>
      </c>
      <c r="S581" s="333">
        <v>0</v>
      </c>
      <c r="T581" s="333"/>
      <c r="U581" s="333"/>
      <c r="V581" s="316"/>
    </row>
    <row r="582" spans="1:22">
      <c r="A582" s="307" t="s">
        <v>805</v>
      </c>
      <c r="B582" s="291"/>
      <c r="C582" s="308">
        <v>0.86441834679819007</v>
      </c>
      <c r="D582" s="309">
        <v>0.84725442845357379</v>
      </c>
      <c r="E582" s="309">
        <v>0.82024499229301984</v>
      </c>
      <c r="F582" s="309">
        <v>0.80694750328366582</v>
      </c>
      <c r="G582" s="309">
        <v>0.80374852187818546</v>
      </c>
      <c r="H582" s="309">
        <v>0.80307488371748448</v>
      </c>
      <c r="I582" s="309">
        <v>6.3060462391249322E-2</v>
      </c>
      <c r="J582" s="310">
        <v>0.8328094033285538</v>
      </c>
      <c r="K582" s="310">
        <v>0.73553123189608338</v>
      </c>
      <c r="L582" s="309">
        <v>0.62848184079826663</v>
      </c>
      <c r="M582" s="309">
        <v>0.56335674887349485</v>
      </c>
      <c r="N582" s="309">
        <v>0.5606630854433835</v>
      </c>
      <c r="O582" s="310">
        <v>0.6275905163544242</v>
      </c>
      <c r="P582" s="310">
        <v>0.70602728686207283</v>
      </c>
      <c r="Q582" s="309">
        <v>0.94973231896308818</v>
      </c>
      <c r="R582" s="310">
        <v>0.71099470802451303</v>
      </c>
      <c r="S582" s="310">
        <v>0.73971804402868579</v>
      </c>
      <c r="T582" s="310"/>
      <c r="U582" s="310"/>
      <c r="V582" s="316"/>
    </row>
    <row r="583" spans="1:22">
      <c r="A583" s="311" t="s">
        <v>806</v>
      </c>
      <c r="B583" s="312"/>
      <c r="C583" s="313">
        <v>0.84575716307461934</v>
      </c>
      <c r="D583" s="314">
        <v>0.83664895919275839</v>
      </c>
      <c r="E583" s="314">
        <v>0.81081495333526521</v>
      </c>
      <c r="F583" s="314">
        <v>0.79187171013124313</v>
      </c>
      <c r="G583" s="314">
        <v>0.79454274018398263</v>
      </c>
      <c r="H583" s="314">
        <v>0.80404968520319786</v>
      </c>
      <c r="I583" s="314">
        <v>4.8732950518535663E-2</v>
      </c>
      <c r="J583" s="315">
        <v>0.81768147297216476</v>
      </c>
      <c r="K583" s="315">
        <v>0.71954899289792562</v>
      </c>
      <c r="L583" s="314">
        <v>0.60928350858396585</v>
      </c>
      <c r="M583" s="314">
        <v>0.546470405937725</v>
      </c>
      <c r="N583" s="314">
        <v>0.54665036474407758</v>
      </c>
      <c r="O583" s="315">
        <v>0.60993669102769366</v>
      </c>
      <c r="P583" s="315">
        <v>0.69925218510100862</v>
      </c>
      <c r="Q583" s="314">
        <v>0.86650384225889077</v>
      </c>
      <c r="R583" s="315">
        <v>0.702641438781343</v>
      </c>
      <c r="S583" s="315">
        <v>0.72631448452893932</v>
      </c>
      <c r="T583" s="315"/>
      <c r="U583" s="315"/>
      <c r="V583" s="316"/>
    </row>
    <row r="584" spans="1:22">
      <c r="A584" s="311" t="s">
        <v>807</v>
      </c>
      <c r="B584" s="317"/>
      <c r="C584" s="318">
        <v>-1.8661183723570729</v>
      </c>
      <c r="D584" s="319">
        <v>-1.0605469260815403</v>
      </c>
      <c r="E584" s="319">
        <v>-0.94300389577546273</v>
      </c>
      <c r="F584" s="319">
        <v>-1.507579315242269</v>
      </c>
      <c r="G584" s="319">
        <v>-0.92057816942028303</v>
      </c>
      <c r="H584" s="319">
        <v>9.7480148571338354E-2</v>
      </c>
      <c r="I584" s="319">
        <v>-1.4327511872713659</v>
      </c>
      <c r="J584" s="320">
        <v>-1.5127930356389041</v>
      </c>
      <c r="K584" s="320">
        <v>-1.5982238998157761</v>
      </c>
      <c r="L584" s="319">
        <v>-1.9198332214300784</v>
      </c>
      <c r="M584" s="319">
        <v>-1.6886342935769849</v>
      </c>
      <c r="N584" s="319">
        <v>-1.4012720699305925</v>
      </c>
      <c r="O584" s="320">
        <v>-1.7653825326730543</v>
      </c>
      <c r="P584" s="320">
        <v>-0.67751017610642172</v>
      </c>
      <c r="Q584" s="319">
        <v>-8.3228476704197423</v>
      </c>
      <c r="R584" s="320">
        <v>-0.83532692431700362</v>
      </c>
      <c r="S584" s="320">
        <v>-1.3403559499746476</v>
      </c>
      <c r="T584" s="320"/>
      <c r="U584" s="320"/>
      <c r="V584" s="316"/>
    </row>
    <row r="585" spans="1:22">
      <c r="A585" s="311" t="s">
        <v>808</v>
      </c>
      <c r="B585" s="291"/>
      <c r="C585" s="308">
        <v>2.226616362322284E-2</v>
      </c>
      <c r="D585" s="309">
        <v>2.6048765252413033E-2</v>
      </c>
      <c r="E585" s="309">
        <v>2.8160009315024874E-2</v>
      </c>
      <c r="F585" s="309">
        <v>1.731562339077124E-2</v>
      </c>
      <c r="G585" s="309">
        <v>2.5218932931454181E-2</v>
      </c>
      <c r="H585" s="309">
        <v>3.3967678843055793E-2</v>
      </c>
      <c r="I585" s="309">
        <v>9.0313901600366318E-3</v>
      </c>
      <c r="J585" s="310">
        <v>2.4277953512362158E-2</v>
      </c>
      <c r="K585" s="310">
        <v>3.5095923153416586E-2</v>
      </c>
      <c r="L585" s="309">
        <v>0.10690407625125242</v>
      </c>
      <c r="M585" s="309">
        <v>0.14175219334048891</v>
      </c>
      <c r="N585" s="309">
        <v>0.11764439554185192</v>
      </c>
      <c r="O585" s="310">
        <v>0.10252326581162154</v>
      </c>
      <c r="P585" s="310">
        <v>9.6544473150388319E-3</v>
      </c>
      <c r="Q585" s="309">
        <v>5.0267681036911809E-2</v>
      </c>
      <c r="R585" s="310">
        <v>1.0482263773837033E-2</v>
      </c>
      <c r="S585" s="310">
        <v>5.8389312732226632E-2</v>
      </c>
      <c r="T585" s="310"/>
      <c r="U585" s="310"/>
      <c r="V585" s="316"/>
    </row>
    <row r="586" spans="1:22">
      <c r="A586" s="311" t="s">
        <v>809</v>
      </c>
      <c r="B586" s="312"/>
      <c r="C586" s="313">
        <v>2.0481387400971038E-2</v>
      </c>
      <c r="D586" s="314">
        <v>2.5783766307598634E-2</v>
      </c>
      <c r="E586" s="314">
        <v>1.9705604732360514E-2</v>
      </c>
      <c r="F586" s="314">
        <v>1.6802653789438439E-2</v>
      </c>
      <c r="G586" s="314">
        <v>1.8867120318650381E-2</v>
      </c>
      <c r="H586" s="314">
        <v>2.1777580689761284E-2</v>
      </c>
      <c r="I586" s="314">
        <v>7.0050527696216697E-2</v>
      </c>
      <c r="J586" s="315">
        <v>2.1172592272296377E-2</v>
      </c>
      <c r="K586" s="315">
        <v>3.5702731970924217E-2</v>
      </c>
      <c r="L586" s="314">
        <v>0.11453576161393429</v>
      </c>
      <c r="M586" s="314">
        <v>0.14189055393407843</v>
      </c>
      <c r="N586" s="314">
        <v>0.11444457575909808</v>
      </c>
      <c r="O586" s="315">
        <v>0.10611389592349743</v>
      </c>
      <c r="P586" s="315">
        <v>8.5825106938444678E-3</v>
      </c>
      <c r="Q586" s="314">
        <v>4.7993487023688969E-2</v>
      </c>
      <c r="R586" s="315">
        <v>9.3811502938419798E-3</v>
      </c>
      <c r="S586" s="315">
        <v>5.7246649524080824E-2</v>
      </c>
      <c r="T586" s="315"/>
      <c r="U586" s="315"/>
      <c r="V586" s="316"/>
    </row>
    <row r="587" spans="1:22">
      <c r="A587" s="311" t="s">
        <v>810</v>
      </c>
      <c r="B587" s="317"/>
      <c r="C587" s="318">
        <v>-0.17847762222518021</v>
      </c>
      <c r="D587" s="319">
        <v>-2.6499894481439926E-2</v>
      </c>
      <c r="E587" s="319">
        <v>-0.84544045826643599</v>
      </c>
      <c r="F587" s="319">
        <v>-5.1296960133280153E-2</v>
      </c>
      <c r="G587" s="319">
        <v>-0.63518126128037988</v>
      </c>
      <c r="H587" s="319">
        <v>-1.2190098153294509</v>
      </c>
      <c r="I587" s="319">
        <v>6.1019137536180068</v>
      </c>
      <c r="J587" s="320">
        <v>-0.31053612400657804</v>
      </c>
      <c r="K587" s="320">
        <v>6.0680881750763138E-2</v>
      </c>
      <c r="L587" s="319">
        <v>0.76316853626818704</v>
      </c>
      <c r="M587" s="319">
        <v>1.3836059358951491E-2</v>
      </c>
      <c r="N587" s="319">
        <v>-0.31998197827538405</v>
      </c>
      <c r="O587" s="320">
        <v>0.35906301118758949</v>
      </c>
      <c r="P587" s="320">
        <v>-0.1071936621194364</v>
      </c>
      <c r="Q587" s="319">
        <v>-0.22741940132228397</v>
      </c>
      <c r="R587" s="320">
        <v>-0.11011134799950531</v>
      </c>
      <c r="S587" s="320">
        <v>-0.11426632081458082</v>
      </c>
      <c r="T587" s="320"/>
      <c r="U587" s="320"/>
      <c r="V587" s="316"/>
    </row>
    <row r="588" spans="1:22">
      <c r="A588" s="311" t="s">
        <v>811</v>
      </c>
      <c r="B588" s="291"/>
      <c r="C588" s="308">
        <v>0.10846326628069887</v>
      </c>
      <c r="D588" s="309">
        <v>0.11992841017996325</v>
      </c>
      <c r="E588" s="309">
        <v>0.14106414890683613</v>
      </c>
      <c r="F588" s="309">
        <v>0.17294369062411524</v>
      </c>
      <c r="G588" s="309">
        <v>0.15960847809204221</v>
      </c>
      <c r="H588" s="309">
        <v>0.15555462063814338</v>
      </c>
      <c r="I588" s="309">
        <v>0.92790814744871408</v>
      </c>
      <c r="J588" s="310">
        <v>0.13611994616424597</v>
      </c>
      <c r="K588" s="310">
        <v>0.22745198053363969</v>
      </c>
      <c r="L588" s="309">
        <v>0.26159288489727922</v>
      </c>
      <c r="M588" s="309">
        <v>0.27448620008541563</v>
      </c>
      <c r="N588" s="309">
        <v>0.29994568071967298</v>
      </c>
      <c r="O588" s="310">
        <v>0.26145741554196672</v>
      </c>
      <c r="P588" s="310">
        <v>0.280039994485274</v>
      </c>
      <c r="Q588" s="309">
        <v>0</v>
      </c>
      <c r="R588" s="310">
        <v>0.2743319605438197</v>
      </c>
      <c r="S588" s="310">
        <v>0.19443975659794274</v>
      </c>
      <c r="T588" s="310"/>
      <c r="U588" s="310"/>
      <c r="V588" s="316"/>
    </row>
    <row r="589" spans="1:22">
      <c r="A589" s="311" t="s">
        <v>812</v>
      </c>
      <c r="B589" s="312"/>
      <c r="C589" s="313">
        <v>0.12889805780760782</v>
      </c>
      <c r="D589" s="314">
        <v>0.13079993141281579</v>
      </c>
      <c r="E589" s="314">
        <v>0.15826545767704181</v>
      </c>
      <c r="F589" s="314">
        <v>0.18763544677088603</v>
      </c>
      <c r="G589" s="314">
        <v>0.16839859549646347</v>
      </c>
      <c r="H589" s="314">
        <v>0.16961729136905282</v>
      </c>
      <c r="I589" s="314">
        <v>0.88069220051009833</v>
      </c>
      <c r="J589" s="315">
        <v>0.15392075927069565</v>
      </c>
      <c r="K589" s="315">
        <v>0.24313543480027336</v>
      </c>
      <c r="L589" s="314">
        <v>0.27304823411425644</v>
      </c>
      <c r="M589" s="314">
        <v>0.29279662412327084</v>
      </c>
      <c r="N589" s="314">
        <v>0.31764124149074219</v>
      </c>
      <c r="O589" s="315">
        <v>0.27585997696993059</v>
      </c>
      <c r="P589" s="315">
        <v>0.28644212448945938</v>
      </c>
      <c r="Q589" s="314">
        <v>7.8493278529020466E-2</v>
      </c>
      <c r="R589" s="315">
        <v>0.28222816689125529</v>
      </c>
      <c r="S589" s="315">
        <v>0.20887622741154691</v>
      </c>
      <c r="T589" s="315"/>
      <c r="U589" s="315"/>
      <c r="V589" s="316"/>
    </row>
    <row r="590" spans="1:22">
      <c r="A590" s="311" t="s">
        <v>813</v>
      </c>
      <c r="B590" s="317"/>
      <c r="C590" s="318">
        <v>2.0434791526908955</v>
      </c>
      <c r="D590" s="319">
        <v>1.0871521232852537</v>
      </c>
      <c r="E590" s="319">
        <v>1.7201308770205674</v>
      </c>
      <c r="F590" s="319">
        <v>1.4691756146770789</v>
      </c>
      <c r="G590" s="319">
        <v>0.87901174044212604</v>
      </c>
      <c r="H590" s="319">
        <v>1.4062670730909443</v>
      </c>
      <c r="I590" s="319">
        <v>-4.7215946938615749</v>
      </c>
      <c r="J590" s="320">
        <v>1.780081310644968</v>
      </c>
      <c r="K590" s="320">
        <v>1.5683454266633672</v>
      </c>
      <c r="L590" s="319">
        <v>1.1455349216977218</v>
      </c>
      <c r="M590" s="319">
        <v>1.8310424037855211</v>
      </c>
      <c r="N590" s="319">
        <v>1.7695560771069208</v>
      </c>
      <c r="O590" s="320">
        <v>1.4402561427963867</v>
      </c>
      <c r="P590" s="320">
        <v>0.64021300041853801</v>
      </c>
      <c r="Q590" s="319">
        <v>0</v>
      </c>
      <c r="R590" s="320">
        <v>0.7896206347435597</v>
      </c>
      <c r="S590" s="320">
        <v>1.4436470813604163</v>
      </c>
      <c r="T590" s="320"/>
      <c r="U590" s="320"/>
      <c r="V590" s="316"/>
    </row>
    <row r="591" spans="1:22">
      <c r="A591" s="311" t="s">
        <v>814</v>
      </c>
      <c r="B591" s="291"/>
      <c r="C591" s="308">
        <v>2.2574644678673172E-3</v>
      </c>
      <c r="D591" s="309">
        <v>3.0188446644446895E-3</v>
      </c>
      <c r="E591" s="309">
        <v>2.6200883739222075E-3</v>
      </c>
      <c r="F591" s="309">
        <v>1.4458914668979768E-3</v>
      </c>
      <c r="G591" s="309">
        <v>9.9340330302699498E-3</v>
      </c>
      <c r="H591" s="309">
        <v>3.9754803574797081E-3</v>
      </c>
      <c r="I591" s="309">
        <v>0</v>
      </c>
      <c r="J591" s="310">
        <v>2.7595167953535986E-3</v>
      </c>
      <c r="K591" s="310">
        <v>3.3125745329269906E-4</v>
      </c>
      <c r="L591" s="309">
        <v>6.5592169591619507E-4</v>
      </c>
      <c r="M591" s="309">
        <v>1.5065092713225451E-2</v>
      </c>
      <c r="N591" s="309">
        <v>1.8714782740513847E-2</v>
      </c>
      <c r="O591" s="310">
        <v>5.4613739695108963E-3</v>
      </c>
      <c r="P591" s="310">
        <v>4.2782713376144713E-3</v>
      </c>
      <c r="Q591" s="309">
        <v>0</v>
      </c>
      <c r="R591" s="310">
        <v>4.1910676578303012E-3</v>
      </c>
      <c r="S591" s="310">
        <v>3.9811809143293951E-3</v>
      </c>
      <c r="T591" s="310"/>
      <c r="U591" s="310"/>
      <c r="V591" s="316"/>
    </row>
    <row r="592" spans="1:22">
      <c r="A592" s="311" t="s">
        <v>815</v>
      </c>
      <c r="B592" s="312"/>
      <c r="C592" s="313">
        <v>2.3369657780655567E-3</v>
      </c>
      <c r="D592" s="314">
        <v>3.103981011899455E-3</v>
      </c>
      <c r="E592" s="314">
        <v>3.1364486159143742E-3</v>
      </c>
      <c r="F592" s="314">
        <v>3.0957271000520712E-3</v>
      </c>
      <c r="G592" s="314">
        <v>1.0349601864619052E-2</v>
      </c>
      <c r="H592" s="314">
        <v>4.4064171019497439E-3</v>
      </c>
      <c r="I592" s="314">
        <v>5.2432127514934115E-4</v>
      </c>
      <c r="J592" s="315">
        <v>3.0813916810197785E-3</v>
      </c>
      <c r="K592" s="315">
        <v>1.8843883112155523E-4</v>
      </c>
      <c r="L592" s="314">
        <v>7.4867516519725721E-4</v>
      </c>
      <c r="M592" s="314">
        <v>1.4675020519878772E-2</v>
      </c>
      <c r="N592" s="314">
        <v>1.8074919949261945E-2</v>
      </c>
      <c r="O592" s="315">
        <v>5.397890152447936E-3</v>
      </c>
      <c r="P592" s="315">
        <v>4.7888249361260704E-3</v>
      </c>
      <c r="Q592" s="314">
        <v>0</v>
      </c>
      <c r="R592" s="315">
        <v>4.6917822950243411E-3</v>
      </c>
      <c r="S592" s="315">
        <v>4.107344637013963E-3</v>
      </c>
      <c r="T592" s="315"/>
      <c r="U592" s="315"/>
      <c r="V592" s="316"/>
    </row>
    <row r="593" spans="1:22">
      <c r="A593" s="311" t="s">
        <v>816</v>
      </c>
      <c r="B593" s="317"/>
      <c r="C593" s="318">
        <v>7.9501310198239541E-3</v>
      </c>
      <c r="D593" s="319">
        <v>8.5136347454765459E-3</v>
      </c>
      <c r="E593" s="319">
        <v>5.1636024199216674E-2</v>
      </c>
      <c r="F593" s="319">
        <v>0.16498356331540945</v>
      </c>
      <c r="G593" s="319">
        <v>4.155688343491018E-2</v>
      </c>
      <c r="H593" s="319">
        <v>4.3093674447003578E-2</v>
      </c>
      <c r="I593" s="319">
        <v>0</v>
      </c>
      <c r="J593" s="320">
        <v>3.2187488566617989E-2</v>
      </c>
      <c r="K593" s="320">
        <v>-1.4281862217114383E-2</v>
      </c>
      <c r="L593" s="319">
        <v>9.2753469281062137E-3</v>
      </c>
      <c r="M593" s="319">
        <v>-3.9007219334667893E-2</v>
      </c>
      <c r="N593" s="319">
        <v>-6.3986279125190226E-2</v>
      </c>
      <c r="O593" s="320">
        <v>-6.3483817062960288E-3</v>
      </c>
      <c r="P593" s="320">
        <v>5.1055359851159915E-2</v>
      </c>
      <c r="Q593" s="319">
        <v>0</v>
      </c>
      <c r="R593" s="320">
        <v>5.0071463719403991E-2</v>
      </c>
      <c r="S593" s="320">
        <v>1.2616372268456789E-2</v>
      </c>
      <c r="T593" s="320"/>
      <c r="U593" s="320"/>
      <c r="V593" s="316"/>
    </row>
    <row r="594" spans="1:22">
      <c r="A594" s="311" t="s">
        <v>817</v>
      </c>
      <c r="B594" s="291"/>
      <c r="C594" s="308">
        <v>1.965306905257268E-3</v>
      </c>
      <c r="D594" s="309">
        <v>3.1984578645645636E-3</v>
      </c>
      <c r="E594" s="309">
        <v>7.19478738812168E-3</v>
      </c>
      <c r="F594" s="309">
        <v>1.0372646333352915E-3</v>
      </c>
      <c r="G594" s="309">
        <v>1.4120589265233152E-3</v>
      </c>
      <c r="H594" s="309">
        <v>3.4273364438366732E-3</v>
      </c>
      <c r="I594" s="309">
        <v>0</v>
      </c>
      <c r="J594" s="310">
        <v>3.4612438546615947E-3</v>
      </c>
      <c r="K594" s="310">
        <v>1.3078773236799123E-3</v>
      </c>
      <c r="L594" s="309">
        <v>2.3340439024581369E-3</v>
      </c>
      <c r="M594" s="309">
        <v>5.1919853548491766E-3</v>
      </c>
      <c r="N594" s="309">
        <v>2.9934170544294982E-3</v>
      </c>
      <c r="O594" s="310">
        <v>2.8618616331052833E-3</v>
      </c>
      <c r="P594" s="310">
        <v>0</v>
      </c>
      <c r="Q594" s="309">
        <v>0</v>
      </c>
      <c r="R594" s="310">
        <v>0</v>
      </c>
      <c r="S594" s="310">
        <v>3.1180953315360473E-3</v>
      </c>
      <c r="T594" s="310"/>
      <c r="U594" s="310"/>
      <c r="V594" s="316"/>
    </row>
    <row r="595" spans="1:22">
      <c r="A595" s="311" t="s">
        <v>818</v>
      </c>
      <c r="B595" s="312"/>
      <c r="C595" s="313">
        <v>2.0143841317794924E-3</v>
      </c>
      <c r="D595" s="314">
        <v>3.1005270270939287E-3</v>
      </c>
      <c r="E595" s="314">
        <v>7.4411786225744838E-3</v>
      </c>
      <c r="F595" s="314">
        <v>3.8278645924246147E-4</v>
      </c>
      <c r="G595" s="314">
        <v>7.7400018612092036E-3</v>
      </c>
      <c r="H595" s="314">
        <v>1.4902563603826958E-4</v>
      </c>
      <c r="I595" s="314">
        <v>0</v>
      </c>
      <c r="J595" s="315">
        <v>3.6546512299828653E-3</v>
      </c>
      <c r="K595" s="315">
        <v>1.1435949641301784E-3</v>
      </c>
      <c r="L595" s="314">
        <v>2.3515039098084725E-3</v>
      </c>
      <c r="M595" s="314">
        <v>3.8589707339519641E-3</v>
      </c>
      <c r="N595" s="314">
        <v>3.1411910817351796E-3</v>
      </c>
      <c r="O595" s="315">
        <v>2.5460874671045706E-3</v>
      </c>
      <c r="P595" s="315">
        <v>9.3435477956147601E-4</v>
      </c>
      <c r="Q595" s="314">
        <v>7.0093921883997538E-3</v>
      </c>
      <c r="R595" s="315">
        <v>1.0574617385355034E-3</v>
      </c>
      <c r="S595" s="315">
        <v>3.1238300177440672E-3</v>
      </c>
      <c r="T595" s="315"/>
      <c r="U595" s="315"/>
      <c r="V595" s="316"/>
    </row>
    <row r="596" spans="1:22">
      <c r="A596" s="311" t="s">
        <v>819</v>
      </c>
      <c r="B596" s="317"/>
      <c r="C596" s="318">
        <v>4.907722652222439E-3</v>
      </c>
      <c r="D596" s="319">
        <v>-9.793083747063492E-3</v>
      </c>
      <c r="E596" s="319">
        <v>2.4639123445280384E-2</v>
      </c>
      <c r="F596" s="319">
        <v>-6.5447817409283002E-2</v>
      </c>
      <c r="G596" s="319">
        <v>0.63279429346858884</v>
      </c>
      <c r="H596" s="319">
        <v>-0.32783108077984036</v>
      </c>
      <c r="I596" s="319">
        <v>0</v>
      </c>
      <c r="J596" s="320">
        <v>1.9340737532127061E-2</v>
      </c>
      <c r="K596" s="320">
        <v>-1.6428235954973391E-2</v>
      </c>
      <c r="L596" s="319">
        <v>1.7460007350335576E-3</v>
      </c>
      <c r="M596" s="319">
        <v>-0.13330146208972127</v>
      </c>
      <c r="N596" s="319">
        <v>1.4777402730568141E-2</v>
      </c>
      <c r="O596" s="320">
        <v>-3.1577416600071274E-2</v>
      </c>
      <c r="P596" s="320">
        <v>0</v>
      </c>
      <c r="Q596" s="319">
        <v>0</v>
      </c>
      <c r="R596" s="320">
        <v>0</v>
      </c>
      <c r="S596" s="320">
        <v>5.7346862080199547E-4</v>
      </c>
      <c r="T596" s="320"/>
      <c r="U596" s="320"/>
      <c r="V596" s="316"/>
    </row>
    <row r="597" spans="1:22">
      <c r="A597" s="311" t="s">
        <v>820</v>
      </c>
      <c r="B597" s="291"/>
      <c r="C597" s="308">
        <v>6.2945192476358174E-4</v>
      </c>
      <c r="D597" s="309">
        <v>5.5109358504069818E-4</v>
      </c>
      <c r="E597" s="309">
        <v>7.1597372307524135E-4</v>
      </c>
      <c r="F597" s="309">
        <v>3.1002660121442626E-4</v>
      </c>
      <c r="G597" s="309">
        <v>7.7975141524881872E-5</v>
      </c>
      <c r="H597" s="309">
        <v>0</v>
      </c>
      <c r="I597" s="309">
        <v>0</v>
      </c>
      <c r="J597" s="310">
        <v>5.7193634482297106E-4</v>
      </c>
      <c r="K597" s="310">
        <v>2.8172963988777128E-4</v>
      </c>
      <c r="L597" s="309">
        <v>3.123245482727216E-5</v>
      </c>
      <c r="M597" s="309">
        <v>1.4777963252590143E-4</v>
      </c>
      <c r="N597" s="309">
        <v>3.8638500148242651E-5</v>
      </c>
      <c r="O597" s="310">
        <v>1.055666893714252E-4</v>
      </c>
      <c r="P597" s="310">
        <v>0</v>
      </c>
      <c r="Q597" s="309">
        <v>0</v>
      </c>
      <c r="R597" s="310">
        <v>0</v>
      </c>
      <c r="S597" s="310">
        <v>3.5361039527936406E-4</v>
      </c>
      <c r="T597" s="310"/>
      <c r="U597" s="310"/>
      <c r="V597" s="316"/>
    </row>
    <row r="598" spans="1:22">
      <c r="A598" s="311" t="s">
        <v>821</v>
      </c>
      <c r="B598" s="312"/>
      <c r="C598" s="313">
        <v>5.1204180695672646E-4</v>
      </c>
      <c r="D598" s="314">
        <v>5.6283504783382439E-4</v>
      </c>
      <c r="E598" s="314">
        <v>6.3635701684368578E-4</v>
      </c>
      <c r="F598" s="314">
        <v>2.1167574913793149E-4</v>
      </c>
      <c r="G598" s="314">
        <v>1.0194027507535411E-4</v>
      </c>
      <c r="H598" s="314">
        <v>0</v>
      </c>
      <c r="I598" s="314">
        <v>0</v>
      </c>
      <c r="J598" s="315">
        <v>4.8913257384053063E-4</v>
      </c>
      <c r="K598" s="315">
        <v>2.8080653562506902E-4</v>
      </c>
      <c r="L598" s="314">
        <v>3.2316612837697107E-5</v>
      </c>
      <c r="M598" s="314">
        <v>3.0842475109499286E-4</v>
      </c>
      <c r="N598" s="314">
        <v>4.7706975085032263E-5</v>
      </c>
      <c r="O598" s="315">
        <v>1.4545845932583708E-4</v>
      </c>
      <c r="P598" s="315">
        <v>0</v>
      </c>
      <c r="Q598" s="314">
        <v>0</v>
      </c>
      <c r="R598" s="315">
        <v>0</v>
      </c>
      <c r="S598" s="315">
        <v>3.3146388067492729E-4</v>
      </c>
      <c r="T598" s="315"/>
      <c r="U598" s="315"/>
      <c r="V598" s="316"/>
    </row>
    <row r="599" spans="1:22" ht="15.75" thickBot="1">
      <c r="A599" s="311" t="s">
        <v>822</v>
      </c>
      <c r="B599" s="325"/>
      <c r="C599" s="326">
        <v>-1.1741011780685529E-2</v>
      </c>
      <c r="D599" s="327">
        <v>1.1741462793126204E-3</v>
      </c>
      <c r="E599" s="327">
        <v>-7.9616706231555572E-3</v>
      </c>
      <c r="F599" s="327">
        <v>-9.8350852076494761E-3</v>
      </c>
      <c r="G599" s="327">
        <v>2.3965133550472241E-3</v>
      </c>
      <c r="H599" s="327">
        <v>0</v>
      </c>
      <c r="I599" s="327">
        <v>0</v>
      </c>
      <c r="J599" s="328">
        <v>-8.2803770982440433E-3</v>
      </c>
      <c r="K599" s="328">
        <v>-9.2310426270226327E-5</v>
      </c>
      <c r="L599" s="327">
        <v>1.0841580104249468E-4</v>
      </c>
      <c r="M599" s="327">
        <v>1.6064511856909141E-2</v>
      </c>
      <c r="N599" s="327">
        <v>9.0684749367896122E-4</v>
      </c>
      <c r="O599" s="328">
        <v>3.9891769954411875E-3</v>
      </c>
      <c r="P599" s="328">
        <v>0</v>
      </c>
      <c r="Q599" s="327">
        <v>0</v>
      </c>
      <c r="R599" s="328">
        <v>0</v>
      </c>
      <c r="S599" s="328">
        <v>-2.2146514604436769E-3</v>
      </c>
      <c r="T599" s="328"/>
      <c r="U599" s="328"/>
      <c r="V599" s="316"/>
    </row>
    <row r="600" spans="1:22" ht="15.75" thickTop="1">
      <c r="A600" s="311" t="s">
        <v>823</v>
      </c>
      <c r="B600" s="312"/>
      <c r="C600" s="313">
        <v>0.78483391352928222</v>
      </c>
      <c r="D600" s="314">
        <v>0.71732784317650766</v>
      </c>
      <c r="E600" s="314">
        <v>0.52681290581294182</v>
      </c>
      <c r="F600" s="314">
        <v>0.61781810751835697</v>
      </c>
      <c r="G600" s="314">
        <v>0.44819131245597932</v>
      </c>
      <c r="H600" s="314">
        <v>0.85210233203532748</v>
      </c>
      <c r="I600" s="314">
        <v>0.30819988634799395</v>
      </c>
      <c r="J600" s="315">
        <v>0.69515121396509827</v>
      </c>
      <c r="K600" s="315">
        <v>0</v>
      </c>
      <c r="L600" s="314">
        <v>0</v>
      </c>
      <c r="M600" s="314">
        <v>0</v>
      </c>
      <c r="N600" s="314">
        <v>0</v>
      </c>
      <c r="O600" s="315">
        <v>0</v>
      </c>
      <c r="P600" s="315">
        <v>0</v>
      </c>
      <c r="Q600" s="314">
        <v>0</v>
      </c>
      <c r="R600" s="315">
        <v>0</v>
      </c>
      <c r="S600" s="315">
        <v>0.69515121396509827</v>
      </c>
      <c r="T600" s="315"/>
      <c r="U600" s="315"/>
      <c r="V600" s="316"/>
    </row>
    <row r="601" spans="1:22">
      <c r="A601" s="311" t="s">
        <v>824</v>
      </c>
      <c r="B601" s="312"/>
      <c r="C601" s="313">
        <v>0.76207797713922465</v>
      </c>
      <c r="D601" s="314">
        <v>0.70873067318476113</v>
      </c>
      <c r="E601" s="314">
        <v>0.50815623347359973</v>
      </c>
      <c r="F601" s="314">
        <v>0.57357360519257106</v>
      </c>
      <c r="G601" s="314">
        <v>0.43417041219537211</v>
      </c>
      <c r="H601" s="314">
        <v>0.55409576573011476</v>
      </c>
      <c r="I601" s="314">
        <v>0.28221460068593829</v>
      </c>
      <c r="J601" s="315">
        <v>0.66943887643856115</v>
      </c>
      <c r="K601" s="315">
        <v>0</v>
      </c>
      <c r="L601" s="314">
        <v>0</v>
      </c>
      <c r="M601" s="314">
        <v>0</v>
      </c>
      <c r="N601" s="314">
        <v>0</v>
      </c>
      <c r="O601" s="315">
        <v>0</v>
      </c>
      <c r="P601" s="315">
        <v>0</v>
      </c>
      <c r="Q601" s="314">
        <v>0</v>
      </c>
      <c r="R601" s="315">
        <v>0</v>
      </c>
      <c r="S601" s="315">
        <v>0.66943887643856115</v>
      </c>
      <c r="T601" s="315"/>
      <c r="U601" s="315"/>
      <c r="V601" s="316"/>
    </row>
    <row r="602" spans="1:22">
      <c r="A602" s="311" t="s">
        <v>825</v>
      </c>
      <c r="B602" s="317"/>
      <c r="C602" s="318">
        <v>-2.2755936390057574</v>
      </c>
      <c r="D602" s="319">
        <v>-0.85971699917465338</v>
      </c>
      <c r="E602" s="319">
        <v>-1.8656672339342095</v>
      </c>
      <c r="F602" s="319">
        <v>-4.4244502325785913</v>
      </c>
      <c r="G602" s="319">
        <v>-1.4020900260607205</v>
      </c>
      <c r="H602" s="319">
        <v>-29.800656630521271</v>
      </c>
      <c r="I602" s="319">
        <v>-2.5985285662055659</v>
      </c>
      <c r="J602" s="320">
        <v>-2.5712337526537121</v>
      </c>
      <c r="K602" s="320">
        <v>0</v>
      </c>
      <c r="L602" s="319">
        <v>0</v>
      </c>
      <c r="M602" s="319">
        <v>0</v>
      </c>
      <c r="N602" s="319">
        <v>0</v>
      </c>
      <c r="O602" s="320">
        <v>0</v>
      </c>
      <c r="P602" s="320">
        <v>0</v>
      </c>
      <c r="Q602" s="319">
        <v>0</v>
      </c>
      <c r="R602" s="320">
        <v>0</v>
      </c>
      <c r="S602" s="320">
        <v>-2.5712337526537121</v>
      </c>
      <c r="T602" s="320"/>
      <c r="U602" s="320"/>
      <c r="V602" s="316"/>
    </row>
    <row r="603" spans="1:22">
      <c r="A603" s="311" t="s">
        <v>826</v>
      </c>
      <c r="B603" s="291"/>
      <c r="C603" s="308">
        <v>5.923078645917574E-2</v>
      </c>
      <c r="D603" s="309">
        <v>5.2370576301750696E-2</v>
      </c>
      <c r="E603" s="309">
        <v>5.2627983283843306E-2</v>
      </c>
      <c r="F603" s="309">
        <v>5.6694988990847732E-2</v>
      </c>
      <c r="G603" s="309">
        <v>3.1865793706118473E-2</v>
      </c>
      <c r="H603" s="309">
        <v>4.4353049272137457E-2</v>
      </c>
      <c r="I603" s="309">
        <v>2.6526448798359459E-2</v>
      </c>
      <c r="J603" s="310">
        <v>5.5256778741999961E-2</v>
      </c>
      <c r="K603" s="310">
        <v>0</v>
      </c>
      <c r="L603" s="309">
        <v>0</v>
      </c>
      <c r="M603" s="309">
        <v>0</v>
      </c>
      <c r="N603" s="309">
        <v>0</v>
      </c>
      <c r="O603" s="310">
        <v>0</v>
      </c>
      <c r="P603" s="310">
        <v>0</v>
      </c>
      <c r="Q603" s="309">
        <v>0</v>
      </c>
      <c r="R603" s="310">
        <v>0</v>
      </c>
      <c r="S603" s="310">
        <v>5.5256778741999961E-2</v>
      </c>
      <c r="T603" s="310"/>
      <c r="U603" s="310"/>
      <c r="V603" s="316"/>
    </row>
    <row r="604" spans="1:22">
      <c r="A604" s="311" t="s">
        <v>827</v>
      </c>
      <c r="B604" s="312"/>
      <c r="C604" s="313">
        <v>6.3256534437582043E-2</v>
      </c>
      <c r="D604" s="314">
        <v>4.3124599137990112E-2</v>
      </c>
      <c r="E604" s="314">
        <v>4.6578881476727972E-2</v>
      </c>
      <c r="F604" s="314">
        <v>5.7876380894249901E-2</v>
      </c>
      <c r="G604" s="314">
        <v>2.5601409778287777E-2</v>
      </c>
      <c r="H604" s="314">
        <v>8.5476850019786301E-3</v>
      </c>
      <c r="I604" s="314">
        <v>2.6570941948557962E-2</v>
      </c>
      <c r="J604" s="315">
        <v>5.5258447956737809E-2</v>
      </c>
      <c r="K604" s="315">
        <v>0</v>
      </c>
      <c r="L604" s="314">
        <v>0</v>
      </c>
      <c r="M604" s="314">
        <v>0</v>
      </c>
      <c r="N604" s="314">
        <v>0</v>
      </c>
      <c r="O604" s="315">
        <v>0</v>
      </c>
      <c r="P604" s="315">
        <v>0</v>
      </c>
      <c r="Q604" s="314">
        <v>0</v>
      </c>
      <c r="R604" s="315">
        <v>0</v>
      </c>
      <c r="S604" s="315">
        <v>5.5258447956737809E-2</v>
      </c>
      <c r="T604" s="315"/>
      <c r="U604" s="315"/>
      <c r="V604" s="316"/>
    </row>
    <row r="605" spans="1:22">
      <c r="A605" s="311" t="s">
        <v>828</v>
      </c>
      <c r="B605" s="317"/>
      <c r="C605" s="318">
        <v>0.40257479784063033</v>
      </c>
      <c r="D605" s="319">
        <v>-0.92459771637605837</v>
      </c>
      <c r="E605" s="319">
        <v>-0.60491018071153335</v>
      </c>
      <c r="F605" s="319">
        <v>0.11813919034021694</v>
      </c>
      <c r="G605" s="319">
        <v>-0.62643839278306956</v>
      </c>
      <c r="H605" s="319">
        <v>-3.5805364270158826</v>
      </c>
      <c r="I605" s="319">
        <v>4.4493150198502557E-3</v>
      </c>
      <c r="J605" s="320">
        <v>1.6692147378483124E-4</v>
      </c>
      <c r="K605" s="320">
        <v>0</v>
      </c>
      <c r="L605" s="319">
        <v>0</v>
      </c>
      <c r="M605" s="319">
        <v>0</v>
      </c>
      <c r="N605" s="319">
        <v>0</v>
      </c>
      <c r="O605" s="320">
        <v>0</v>
      </c>
      <c r="P605" s="320">
        <v>0</v>
      </c>
      <c r="Q605" s="319">
        <v>0</v>
      </c>
      <c r="R605" s="320">
        <v>0</v>
      </c>
      <c r="S605" s="320">
        <v>1.6692147378483124E-4</v>
      </c>
      <c r="T605" s="320"/>
      <c r="U605" s="320"/>
      <c r="V605" s="316"/>
    </row>
    <row r="606" spans="1:22">
      <c r="A606" s="311" t="s">
        <v>829</v>
      </c>
      <c r="B606" s="291"/>
      <c r="C606" s="308">
        <v>0.14176317594743723</v>
      </c>
      <c r="D606" s="309">
        <v>0.22121379277746284</v>
      </c>
      <c r="E606" s="309">
        <v>0.40637304825917242</v>
      </c>
      <c r="F606" s="309">
        <v>0.32376559722012638</v>
      </c>
      <c r="G606" s="309">
        <v>0.48548008806251186</v>
      </c>
      <c r="H606" s="309">
        <v>0.10294457743969898</v>
      </c>
      <c r="I606" s="309">
        <v>0.66447951263760896</v>
      </c>
      <c r="J606" s="310">
        <v>0.23681335576299201</v>
      </c>
      <c r="K606" s="310">
        <v>0</v>
      </c>
      <c r="L606" s="309">
        <v>0</v>
      </c>
      <c r="M606" s="309">
        <v>0</v>
      </c>
      <c r="N606" s="309">
        <v>0</v>
      </c>
      <c r="O606" s="310">
        <v>0</v>
      </c>
      <c r="P606" s="310">
        <v>0</v>
      </c>
      <c r="Q606" s="309">
        <v>0</v>
      </c>
      <c r="R606" s="310">
        <v>0</v>
      </c>
      <c r="S606" s="310">
        <v>0.23681335576299201</v>
      </c>
      <c r="T606" s="310"/>
      <c r="U606" s="310"/>
      <c r="V606" s="316"/>
    </row>
    <row r="607" spans="1:22">
      <c r="A607" s="311" t="s">
        <v>830</v>
      </c>
      <c r="B607" s="312"/>
      <c r="C607" s="313">
        <v>0.1635419757251598</v>
      </c>
      <c r="D607" s="314">
        <v>0.23991408827841532</v>
      </c>
      <c r="E607" s="314">
        <v>0.43118343750604921</v>
      </c>
      <c r="F607" s="314">
        <v>0.36164493065559872</v>
      </c>
      <c r="G607" s="314">
        <v>0.5119629429949889</v>
      </c>
      <c r="H607" s="314">
        <v>0.43735654926790662</v>
      </c>
      <c r="I607" s="314">
        <v>0.68389844913957742</v>
      </c>
      <c r="J607" s="315">
        <v>0.26383238812801896</v>
      </c>
      <c r="K607" s="315">
        <v>0</v>
      </c>
      <c r="L607" s="314">
        <v>0</v>
      </c>
      <c r="M607" s="314">
        <v>0</v>
      </c>
      <c r="N607" s="314">
        <v>0</v>
      </c>
      <c r="O607" s="315">
        <v>0</v>
      </c>
      <c r="P607" s="315">
        <v>0</v>
      </c>
      <c r="Q607" s="314">
        <v>0</v>
      </c>
      <c r="R607" s="315">
        <v>0</v>
      </c>
      <c r="S607" s="315">
        <v>0.26383238812801896</v>
      </c>
      <c r="T607" s="315"/>
      <c r="U607" s="315"/>
      <c r="V607" s="316"/>
    </row>
    <row r="608" spans="1:22">
      <c r="A608" s="311" t="s">
        <v>831</v>
      </c>
      <c r="B608" s="317"/>
      <c r="C608" s="318">
        <v>2.1778799777722568</v>
      </c>
      <c r="D608" s="319">
        <v>1.870029550095248</v>
      </c>
      <c r="E608" s="319">
        <v>2.4810389246876783</v>
      </c>
      <c r="F608" s="319">
        <v>3.787933343547234</v>
      </c>
      <c r="G608" s="319">
        <v>2.648285493247704</v>
      </c>
      <c r="H608" s="319">
        <v>33.441197182820765</v>
      </c>
      <c r="I608" s="319">
        <v>1.9418936501968465</v>
      </c>
      <c r="J608" s="320">
        <v>2.7019032365026954</v>
      </c>
      <c r="K608" s="320">
        <v>0</v>
      </c>
      <c r="L608" s="319">
        <v>0</v>
      </c>
      <c r="M608" s="319">
        <v>0</v>
      </c>
      <c r="N608" s="319">
        <v>0</v>
      </c>
      <c r="O608" s="320">
        <v>0</v>
      </c>
      <c r="P608" s="320">
        <v>0</v>
      </c>
      <c r="Q608" s="319">
        <v>0</v>
      </c>
      <c r="R608" s="320">
        <v>0</v>
      </c>
      <c r="S608" s="320">
        <v>2.7019032365026954</v>
      </c>
      <c r="T608" s="320"/>
      <c r="U608" s="320"/>
      <c r="V608" s="316"/>
    </row>
    <row r="609" spans="1:22">
      <c r="A609" s="311" t="s">
        <v>832</v>
      </c>
      <c r="B609" s="291"/>
      <c r="C609" s="308">
        <v>8.4480563256663661E-3</v>
      </c>
      <c r="D609" s="309">
        <v>3.4724765101373299E-3</v>
      </c>
      <c r="E609" s="309">
        <v>5.4391141678047754E-3</v>
      </c>
      <c r="F609" s="309">
        <v>3.9952153520611917E-3</v>
      </c>
      <c r="G609" s="309">
        <v>1.9354574158363062E-2</v>
      </c>
      <c r="H609" s="309">
        <v>0</v>
      </c>
      <c r="I609" s="309">
        <v>7.9415221603763928E-4</v>
      </c>
      <c r="J609" s="310">
        <v>6.9391511061138392E-3</v>
      </c>
      <c r="K609" s="310">
        <v>0</v>
      </c>
      <c r="L609" s="309">
        <v>0</v>
      </c>
      <c r="M609" s="309">
        <v>0</v>
      </c>
      <c r="N609" s="309">
        <v>0</v>
      </c>
      <c r="O609" s="310">
        <v>0</v>
      </c>
      <c r="P609" s="310">
        <v>0</v>
      </c>
      <c r="Q609" s="309">
        <v>0</v>
      </c>
      <c r="R609" s="310">
        <v>0</v>
      </c>
      <c r="S609" s="310">
        <v>6.9391511061138392E-3</v>
      </c>
      <c r="T609" s="310"/>
      <c r="U609" s="310"/>
      <c r="V609" s="316"/>
    </row>
    <row r="610" spans="1:22">
      <c r="A610" s="311" t="s">
        <v>833</v>
      </c>
      <c r="B610" s="312"/>
      <c r="C610" s="313">
        <v>6.7468776124540763E-3</v>
      </c>
      <c r="D610" s="314">
        <v>3.2139857535355026E-3</v>
      </c>
      <c r="E610" s="314">
        <v>5.9562599595730462E-3</v>
      </c>
      <c r="F610" s="314">
        <v>6.60152724578408E-3</v>
      </c>
      <c r="G610" s="314">
        <v>1.3425679275439532E-2</v>
      </c>
      <c r="H610" s="314">
        <v>0</v>
      </c>
      <c r="I610" s="314">
        <v>7.3160082259263329E-3</v>
      </c>
      <c r="J610" s="315">
        <v>6.3721616396543376E-3</v>
      </c>
      <c r="K610" s="315">
        <v>0</v>
      </c>
      <c r="L610" s="314">
        <v>0</v>
      </c>
      <c r="M610" s="314">
        <v>0</v>
      </c>
      <c r="N610" s="314">
        <v>0</v>
      </c>
      <c r="O610" s="315">
        <v>0</v>
      </c>
      <c r="P610" s="315">
        <v>0</v>
      </c>
      <c r="Q610" s="314">
        <v>0</v>
      </c>
      <c r="R610" s="315">
        <v>0</v>
      </c>
      <c r="S610" s="315">
        <v>6.3721616396543376E-3</v>
      </c>
      <c r="T610" s="315"/>
      <c r="U610" s="315"/>
      <c r="V610" s="316"/>
    </row>
    <row r="611" spans="1:22">
      <c r="A611" s="311" t="s">
        <v>834</v>
      </c>
      <c r="B611" s="317"/>
      <c r="C611" s="318">
        <v>-0.17011787132122899</v>
      </c>
      <c r="D611" s="319">
        <v>-2.5849075660182731E-2</v>
      </c>
      <c r="E611" s="319">
        <v>5.1714579176827084E-2</v>
      </c>
      <c r="F611" s="319">
        <v>0.26063118937228885</v>
      </c>
      <c r="G611" s="319">
        <v>-0.592889488292353</v>
      </c>
      <c r="H611" s="319">
        <v>0</v>
      </c>
      <c r="I611" s="319">
        <v>0.65218560098886935</v>
      </c>
      <c r="J611" s="320">
        <v>-5.6698946645950161E-2</v>
      </c>
      <c r="K611" s="320">
        <v>0</v>
      </c>
      <c r="L611" s="319">
        <v>0</v>
      </c>
      <c r="M611" s="319">
        <v>0</v>
      </c>
      <c r="N611" s="319">
        <v>0</v>
      </c>
      <c r="O611" s="320">
        <v>0</v>
      </c>
      <c r="P611" s="320">
        <v>0</v>
      </c>
      <c r="Q611" s="319">
        <v>0</v>
      </c>
      <c r="R611" s="320">
        <v>0</v>
      </c>
      <c r="S611" s="320">
        <v>-5.6698946645950161E-2</v>
      </c>
      <c r="T611" s="320"/>
      <c r="U611" s="320"/>
      <c r="V611" s="316"/>
    </row>
    <row r="612" spans="1:22">
      <c r="A612" s="311" t="s">
        <v>835</v>
      </c>
      <c r="B612" s="291"/>
      <c r="C612" s="308">
        <v>4.3838562554809257E-3</v>
      </c>
      <c r="D612" s="309">
        <v>2.477622927665775E-3</v>
      </c>
      <c r="E612" s="309">
        <v>7.0602828540160785E-3</v>
      </c>
      <c r="F612" s="309">
        <v>1.7779394779791212E-3</v>
      </c>
      <c r="G612" s="309">
        <v>3.9410797191582036E-3</v>
      </c>
      <c r="H612" s="309">
        <v>6.0004125283613251E-4</v>
      </c>
      <c r="I612" s="309">
        <v>0</v>
      </c>
      <c r="J612" s="310">
        <v>4.3968212773513628E-3</v>
      </c>
      <c r="K612" s="310">
        <v>0</v>
      </c>
      <c r="L612" s="309">
        <v>0</v>
      </c>
      <c r="M612" s="309">
        <v>0</v>
      </c>
      <c r="N612" s="309">
        <v>0</v>
      </c>
      <c r="O612" s="310">
        <v>0</v>
      </c>
      <c r="P612" s="310">
        <v>0</v>
      </c>
      <c r="Q612" s="309">
        <v>0</v>
      </c>
      <c r="R612" s="310">
        <v>0</v>
      </c>
      <c r="S612" s="310">
        <v>4.3968212773513628E-3</v>
      </c>
      <c r="T612" s="310"/>
      <c r="U612" s="310"/>
      <c r="V612" s="316"/>
    </row>
    <row r="613" spans="1:22">
      <c r="A613" s="311" t="s">
        <v>836</v>
      </c>
      <c r="B613" s="312"/>
      <c r="C613" s="313">
        <v>3.0963771430841387E-3</v>
      </c>
      <c r="D613" s="314">
        <v>1.9113762334261135E-3</v>
      </c>
      <c r="E613" s="314">
        <v>6.3153790376319369E-3</v>
      </c>
      <c r="F613" s="314">
        <v>1.3219374707256132E-4</v>
      </c>
      <c r="G613" s="314">
        <v>1.4827261177820581E-2</v>
      </c>
      <c r="H613" s="314">
        <v>0</v>
      </c>
      <c r="I613" s="314">
        <v>0</v>
      </c>
      <c r="J613" s="315">
        <v>3.6533858909119626E-3</v>
      </c>
      <c r="K613" s="315">
        <v>0</v>
      </c>
      <c r="L613" s="314">
        <v>0</v>
      </c>
      <c r="M613" s="314">
        <v>0</v>
      </c>
      <c r="N613" s="314">
        <v>0</v>
      </c>
      <c r="O613" s="315">
        <v>0</v>
      </c>
      <c r="P613" s="315">
        <v>0</v>
      </c>
      <c r="Q613" s="314">
        <v>0</v>
      </c>
      <c r="R613" s="315">
        <v>0</v>
      </c>
      <c r="S613" s="315">
        <v>3.6533858909119626E-3</v>
      </c>
      <c r="T613" s="315"/>
      <c r="U613" s="315"/>
      <c r="V613" s="316"/>
    </row>
    <row r="614" spans="1:22">
      <c r="A614" s="311" t="s">
        <v>837</v>
      </c>
      <c r="B614" s="317"/>
      <c r="C614" s="318">
        <v>-0.12874791123967869</v>
      </c>
      <c r="D614" s="319">
        <v>-5.6624669423966149E-2</v>
      </c>
      <c r="E614" s="319">
        <v>-7.4490381638414163E-2</v>
      </c>
      <c r="F614" s="319">
        <v>-0.16457457309065598</v>
      </c>
      <c r="G614" s="319">
        <v>1.0886181458662376</v>
      </c>
      <c r="H614" s="319">
        <v>-6.0004125283613249E-2</v>
      </c>
      <c r="I614" s="319">
        <v>0</v>
      </c>
      <c r="J614" s="320">
        <v>-7.4343538643940027E-2</v>
      </c>
      <c r="K614" s="320">
        <v>0</v>
      </c>
      <c r="L614" s="319">
        <v>0</v>
      </c>
      <c r="M614" s="319">
        <v>0</v>
      </c>
      <c r="N614" s="319">
        <v>0</v>
      </c>
      <c r="O614" s="320">
        <v>0</v>
      </c>
      <c r="P614" s="320">
        <v>0</v>
      </c>
      <c r="Q614" s="319">
        <v>0</v>
      </c>
      <c r="R614" s="320">
        <v>0</v>
      </c>
      <c r="S614" s="320">
        <v>-7.4343538643940027E-2</v>
      </c>
      <c r="T614" s="320"/>
      <c r="U614" s="320"/>
      <c r="V614" s="316"/>
    </row>
    <row r="615" spans="1:22">
      <c r="A615" s="311" t="s">
        <v>838</v>
      </c>
      <c r="B615" s="291"/>
      <c r="C615" s="308">
        <v>1.3402114829575307E-3</v>
      </c>
      <c r="D615" s="309">
        <v>3.137688306475774E-3</v>
      </c>
      <c r="E615" s="309">
        <v>1.6866656222216093E-3</v>
      </c>
      <c r="F615" s="309">
        <v>1.441572549712801E-4</v>
      </c>
      <c r="G615" s="309">
        <v>2.7336969150230314E-5</v>
      </c>
      <c r="H615" s="309">
        <v>0</v>
      </c>
      <c r="I615" s="309">
        <v>0</v>
      </c>
      <c r="J615" s="310">
        <v>1.4426791464446679E-3</v>
      </c>
      <c r="K615" s="310">
        <v>0</v>
      </c>
      <c r="L615" s="309">
        <v>0</v>
      </c>
      <c r="M615" s="309">
        <v>0</v>
      </c>
      <c r="N615" s="309">
        <v>0</v>
      </c>
      <c r="O615" s="310">
        <v>0</v>
      </c>
      <c r="P615" s="310">
        <v>0</v>
      </c>
      <c r="Q615" s="309">
        <v>0</v>
      </c>
      <c r="R615" s="310">
        <v>0</v>
      </c>
      <c r="S615" s="310">
        <v>1.4426791464446679E-3</v>
      </c>
      <c r="T615" s="310"/>
      <c r="U615" s="310"/>
      <c r="V615" s="316"/>
    </row>
    <row r="616" spans="1:22">
      <c r="A616" s="311" t="s">
        <v>839</v>
      </c>
      <c r="B616" s="312"/>
      <c r="C616" s="313">
        <v>1.2802579424952168E-3</v>
      </c>
      <c r="D616" s="314">
        <v>3.1052774118718015E-3</v>
      </c>
      <c r="E616" s="314">
        <v>1.8098085464181544E-3</v>
      </c>
      <c r="F616" s="314">
        <v>1.7136226472369058E-4</v>
      </c>
      <c r="G616" s="314">
        <v>1.2294578091061841E-5</v>
      </c>
      <c r="H616" s="314">
        <v>0</v>
      </c>
      <c r="I616" s="314">
        <v>0</v>
      </c>
      <c r="J616" s="315">
        <v>1.4447399461157797E-3</v>
      </c>
      <c r="K616" s="315">
        <v>0</v>
      </c>
      <c r="L616" s="314">
        <v>0</v>
      </c>
      <c r="M616" s="314">
        <v>0</v>
      </c>
      <c r="N616" s="314">
        <v>0</v>
      </c>
      <c r="O616" s="315">
        <v>0</v>
      </c>
      <c r="P616" s="315">
        <v>0</v>
      </c>
      <c r="Q616" s="314">
        <v>0</v>
      </c>
      <c r="R616" s="315">
        <v>0</v>
      </c>
      <c r="S616" s="315">
        <v>1.4447399461157797E-3</v>
      </c>
      <c r="T616" s="315"/>
      <c r="U616" s="315"/>
      <c r="V616" s="316"/>
    </row>
    <row r="617" spans="1:22">
      <c r="A617" s="339" t="s">
        <v>840</v>
      </c>
      <c r="B617" s="317"/>
      <c r="C617" s="318">
        <v>-5.9953540462313968E-3</v>
      </c>
      <c r="D617" s="319">
        <v>-3.2410894603972576E-3</v>
      </c>
      <c r="E617" s="319">
        <v>1.2314292419654517E-2</v>
      </c>
      <c r="F617" s="319">
        <v>2.7205009752410475E-3</v>
      </c>
      <c r="G617" s="319">
        <v>-1.5042391059168472E-3</v>
      </c>
      <c r="H617" s="319">
        <v>0</v>
      </c>
      <c r="I617" s="319">
        <v>0</v>
      </c>
      <c r="J617" s="320">
        <v>2.0607996711117897E-4</v>
      </c>
      <c r="K617" s="320">
        <v>0</v>
      </c>
      <c r="L617" s="319">
        <v>0</v>
      </c>
      <c r="M617" s="319">
        <v>0</v>
      </c>
      <c r="N617" s="319">
        <v>0</v>
      </c>
      <c r="O617" s="320">
        <v>0</v>
      </c>
      <c r="P617" s="320">
        <v>0</v>
      </c>
      <c r="Q617" s="319">
        <v>0</v>
      </c>
      <c r="R617" s="320">
        <v>0</v>
      </c>
      <c r="S617" s="320">
        <v>2.0607996711117897E-4</v>
      </c>
      <c r="T617" s="320"/>
      <c r="U617" s="320"/>
      <c r="V617" s="316"/>
    </row>
    <row r="621" spans="1:22">
      <c r="D621" s="289"/>
      <c r="E621" s="289"/>
      <c r="F621" s="289"/>
      <c r="G621" s="289"/>
      <c r="H621" s="289"/>
      <c r="I621" s="289"/>
      <c r="J621" s="289"/>
      <c r="K621" s="289"/>
      <c r="L621" s="289"/>
      <c r="M621" s="289"/>
      <c r="N621" s="289"/>
      <c r="O621" s="289"/>
      <c r="P621" s="289"/>
      <c r="Q621" s="289"/>
      <c r="R621" s="289"/>
      <c r="S621" s="289"/>
      <c r="T621" s="289"/>
      <c r="U621" s="289"/>
    </row>
    <row r="622" spans="1:22">
      <c r="D622" s="289"/>
      <c r="E622" s="289"/>
      <c r="F622" s="289"/>
      <c r="G622" s="289"/>
      <c r="H622" s="289"/>
      <c r="I622" s="289"/>
      <c r="J622" s="289"/>
      <c r="K622" s="289"/>
      <c r="L622" s="289"/>
      <c r="M622" s="289"/>
      <c r="N622" s="289"/>
      <c r="O622" s="289"/>
      <c r="P622" s="289"/>
      <c r="Q622" s="289"/>
      <c r="R622" s="289"/>
      <c r="S622" s="289"/>
      <c r="T622" s="289"/>
      <c r="U622" s="289"/>
    </row>
    <row r="623" spans="1:22">
      <c r="D623" s="289"/>
      <c r="E623" s="289"/>
      <c r="F623" s="289"/>
      <c r="G623" s="289"/>
      <c r="H623" s="289"/>
      <c r="I623" s="289"/>
      <c r="J623" s="289"/>
      <c r="K623" s="289"/>
      <c r="L623" s="289"/>
      <c r="M623" s="289"/>
      <c r="N623" s="289"/>
      <c r="O623" s="289"/>
      <c r="P623" s="289"/>
      <c r="Q623" s="289"/>
      <c r="R623" s="289"/>
      <c r="S623" s="289"/>
      <c r="T623" s="289"/>
      <c r="U623" s="289"/>
    </row>
    <row r="624" spans="1:22">
      <c r="D624" s="289"/>
      <c r="E624" s="289"/>
      <c r="F624" s="289"/>
      <c r="G624" s="289"/>
      <c r="H624" s="289"/>
      <c r="I624" s="289"/>
      <c r="J624" s="289"/>
      <c r="K624" s="289"/>
      <c r="L624" s="289"/>
      <c r="M624" s="289"/>
      <c r="N624" s="289"/>
      <c r="O624" s="289"/>
      <c r="P624" s="289"/>
      <c r="Q624" s="289"/>
      <c r="R624" s="289"/>
      <c r="S624" s="289"/>
      <c r="T624" s="289"/>
      <c r="U624" s="289"/>
    </row>
    <row r="625" spans="4:21">
      <c r="D625" s="289"/>
      <c r="E625" s="289"/>
      <c r="F625" s="289"/>
      <c r="G625" s="289"/>
      <c r="H625" s="289"/>
      <c r="I625" s="289"/>
      <c r="J625" s="289"/>
      <c r="K625" s="289"/>
      <c r="L625" s="289"/>
      <c r="M625" s="289"/>
      <c r="N625" s="289"/>
      <c r="O625" s="289"/>
      <c r="P625" s="289"/>
      <c r="Q625" s="289"/>
      <c r="R625" s="289"/>
      <c r="S625" s="289"/>
      <c r="T625" s="289"/>
      <c r="U625" s="289"/>
    </row>
    <row r="626" spans="4:21">
      <c r="D626" s="289"/>
      <c r="E626" s="289"/>
      <c r="F626" s="289"/>
      <c r="G626" s="289"/>
      <c r="H626" s="289"/>
      <c r="I626" s="289"/>
      <c r="J626" s="289"/>
      <c r="K626" s="289"/>
      <c r="L626" s="289"/>
      <c r="M626" s="289"/>
      <c r="N626" s="289"/>
      <c r="O626" s="289"/>
      <c r="P626" s="289"/>
      <c r="Q626" s="289"/>
      <c r="R626" s="289"/>
      <c r="S626" s="289"/>
      <c r="T626" s="289"/>
      <c r="U626" s="289"/>
    </row>
    <row r="627" spans="4:21">
      <c r="D627" s="289"/>
      <c r="E627" s="289"/>
      <c r="F627" s="289"/>
      <c r="G627" s="289"/>
      <c r="H627" s="289"/>
      <c r="I627" s="289"/>
      <c r="J627" s="289"/>
      <c r="K627" s="289"/>
      <c r="L627" s="289"/>
      <c r="M627" s="289"/>
      <c r="N627" s="289"/>
      <c r="O627" s="289"/>
      <c r="P627" s="289"/>
      <c r="Q627" s="289"/>
      <c r="R627" s="289"/>
      <c r="S627" s="289"/>
      <c r="T627" s="289"/>
      <c r="U627" s="289"/>
    </row>
    <row r="628" spans="4:21">
      <c r="D628" s="289"/>
      <c r="E628" s="289"/>
      <c r="F628" s="289"/>
      <c r="G628" s="289"/>
      <c r="H628" s="289"/>
      <c r="I628" s="289"/>
      <c r="J628" s="289"/>
      <c r="K628" s="289"/>
      <c r="L628" s="289"/>
      <c r="M628" s="289"/>
      <c r="N628" s="289"/>
      <c r="O628" s="289"/>
      <c r="P628" s="289"/>
      <c r="Q628" s="289"/>
      <c r="R628" s="289"/>
      <c r="S628" s="289"/>
      <c r="T628" s="289"/>
      <c r="U628" s="289"/>
    </row>
    <row r="629" spans="4:21">
      <c r="D629" s="289"/>
      <c r="E629" s="289"/>
      <c r="F629" s="289"/>
      <c r="G629" s="289"/>
      <c r="H629" s="289"/>
      <c r="I629" s="289"/>
      <c r="J629" s="289"/>
      <c r="K629" s="289"/>
      <c r="L629" s="289"/>
      <c r="M629" s="289"/>
      <c r="N629" s="289"/>
      <c r="O629" s="289"/>
      <c r="P629" s="289"/>
      <c r="Q629" s="289"/>
      <c r="R629" s="289"/>
      <c r="S629" s="289"/>
      <c r="T629" s="289"/>
      <c r="U629" s="289"/>
    </row>
    <row r="630" spans="4:21">
      <c r="D630" s="289"/>
      <c r="E630" s="289"/>
      <c r="F630" s="289"/>
      <c r="G630" s="289"/>
      <c r="H630" s="289"/>
      <c r="I630" s="289"/>
      <c r="J630" s="289"/>
      <c r="K630" s="289"/>
      <c r="L630" s="289"/>
      <c r="M630" s="289"/>
      <c r="N630" s="289"/>
      <c r="O630" s="289"/>
      <c r="P630" s="289"/>
      <c r="Q630" s="289"/>
      <c r="R630" s="289"/>
      <c r="S630" s="289"/>
      <c r="T630" s="289"/>
      <c r="U630" s="289"/>
    </row>
    <row r="631" spans="4:21">
      <c r="D631" s="289"/>
      <c r="E631" s="289"/>
      <c r="F631" s="289"/>
      <c r="G631" s="289"/>
      <c r="H631" s="289"/>
      <c r="I631" s="289"/>
      <c r="J631" s="289"/>
      <c r="K631" s="289"/>
      <c r="L631" s="289"/>
      <c r="M631" s="289"/>
      <c r="N631" s="289"/>
      <c r="O631" s="289"/>
      <c r="P631" s="289"/>
      <c r="Q631" s="289"/>
      <c r="R631" s="289"/>
      <c r="S631" s="289"/>
      <c r="T631" s="289"/>
      <c r="U631" s="289"/>
    </row>
    <row r="632" spans="4:21">
      <c r="D632" s="289"/>
      <c r="E632" s="289"/>
      <c r="F632" s="289"/>
      <c r="G632" s="289"/>
      <c r="H632" s="289"/>
      <c r="I632" s="289"/>
      <c r="J632" s="289"/>
      <c r="K632" s="289"/>
      <c r="L632" s="289"/>
      <c r="M632" s="289"/>
      <c r="N632" s="289"/>
      <c r="O632" s="289"/>
      <c r="P632" s="289"/>
      <c r="Q632" s="289"/>
      <c r="R632" s="289"/>
      <c r="S632" s="289"/>
      <c r="T632" s="289"/>
      <c r="U632" s="289"/>
    </row>
    <row r="633" spans="4:21">
      <c r="D633" s="289"/>
      <c r="E633" s="289"/>
      <c r="F633" s="289"/>
      <c r="G633" s="289"/>
      <c r="H633" s="289"/>
      <c r="I633" s="289"/>
      <c r="J633" s="289"/>
      <c r="K633" s="289"/>
      <c r="L633" s="289"/>
      <c r="M633" s="289"/>
      <c r="N633" s="289"/>
      <c r="O633" s="289"/>
      <c r="P633" s="289"/>
      <c r="Q633" s="289"/>
      <c r="R633" s="289"/>
      <c r="S633" s="289"/>
      <c r="T633" s="289"/>
      <c r="U633" s="289"/>
    </row>
    <row r="634" spans="4:21">
      <c r="D634" s="289"/>
      <c r="E634" s="289"/>
      <c r="F634" s="289"/>
      <c r="G634" s="289"/>
      <c r="H634" s="289"/>
      <c r="I634" s="289"/>
      <c r="J634" s="289"/>
      <c r="K634" s="289"/>
      <c r="L634" s="289"/>
      <c r="M634" s="289"/>
      <c r="N634" s="289"/>
      <c r="O634" s="289"/>
      <c r="P634" s="289"/>
      <c r="Q634" s="289"/>
      <c r="R634" s="289"/>
      <c r="S634" s="289"/>
      <c r="T634" s="289"/>
      <c r="U634" s="289"/>
    </row>
    <row r="635" spans="4:21">
      <c r="D635" s="289"/>
      <c r="E635" s="289"/>
      <c r="F635" s="289"/>
      <c r="G635" s="289"/>
      <c r="H635" s="289"/>
      <c r="I635" s="289"/>
      <c r="J635" s="289"/>
      <c r="K635" s="289"/>
      <c r="L635" s="289"/>
      <c r="M635" s="289"/>
      <c r="N635" s="289"/>
      <c r="O635" s="289"/>
      <c r="P635" s="289"/>
      <c r="Q635" s="289"/>
      <c r="R635" s="289"/>
      <c r="S635" s="289"/>
      <c r="T635" s="289"/>
      <c r="U635" s="289"/>
    </row>
    <row r="636" spans="4:21">
      <c r="D636" s="289"/>
      <c r="E636" s="289"/>
      <c r="F636" s="289"/>
      <c r="G636" s="289"/>
      <c r="H636" s="289"/>
      <c r="I636" s="289"/>
      <c r="J636" s="289"/>
      <c r="K636" s="289"/>
      <c r="L636" s="289"/>
      <c r="M636" s="289"/>
      <c r="N636" s="289"/>
      <c r="O636" s="289"/>
      <c r="P636" s="289"/>
      <c r="Q636" s="289"/>
      <c r="R636" s="289"/>
      <c r="S636" s="289"/>
      <c r="T636" s="289"/>
      <c r="U636" s="289"/>
    </row>
    <row r="637" spans="4:21">
      <c r="D637" s="289"/>
      <c r="E637" s="289"/>
      <c r="F637" s="289"/>
      <c r="G637" s="289"/>
      <c r="H637" s="289"/>
      <c r="I637" s="289"/>
      <c r="J637" s="289"/>
      <c r="K637" s="289"/>
      <c r="L637" s="289"/>
      <c r="M637" s="289"/>
      <c r="N637" s="289"/>
      <c r="O637" s="289"/>
      <c r="P637" s="289"/>
      <c r="Q637" s="289"/>
      <c r="R637" s="289"/>
      <c r="S637" s="289"/>
      <c r="T637" s="289"/>
      <c r="U637" s="289"/>
    </row>
    <row r="638" spans="4:21">
      <c r="D638" s="289"/>
      <c r="E638" s="289"/>
      <c r="F638" s="289"/>
      <c r="G638" s="289"/>
      <c r="H638" s="289"/>
      <c r="I638" s="289"/>
      <c r="J638" s="289"/>
      <c r="K638" s="289"/>
      <c r="L638" s="289"/>
      <c r="M638" s="289"/>
      <c r="N638" s="289"/>
      <c r="O638" s="289"/>
      <c r="P638" s="289"/>
      <c r="Q638" s="289"/>
      <c r="R638" s="289"/>
      <c r="S638" s="289"/>
      <c r="T638" s="289"/>
      <c r="U638" s="289"/>
    </row>
    <row r="639" spans="4:21">
      <c r="D639" s="289"/>
      <c r="E639" s="289"/>
      <c r="F639" s="289"/>
      <c r="G639" s="289"/>
      <c r="H639" s="289"/>
      <c r="I639" s="289"/>
      <c r="J639" s="289"/>
      <c r="K639" s="289"/>
      <c r="L639" s="289"/>
      <c r="M639" s="289"/>
      <c r="N639" s="289"/>
      <c r="O639" s="289"/>
      <c r="P639" s="289"/>
      <c r="Q639" s="289"/>
      <c r="R639" s="289"/>
      <c r="S639" s="289"/>
      <c r="T639" s="289"/>
      <c r="U639" s="289"/>
    </row>
    <row r="640" spans="4:21">
      <c r="D640" s="289"/>
      <c r="E640" s="289"/>
      <c r="F640" s="289"/>
      <c r="G640" s="289"/>
      <c r="H640" s="289"/>
      <c r="I640" s="289"/>
      <c r="J640" s="289"/>
      <c r="K640" s="289"/>
      <c r="L640" s="289"/>
      <c r="M640" s="289"/>
      <c r="N640" s="289"/>
      <c r="O640" s="289"/>
      <c r="P640" s="289"/>
      <c r="Q640" s="289"/>
      <c r="R640" s="289"/>
      <c r="S640" s="289"/>
      <c r="T640" s="289"/>
      <c r="U640" s="289"/>
    </row>
    <row r="641" spans="4:21">
      <c r="D641" s="289"/>
      <c r="E641" s="289"/>
      <c r="F641" s="289"/>
      <c r="G641" s="289"/>
      <c r="H641" s="289"/>
      <c r="I641" s="289"/>
      <c r="J641" s="289"/>
      <c r="K641" s="289"/>
      <c r="L641" s="289"/>
      <c r="M641" s="289"/>
      <c r="N641" s="289"/>
      <c r="O641" s="289"/>
      <c r="P641" s="289"/>
      <c r="Q641" s="289"/>
      <c r="R641" s="289"/>
      <c r="S641" s="289"/>
      <c r="T641" s="289"/>
      <c r="U641" s="289"/>
    </row>
    <row r="642" spans="4:21">
      <c r="D642" s="289"/>
      <c r="E642" s="289"/>
      <c r="F642" s="289"/>
      <c r="G642" s="289"/>
      <c r="H642" s="289"/>
      <c r="I642" s="289"/>
      <c r="J642" s="289"/>
      <c r="K642" s="289"/>
      <c r="L642" s="289"/>
      <c r="M642" s="289"/>
      <c r="N642" s="289"/>
      <c r="O642" s="289"/>
      <c r="P642" s="289"/>
      <c r="Q642" s="289"/>
      <c r="R642" s="289"/>
      <c r="S642" s="289"/>
      <c r="T642" s="289"/>
      <c r="U642" s="289"/>
    </row>
    <row r="643" spans="4:21">
      <c r="D643" s="289"/>
      <c r="E643" s="289"/>
      <c r="F643" s="289"/>
      <c r="G643" s="289"/>
      <c r="H643" s="289"/>
      <c r="I643" s="289"/>
      <c r="J643" s="289"/>
      <c r="K643" s="289"/>
      <c r="L643" s="289"/>
      <c r="M643" s="289"/>
      <c r="N643" s="289"/>
      <c r="O643" s="289"/>
      <c r="P643" s="289"/>
      <c r="Q643" s="289"/>
      <c r="R643" s="289"/>
      <c r="S643" s="289"/>
      <c r="T643" s="289"/>
      <c r="U643" s="289"/>
    </row>
    <row r="644" spans="4:21">
      <c r="D644" s="289"/>
      <c r="E644" s="289"/>
      <c r="F644" s="289"/>
      <c r="G644" s="289"/>
      <c r="H644" s="289"/>
      <c r="I644" s="289"/>
      <c r="J644" s="289"/>
      <c r="K644" s="289"/>
      <c r="L644" s="289"/>
      <c r="M644" s="289"/>
      <c r="N644" s="289"/>
      <c r="O644" s="289"/>
      <c r="P644" s="289"/>
      <c r="Q644" s="289"/>
      <c r="R644" s="289"/>
      <c r="S644" s="289"/>
      <c r="T644" s="289"/>
      <c r="U644" s="289"/>
    </row>
    <row r="645" spans="4:21">
      <c r="D645" s="289"/>
      <c r="E645" s="289"/>
      <c r="F645" s="289"/>
      <c r="G645" s="289"/>
      <c r="H645" s="289"/>
      <c r="I645" s="289"/>
      <c r="J645" s="289"/>
      <c r="K645" s="289"/>
      <c r="L645" s="289"/>
      <c r="M645" s="289"/>
      <c r="N645" s="289"/>
      <c r="O645" s="289"/>
      <c r="P645" s="289"/>
      <c r="Q645" s="289"/>
      <c r="R645" s="289"/>
      <c r="S645" s="289"/>
      <c r="T645" s="289"/>
      <c r="U645" s="289"/>
    </row>
    <row r="646" spans="4:21">
      <c r="D646" s="289"/>
      <c r="E646" s="289"/>
      <c r="F646" s="289"/>
      <c r="G646" s="289"/>
      <c r="H646" s="289"/>
      <c r="I646" s="289"/>
      <c r="J646" s="289"/>
      <c r="K646" s="289"/>
      <c r="L646" s="289"/>
      <c r="M646" s="289"/>
      <c r="N646" s="289"/>
      <c r="O646" s="289"/>
      <c r="P646" s="289"/>
      <c r="Q646" s="289"/>
      <c r="R646" s="289"/>
      <c r="S646" s="289"/>
      <c r="T646" s="289"/>
      <c r="U646" s="289"/>
    </row>
    <row r="647" spans="4:21">
      <c r="D647" s="289"/>
      <c r="E647" s="289"/>
      <c r="F647" s="289"/>
      <c r="G647" s="289"/>
      <c r="H647" s="289"/>
      <c r="I647" s="289"/>
      <c r="J647" s="289"/>
      <c r="K647" s="289"/>
      <c r="L647" s="289"/>
      <c r="M647" s="289"/>
      <c r="N647" s="289"/>
      <c r="O647" s="289"/>
      <c r="P647" s="289"/>
      <c r="Q647" s="289"/>
      <c r="R647" s="289"/>
      <c r="S647" s="289"/>
      <c r="T647" s="289"/>
      <c r="U647" s="289"/>
    </row>
    <row r="648" spans="4:21">
      <c r="D648" s="289"/>
      <c r="E648" s="289"/>
      <c r="F648" s="289"/>
      <c r="G648" s="289"/>
      <c r="H648" s="289"/>
      <c r="I648" s="289"/>
      <c r="J648" s="289"/>
      <c r="K648" s="289"/>
      <c r="L648" s="289"/>
      <c r="M648" s="289"/>
      <c r="N648" s="289"/>
      <c r="O648" s="289"/>
      <c r="P648" s="289"/>
      <c r="Q648" s="289"/>
      <c r="R648" s="289"/>
      <c r="S648" s="289"/>
      <c r="T648" s="289"/>
      <c r="U648" s="289"/>
    </row>
    <row r="649" spans="4:21">
      <c r="D649" s="289"/>
      <c r="E649" s="289"/>
      <c r="F649" s="289"/>
      <c r="G649" s="289"/>
      <c r="H649" s="289"/>
      <c r="I649" s="289"/>
      <c r="J649" s="289"/>
      <c r="K649" s="289"/>
      <c r="L649" s="289"/>
      <c r="M649" s="289"/>
      <c r="N649" s="289"/>
      <c r="O649" s="289"/>
      <c r="P649" s="289"/>
      <c r="Q649" s="289"/>
      <c r="R649" s="289"/>
      <c r="S649" s="289"/>
      <c r="T649" s="289"/>
      <c r="U649" s="289"/>
    </row>
    <row r="650" spans="4:21">
      <c r="D650" s="289"/>
      <c r="E650" s="289"/>
      <c r="F650" s="289"/>
      <c r="G650" s="289"/>
      <c r="H650" s="289"/>
      <c r="I650" s="289"/>
      <c r="J650" s="289"/>
      <c r="K650" s="289"/>
      <c r="L650" s="289"/>
      <c r="M650" s="289"/>
      <c r="N650" s="289"/>
      <c r="O650" s="289"/>
      <c r="P650" s="289"/>
      <c r="Q650" s="289"/>
      <c r="R650" s="289"/>
      <c r="S650" s="289"/>
      <c r="T650" s="289"/>
      <c r="U650" s="289"/>
    </row>
    <row r="651" spans="4:21">
      <c r="D651" s="289"/>
      <c r="E651" s="289"/>
      <c r="F651" s="289"/>
      <c r="G651" s="289"/>
      <c r="H651" s="289"/>
      <c r="I651" s="289"/>
      <c r="J651" s="289"/>
      <c r="K651" s="289"/>
      <c r="L651" s="289"/>
      <c r="M651" s="289"/>
      <c r="N651" s="289"/>
      <c r="O651" s="289"/>
      <c r="P651" s="289"/>
      <c r="Q651" s="289"/>
      <c r="R651" s="289"/>
      <c r="S651" s="289"/>
      <c r="T651" s="289"/>
      <c r="U651" s="289"/>
    </row>
    <row r="652" spans="4:21">
      <c r="D652" s="289"/>
      <c r="E652" s="289"/>
      <c r="F652" s="289"/>
      <c r="G652" s="289"/>
      <c r="H652" s="289"/>
      <c r="I652" s="289"/>
      <c r="J652" s="289"/>
      <c r="K652" s="289"/>
      <c r="L652" s="289"/>
      <c r="M652" s="289"/>
      <c r="N652" s="289"/>
      <c r="O652" s="289"/>
      <c r="P652" s="289"/>
      <c r="Q652" s="289"/>
      <c r="R652" s="289"/>
      <c r="S652" s="289"/>
      <c r="T652" s="289"/>
      <c r="U652" s="289"/>
    </row>
    <row r="653" spans="4:21">
      <c r="D653" s="289"/>
      <c r="E653" s="289"/>
      <c r="F653" s="289"/>
      <c r="G653" s="289"/>
      <c r="H653" s="289"/>
      <c r="I653" s="289"/>
      <c r="J653" s="289"/>
      <c r="K653" s="289"/>
      <c r="L653" s="289"/>
      <c r="M653" s="289"/>
      <c r="N653" s="289"/>
      <c r="O653" s="289"/>
      <c r="P653" s="289"/>
      <c r="Q653" s="289"/>
      <c r="R653" s="289"/>
      <c r="S653" s="289"/>
      <c r="T653" s="289"/>
      <c r="U653" s="289"/>
    </row>
    <row r="654" spans="4:21">
      <c r="D654" s="289"/>
      <c r="E654" s="289"/>
      <c r="F654" s="289"/>
      <c r="G654" s="289"/>
      <c r="H654" s="289"/>
      <c r="I654" s="289"/>
      <c r="J654" s="289"/>
      <c r="K654" s="289"/>
      <c r="L654" s="289"/>
      <c r="M654" s="289"/>
      <c r="N654" s="289"/>
      <c r="O654" s="289"/>
      <c r="P654" s="289"/>
      <c r="Q654" s="289"/>
      <c r="R654" s="289"/>
      <c r="S654" s="289"/>
      <c r="T654" s="289"/>
      <c r="U654" s="289"/>
    </row>
    <row r="655" spans="4:21">
      <c r="D655" s="289"/>
      <c r="E655" s="289"/>
      <c r="F655" s="289"/>
      <c r="G655" s="289"/>
      <c r="H655" s="289"/>
      <c r="I655" s="289"/>
      <c r="J655" s="289"/>
      <c r="K655" s="289"/>
      <c r="L655" s="289"/>
      <c r="M655" s="289"/>
      <c r="N655" s="289"/>
      <c r="O655" s="289"/>
      <c r="P655" s="289"/>
      <c r="Q655" s="289"/>
      <c r="R655" s="289"/>
      <c r="S655" s="289"/>
      <c r="T655" s="289"/>
      <c r="U655" s="289"/>
    </row>
    <row r="656" spans="4:21">
      <c r="D656" s="289"/>
      <c r="E656" s="289"/>
      <c r="F656" s="289"/>
      <c r="G656" s="289"/>
      <c r="H656" s="289"/>
      <c r="I656" s="289"/>
      <c r="J656" s="289"/>
      <c r="K656" s="289"/>
      <c r="L656" s="289"/>
      <c r="M656" s="289"/>
      <c r="N656" s="289"/>
      <c r="O656" s="289"/>
      <c r="P656" s="289"/>
      <c r="Q656" s="289"/>
      <c r="R656" s="289"/>
      <c r="S656" s="289"/>
      <c r="T656" s="289"/>
      <c r="U656" s="289"/>
    </row>
    <row r="657" spans="4:21">
      <c r="D657" s="289"/>
      <c r="E657" s="289"/>
      <c r="F657" s="289"/>
      <c r="G657" s="289"/>
      <c r="H657" s="289"/>
      <c r="I657" s="289"/>
      <c r="J657" s="289"/>
      <c r="K657" s="289"/>
      <c r="L657" s="289"/>
      <c r="M657" s="289"/>
      <c r="N657" s="289"/>
      <c r="O657" s="289"/>
      <c r="P657" s="289"/>
      <c r="Q657" s="289"/>
      <c r="R657" s="289"/>
      <c r="S657" s="289"/>
      <c r="T657" s="289"/>
      <c r="U657" s="289"/>
    </row>
    <row r="658" spans="4:21">
      <c r="D658" s="289"/>
      <c r="E658" s="289"/>
      <c r="F658" s="289"/>
      <c r="G658" s="289"/>
      <c r="H658" s="289"/>
      <c r="I658" s="289"/>
      <c r="J658" s="289"/>
      <c r="K658" s="289"/>
      <c r="L658" s="289"/>
      <c r="M658" s="289"/>
      <c r="N658" s="289"/>
      <c r="O658" s="289"/>
      <c r="P658" s="289"/>
      <c r="Q658" s="289"/>
      <c r="R658" s="289"/>
      <c r="S658" s="289"/>
      <c r="T658" s="289"/>
      <c r="U658" s="289"/>
    </row>
    <row r="659" spans="4:21">
      <c r="D659" s="289"/>
      <c r="E659" s="289"/>
      <c r="F659" s="289"/>
      <c r="G659" s="289"/>
      <c r="H659" s="289"/>
      <c r="I659" s="289"/>
      <c r="J659" s="289"/>
      <c r="K659" s="289"/>
      <c r="L659" s="289"/>
      <c r="M659" s="289"/>
      <c r="N659" s="289"/>
      <c r="O659" s="289"/>
      <c r="P659" s="289"/>
      <c r="Q659" s="289"/>
      <c r="R659" s="289"/>
      <c r="S659" s="289"/>
      <c r="T659" s="289"/>
      <c r="U659" s="289"/>
    </row>
    <row r="660" spans="4:21">
      <c r="D660" s="289"/>
      <c r="E660" s="289"/>
      <c r="F660" s="289"/>
      <c r="G660" s="289"/>
      <c r="H660" s="289"/>
      <c r="I660" s="289"/>
      <c r="J660" s="289"/>
      <c r="K660" s="289"/>
      <c r="L660" s="289"/>
      <c r="M660" s="289"/>
      <c r="N660" s="289"/>
      <c r="O660" s="289"/>
      <c r="P660" s="289"/>
      <c r="Q660" s="289"/>
      <c r="R660" s="289"/>
      <c r="S660" s="289"/>
      <c r="T660" s="289"/>
      <c r="U660" s="289"/>
    </row>
    <row r="661" spans="4:21">
      <c r="D661" s="289"/>
      <c r="E661" s="289"/>
      <c r="F661" s="289"/>
      <c r="G661" s="289"/>
      <c r="H661" s="289"/>
      <c r="I661" s="289"/>
      <c r="J661" s="289"/>
      <c r="K661" s="289"/>
      <c r="L661" s="289"/>
      <c r="M661" s="289"/>
      <c r="N661" s="289"/>
      <c r="O661" s="289"/>
      <c r="P661" s="289"/>
      <c r="Q661" s="289"/>
      <c r="R661" s="289"/>
      <c r="S661" s="289"/>
      <c r="T661" s="289"/>
      <c r="U661" s="289"/>
    </row>
    <row r="662" spans="4:21">
      <c r="D662" s="289"/>
      <c r="E662" s="289"/>
      <c r="F662" s="289"/>
      <c r="G662" s="289"/>
      <c r="H662" s="289"/>
      <c r="I662" s="289"/>
      <c r="J662" s="289"/>
      <c r="K662" s="289"/>
      <c r="L662" s="289"/>
      <c r="M662" s="289"/>
      <c r="N662" s="289"/>
      <c r="O662" s="289"/>
      <c r="P662" s="289"/>
      <c r="Q662" s="289"/>
      <c r="R662" s="289"/>
      <c r="S662" s="289"/>
      <c r="T662" s="289"/>
      <c r="U662" s="289"/>
    </row>
    <row r="663" spans="4:21">
      <c r="D663" s="289"/>
      <c r="E663" s="289"/>
      <c r="F663" s="289"/>
      <c r="G663" s="289"/>
      <c r="H663" s="289"/>
      <c r="I663" s="289"/>
      <c r="J663" s="289"/>
      <c r="K663" s="289"/>
      <c r="L663" s="289"/>
      <c r="M663" s="289"/>
      <c r="N663" s="289"/>
      <c r="O663" s="289"/>
      <c r="P663" s="289"/>
      <c r="Q663" s="289"/>
      <c r="R663" s="289"/>
      <c r="S663" s="289"/>
      <c r="T663" s="289"/>
      <c r="U663" s="289"/>
    </row>
    <row r="664" spans="4:21">
      <c r="D664" s="289"/>
      <c r="E664" s="289"/>
      <c r="F664" s="289"/>
      <c r="G664" s="289"/>
      <c r="H664" s="289"/>
      <c r="I664" s="289"/>
      <c r="J664" s="289"/>
      <c r="K664" s="289"/>
      <c r="L664" s="289"/>
      <c r="M664" s="289"/>
      <c r="N664" s="289"/>
      <c r="O664" s="289"/>
      <c r="P664" s="289"/>
      <c r="Q664" s="289"/>
      <c r="R664" s="289"/>
      <c r="S664" s="289"/>
      <c r="T664" s="289"/>
      <c r="U664" s="289"/>
    </row>
    <row r="665" spans="4:21">
      <c r="D665" s="289"/>
      <c r="E665" s="289"/>
      <c r="F665" s="289"/>
      <c r="G665" s="289"/>
      <c r="H665" s="289"/>
      <c r="I665" s="289"/>
      <c r="J665" s="289"/>
      <c r="K665" s="289"/>
      <c r="L665" s="289"/>
      <c r="M665" s="289"/>
      <c r="N665" s="289"/>
      <c r="O665" s="289"/>
      <c r="P665" s="289"/>
      <c r="Q665" s="289"/>
      <c r="R665" s="289"/>
      <c r="S665" s="289"/>
      <c r="T665" s="289"/>
      <c r="U665" s="289"/>
    </row>
    <row r="666" spans="4:21">
      <c r="D666" s="289"/>
      <c r="E666" s="289"/>
      <c r="F666" s="289"/>
      <c r="G666" s="289"/>
      <c r="H666" s="289"/>
      <c r="I666" s="289"/>
      <c r="J666" s="289"/>
      <c r="K666" s="289"/>
      <c r="L666" s="289"/>
      <c r="M666" s="289"/>
      <c r="N666" s="289"/>
      <c r="O666" s="289"/>
      <c r="P666" s="289"/>
      <c r="Q666" s="289"/>
      <c r="R666" s="289"/>
      <c r="S666" s="289"/>
      <c r="T666" s="289"/>
      <c r="U666" s="289"/>
    </row>
    <row r="667" spans="4:21">
      <c r="D667" s="289"/>
      <c r="E667" s="289"/>
      <c r="F667" s="289"/>
      <c r="G667" s="289"/>
      <c r="H667" s="289"/>
      <c r="I667" s="289"/>
      <c r="J667" s="289"/>
      <c r="K667" s="289"/>
      <c r="L667" s="289"/>
      <c r="M667" s="289"/>
      <c r="N667" s="289"/>
      <c r="O667" s="289"/>
      <c r="P667" s="289"/>
      <c r="Q667" s="289"/>
      <c r="R667" s="289"/>
      <c r="S667" s="289"/>
      <c r="T667" s="289"/>
      <c r="U667" s="289"/>
    </row>
    <row r="668" spans="4:21">
      <c r="D668" s="289"/>
      <c r="E668" s="289"/>
      <c r="F668" s="289"/>
      <c r="G668" s="289"/>
      <c r="H668" s="289"/>
      <c r="I668" s="289"/>
      <c r="J668" s="289"/>
      <c r="K668" s="289"/>
      <c r="L668" s="289"/>
      <c r="M668" s="289"/>
      <c r="N668" s="289"/>
      <c r="O668" s="289"/>
      <c r="P668" s="289"/>
      <c r="Q668" s="289"/>
      <c r="R668" s="289"/>
      <c r="S668" s="289"/>
      <c r="T668" s="289"/>
      <c r="U668" s="289"/>
    </row>
    <row r="669" spans="4:21">
      <c r="D669" s="289"/>
      <c r="E669" s="289"/>
      <c r="F669" s="289"/>
      <c r="G669" s="289"/>
      <c r="H669" s="289"/>
      <c r="I669" s="289"/>
      <c r="J669" s="289"/>
      <c r="K669" s="289"/>
      <c r="L669" s="289"/>
      <c r="M669" s="289"/>
      <c r="N669" s="289"/>
      <c r="O669" s="289"/>
      <c r="P669" s="289"/>
      <c r="Q669" s="289"/>
      <c r="R669" s="289"/>
      <c r="S669" s="289"/>
      <c r="T669" s="289"/>
      <c r="U669" s="289"/>
    </row>
    <row r="670" spans="4:21">
      <c r="D670" s="289"/>
      <c r="E670" s="289"/>
      <c r="F670" s="289"/>
      <c r="G670" s="289"/>
      <c r="H670" s="289"/>
      <c r="I670" s="289"/>
      <c r="J670" s="289"/>
      <c r="K670" s="289"/>
      <c r="L670" s="289"/>
      <c r="M670" s="289"/>
      <c r="N670" s="289"/>
      <c r="O670" s="289"/>
      <c r="P670" s="289"/>
      <c r="Q670" s="289"/>
      <c r="R670" s="289"/>
      <c r="S670" s="289"/>
      <c r="T670" s="289"/>
      <c r="U670" s="289"/>
    </row>
    <row r="671" spans="4:21">
      <c r="D671" s="289"/>
      <c r="E671" s="289"/>
      <c r="F671" s="289"/>
      <c r="G671" s="289"/>
      <c r="H671" s="289"/>
      <c r="I671" s="289"/>
      <c r="J671" s="289"/>
      <c r="K671" s="289"/>
      <c r="L671" s="289"/>
      <c r="M671" s="289"/>
      <c r="N671" s="289"/>
      <c r="O671" s="289"/>
      <c r="P671" s="289"/>
      <c r="Q671" s="289"/>
      <c r="R671" s="289"/>
      <c r="S671" s="289"/>
      <c r="T671" s="289"/>
      <c r="U671" s="289"/>
    </row>
    <row r="672" spans="4:21">
      <c r="D672" s="289"/>
      <c r="E672" s="289"/>
      <c r="F672" s="289"/>
      <c r="G672" s="289"/>
      <c r="H672" s="289"/>
      <c r="I672" s="289"/>
      <c r="J672" s="289"/>
      <c r="K672" s="289"/>
      <c r="L672" s="289"/>
      <c r="M672" s="289"/>
      <c r="N672" s="289"/>
      <c r="O672" s="289"/>
      <c r="P672" s="289"/>
      <c r="Q672" s="289"/>
      <c r="R672" s="289"/>
      <c r="S672" s="289"/>
      <c r="T672" s="289"/>
      <c r="U672" s="289"/>
    </row>
    <row r="673" spans="4:21">
      <c r="D673" s="289"/>
      <c r="E673" s="289"/>
      <c r="F673" s="289"/>
      <c r="G673" s="289"/>
      <c r="H673" s="289"/>
      <c r="I673" s="289"/>
      <c r="J673" s="289"/>
      <c r="K673" s="289"/>
      <c r="L673" s="289"/>
      <c r="M673" s="289"/>
      <c r="N673" s="289"/>
      <c r="O673" s="289"/>
      <c r="P673" s="289"/>
      <c r="Q673" s="289"/>
      <c r="R673" s="289"/>
      <c r="S673" s="289"/>
      <c r="T673" s="289"/>
      <c r="U673" s="289"/>
    </row>
    <row r="674" spans="4:21">
      <c r="D674" s="289"/>
      <c r="E674" s="289"/>
      <c r="F674" s="289"/>
      <c r="G674" s="289"/>
      <c r="H674" s="289"/>
      <c r="I674" s="289"/>
      <c r="J674" s="289"/>
      <c r="K674" s="289"/>
      <c r="L674" s="289"/>
      <c r="M674" s="289"/>
      <c r="N674" s="289"/>
      <c r="O674" s="289"/>
      <c r="P674" s="289"/>
      <c r="Q674" s="289"/>
      <c r="R674" s="289"/>
      <c r="S674" s="289"/>
      <c r="T674" s="289"/>
      <c r="U674" s="289"/>
    </row>
    <row r="675" spans="4:21">
      <c r="D675" s="289"/>
      <c r="E675" s="289"/>
      <c r="F675" s="289"/>
      <c r="G675" s="289"/>
      <c r="H675" s="289"/>
      <c r="I675" s="289"/>
      <c r="J675" s="289"/>
      <c r="K675" s="289"/>
      <c r="L675" s="289"/>
      <c r="M675" s="289"/>
      <c r="N675" s="289"/>
      <c r="O675" s="289"/>
      <c r="P675" s="289"/>
      <c r="Q675" s="289"/>
      <c r="R675" s="289"/>
      <c r="S675" s="289"/>
      <c r="T675" s="289"/>
      <c r="U675" s="289"/>
    </row>
    <row r="676" spans="4:21">
      <c r="D676" s="289"/>
      <c r="E676" s="289"/>
      <c r="F676" s="289"/>
      <c r="G676" s="289"/>
      <c r="H676" s="289"/>
      <c r="I676" s="289"/>
      <c r="J676" s="289"/>
      <c r="K676" s="289"/>
      <c r="L676" s="289"/>
      <c r="M676" s="289"/>
      <c r="N676" s="289"/>
      <c r="O676" s="289"/>
      <c r="P676" s="289"/>
      <c r="Q676" s="289"/>
      <c r="R676" s="289"/>
      <c r="S676" s="289"/>
      <c r="T676" s="289"/>
      <c r="U676" s="289"/>
    </row>
    <row r="677" spans="4:21">
      <c r="D677" s="289"/>
      <c r="E677" s="289"/>
      <c r="F677" s="289"/>
      <c r="G677" s="289"/>
      <c r="H677" s="289"/>
      <c r="I677" s="289"/>
      <c r="J677" s="289"/>
      <c r="K677" s="289"/>
      <c r="L677" s="289"/>
      <c r="M677" s="289"/>
      <c r="N677" s="289"/>
      <c r="O677" s="289"/>
      <c r="P677" s="289"/>
      <c r="Q677" s="289"/>
      <c r="R677" s="289"/>
      <c r="S677" s="289"/>
      <c r="T677" s="289"/>
      <c r="U677" s="289"/>
    </row>
    <row r="678" spans="4:21">
      <c r="D678" s="289"/>
      <c r="E678" s="289"/>
      <c r="F678" s="289"/>
      <c r="G678" s="289"/>
      <c r="H678" s="289"/>
      <c r="I678" s="289"/>
      <c r="J678" s="289"/>
      <c r="K678" s="289"/>
      <c r="L678" s="289"/>
      <c r="M678" s="289"/>
      <c r="N678" s="289"/>
      <c r="O678" s="289"/>
      <c r="P678" s="289"/>
      <c r="Q678" s="289"/>
      <c r="R678" s="289"/>
      <c r="S678" s="289"/>
      <c r="T678" s="289"/>
      <c r="U678" s="289"/>
    </row>
    <row r="679" spans="4:21">
      <c r="D679" s="289"/>
      <c r="E679" s="289"/>
      <c r="F679" s="289"/>
      <c r="G679" s="289"/>
      <c r="H679" s="289"/>
      <c r="I679" s="289"/>
      <c r="J679" s="289"/>
      <c r="K679" s="289"/>
      <c r="L679" s="289"/>
      <c r="M679" s="289"/>
      <c r="N679" s="289"/>
      <c r="O679" s="289"/>
      <c r="P679" s="289"/>
      <c r="Q679" s="289"/>
      <c r="R679" s="289"/>
      <c r="S679" s="289"/>
      <c r="T679" s="289"/>
      <c r="U679" s="289"/>
    </row>
    <row r="680" spans="4:21">
      <c r="D680" s="289"/>
      <c r="E680" s="289"/>
      <c r="F680" s="289"/>
      <c r="G680" s="289"/>
      <c r="H680" s="289"/>
      <c r="I680" s="289"/>
      <c r="J680" s="289"/>
      <c r="K680" s="289"/>
      <c r="L680" s="289"/>
      <c r="M680" s="289"/>
      <c r="N680" s="289"/>
      <c r="O680" s="289"/>
      <c r="P680" s="289"/>
      <c r="Q680" s="289"/>
      <c r="R680" s="289"/>
      <c r="S680" s="289"/>
      <c r="T680" s="289"/>
      <c r="U680" s="289"/>
    </row>
    <row r="681" spans="4:21">
      <c r="D681" s="289"/>
      <c r="E681" s="289"/>
      <c r="F681" s="289"/>
      <c r="G681" s="289"/>
      <c r="H681" s="289"/>
      <c r="I681" s="289"/>
      <c r="J681" s="289"/>
      <c r="K681" s="289"/>
      <c r="L681" s="289"/>
      <c r="M681" s="289"/>
      <c r="N681" s="289"/>
      <c r="O681" s="289"/>
      <c r="P681" s="289"/>
      <c r="Q681" s="289"/>
      <c r="R681" s="289"/>
      <c r="S681" s="289"/>
      <c r="T681" s="289"/>
      <c r="U681" s="289"/>
    </row>
    <row r="682" spans="4:21">
      <c r="D682" s="289"/>
      <c r="E682" s="289"/>
      <c r="F682" s="289"/>
      <c r="G682" s="289"/>
      <c r="H682" s="289"/>
      <c r="I682" s="289"/>
      <c r="J682" s="289"/>
      <c r="K682" s="289"/>
      <c r="L682" s="289"/>
      <c r="M682" s="289"/>
      <c r="N682" s="289"/>
      <c r="O682" s="289"/>
      <c r="P682" s="289"/>
      <c r="Q682" s="289"/>
      <c r="R682" s="289"/>
      <c r="S682" s="289"/>
      <c r="T682" s="289"/>
      <c r="U682" s="289"/>
    </row>
    <row r="683" spans="4:21">
      <c r="D683" s="289"/>
      <c r="E683" s="289"/>
      <c r="F683" s="289"/>
      <c r="G683" s="289"/>
      <c r="H683" s="289"/>
      <c r="I683" s="289"/>
      <c r="J683" s="289"/>
      <c r="K683" s="289"/>
      <c r="L683" s="289"/>
      <c r="M683" s="289"/>
      <c r="N683" s="289"/>
      <c r="O683" s="289"/>
      <c r="P683" s="289"/>
      <c r="Q683" s="289"/>
      <c r="R683" s="289"/>
      <c r="S683" s="289"/>
      <c r="T683" s="289"/>
      <c r="U683" s="289"/>
    </row>
    <row r="684" spans="4:21">
      <c r="D684" s="289"/>
      <c r="E684" s="289"/>
      <c r="F684" s="289"/>
      <c r="G684" s="289"/>
      <c r="H684" s="289"/>
      <c r="I684" s="289"/>
      <c r="J684" s="289"/>
      <c r="K684" s="289"/>
      <c r="L684" s="289"/>
      <c r="M684" s="289"/>
      <c r="N684" s="289"/>
      <c r="O684" s="289"/>
      <c r="P684" s="289"/>
      <c r="Q684" s="289"/>
      <c r="R684" s="289"/>
      <c r="S684" s="289"/>
      <c r="T684" s="289"/>
      <c r="U684" s="289"/>
    </row>
    <row r="685" spans="4:21">
      <c r="D685" s="289"/>
      <c r="E685" s="289"/>
      <c r="F685" s="289"/>
      <c r="G685" s="289"/>
      <c r="H685" s="289"/>
      <c r="I685" s="289"/>
      <c r="J685" s="289"/>
      <c r="K685" s="289"/>
      <c r="L685" s="289"/>
      <c r="M685" s="289"/>
      <c r="N685" s="289"/>
      <c r="O685" s="289"/>
      <c r="P685" s="289"/>
      <c r="Q685" s="289"/>
      <c r="R685" s="289"/>
      <c r="S685" s="289"/>
      <c r="T685" s="289"/>
      <c r="U685" s="289"/>
    </row>
    <row r="686" spans="4:21">
      <c r="D686" s="289"/>
      <c r="E686" s="289"/>
      <c r="F686" s="289"/>
      <c r="G686" s="289"/>
      <c r="H686" s="289"/>
      <c r="I686" s="289"/>
      <c r="J686" s="289"/>
      <c r="K686" s="289"/>
      <c r="L686" s="289"/>
      <c r="M686" s="289"/>
      <c r="N686" s="289"/>
      <c r="O686" s="289"/>
      <c r="P686" s="289"/>
      <c r="Q686" s="289"/>
      <c r="R686" s="289"/>
      <c r="S686" s="289"/>
      <c r="T686" s="289"/>
      <c r="U686" s="289"/>
    </row>
    <row r="687" spans="4:21">
      <c r="D687" s="289"/>
      <c r="E687" s="289"/>
      <c r="F687" s="289"/>
      <c r="G687" s="289"/>
      <c r="H687" s="289"/>
      <c r="I687" s="289"/>
      <c r="J687" s="289"/>
      <c r="K687" s="289"/>
      <c r="L687" s="289"/>
      <c r="M687" s="289"/>
      <c r="N687" s="289"/>
      <c r="O687" s="289"/>
      <c r="P687" s="289"/>
      <c r="Q687" s="289"/>
      <c r="R687" s="289"/>
      <c r="S687" s="289"/>
      <c r="T687" s="289"/>
      <c r="U687" s="289"/>
    </row>
    <row r="688" spans="4:21">
      <c r="D688" s="289"/>
      <c r="E688" s="289"/>
      <c r="F688" s="289"/>
      <c r="G688" s="289"/>
      <c r="H688" s="289"/>
      <c r="I688" s="289"/>
      <c r="J688" s="289"/>
      <c r="K688" s="289"/>
      <c r="L688" s="289"/>
      <c r="M688" s="289"/>
      <c r="N688" s="289"/>
      <c r="O688" s="289"/>
      <c r="P688" s="289"/>
      <c r="Q688" s="289"/>
      <c r="R688" s="289"/>
      <c r="S688" s="289"/>
      <c r="T688" s="289"/>
      <c r="U688" s="289"/>
    </row>
    <row r="689" spans="4:21">
      <c r="D689" s="289"/>
      <c r="E689" s="289"/>
      <c r="F689" s="289"/>
      <c r="G689" s="289"/>
      <c r="H689" s="289"/>
      <c r="I689" s="289"/>
      <c r="J689" s="289"/>
      <c r="K689" s="289"/>
      <c r="L689" s="289"/>
      <c r="M689" s="289"/>
      <c r="N689" s="289"/>
      <c r="O689" s="289"/>
      <c r="P689" s="289"/>
      <c r="Q689" s="289"/>
      <c r="R689" s="289"/>
      <c r="S689" s="289"/>
      <c r="T689" s="289"/>
      <c r="U689" s="289"/>
    </row>
    <row r="690" spans="4:21">
      <c r="D690" s="289"/>
      <c r="E690" s="289"/>
      <c r="F690" s="289"/>
      <c r="G690" s="289"/>
      <c r="H690" s="289"/>
      <c r="I690" s="289"/>
      <c r="J690" s="289"/>
      <c r="K690" s="289"/>
      <c r="L690" s="289"/>
      <c r="M690" s="289"/>
      <c r="N690" s="289"/>
      <c r="O690" s="289"/>
      <c r="P690" s="289"/>
      <c r="Q690" s="289"/>
      <c r="R690" s="289"/>
      <c r="S690" s="289"/>
      <c r="T690" s="289"/>
      <c r="U690" s="289"/>
    </row>
    <row r="691" spans="4:21">
      <c r="D691" s="289"/>
      <c r="E691" s="289"/>
      <c r="F691" s="289"/>
      <c r="G691" s="289"/>
      <c r="H691" s="289"/>
      <c r="I691" s="289"/>
      <c r="J691" s="289"/>
      <c r="K691" s="289"/>
      <c r="L691" s="289"/>
      <c r="M691" s="289"/>
      <c r="N691" s="289"/>
      <c r="O691" s="289"/>
      <c r="P691" s="289"/>
      <c r="Q691" s="289"/>
      <c r="R691" s="289"/>
      <c r="S691" s="289"/>
      <c r="T691" s="289"/>
      <c r="U691" s="289"/>
    </row>
    <row r="692" spans="4:21">
      <c r="D692" s="289"/>
      <c r="E692" s="289"/>
      <c r="F692" s="289"/>
      <c r="G692" s="289"/>
      <c r="H692" s="289"/>
      <c r="I692" s="289"/>
      <c r="J692" s="289"/>
      <c r="K692" s="289"/>
      <c r="L692" s="289"/>
      <c r="M692" s="289"/>
      <c r="N692" s="289"/>
      <c r="O692" s="289"/>
      <c r="P692" s="289"/>
      <c r="Q692" s="289"/>
      <c r="R692" s="289"/>
      <c r="S692" s="289"/>
      <c r="T692" s="289"/>
      <c r="U692" s="289"/>
    </row>
    <row r="693" spans="4:21">
      <c r="D693" s="289"/>
      <c r="E693" s="289"/>
      <c r="F693" s="289"/>
      <c r="G693" s="289"/>
      <c r="H693" s="289"/>
      <c r="I693" s="289"/>
      <c r="J693" s="289"/>
      <c r="K693" s="289"/>
      <c r="L693" s="289"/>
      <c r="M693" s="289"/>
      <c r="N693" s="289"/>
      <c r="O693" s="289"/>
      <c r="P693" s="289"/>
      <c r="Q693" s="289"/>
      <c r="R693" s="289"/>
      <c r="S693" s="289"/>
      <c r="T693" s="289"/>
      <c r="U693" s="289"/>
    </row>
    <row r="694" spans="4:21">
      <c r="D694" s="289"/>
      <c r="E694" s="289"/>
      <c r="F694" s="289"/>
      <c r="G694" s="289"/>
      <c r="H694" s="289"/>
      <c r="I694" s="289"/>
      <c r="J694" s="289"/>
      <c r="K694" s="289"/>
      <c r="L694" s="289"/>
      <c r="M694" s="289"/>
      <c r="N694" s="289"/>
      <c r="O694" s="289"/>
      <c r="P694" s="289"/>
      <c r="Q694" s="289"/>
      <c r="R694" s="289"/>
      <c r="S694" s="289"/>
      <c r="T694" s="289"/>
      <c r="U694" s="289"/>
    </row>
    <row r="695" spans="4:21">
      <c r="D695" s="289"/>
      <c r="E695" s="289"/>
      <c r="F695" s="289"/>
      <c r="G695" s="289"/>
      <c r="H695" s="289"/>
      <c r="I695" s="289"/>
      <c r="J695" s="289"/>
      <c r="K695" s="289"/>
      <c r="L695" s="289"/>
      <c r="M695" s="289"/>
      <c r="N695" s="289"/>
      <c r="O695" s="289"/>
      <c r="P695" s="289"/>
      <c r="Q695" s="289"/>
      <c r="R695" s="289"/>
      <c r="S695" s="289"/>
      <c r="T695" s="289"/>
      <c r="U695" s="289"/>
    </row>
    <row r="696" spans="4:21">
      <c r="D696" s="289"/>
      <c r="E696" s="289"/>
      <c r="F696" s="289"/>
      <c r="G696" s="289"/>
      <c r="H696" s="289"/>
      <c r="I696" s="289"/>
      <c r="J696" s="289"/>
      <c r="K696" s="289"/>
      <c r="L696" s="289"/>
      <c r="M696" s="289"/>
      <c r="N696" s="289"/>
      <c r="O696" s="289"/>
      <c r="P696" s="289"/>
      <c r="Q696" s="289"/>
      <c r="R696" s="289"/>
      <c r="S696" s="289"/>
      <c r="T696" s="289"/>
      <c r="U696" s="289"/>
    </row>
    <row r="697" spans="4:21">
      <c r="D697" s="289"/>
      <c r="E697" s="289"/>
      <c r="F697" s="289"/>
      <c r="G697" s="289"/>
      <c r="H697" s="289"/>
      <c r="I697" s="289"/>
      <c r="J697" s="289"/>
      <c r="K697" s="289"/>
      <c r="L697" s="289"/>
      <c r="M697" s="289"/>
      <c r="N697" s="289"/>
      <c r="O697" s="289"/>
      <c r="P697" s="289"/>
      <c r="Q697" s="289"/>
      <c r="R697" s="289"/>
      <c r="S697" s="289"/>
      <c r="T697" s="289"/>
      <c r="U697" s="289"/>
    </row>
    <row r="698" spans="4:21">
      <c r="D698" s="289"/>
      <c r="E698" s="289"/>
      <c r="F698" s="289"/>
      <c r="G698" s="289"/>
      <c r="H698" s="289"/>
      <c r="I698" s="289"/>
      <c r="J698" s="289"/>
      <c r="K698" s="289"/>
      <c r="L698" s="289"/>
      <c r="M698" s="289"/>
      <c r="N698" s="289"/>
      <c r="O698" s="289"/>
      <c r="P698" s="289"/>
      <c r="Q698" s="289"/>
      <c r="R698" s="289"/>
      <c r="S698" s="289"/>
      <c r="T698" s="289"/>
      <c r="U698" s="289"/>
    </row>
    <row r="699" spans="4:21">
      <c r="D699" s="289"/>
      <c r="E699" s="289"/>
      <c r="F699" s="289"/>
      <c r="G699" s="289"/>
      <c r="H699" s="289"/>
      <c r="I699" s="289"/>
      <c r="J699" s="289"/>
      <c r="K699" s="289"/>
      <c r="L699" s="289"/>
      <c r="M699" s="289"/>
      <c r="N699" s="289"/>
      <c r="O699" s="289"/>
      <c r="P699" s="289"/>
      <c r="Q699" s="289"/>
      <c r="R699" s="289"/>
      <c r="S699" s="289"/>
      <c r="T699" s="289"/>
      <c r="U699" s="289"/>
    </row>
    <row r="700" spans="4:21">
      <c r="D700" s="289"/>
      <c r="E700" s="289"/>
      <c r="F700" s="289"/>
      <c r="G700" s="289"/>
      <c r="H700" s="289"/>
      <c r="I700" s="289"/>
      <c r="J700" s="289"/>
      <c r="K700" s="289"/>
      <c r="L700" s="289"/>
      <c r="M700" s="289"/>
      <c r="N700" s="289"/>
      <c r="O700" s="289"/>
      <c r="P700" s="289"/>
      <c r="Q700" s="289"/>
      <c r="R700" s="289"/>
      <c r="S700" s="289"/>
      <c r="T700" s="289"/>
      <c r="U700" s="289"/>
    </row>
    <row r="701" spans="4:21">
      <c r="D701" s="289"/>
      <c r="E701" s="289"/>
      <c r="F701" s="289"/>
      <c r="G701" s="289"/>
      <c r="H701" s="289"/>
      <c r="I701" s="289"/>
      <c r="J701" s="289"/>
      <c r="K701" s="289"/>
      <c r="L701" s="289"/>
      <c r="M701" s="289"/>
      <c r="N701" s="289"/>
      <c r="O701" s="289"/>
      <c r="P701" s="289"/>
      <c r="Q701" s="289"/>
      <c r="R701" s="289"/>
      <c r="S701" s="289"/>
      <c r="T701" s="289"/>
      <c r="U701" s="289"/>
    </row>
    <row r="702" spans="4:21">
      <c r="D702" s="289"/>
      <c r="E702" s="289"/>
      <c r="F702" s="289"/>
      <c r="G702" s="289"/>
      <c r="H702" s="289"/>
      <c r="I702" s="289"/>
      <c r="J702" s="289"/>
      <c r="K702" s="289"/>
      <c r="L702" s="289"/>
      <c r="M702" s="289"/>
      <c r="N702" s="289"/>
      <c r="O702" s="289"/>
      <c r="P702" s="289"/>
      <c r="Q702" s="289"/>
      <c r="R702" s="289"/>
      <c r="S702" s="289"/>
      <c r="T702" s="289"/>
      <c r="U702" s="289"/>
    </row>
    <row r="703" spans="4:21">
      <c r="D703" s="289"/>
      <c r="E703" s="289"/>
      <c r="F703" s="289"/>
      <c r="G703" s="289"/>
      <c r="H703" s="289"/>
      <c r="I703" s="289"/>
      <c r="J703" s="289"/>
      <c r="K703" s="289"/>
      <c r="L703" s="289"/>
      <c r="M703" s="289"/>
      <c r="N703" s="289"/>
      <c r="O703" s="289"/>
      <c r="P703" s="289"/>
      <c r="Q703" s="289"/>
      <c r="R703" s="289"/>
      <c r="S703" s="289"/>
      <c r="T703" s="289"/>
      <c r="U703" s="289"/>
    </row>
    <row r="704" spans="4:21">
      <c r="D704" s="289"/>
      <c r="E704" s="289"/>
      <c r="F704" s="289"/>
      <c r="G704" s="289"/>
      <c r="H704" s="289"/>
      <c r="I704" s="289"/>
      <c r="J704" s="289"/>
      <c r="K704" s="289"/>
      <c r="L704" s="289"/>
      <c r="M704" s="289"/>
      <c r="N704" s="289"/>
      <c r="O704" s="289"/>
      <c r="P704" s="289"/>
      <c r="Q704" s="289"/>
      <c r="R704" s="289"/>
      <c r="S704" s="289"/>
      <c r="T704" s="289"/>
      <c r="U704" s="289"/>
    </row>
    <row r="705" spans="4:21">
      <c r="D705" s="289"/>
      <c r="E705" s="289"/>
      <c r="F705" s="289"/>
      <c r="G705" s="289"/>
      <c r="H705" s="289"/>
      <c r="I705" s="289"/>
      <c r="J705" s="289"/>
      <c r="K705" s="289"/>
      <c r="L705" s="289"/>
      <c r="M705" s="289"/>
      <c r="N705" s="289"/>
      <c r="O705" s="289"/>
      <c r="P705" s="289"/>
      <c r="Q705" s="289"/>
      <c r="R705" s="289"/>
      <c r="S705" s="289"/>
      <c r="T705" s="289"/>
      <c r="U705" s="289"/>
    </row>
    <row r="706" spans="4:21">
      <c r="D706" s="289"/>
      <c r="E706" s="289"/>
      <c r="F706" s="289"/>
      <c r="G706" s="289"/>
      <c r="H706" s="289"/>
      <c r="I706" s="289"/>
      <c r="J706" s="289"/>
      <c r="K706" s="289"/>
      <c r="L706" s="289"/>
      <c r="M706" s="289"/>
      <c r="N706" s="289"/>
      <c r="O706" s="289"/>
      <c r="P706" s="289"/>
      <c r="Q706" s="289"/>
      <c r="R706" s="289"/>
      <c r="S706" s="289"/>
      <c r="T706" s="289"/>
      <c r="U706" s="289"/>
    </row>
    <row r="707" spans="4:21">
      <c r="D707" s="289"/>
      <c r="E707" s="289"/>
      <c r="F707" s="289"/>
      <c r="G707" s="289"/>
      <c r="H707" s="289"/>
      <c r="I707" s="289"/>
      <c r="J707" s="289"/>
      <c r="K707" s="289"/>
      <c r="L707" s="289"/>
      <c r="M707" s="289"/>
      <c r="N707" s="289"/>
      <c r="O707" s="289"/>
      <c r="P707" s="289"/>
      <c r="Q707" s="289"/>
      <c r="R707" s="289"/>
      <c r="S707" s="289"/>
      <c r="T707" s="289"/>
      <c r="U707" s="289"/>
    </row>
    <row r="708" spans="4:21">
      <c r="D708" s="289"/>
      <c r="E708" s="289"/>
      <c r="F708" s="289"/>
      <c r="G708" s="289"/>
      <c r="H708" s="289"/>
      <c r="I708" s="289"/>
      <c r="J708" s="289"/>
      <c r="K708" s="289"/>
      <c r="L708" s="289"/>
      <c r="M708" s="289"/>
      <c r="N708" s="289"/>
      <c r="O708" s="289"/>
      <c r="P708" s="289"/>
      <c r="Q708" s="289"/>
      <c r="R708" s="289"/>
      <c r="S708" s="289"/>
      <c r="T708" s="289"/>
      <c r="U708" s="289"/>
    </row>
    <row r="709" spans="4:21">
      <c r="D709" s="289"/>
      <c r="E709" s="289"/>
      <c r="F709" s="289"/>
      <c r="G709" s="289"/>
      <c r="H709" s="289"/>
      <c r="I709" s="289"/>
      <c r="J709" s="289"/>
      <c r="K709" s="289"/>
      <c r="L709" s="289"/>
      <c r="M709" s="289"/>
      <c r="N709" s="289"/>
      <c r="O709" s="289"/>
      <c r="P709" s="289"/>
      <c r="Q709" s="289"/>
      <c r="R709" s="289"/>
      <c r="S709" s="289"/>
      <c r="T709" s="289"/>
      <c r="U709" s="289"/>
    </row>
    <row r="710" spans="4:21">
      <c r="D710" s="289"/>
      <c r="E710" s="289"/>
      <c r="F710" s="289"/>
      <c r="G710" s="289"/>
      <c r="H710" s="289"/>
      <c r="I710" s="289"/>
      <c r="J710" s="289"/>
      <c r="K710" s="289"/>
      <c r="L710" s="289"/>
      <c r="M710" s="289"/>
      <c r="N710" s="289"/>
      <c r="O710" s="289"/>
      <c r="P710" s="289"/>
      <c r="Q710" s="289"/>
      <c r="R710" s="289"/>
      <c r="S710" s="289"/>
      <c r="T710" s="289"/>
      <c r="U710" s="289"/>
    </row>
    <row r="711" spans="4:21">
      <c r="D711" s="289"/>
      <c r="E711" s="289"/>
      <c r="F711" s="289"/>
      <c r="G711" s="289"/>
      <c r="H711" s="289"/>
      <c r="I711" s="289"/>
      <c r="J711" s="289"/>
      <c r="K711" s="289"/>
      <c r="L711" s="289"/>
      <c r="M711" s="289"/>
      <c r="N711" s="289"/>
      <c r="O711" s="289"/>
      <c r="P711" s="289"/>
      <c r="Q711" s="289"/>
      <c r="R711" s="289"/>
      <c r="S711" s="289"/>
      <c r="T711" s="289"/>
      <c r="U711" s="289"/>
    </row>
    <row r="712" spans="4:21">
      <c r="D712" s="289"/>
      <c r="E712" s="289"/>
      <c r="F712" s="289"/>
      <c r="G712" s="289"/>
      <c r="H712" s="289"/>
      <c r="I712" s="289"/>
      <c r="J712" s="289"/>
      <c r="K712" s="289"/>
      <c r="L712" s="289"/>
      <c r="M712" s="289"/>
      <c r="N712" s="289"/>
      <c r="O712" s="289"/>
      <c r="P712" s="289"/>
      <c r="Q712" s="289"/>
      <c r="R712" s="289"/>
      <c r="S712" s="289"/>
      <c r="T712" s="289"/>
      <c r="U712" s="289"/>
    </row>
    <row r="713" spans="4:21">
      <c r="D713" s="289"/>
      <c r="E713" s="289"/>
      <c r="F713" s="289"/>
      <c r="G713" s="289"/>
      <c r="H713" s="289"/>
      <c r="I713" s="289"/>
      <c r="J713" s="289"/>
      <c r="K713" s="289"/>
      <c r="L713" s="289"/>
      <c r="M713" s="289"/>
      <c r="N713" s="289"/>
      <c r="O713" s="289"/>
      <c r="P713" s="289"/>
      <c r="Q713" s="289"/>
      <c r="R713" s="289"/>
      <c r="S713" s="289"/>
      <c r="T713" s="289"/>
      <c r="U713" s="289"/>
    </row>
    <row r="714" spans="4:21">
      <c r="D714" s="289"/>
      <c r="E714" s="289"/>
      <c r="F714" s="289"/>
      <c r="G714" s="289"/>
      <c r="H714" s="289"/>
      <c r="I714" s="289"/>
      <c r="J714" s="289"/>
      <c r="K714" s="289"/>
      <c r="L714" s="289"/>
      <c r="M714" s="289"/>
      <c r="N714" s="289"/>
      <c r="O714" s="289"/>
      <c r="P714" s="289"/>
      <c r="Q714" s="289"/>
      <c r="R714" s="289"/>
      <c r="S714" s="289"/>
      <c r="T714" s="289"/>
      <c r="U714" s="289"/>
    </row>
    <row r="715" spans="4:21">
      <c r="D715" s="289"/>
      <c r="E715" s="289"/>
      <c r="F715" s="289"/>
      <c r="G715" s="289"/>
      <c r="H715" s="289"/>
      <c r="I715" s="289"/>
      <c r="J715" s="289"/>
      <c r="K715" s="289"/>
      <c r="L715" s="289"/>
      <c r="M715" s="289"/>
      <c r="N715" s="289"/>
      <c r="O715" s="289"/>
      <c r="P715" s="289"/>
      <c r="Q715" s="289"/>
      <c r="R715" s="289"/>
      <c r="S715" s="289"/>
      <c r="T715" s="289"/>
      <c r="U715" s="289"/>
    </row>
    <row r="716" spans="4:21">
      <c r="D716" s="289"/>
      <c r="E716" s="289"/>
      <c r="F716" s="289"/>
      <c r="G716" s="289"/>
      <c r="H716" s="289"/>
      <c r="I716" s="289"/>
      <c r="J716" s="289"/>
      <c r="K716" s="289"/>
      <c r="L716" s="289"/>
      <c r="M716" s="289"/>
      <c r="N716" s="289"/>
      <c r="O716" s="289"/>
      <c r="P716" s="289"/>
      <c r="Q716" s="289"/>
      <c r="R716" s="289"/>
      <c r="S716" s="289"/>
      <c r="T716" s="289"/>
      <c r="U716" s="289"/>
    </row>
    <row r="717" spans="4:21">
      <c r="D717" s="289"/>
      <c r="E717" s="289"/>
      <c r="F717" s="289"/>
      <c r="G717" s="289"/>
      <c r="H717" s="289"/>
      <c r="I717" s="289"/>
      <c r="J717" s="289"/>
      <c r="K717" s="289"/>
      <c r="L717" s="289"/>
      <c r="M717" s="289"/>
      <c r="N717" s="289"/>
      <c r="O717" s="289"/>
      <c r="P717" s="289"/>
      <c r="Q717" s="289"/>
      <c r="R717" s="289"/>
      <c r="S717" s="289"/>
      <c r="T717" s="289"/>
      <c r="U717" s="289"/>
    </row>
    <row r="718" spans="4:21">
      <c r="D718" s="289"/>
      <c r="E718" s="289"/>
      <c r="F718" s="289"/>
      <c r="G718" s="289"/>
      <c r="H718" s="289"/>
      <c r="I718" s="289"/>
      <c r="J718" s="289"/>
      <c r="K718" s="289"/>
      <c r="L718" s="289"/>
      <c r="M718" s="289"/>
      <c r="N718" s="289"/>
      <c r="O718" s="289"/>
      <c r="P718" s="289"/>
      <c r="Q718" s="289"/>
      <c r="R718" s="289"/>
      <c r="S718" s="289"/>
      <c r="T718" s="289"/>
      <c r="U718" s="289"/>
    </row>
    <row r="719" spans="4:21">
      <c r="D719" s="289"/>
      <c r="E719" s="289"/>
      <c r="F719" s="289"/>
      <c r="G719" s="289"/>
      <c r="H719" s="289"/>
      <c r="I719" s="289"/>
      <c r="J719" s="289"/>
      <c r="K719" s="289"/>
      <c r="L719" s="289"/>
      <c r="M719" s="289"/>
      <c r="N719" s="289"/>
      <c r="O719" s="289"/>
      <c r="P719" s="289"/>
      <c r="Q719" s="289"/>
      <c r="R719" s="289"/>
      <c r="S719" s="289"/>
      <c r="T719" s="289"/>
      <c r="U719" s="289"/>
    </row>
    <row r="720" spans="4:21">
      <c r="D720" s="289"/>
      <c r="E720" s="289"/>
      <c r="F720" s="289"/>
      <c r="G720" s="289"/>
      <c r="H720" s="289"/>
      <c r="I720" s="289"/>
      <c r="J720" s="289"/>
      <c r="K720" s="289"/>
      <c r="L720" s="289"/>
      <c r="M720" s="289"/>
      <c r="N720" s="289"/>
      <c r="O720" s="289"/>
      <c r="P720" s="289"/>
      <c r="Q720" s="289"/>
      <c r="R720" s="289"/>
      <c r="S720" s="289"/>
      <c r="T720" s="289"/>
      <c r="U720" s="289"/>
    </row>
    <row r="721" spans="4:21">
      <c r="D721" s="289"/>
      <c r="E721" s="289"/>
      <c r="F721" s="289"/>
      <c r="G721" s="289"/>
      <c r="H721" s="289"/>
      <c r="I721" s="289"/>
      <c r="J721" s="289"/>
      <c r="K721" s="289"/>
      <c r="L721" s="289"/>
      <c r="M721" s="289"/>
      <c r="N721" s="289"/>
      <c r="O721" s="289"/>
      <c r="P721" s="289"/>
      <c r="Q721" s="289"/>
      <c r="R721" s="289"/>
      <c r="S721" s="289"/>
      <c r="T721" s="289"/>
      <c r="U721" s="289"/>
    </row>
    <row r="722" spans="4:21">
      <c r="D722" s="289"/>
      <c r="E722" s="289"/>
      <c r="F722" s="289"/>
      <c r="G722" s="289"/>
      <c r="H722" s="289"/>
      <c r="I722" s="289"/>
      <c r="J722" s="289"/>
      <c r="K722" s="289"/>
      <c r="L722" s="289"/>
      <c r="M722" s="289"/>
      <c r="N722" s="289"/>
      <c r="O722" s="289"/>
      <c r="P722" s="289"/>
      <c r="Q722" s="289"/>
      <c r="R722" s="289"/>
      <c r="S722" s="289"/>
      <c r="T722" s="289"/>
      <c r="U722" s="289"/>
    </row>
    <row r="723" spans="4:21">
      <c r="D723" s="289"/>
      <c r="E723" s="289"/>
      <c r="F723" s="289"/>
      <c r="G723" s="289"/>
      <c r="H723" s="289"/>
      <c r="I723" s="289"/>
      <c r="J723" s="289"/>
      <c r="K723" s="289"/>
      <c r="L723" s="289"/>
      <c r="M723" s="289"/>
      <c r="N723" s="289"/>
      <c r="O723" s="289"/>
      <c r="P723" s="289"/>
      <c r="Q723" s="289"/>
      <c r="R723" s="289"/>
      <c r="S723" s="289"/>
      <c r="T723" s="289"/>
      <c r="U723" s="289"/>
    </row>
    <row r="724" spans="4:21">
      <c r="D724" s="289"/>
      <c r="E724" s="289"/>
      <c r="F724" s="289"/>
      <c r="G724" s="289"/>
      <c r="H724" s="289"/>
      <c r="I724" s="289"/>
      <c r="J724" s="289"/>
      <c r="K724" s="289"/>
      <c r="L724" s="289"/>
      <c r="M724" s="289"/>
      <c r="N724" s="289"/>
      <c r="O724" s="289"/>
      <c r="P724" s="289"/>
      <c r="Q724" s="289"/>
      <c r="R724" s="289"/>
      <c r="S724" s="289"/>
      <c r="T724" s="289"/>
      <c r="U724" s="289"/>
    </row>
    <row r="725" spans="4:21">
      <c r="D725" s="289"/>
      <c r="E725" s="289"/>
      <c r="F725" s="289"/>
      <c r="G725" s="289"/>
      <c r="H725" s="289"/>
      <c r="I725" s="289"/>
      <c r="J725" s="289"/>
      <c r="K725" s="289"/>
      <c r="L725" s="289"/>
      <c r="M725" s="289"/>
      <c r="N725" s="289"/>
      <c r="O725" s="289"/>
      <c r="P725" s="289"/>
      <c r="Q725" s="289"/>
      <c r="R725" s="289"/>
      <c r="S725" s="289"/>
      <c r="T725" s="289"/>
      <c r="U725" s="289"/>
    </row>
  </sheetData>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sheetPr>
  <dimension ref="A1:AH1191"/>
  <sheetViews>
    <sheetView topLeftCell="A2" zoomScale="90" zoomScaleNormal="90" zoomScalePageLayoutView="90" workbookViewId="0">
      <pane xSplit="5" ySplit="6" topLeftCell="O623" activePane="bottomRight" state="frozenSplit"/>
      <selection activeCell="A2" sqref="A2 A2"/>
      <selection pane="topRight" activeCell="A2" sqref="A2"/>
      <selection pane="bottomLeft" activeCell="A2" sqref="A2"/>
      <selection pane="bottomRight" activeCell="A652" sqref="A652"/>
    </sheetView>
  </sheetViews>
  <sheetFormatPr defaultColWidth="8.85546875" defaultRowHeight="12.75"/>
  <cols>
    <col min="1" max="1" width="6.42578125" style="125" customWidth="1"/>
    <col min="2" max="2" width="32" style="126" customWidth="1"/>
    <col min="3" max="3" width="35" style="126" customWidth="1"/>
    <col min="4" max="4" width="10.140625" style="125" customWidth="1"/>
    <col min="5" max="5" width="6.7109375" style="125" customWidth="1"/>
    <col min="6" max="6" width="11.85546875" style="75" customWidth="1"/>
    <col min="7" max="7" width="11.85546875" style="127" customWidth="1"/>
    <col min="8" max="8" width="11.28515625" style="75" customWidth="1"/>
    <col min="9" max="9" width="11.28515625" style="127" customWidth="1"/>
    <col min="10" max="11" width="10.7109375" style="75" customWidth="1"/>
    <col min="12" max="12" width="10.42578125" style="75" customWidth="1"/>
    <col min="13" max="13" width="13.42578125" style="128" customWidth="1"/>
    <col min="14" max="14" width="10.42578125" style="128" customWidth="1"/>
    <col min="15" max="15" width="9.85546875" style="128" customWidth="1"/>
    <col min="16" max="16" width="11.42578125" style="75" customWidth="1"/>
    <col min="17" max="17" width="12.140625" style="127" customWidth="1"/>
    <col min="18" max="18" width="9.42578125" style="75" customWidth="1"/>
    <col min="19" max="19" width="9.42578125" style="127" customWidth="1"/>
    <col min="20" max="20" width="10.85546875" style="75" customWidth="1"/>
    <col min="21" max="21" width="10.85546875" style="127" customWidth="1"/>
    <col min="22" max="22" width="10.42578125" style="75" customWidth="1"/>
    <col min="23" max="23" width="10.42578125" style="127" customWidth="1"/>
    <col min="24" max="25" width="10.28515625" style="75" customWidth="1"/>
    <col min="26" max="26" width="8.7109375" style="75" customWidth="1"/>
    <col min="27" max="27" width="11.42578125" style="128" customWidth="1"/>
    <col min="28" max="28" width="12.42578125" style="128" customWidth="1"/>
    <col min="29" max="29" width="10.140625" style="128" customWidth="1"/>
    <col min="30" max="30" width="11.7109375" style="75" customWidth="1"/>
    <col min="31" max="31" width="12.28515625" style="127" customWidth="1"/>
    <col min="32" max="33" width="8.7109375" style="75" customWidth="1"/>
    <col min="34" max="34" width="8.85546875" style="75" customWidth="1"/>
    <col min="35" max="16384" width="8.85546875" style="75"/>
  </cols>
  <sheetData>
    <row r="1" spans="1:33" hidden="1">
      <c r="A1" s="78"/>
      <c r="B1" s="79"/>
      <c r="C1" s="79"/>
      <c r="D1" s="80"/>
      <c r="E1" s="78"/>
      <c r="F1" s="81">
        <f>SUM(H1,J1,L1,M1,N1,R1)</f>
        <v>0</v>
      </c>
      <c r="G1" s="82">
        <f>SUM(I1,K1,O1,P1,Q1,S1)</f>
        <v>0</v>
      </c>
      <c r="H1" s="80"/>
      <c r="I1" s="80"/>
      <c r="J1" s="80"/>
      <c r="K1" s="80"/>
      <c r="L1" s="80"/>
      <c r="M1" s="80"/>
      <c r="N1" s="80"/>
      <c r="O1" s="80"/>
      <c r="P1" s="80"/>
      <c r="Q1" s="80"/>
      <c r="R1" s="80"/>
      <c r="S1" s="80"/>
      <c r="T1" s="83">
        <f>SUM(V1,X1,Z1,AA1,AB1,AF1)</f>
        <v>0</v>
      </c>
      <c r="U1" s="84">
        <f>SUM(W1,Y1,AC1,AD1,AE1,AG1)</f>
        <v>0</v>
      </c>
      <c r="V1" s="80"/>
      <c r="W1" s="80"/>
      <c r="X1" s="80"/>
      <c r="Y1" s="80"/>
      <c r="Z1" s="80"/>
      <c r="AA1" s="80"/>
      <c r="AB1" s="80"/>
      <c r="AC1" s="80"/>
      <c r="AD1" s="80"/>
      <c r="AE1" s="80"/>
      <c r="AF1" s="80"/>
      <c r="AG1" s="80"/>
    </row>
    <row r="2" spans="1:33" s="74" customFormat="1" ht="18.75" customHeight="1" thickBot="1">
      <c r="A2" s="76" t="s">
        <v>0</v>
      </c>
      <c r="B2" s="76"/>
      <c r="C2" s="76"/>
      <c r="D2" s="361" t="s">
        <v>875</v>
      </c>
      <c r="E2" s="76"/>
      <c r="F2" s="60" t="s">
        <v>1</v>
      </c>
      <c r="G2" s="50"/>
      <c r="H2" s="50"/>
      <c r="I2" s="50"/>
      <c r="J2" s="50"/>
      <c r="K2" s="50"/>
      <c r="L2" s="50"/>
      <c r="M2" s="50"/>
      <c r="N2" s="51"/>
      <c r="O2" s="50"/>
      <c r="P2" s="50"/>
      <c r="Q2" s="50"/>
      <c r="R2" s="61"/>
      <c r="S2" s="50"/>
      <c r="T2" s="60" t="s">
        <v>2</v>
      </c>
      <c r="U2" s="50"/>
      <c r="V2" s="50"/>
      <c r="W2" s="50"/>
      <c r="X2" s="50"/>
      <c r="Y2" s="50"/>
      <c r="Z2" s="50"/>
      <c r="AA2" s="50"/>
      <c r="AB2" s="51"/>
      <c r="AC2" s="50"/>
      <c r="AD2" s="50"/>
      <c r="AE2" s="50"/>
      <c r="AF2" s="77"/>
      <c r="AG2" s="50"/>
    </row>
    <row r="3" spans="1:33" s="74" customFormat="1" ht="12.75" customHeight="1" thickTop="1">
      <c r="A3" s="85" t="s">
        <v>3</v>
      </c>
      <c r="B3" s="86"/>
      <c r="C3" s="86"/>
      <c r="D3" s="86"/>
      <c r="E3" s="86"/>
      <c r="F3" s="87" t="s">
        <v>4</v>
      </c>
      <c r="G3" s="88"/>
      <c r="H3" s="62"/>
      <c r="I3" s="44"/>
      <c r="J3" s="62"/>
      <c r="K3" s="44"/>
      <c r="L3" s="63" t="s">
        <v>5</v>
      </c>
      <c r="M3" s="52"/>
      <c r="N3" s="53"/>
      <c r="O3" s="41"/>
      <c r="P3" s="42"/>
      <c r="Q3" s="42"/>
      <c r="R3" s="64"/>
      <c r="S3" s="44"/>
      <c r="T3" s="87" t="s">
        <v>4</v>
      </c>
      <c r="U3" s="88"/>
      <c r="V3" s="62"/>
      <c r="W3" s="44"/>
      <c r="X3" s="62"/>
      <c r="Y3" s="44"/>
      <c r="Z3" s="63" t="s">
        <v>5</v>
      </c>
      <c r="AA3" s="52"/>
      <c r="AB3" s="53"/>
      <c r="AC3" s="41"/>
      <c r="AD3" s="42"/>
      <c r="AE3" s="42"/>
      <c r="AF3" s="64"/>
      <c r="AG3" s="44"/>
    </row>
    <row r="4" spans="1:33" s="74" customFormat="1" ht="127.5" customHeight="1">
      <c r="A4" s="89" t="s">
        <v>6</v>
      </c>
      <c r="B4" s="90"/>
      <c r="C4" s="90"/>
      <c r="D4" s="90"/>
      <c r="E4" s="90"/>
      <c r="F4" s="38" t="s">
        <v>7</v>
      </c>
      <c r="G4" s="39"/>
      <c r="H4" s="676" t="s">
        <v>8</v>
      </c>
      <c r="I4" s="677"/>
      <c r="J4" s="63" t="s">
        <v>9</v>
      </c>
      <c r="K4" s="40"/>
      <c r="L4" s="65" t="s">
        <v>10</v>
      </c>
      <c r="M4" s="65" t="s">
        <v>11</v>
      </c>
      <c r="N4" s="54" t="s">
        <v>12</v>
      </c>
      <c r="O4" s="40" t="s">
        <v>10</v>
      </c>
      <c r="P4" s="40" t="s">
        <v>13</v>
      </c>
      <c r="Q4" s="40" t="s">
        <v>14</v>
      </c>
      <c r="R4" s="66" t="s">
        <v>15</v>
      </c>
      <c r="S4" s="40"/>
      <c r="T4" s="38" t="s">
        <v>16</v>
      </c>
      <c r="U4" s="39"/>
      <c r="V4" s="63" t="s">
        <v>17</v>
      </c>
      <c r="W4" s="40"/>
      <c r="X4" s="63" t="s">
        <v>18</v>
      </c>
      <c r="Y4" s="40"/>
      <c r="Z4" s="65" t="s">
        <v>10</v>
      </c>
      <c r="AA4" s="65" t="s">
        <v>19</v>
      </c>
      <c r="AB4" s="54" t="s">
        <v>20</v>
      </c>
      <c r="AC4" s="40" t="s">
        <v>10</v>
      </c>
      <c r="AD4" s="40" t="s">
        <v>21</v>
      </c>
      <c r="AE4" s="40" t="s">
        <v>22</v>
      </c>
      <c r="AF4" s="66" t="s">
        <v>23</v>
      </c>
      <c r="AG4" s="40"/>
    </row>
    <row r="5" spans="1:33" s="129" customFormat="1" ht="38.25" customHeight="1" thickBot="1">
      <c r="A5" s="91" t="s">
        <v>24</v>
      </c>
      <c r="B5" s="92" t="s">
        <v>25</v>
      </c>
      <c r="C5" s="93" t="s">
        <v>26</v>
      </c>
      <c r="D5" s="94" t="s">
        <v>27</v>
      </c>
      <c r="E5" s="95" t="s">
        <v>28</v>
      </c>
      <c r="F5" s="96">
        <v>2015</v>
      </c>
      <c r="G5" s="97">
        <v>2016</v>
      </c>
      <c r="H5" s="98">
        <v>2015</v>
      </c>
      <c r="I5" s="37">
        <v>2016</v>
      </c>
      <c r="J5" s="98">
        <v>2015</v>
      </c>
      <c r="K5" s="43">
        <v>2016</v>
      </c>
      <c r="L5" s="99">
        <v>2015</v>
      </c>
      <c r="M5" s="98">
        <v>2015</v>
      </c>
      <c r="N5" s="98">
        <v>2015</v>
      </c>
      <c r="O5" s="37">
        <v>2016</v>
      </c>
      <c r="P5" s="37">
        <v>2016</v>
      </c>
      <c r="Q5" s="43">
        <v>2016</v>
      </c>
      <c r="R5" s="99">
        <v>2015</v>
      </c>
      <c r="S5" s="43">
        <v>2016</v>
      </c>
      <c r="T5" s="96">
        <v>2015</v>
      </c>
      <c r="U5" s="97">
        <v>2016</v>
      </c>
      <c r="V5" s="98">
        <v>2015</v>
      </c>
      <c r="W5" s="37">
        <v>2016</v>
      </c>
      <c r="X5" s="98">
        <v>2015</v>
      </c>
      <c r="Y5" s="43">
        <v>2016</v>
      </c>
      <c r="Z5" s="99">
        <v>2015</v>
      </c>
      <c r="AA5" s="98">
        <v>2015</v>
      </c>
      <c r="AB5" s="98">
        <v>2015</v>
      </c>
      <c r="AC5" s="37">
        <v>2016</v>
      </c>
      <c r="AD5" s="37">
        <v>2016</v>
      </c>
      <c r="AE5" s="43">
        <v>2016</v>
      </c>
      <c r="AF5" s="99">
        <v>2015</v>
      </c>
      <c r="AG5" s="45">
        <v>2016</v>
      </c>
    </row>
    <row r="6" spans="1:33" s="74" customFormat="1" ht="40.5" hidden="1" customHeight="1" thickTop="1">
      <c r="A6" s="100" t="s">
        <v>24</v>
      </c>
      <c r="B6" s="101" t="s">
        <v>25</v>
      </c>
      <c r="C6" s="101" t="s">
        <v>29</v>
      </c>
      <c r="D6" s="100" t="s">
        <v>30</v>
      </c>
      <c r="E6" s="100" t="s">
        <v>31</v>
      </c>
      <c r="F6" s="102" t="s">
        <v>32</v>
      </c>
      <c r="G6" s="102" t="s">
        <v>33</v>
      </c>
      <c r="H6" s="102" t="s">
        <v>34</v>
      </c>
      <c r="I6" s="102" t="s">
        <v>35</v>
      </c>
      <c r="J6" s="102" t="s">
        <v>36</v>
      </c>
      <c r="K6" s="102" t="s">
        <v>37</v>
      </c>
      <c r="L6" s="102" t="s">
        <v>38</v>
      </c>
      <c r="M6" s="102" t="s">
        <v>39</v>
      </c>
      <c r="N6" s="102" t="s">
        <v>40</v>
      </c>
      <c r="O6" s="102" t="s">
        <v>41</v>
      </c>
      <c r="P6" s="102" t="s">
        <v>42</v>
      </c>
      <c r="Q6" s="102" t="s">
        <v>43</v>
      </c>
      <c r="R6" s="102" t="s">
        <v>44</v>
      </c>
      <c r="S6" s="102" t="s">
        <v>45</v>
      </c>
      <c r="T6" s="102" t="s">
        <v>46</v>
      </c>
      <c r="U6" s="102" t="s">
        <v>47</v>
      </c>
      <c r="V6" s="102" t="s">
        <v>48</v>
      </c>
      <c r="W6" s="102" t="s">
        <v>49</v>
      </c>
      <c r="X6" s="102" t="s">
        <v>50</v>
      </c>
      <c r="Y6" s="102" t="s">
        <v>51</v>
      </c>
      <c r="Z6" s="102" t="s">
        <v>52</v>
      </c>
      <c r="AA6" s="102" t="s">
        <v>53</v>
      </c>
      <c r="AB6" s="102" t="s">
        <v>54</v>
      </c>
      <c r="AC6" s="102" t="s">
        <v>55</v>
      </c>
      <c r="AD6" s="102" t="s">
        <v>56</v>
      </c>
      <c r="AE6" s="102" t="s">
        <v>57</v>
      </c>
      <c r="AF6" s="102" t="s">
        <v>58</v>
      </c>
      <c r="AG6" s="103" t="s">
        <v>59</v>
      </c>
    </row>
    <row r="7" spans="1:33" s="74" customFormat="1" ht="13.5" customHeight="1" thickTop="1">
      <c r="A7" s="104" t="s">
        <v>60</v>
      </c>
      <c r="B7" s="105" t="s">
        <v>61</v>
      </c>
      <c r="C7" s="341"/>
      <c r="D7" s="107">
        <v>100858</v>
      </c>
      <c r="E7" s="107">
        <v>1</v>
      </c>
      <c r="F7" s="81">
        <f t="shared" ref="F7:F70" si="0">SUM(H7,J7,L7,M7,N7,R7)</f>
        <v>622670</v>
      </c>
      <c r="G7" s="82">
        <f t="shared" ref="G7:G70" si="1">SUM(I7,K7,O7,P7,Q7,S7)</f>
        <v>651666</v>
      </c>
      <c r="H7" s="108">
        <v>593877</v>
      </c>
      <c r="I7" s="67">
        <v>614587</v>
      </c>
      <c r="J7" s="108"/>
      <c r="K7" s="46"/>
      <c r="L7" s="109">
        <v>28793</v>
      </c>
      <c r="M7" s="110"/>
      <c r="N7" s="110"/>
      <c r="O7" s="111">
        <v>37079</v>
      </c>
      <c r="P7" s="47"/>
      <c r="Q7" s="55"/>
      <c r="R7" s="108"/>
      <c r="S7" s="46"/>
      <c r="T7" s="83">
        <f t="shared" ref="T7:T70" si="2">SUM(V7,X7,Z7,AA7,AB7,AF7)</f>
        <v>101550</v>
      </c>
      <c r="U7" s="84">
        <f t="shared" ref="U7:U70" si="3">SUM(W7,Y7,AC7,AD7,AE7,AG7)</f>
        <v>103440</v>
      </c>
      <c r="V7" s="108">
        <v>80421</v>
      </c>
      <c r="W7" s="67">
        <v>80954</v>
      </c>
      <c r="X7" s="108">
        <v>2146</v>
      </c>
      <c r="Y7" s="112">
        <v>2268</v>
      </c>
      <c r="Z7" s="109">
        <v>18983</v>
      </c>
      <c r="AA7" s="110"/>
      <c r="AB7" s="110"/>
      <c r="AC7" s="111">
        <v>20218</v>
      </c>
      <c r="AD7" s="47"/>
      <c r="AE7" s="55"/>
      <c r="AF7" s="108"/>
      <c r="AG7" s="49"/>
    </row>
    <row r="8" spans="1:33" ht="15">
      <c r="A8" s="104" t="s">
        <v>60</v>
      </c>
      <c r="B8" s="105" t="s">
        <v>62</v>
      </c>
      <c r="C8" s="342"/>
      <c r="D8" s="107">
        <v>100751</v>
      </c>
      <c r="E8" s="107">
        <v>1</v>
      </c>
      <c r="F8" s="81">
        <f t="shared" si="0"/>
        <v>884462</v>
      </c>
      <c r="G8" s="82">
        <f t="shared" si="1"/>
        <v>909843</v>
      </c>
      <c r="H8" s="108">
        <v>807113</v>
      </c>
      <c r="I8" s="59">
        <v>827187</v>
      </c>
      <c r="J8" s="108">
        <v>367</v>
      </c>
      <c r="K8" s="113">
        <v>477</v>
      </c>
      <c r="L8" s="109">
        <v>76177</v>
      </c>
      <c r="M8" s="110">
        <v>805</v>
      </c>
      <c r="N8" s="110"/>
      <c r="O8" s="111">
        <v>80757</v>
      </c>
      <c r="P8" s="111">
        <v>1422</v>
      </c>
      <c r="Q8" s="55"/>
      <c r="R8" s="108"/>
      <c r="S8" s="46"/>
      <c r="T8" s="83">
        <f t="shared" si="2"/>
        <v>97041</v>
      </c>
      <c r="U8" s="84">
        <f t="shared" si="3"/>
        <v>96912</v>
      </c>
      <c r="V8" s="108">
        <v>76279</v>
      </c>
      <c r="W8" s="59">
        <v>75212</v>
      </c>
      <c r="X8" s="108">
        <v>3194</v>
      </c>
      <c r="Y8" s="113">
        <v>3008</v>
      </c>
      <c r="Z8" s="109">
        <v>17271</v>
      </c>
      <c r="AA8" s="110">
        <v>297</v>
      </c>
      <c r="AB8" s="110"/>
      <c r="AC8" s="111">
        <v>18488</v>
      </c>
      <c r="AD8" s="111">
        <v>204</v>
      </c>
      <c r="AE8" s="55"/>
      <c r="AF8" s="108"/>
      <c r="AG8" s="49"/>
    </row>
    <row r="9" spans="1:33" ht="15">
      <c r="A9" s="104" t="s">
        <v>60</v>
      </c>
      <c r="B9" s="105" t="s">
        <v>63</v>
      </c>
      <c r="C9" s="342" t="s">
        <v>841</v>
      </c>
      <c r="D9" s="107">
        <v>100663</v>
      </c>
      <c r="E9" s="107">
        <v>2</v>
      </c>
      <c r="F9" s="81">
        <f t="shared" si="0"/>
        <v>262982.5</v>
      </c>
      <c r="G9" s="82">
        <f t="shared" si="1"/>
        <v>273551.5</v>
      </c>
      <c r="H9" s="108">
        <v>202197.5</v>
      </c>
      <c r="I9" s="56">
        <v>199337.5</v>
      </c>
      <c r="J9" s="108">
        <v>161</v>
      </c>
      <c r="K9" s="115">
        <v>186</v>
      </c>
      <c r="L9" s="109">
        <v>60552</v>
      </c>
      <c r="M9" s="110">
        <v>72</v>
      </c>
      <c r="N9" s="110">
        <v>0</v>
      </c>
      <c r="O9" s="111">
        <v>73968</v>
      </c>
      <c r="P9" s="111">
        <v>60</v>
      </c>
      <c r="Q9" s="55"/>
      <c r="R9" s="108"/>
      <c r="S9" s="46"/>
      <c r="T9" s="83">
        <f t="shared" si="2"/>
        <v>43148</v>
      </c>
      <c r="U9" s="84">
        <f t="shared" si="3"/>
        <v>43330</v>
      </c>
      <c r="V9" s="108">
        <v>28916</v>
      </c>
      <c r="W9" s="115">
        <v>26796</v>
      </c>
      <c r="X9" s="108">
        <v>233</v>
      </c>
      <c r="Y9" s="115">
        <v>176</v>
      </c>
      <c r="Z9" s="109">
        <v>13870</v>
      </c>
      <c r="AA9" s="110">
        <v>129</v>
      </c>
      <c r="AB9" s="110"/>
      <c r="AC9" s="111">
        <v>16223</v>
      </c>
      <c r="AD9" s="57">
        <v>135</v>
      </c>
      <c r="AE9" s="55"/>
      <c r="AF9" s="108"/>
      <c r="AG9" s="49"/>
    </row>
    <row r="10" spans="1:33" ht="15">
      <c r="A10" s="104" t="s">
        <v>60</v>
      </c>
      <c r="B10" s="105" t="s">
        <v>64</v>
      </c>
      <c r="C10" s="342"/>
      <c r="D10" s="107">
        <v>100706</v>
      </c>
      <c r="E10" s="107">
        <v>2</v>
      </c>
      <c r="F10" s="81">
        <f t="shared" si="0"/>
        <v>154043</v>
      </c>
      <c r="G10" s="82">
        <f t="shared" si="1"/>
        <v>166306</v>
      </c>
      <c r="H10" s="108">
        <v>150879</v>
      </c>
      <c r="I10" s="115">
        <v>161965</v>
      </c>
      <c r="J10" s="108"/>
      <c r="K10" s="48"/>
      <c r="L10" s="109">
        <v>3164</v>
      </c>
      <c r="M10" s="110"/>
      <c r="N10" s="110"/>
      <c r="O10" s="111">
        <v>4341</v>
      </c>
      <c r="P10" s="47"/>
      <c r="Q10" s="55"/>
      <c r="R10" s="108"/>
      <c r="S10" s="46"/>
      <c r="T10" s="83">
        <f t="shared" si="2"/>
        <v>27416</v>
      </c>
      <c r="U10" s="84">
        <f t="shared" si="3"/>
        <v>29506</v>
      </c>
      <c r="V10" s="108">
        <v>21672</v>
      </c>
      <c r="W10" s="56">
        <v>21456</v>
      </c>
      <c r="X10" s="108"/>
      <c r="Y10" s="48"/>
      <c r="Z10" s="109">
        <v>5744</v>
      </c>
      <c r="AA10" s="110"/>
      <c r="AB10" s="110"/>
      <c r="AC10" s="111">
        <v>8050</v>
      </c>
      <c r="AD10" s="47"/>
      <c r="AE10" s="55"/>
      <c r="AF10" s="108"/>
      <c r="AG10" s="49"/>
    </row>
    <row r="11" spans="1:33" ht="15">
      <c r="A11" s="104" t="s">
        <v>60</v>
      </c>
      <c r="B11" s="105" t="s">
        <v>65</v>
      </c>
      <c r="C11" s="342"/>
      <c r="D11" s="107">
        <v>100654</v>
      </c>
      <c r="E11" s="107">
        <v>3</v>
      </c>
      <c r="F11" s="81">
        <f t="shared" si="0"/>
        <v>112060</v>
      </c>
      <c r="G11" s="82">
        <f t="shared" si="1"/>
        <v>120596</v>
      </c>
      <c r="H11" s="108">
        <v>106477</v>
      </c>
      <c r="I11" s="115">
        <v>113677</v>
      </c>
      <c r="J11" s="108"/>
      <c r="K11" s="48"/>
      <c r="L11" s="109">
        <v>5583</v>
      </c>
      <c r="M11" s="110"/>
      <c r="N11" s="110"/>
      <c r="O11" s="111">
        <v>6919</v>
      </c>
      <c r="P11" s="47"/>
      <c r="Q11" s="55"/>
      <c r="R11" s="108"/>
      <c r="S11" s="46"/>
      <c r="T11" s="83">
        <f t="shared" si="2"/>
        <v>20175</v>
      </c>
      <c r="U11" s="84">
        <f t="shared" si="3"/>
        <v>18715</v>
      </c>
      <c r="V11" s="108">
        <v>19218</v>
      </c>
      <c r="W11" s="115">
        <v>17751</v>
      </c>
      <c r="X11" s="108"/>
      <c r="Y11" s="48"/>
      <c r="Z11" s="109">
        <v>957</v>
      </c>
      <c r="AA11" s="110"/>
      <c r="AB11" s="110"/>
      <c r="AC11" s="57">
        <v>964</v>
      </c>
      <c r="AD11" s="47"/>
      <c r="AE11" s="55"/>
      <c r="AF11" s="108"/>
      <c r="AG11" s="49"/>
    </row>
    <row r="12" spans="1:33" ht="15">
      <c r="A12" s="104" t="s">
        <v>60</v>
      </c>
      <c r="B12" s="105" t="s">
        <v>66</v>
      </c>
      <c r="C12" s="342"/>
      <c r="D12" s="107">
        <v>101480</v>
      </c>
      <c r="E12" s="107">
        <v>3</v>
      </c>
      <c r="F12" s="81">
        <f t="shared" si="0"/>
        <v>187565</v>
      </c>
      <c r="G12" s="82">
        <f t="shared" si="1"/>
        <v>187104</v>
      </c>
      <c r="H12" s="108">
        <v>143892</v>
      </c>
      <c r="I12" s="115">
        <v>132502</v>
      </c>
      <c r="J12" s="108">
        <v>2823</v>
      </c>
      <c r="K12" s="115">
        <v>3104</v>
      </c>
      <c r="L12" s="109">
        <v>39227</v>
      </c>
      <c r="M12" s="110">
        <v>1623</v>
      </c>
      <c r="N12" s="110"/>
      <c r="O12" s="111">
        <v>50265</v>
      </c>
      <c r="P12" s="111">
        <v>1233</v>
      </c>
      <c r="Q12" s="55">
        <v>0</v>
      </c>
      <c r="R12" s="108"/>
      <c r="S12" s="46"/>
      <c r="T12" s="83">
        <f t="shared" si="2"/>
        <v>14781</v>
      </c>
      <c r="U12" s="84">
        <f t="shared" si="3"/>
        <v>14986</v>
      </c>
      <c r="V12" s="108">
        <v>4174</v>
      </c>
      <c r="W12" s="56">
        <v>3966</v>
      </c>
      <c r="X12" s="108"/>
      <c r="Y12" s="48"/>
      <c r="Z12" s="109">
        <v>10589</v>
      </c>
      <c r="AA12" s="110">
        <v>18</v>
      </c>
      <c r="AB12" s="110"/>
      <c r="AC12" s="57">
        <v>11020</v>
      </c>
      <c r="AD12" s="116">
        <v>0</v>
      </c>
      <c r="AE12" s="55"/>
      <c r="AF12" s="108"/>
      <c r="AG12" s="49"/>
    </row>
    <row r="13" spans="1:33" ht="15">
      <c r="A13" s="104" t="s">
        <v>60</v>
      </c>
      <c r="B13" s="105" t="s">
        <v>67</v>
      </c>
      <c r="C13" s="342"/>
      <c r="D13" s="107">
        <v>102368</v>
      </c>
      <c r="E13" s="107">
        <v>3</v>
      </c>
      <c r="F13" s="81">
        <f t="shared" si="0"/>
        <v>263960</v>
      </c>
      <c r="G13" s="82">
        <f t="shared" si="1"/>
        <v>272341</v>
      </c>
      <c r="H13" s="108">
        <v>202127</v>
      </c>
      <c r="I13" s="115">
        <v>214024</v>
      </c>
      <c r="J13" s="108">
        <v>57</v>
      </c>
      <c r="K13" s="115">
        <v>0</v>
      </c>
      <c r="L13" s="109">
        <v>59535</v>
      </c>
      <c r="M13" s="110">
        <v>0</v>
      </c>
      <c r="N13" s="110">
        <v>2241</v>
      </c>
      <c r="O13" s="57">
        <v>57930</v>
      </c>
      <c r="P13" s="57">
        <v>0</v>
      </c>
      <c r="Q13" s="117">
        <v>387</v>
      </c>
      <c r="R13" s="108"/>
      <c r="S13" s="46"/>
      <c r="T13" s="83">
        <f t="shared" si="2"/>
        <v>35195</v>
      </c>
      <c r="U13" s="84">
        <f t="shared" si="3"/>
        <v>36503</v>
      </c>
      <c r="V13" s="108">
        <v>22482</v>
      </c>
      <c r="W13" s="56">
        <v>23287</v>
      </c>
      <c r="X13" s="108">
        <v>39</v>
      </c>
      <c r="Y13" s="115">
        <v>21</v>
      </c>
      <c r="Z13" s="109">
        <v>12326</v>
      </c>
      <c r="AA13" s="110">
        <v>0</v>
      </c>
      <c r="AB13" s="110">
        <v>348</v>
      </c>
      <c r="AC13" s="57">
        <v>12700</v>
      </c>
      <c r="AD13" s="57">
        <v>0</v>
      </c>
      <c r="AE13" s="117">
        <v>495</v>
      </c>
      <c r="AF13" s="108"/>
      <c r="AG13" s="49"/>
    </row>
    <row r="14" spans="1:33" ht="15">
      <c r="A14" s="104" t="s">
        <v>60</v>
      </c>
      <c r="B14" s="105" t="s">
        <v>68</v>
      </c>
      <c r="C14" s="342" t="s">
        <v>842</v>
      </c>
      <c r="D14" s="107">
        <v>102094</v>
      </c>
      <c r="E14" s="107">
        <v>3</v>
      </c>
      <c r="F14" s="81">
        <f t="shared" si="0"/>
        <v>281713</v>
      </c>
      <c r="G14" s="82">
        <f t="shared" si="1"/>
        <v>295806</v>
      </c>
      <c r="H14" s="108">
        <v>251305</v>
      </c>
      <c r="I14" s="56">
        <v>259483</v>
      </c>
      <c r="J14" s="108">
        <v>712</v>
      </c>
      <c r="K14" s="115">
        <v>816</v>
      </c>
      <c r="L14" s="109">
        <v>29696</v>
      </c>
      <c r="M14" s="110"/>
      <c r="N14" s="110"/>
      <c r="O14" s="111">
        <v>35507</v>
      </c>
      <c r="P14" s="47"/>
      <c r="Q14" s="55"/>
      <c r="R14" s="108"/>
      <c r="S14" s="46"/>
      <c r="T14" s="83">
        <f t="shared" si="2"/>
        <v>20897</v>
      </c>
      <c r="U14" s="84">
        <f t="shared" si="3"/>
        <v>19703</v>
      </c>
      <c r="V14" s="108">
        <v>15321</v>
      </c>
      <c r="W14" s="115">
        <v>14276</v>
      </c>
      <c r="X14" s="108"/>
      <c r="Y14" s="48"/>
      <c r="Z14" s="109">
        <v>5576</v>
      </c>
      <c r="AA14" s="110"/>
      <c r="AB14" s="110"/>
      <c r="AC14" s="57">
        <v>5427</v>
      </c>
      <c r="AD14" s="47"/>
      <c r="AE14" s="55"/>
      <c r="AF14" s="108"/>
      <c r="AG14" s="49"/>
    </row>
    <row r="15" spans="1:33" ht="15">
      <c r="A15" s="104" t="s">
        <v>60</v>
      </c>
      <c r="B15" s="105" t="s">
        <v>69</v>
      </c>
      <c r="C15" s="342"/>
      <c r="D15" s="107">
        <v>100724</v>
      </c>
      <c r="E15" s="107">
        <v>4</v>
      </c>
      <c r="F15" s="81">
        <f t="shared" si="0"/>
        <v>149838</v>
      </c>
      <c r="G15" s="82">
        <f t="shared" si="1"/>
        <v>146482</v>
      </c>
      <c r="H15" s="108">
        <v>135524</v>
      </c>
      <c r="I15" s="56">
        <v>130727</v>
      </c>
      <c r="J15" s="108">
        <v>4</v>
      </c>
      <c r="K15" s="115">
        <v>0</v>
      </c>
      <c r="L15" s="109">
        <v>14310</v>
      </c>
      <c r="M15" s="110"/>
      <c r="N15" s="110"/>
      <c r="O15" s="111">
        <v>15755</v>
      </c>
      <c r="P15" s="47"/>
      <c r="Q15" s="55"/>
      <c r="R15" s="108"/>
      <c r="S15" s="46"/>
      <c r="T15" s="83">
        <f t="shared" si="2"/>
        <v>15071</v>
      </c>
      <c r="U15" s="84">
        <f t="shared" si="3"/>
        <v>14175</v>
      </c>
      <c r="V15" s="108">
        <v>12398</v>
      </c>
      <c r="W15" s="56">
        <v>11985</v>
      </c>
      <c r="X15" s="108">
        <v>0</v>
      </c>
      <c r="Y15" s="48">
        <v>0</v>
      </c>
      <c r="Z15" s="109">
        <v>2673</v>
      </c>
      <c r="AA15" s="110"/>
      <c r="AB15" s="110"/>
      <c r="AC15" s="111">
        <v>2190</v>
      </c>
      <c r="AD15" s="47"/>
      <c r="AE15" s="55"/>
      <c r="AF15" s="108"/>
      <c r="AG15" s="49"/>
    </row>
    <row r="16" spans="1:33" ht="15">
      <c r="A16" s="104" t="s">
        <v>60</v>
      </c>
      <c r="B16" s="105" t="s">
        <v>70</v>
      </c>
      <c r="C16" s="342" t="s">
        <v>843</v>
      </c>
      <c r="D16" s="107">
        <v>100830</v>
      </c>
      <c r="E16" s="107">
        <v>4</v>
      </c>
      <c r="F16" s="81">
        <f t="shared" si="0"/>
        <v>106663</v>
      </c>
      <c r="G16" s="82">
        <f t="shared" si="1"/>
        <v>105529</v>
      </c>
      <c r="H16" s="108">
        <v>86455</v>
      </c>
      <c r="I16" s="56">
        <v>85468</v>
      </c>
      <c r="J16" s="108">
        <v>593</v>
      </c>
      <c r="K16" s="115">
        <v>189</v>
      </c>
      <c r="L16" s="109">
        <v>19615</v>
      </c>
      <c r="M16" s="110"/>
      <c r="N16" s="110"/>
      <c r="O16" s="57">
        <v>19872</v>
      </c>
      <c r="P16" s="47"/>
      <c r="Q16" s="55"/>
      <c r="R16" s="108"/>
      <c r="S16" s="46"/>
      <c r="T16" s="83">
        <f t="shared" si="2"/>
        <v>10699</v>
      </c>
      <c r="U16" s="84">
        <f t="shared" si="3"/>
        <v>9963</v>
      </c>
      <c r="V16" s="108">
        <v>5226</v>
      </c>
      <c r="W16" s="115">
        <v>4492</v>
      </c>
      <c r="X16" s="108">
        <v>0</v>
      </c>
      <c r="Y16" s="48">
        <v>0</v>
      </c>
      <c r="Z16" s="109">
        <v>5473</v>
      </c>
      <c r="AA16" s="110"/>
      <c r="AB16" s="110"/>
      <c r="AC16" s="57">
        <v>5471</v>
      </c>
      <c r="AD16" s="47"/>
      <c r="AE16" s="55"/>
      <c r="AF16" s="108"/>
      <c r="AG16" s="49"/>
    </row>
    <row r="17" spans="1:33" ht="15">
      <c r="A17" s="104" t="s">
        <v>60</v>
      </c>
      <c r="B17" s="105" t="s">
        <v>71</v>
      </c>
      <c r="C17" s="343" t="s">
        <v>844</v>
      </c>
      <c r="D17" s="107">
        <v>101879</v>
      </c>
      <c r="E17" s="120">
        <v>3</v>
      </c>
      <c r="F17" s="81">
        <f t="shared" si="0"/>
        <v>151675</v>
      </c>
      <c r="G17" s="82">
        <f t="shared" si="1"/>
        <v>160248</v>
      </c>
      <c r="H17" s="108">
        <v>124853</v>
      </c>
      <c r="I17" s="56">
        <v>130612</v>
      </c>
      <c r="J17" s="108"/>
      <c r="K17" s="48"/>
      <c r="L17" s="109">
        <v>26822</v>
      </c>
      <c r="M17" s="110"/>
      <c r="N17" s="110"/>
      <c r="O17" s="111">
        <v>29636</v>
      </c>
      <c r="P17" s="47"/>
      <c r="Q17" s="55"/>
      <c r="R17" s="108"/>
      <c r="S17" s="46"/>
      <c r="T17" s="83">
        <f t="shared" si="2"/>
        <v>14095</v>
      </c>
      <c r="U17" s="84">
        <f t="shared" si="3"/>
        <v>16454</v>
      </c>
      <c r="V17" s="108">
        <v>4596</v>
      </c>
      <c r="W17" s="115">
        <v>6731</v>
      </c>
      <c r="X17" s="108"/>
      <c r="Y17" s="48"/>
      <c r="Z17" s="109">
        <v>9499</v>
      </c>
      <c r="AA17" s="110"/>
      <c r="AB17" s="110"/>
      <c r="AC17" s="57">
        <v>9723</v>
      </c>
      <c r="AD17" s="47"/>
      <c r="AE17" s="55"/>
      <c r="AF17" s="108"/>
      <c r="AG17" s="49"/>
    </row>
    <row r="18" spans="1:33" ht="15">
      <c r="A18" s="104" t="s">
        <v>60</v>
      </c>
      <c r="B18" s="105" t="s">
        <v>72</v>
      </c>
      <c r="C18" s="342"/>
      <c r="D18" s="107">
        <v>101709</v>
      </c>
      <c r="E18" s="107">
        <v>5</v>
      </c>
      <c r="F18" s="81">
        <f t="shared" si="0"/>
        <v>71119</v>
      </c>
      <c r="G18" s="82">
        <f t="shared" si="1"/>
        <v>67694</v>
      </c>
      <c r="H18" s="108">
        <v>68584</v>
      </c>
      <c r="I18" s="115">
        <v>64490</v>
      </c>
      <c r="J18" s="108">
        <v>12</v>
      </c>
      <c r="K18" s="56">
        <v>12</v>
      </c>
      <c r="L18" s="109">
        <v>2523</v>
      </c>
      <c r="M18" s="110"/>
      <c r="N18" s="110"/>
      <c r="O18" s="111">
        <v>3192</v>
      </c>
      <c r="P18" s="47"/>
      <c r="Q18" s="55"/>
      <c r="R18" s="108"/>
      <c r="S18" s="46"/>
      <c r="T18" s="83">
        <f t="shared" si="2"/>
        <v>8469</v>
      </c>
      <c r="U18" s="84">
        <f t="shared" si="3"/>
        <v>7914</v>
      </c>
      <c r="V18" s="108">
        <v>7251</v>
      </c>
      <c r="W18" s="115">
        <v>6660</v>
      </c>
      <c r="X18" s="108">
        <v>0</v>
      </c>
      <c r="Y18" s="115">
        <v>12</v>
      </c>
      <c r="Z18" s="109">
        <v>1218</v>
      </c>
      <c r="AA18" s="110"/>
      <c r="AB18" s="110"/>
      <c r="AC18" s="57">
        <v>1242</v>
      </c>
      <c r="AD18" s="47"/>
      <c r="AE18" s="55"/>
      <c r="AF18" s="108"/>
      <c r="AG18" s="49"/>
    </row>
    <row r="19" spans="1:33" ht="15">
      <c r="A19" s="104" t="s">
        <v>60</v>
      </c>
      <c r="B19" s="105" t="s">
        <v>73</v>
      </c>
      <c r="C19" s="342"/>
      <c r="D19" s="107">
        <v>101587</v>
      </c>
      <c r="E19" s="107">
        <v>5</v>
      </c>
      <c r="F19" s="81">
        <f t="shared" si="0"/>
        <v>52958</v>
      </c>
      <c r="G19" s="82">
        <f t="shared" si="1"/>
        <v>55155</v>
      </c>
      <c r="H19" s="108">
        <v>48819</v>
      </c>
      <c r="I19" s="56">
        <v>48354</v>
      </c>
      <c r="J19" s="108">
        <v>373</v>
      </c>
      <c r="K19" s="56">
        <v>372</v>
      </c>
      <c r="L19" s="109">
        <v>3766</v>
      </c>
      <c r="M19" s="110"/>
      <c r="N19" s="110"/>
      <c r="O19" s="111">
        <v>6429</v>
      </c>
      <c r="P19" s="47"/>
      <c r="Q19" s="55"/>
      <c r="R19" s="108"/>
      <c r="S19" s="46"/>
      <c r="T19" s="83">
        <f t="shared" si="2"/>
        <v>32543</v>
      </c>
      <c r="U19" s="84">
        <f t="shared" si="3"/>
        <v>35704</v>
      </c>
      <c r="V19" s="108">
        <v>2719</v>
      </c>
      <c r="W19" s="115">
        <v>2047</v>
      </c>
      <c r="X19" s="108">
        <v>0</v>
      </c>
      <c r="Y19" s="48">
        <v>0</v>
      </c>
      <c r="Z19" s="109">
        <v>29824</v>
      </c>
      <c r="AA19" s="110"/>
      <c r="AB19" s="110"/>
      <c r="AC19" s="111">
        <v>33657</v>
      </c>
      <c r="AD19" s="47"/>
      <c r="AE19" s="55"/>
      <c r="AF19" s="108"/>
      <c r="AG19" s="49"/>
    </row>
    <row r="20" spans="1:33" ht="15">
      <c r="A20" s="104" t="s">
        <v>60</v>
      </c>
      <c r="B20" s="105" t="s">
        <v>74</v>
      </c>
      <c r="C20" s="342"/>
      <c r="D20" s="104" t="s">
        <v>75</v>
      </c>
      <c r="E20" s="107">
        <v>6</v>
      </c>
      <c r="F20" s="81">
        <f t="shared" si="0"/>
        <v>70416</v>
      </c>
      <c r="G20" s="82">
        <f t="shared" si="1"/>
        <v>69518</v>
      </c>
      <c r="H20" s="108">
        <v>15672</v>
      </c>
      <c r="I20" s="115">
        <v>14275</v>
      </c>
      <c r="J20" s="108">
        <v>3264</v>
      </c>
      <c r="K20" s="115">
        <v>2877</v>
      </c>
      <c r="L20" s="109">
        <v>51480</v>
      </c>
      <c r="M20" s="110"/>
      <c r="N20" s="110"/>
      <c r="O20" s="57">
        <v>52366</v>
      </c>
      <c r="P20" s="47"/>
      <c r="Q20" s="55"/>
      <c r="R20" s="108"/>
      <c r="S20" s="46"/>
      <c r="T20" s="83">
        <f t="shared" si="2"/>
        <v>0</v>
      </c>
      <c r="U20" s="84">
        <f t="shared" si="3"/>
        <v>309</v>
      </c>
      <c r="V20" s="108"/>
      <c r="W20" s="48"/>
      <c r="X20" s="108"/>
      <c r="Y20" s="48"/>
      <c r="Z20" s="109"/>
      <c r="AA20" s="110"/>
      <c r="AB20" s="110"/>
      <c r="AC20" s="111">
        <v>309</v>
      </c>
      <c r="AD20" s="47"/>
      <c r="AE20" s="55"/>
      <c r="AF20" s="108"/>
      <c r="AG20" s="49"/>
    </row>
    <row r="21" spans="1:33" ht="15">
      <c r="A21" s="104" t="s">
        <v>60</v>
      </c>
      <c r="B21" s="105" t="s">
        <v>76</v>
      </c>
      <c r="C21" s="342"/>
      <c r="D21" s="107">
        <v>101505</v>
      </c>
      <c r="E21" s="107">
        <v>8</v>
      </c>
      <c r="F21" s="81">
        <f t="shared" si="0"/>
        <v>170342</v>
      </c>
      <c r="G21" s="82">
        <f t="shared" si="1"/>
        <v>169629</v>
      </c>
      <c r="H21" s="108">
        <v>94238</v>
      </c>
      <c r="I21" s="48">
        <v>94853</v>
      </c>
      <c r="J21" s="108">
        <v>23407</v>
      </c>
      <c r="K21" s="56">
        <v>23794</v>
      </c>
      <c r="L21" s="109">
        <v>51402</v>
      </c>
      <c r="M21" s="110">
        <v>1295</v>
      </c>
      <c r="N21" s="110">
        <v>0</v>
      </c>
      <c r="O21" s="111">
        <v>48596</v>
      </c>
      <c r="P21" s="111">
        <v>1614</v>
      </c>
      <c r="Q21" s="117">
        <v>772</v>
      </c>
      <c r="R21" s="108"/>
      <c r="S21" s="46"/>
      <c r="T21" s="83">
        <f t="shared" si="2"/>
        <v>0</v>
      </c>
      <c r="U21" s="84">
        <f t="shared" si="3"/>
        <v>0</v>
      </c>
      <c r="V21" s="108"/>
      <c r="W21" s="48"/>
      <c r="X21" s="108"/>
      <c r="Y21" s="48"/>
      <c r="Z21" s="109"/>
      <c r="AA21" s="110"/>
      <c r="AB21" s="110"/>
      <c r="AC21" s="47"/>
      <c r="AD21" s="47"/>
      <c r="AE21" s="55"/>
      <c r="AF21" s="108"/>
      <c r="AG21" s="49"/>
    </row>
    <row r="22" spans="1:33" ht="15">
      <c r="A22" s="104" t="s">
        <v>60</v>
      </c>
      <c r="B22" s="105" t="s">
        <v>77</v>
      </c>
      <c r="C22" s="342"/>
      <c r="D22" s="107">
        <v>101514</v>
      </c>
      <c r="E22" s="107">
        <v>8</v>
      </c>
      <c r="F22" s="81">
        <f t="shared" si="0"/>
        <v>217086</v>
      </c>
      <c r="G22" s="82">
        <f t="shared" si="1"/>
        <v>206172</v>
      </c>
      <c r="H22" s="108">
        <v>150950</v>
      </c>
      <c r="I22" s="115">
        <v>132537</v>
      </c>
      <c r="J22" s="108">
        <v>0</v>
      </c>
      <c r="K22" s="115">
        <v>9217</v>
      </c>
      <c r="L22" s="109">
        <v>66136</v>
      </c>
      <c r="M22" s="110">
        <v>0</v>
      </c>
      <c r="N22" s="110">
        <v>0</v>
      </c>
      <c r="O22" s="57">
        <v>64418</v>
      </c>
      <c r="P22" s="57"/>
      <c r="Q22" s="55"/>
      <c r="R22" s="108"/>
      <c r="S22" s="46"/>
      <c r="T22" s="83">
        <f t="shared" si="2"/>
        <v>0</v>
      </c>
      <c r="U22" s="84">
        <f t="shared" si="3"/>
        <v>0</v>
      </c>
      <c r="V22" s="108"/>
      <c r="W22" s="48"/>
      <c r="X22" s="108"/>
      <c r="Y22" s="48"/>
      <c r="Z22" s="109"/>
      <c r="AA22" s="110"/>
      <c r="AB22" s="110"/>
      <c r="AC22" s="47"/>
      <c r="AD22" s="47"/>
      <c r="AE22" s="55"/>
      <c r="AF22" s="108"/>
      <c r="AG22" s="49"/>
    </row>
    <row r="23" spans="1:33" ht="15">
      <c r="A23" s="104" t="s">
        <v>60</v>
      </c>
      <c r="B23" s="105" t="s">
        <v>78</v>
      </c>
      <c r="C23" s="342"/>
      <c r="D23" s="107">
        <v>102429</v>
      </c>
      <c r="E23" s="107">
        <v>9</v>
      </c>
      <c r="F23" s="81">
        <f t="shared" si="0"/>
        <v>84488</v>
      </c>
      <c r="G23" s="82">
        <f t="shared" si="1"/>
        <v>86647</v>
      </c>
      <c r="H23" s="108">
        <v>22246</v>
      </c>
      <c r="I23" s="115">
        <v>26748</v>
      </c>
      <c r="J23" s="108">
        <v>41184</v>
      </c>
      <c r="K23" s="56">
        <v>41791</v>
      </c>
      <c r="L23" s="109">
        <v>16889</v>
      </c>
      <c r="M23" s="110">
        <v>4169</v>
      </c>
      <c r="N23" s="110">
        <v>0</v>
      </c>
      <c r="O23" s="111">
        <v>13885</v>
      </c>
      <c r="P23" s="57">
        <v>4175</v>
      </c>
      <c r="Q23" s="117">
        <v>48</v>
      </c>
      <c r="R23" s="108"/>
      <c r="S23" s="46"/>
      <c r="T23" s="83">
        <f t="shared" si="2"/>
        <v>0</v>
      </c>
      <c r="U23" s="84">
        <f t="shared" si="3"/>
        <v>0</v>
      </c>
      <c r="V23" s="108"/>
      <c r="W23" s="48"/>
      <c r="X23" s="108"/>
      <c r="Y23" s="48"/>
      <c r="Z23" s="109"/>
      <c r="AA23" s="110"/>
      <c r="AB23" s="110"/>
      <c r="AC23" s="47"/>
      <c r="AD23" s="47"/>
      <c r="AE23" s="55"/>
      <c r="AF23" s="108"/>
      <c r="AG23" s="49"/>
    </row>
    <row r="24" spans="1:33" ht="15">
      <c r="A24" s="104" t="s">
        <v>60</v>
      </c>
      <c r="B24" s="118" t="s">
        <v>79</v>
      </c>
      <c r="C24" s="342"/>
      <c r="D24" s="107">
        <v>102030</v>
      </c>
      <c r="E24" s="107">
        <v>9</v>
      </c>
      <c r="F24" s="81">
        <f t="shared" si="0"/>
        <v>72124</v>
      </c>
      <c r="G24" s="82">
        <f t="shared" si="1"/>
        <v>69087</v>
      </c>
      <c r="H24" s="108">
        <v>64419</v>
      </c>
      <c r="I24" s="115">
        <v>60414</v>
      </c>
      <c r="J24" s="108">
        <v>577</v>
      </c>
      <c r="K24" s="115">
        <v>303</v>
      </c>
      <c r="L24" s="109">
        <v>6101</v>
      </c>
      <c r="M24" s="110">
        <v>0</v>
      </c>
      <c r="N24" s="110">
        <v>1027</v>
      </c>
      <c r="O24" s="111">
        <v>6839</v>
      </c>
      <c r="P24" s="57"/>
      <c r="Q24" s="117">
        <v>76</v>
      </c>
      <c r="R24" s="108"/>
      <c r="S24" s="112">
        <v>1455</v>
      </c>
      <c r="T24" s="83">
        <f t="shared" si="2"/>
        <v>0</v>
      </c>
      <c r="U24" s="84">
        <f t="shared" si="3"/>
        <v>0</v>
      </c>
      <c r="V24" s="108"/>
      <c r="W24" s="48"/>
      <c r="X24" s="108"/>
      <c r="Y24" s="48"/>
      <c r="Z24" s="109"/>
      <c r="AA24" s="110"/>
      <c r="AB24" s="110"/>
      <c r="AC24" s="47"/>
      <c r="AD24" s="47"/>
      <c r="AE24" s="55"/>
      <c r="AF24" s="108"/>
      <c r="AG24" s="49"/>
    </row>
    <row r="25" spans="1:33" ht="15">
      <c r="A25" s="104" t="s">
        <v>60</v>
      </c>
      <c r="B25" s="105" t="s">
        <v>80</v>
      </c>
      <c r="C25" s="343" t="s">
        <v>845</v>
      </c>
      <c r="D25" s="107">
        <v>101143</v>
      </c>
      <c r="E25" s="120">
        <v>10</v>
      </c>
      <c r="F25" s="81">
        <f t="shared" si="0"/>
        <v>44645</v>
      </c>
      <c r="G25" s="82">
        <f t="shared" si="1"/>
        <v>40782.5</v>
      </c>
      <c r="H25" s="108">
        <v>34308</v>
      </c>
      <c r="I25" s="115">
        <v>23924</v>
      </c>
      <c r="J25" s="108">
        <v>3</v>
      </c>
      <c r="K25" s="115">
        <v>6887.5</v>
      </c>
      <c r="L25" s="109">
        <v>10334</v>
      </c>
      <c r="M25" s="110">
        <v>0</v>
      </c>
      <c r="N25" s="110">
        <v>0</v>
      </c>
      <c r="O25" s="57">
        <v>9928</v>
      </c>
      <c r="P25" s="57"/>
      <c r="Q25" s="117">
        <v>43</v>
      </c>
      <c r="R25" s="108"/>
      <c r="S25" s="46"/>
      <c r="T25" s="83">
        <f t="shared" si="2"/>
        <v>0</v>
      </c>
      <c r="U25" s="84">
        <f t="shared" si="3"/>
        <v>0</v>
      </c>
      <c r="V25" s="108"/>
      <c r="W25" s="48"/>
      <c r="X25" s="108"/>
      <c r="Y25" s="48"/>
      <c r="Z25" s="109"/>
      <c r="AA25" s="110"/>
      <c r="AB25" s="110"/>
      <c r="AC25" s="47"/>
      <c r="AD25" s="47"/>
      <c r="AE25" s="55"/>
      <c r="AF25" s="108"/>
      <c r="AG25" s="49"/>
    </row>
    <row r="26" spans="1:33" ht="15">
      <c r="A26" s="104" t="s">
        <v>60</v>
      </c>
      <c r="B26" s="105" t="s">
        <v>81</v>
      </c>
      <c r="C26" s="342"/>
      <c r="D26" s="107">
        <v>101240</v>
      </c>
      <c r="E26" s="120">
        <v>9</v>
      </c>
      <c r="F26" s="81">
        <f t="shared" si="0"/>
        <v>119047</v>
      </c>
      <c r="G26" s="82">
        <f t="shared" si="1"/>
        <v>117969</v>
      </c>
      <c r="H26" s="108">
        <v>96325</v>
      </c>
      <c r="I26" s="115">
        <v>79830</v>
      </c>
      <c r="J26" s="108">
        <v>0</v>
      </c>
      <c r="K26" s="115">
        <v>11927</v>
      </c>
      <c r="L26" s="109">
        <v>22722</v>
      </c>
      <c r="M26" s="110">
        <v>0</v>
      </c>
      <c r="N26" s="110">
        <v>0</v>
      </c>
      <c r="O26" s="111">
        <v>26170</v>
      </c>
      <c r="P26" s="57"/>
      <c r="Q26" s="117">
        <v>42</v>
      </c>
      <c r="R26" s="108"/>
      <c r="S26" s="46"/>
      <c r="T26" s="83">
        <f t="shared" si="2"/>
        <v>0</v>
      </c>
      <c r="U26" s="84">
        <f t="shared" si="3"/>
        <v>0</v>
      </c>
      <c r="V26" s="108"/>
      <c r="W26" s="48"/>
      <c r="X26" s="108"/>
      <c r="Y26" s="48"/>
      <c r="Z26" s="109"/>
      <c r="AA26" s="110"/>
      <c r="AB26" s="110"/>
      <c r="AC26" s="47"/>
      <c r="AD26" s="47"/>
      <c r="AE26" s="55"/>
      <c r="AF26" s="108"/>
      <c r="AG26" s="49"/>
    </row>
    <row r="27" spans="1:33" ht="15">
      <c r="A27" s="104" t="s">
        <v>60</v>
      </c>
      <c r="B27" s="105" t="s">
        <v>82</v>
      </c>
      <c r="C27" s="342"/>
      <c r="D27" s="107">
        <v>101286</v>
      </c>
      <c r="E27" s="107">
        <v>9</v>
      </c>
      <c r="F27" s="81">
        <f t="shared" si="0"/>
        <v>107954</v>
      </c>
      <c r="G27" s="82">
        <f t="shared" si="1"/>
        <v>99928</v>
      </c>
      <c r="H27" s="108">
        <v>78560</v>
      </c>
      <c r="I27" s="48">
        <v>82269</v>
      </c>
      <c r="J27" s="108">
        <v>6548</v>
      </c>
      <c r="K27" s="115">
        <v>5350</v>
      </c>
      <c r="L27" s="109">
        <v>22846</v>
      </c>
      <c r="M27" s="110">
        <v>0</v>
      </c>
      <c r="N27" s="110">
        <v>0</v>
      </c>
      <c r="O27" s="111">
        <v>11825</v>
      </c>
      <c r="P27" s="57"/>
      <c r="Q27" s="117">
        <v>484</v>
      </c>
      <c r="R27" s="108"/>
      <c r="S27" s="46"/>
      <c r="T27" s="83">
        <f t="shared" si="2"/>
        <v>0</v>
      </c>
      <c r="U27" s="84">
        <f t="shared" si="3"/>
        <v>0</v>
      </c>
      <c r="V27" s="108"/>
      <c r="W27" s="48"/>
      <c r="X27" s="108"/>
      <c r="Y27" s="48"/>
      <c r="Z27" s="109"/>
      <c r="AA27" s="110"/>
      <c r="AB27" s="110"/>
      <c r="AC27" s="47"/>
      <c r="AD27" s="47"/>
      <c r="AE27" s="55"/>
      <c r="AF27" s="108"/>
      <c r="AG27" s="49"/>
    </row>
    <row r="28" spans="1:33" ht="15">
      <c r="A28" s="104" t="s">
        <v>60</v>
      </c>
      <c r="B28" s="105" t="s">
        <v>83</v>
      </c>
      <c r="C28" s="342"/>
      <c r="D28" s="107">
        <v>101161</v>
      </c>
      <c r="E28" s="107">
        <v>9</v>
      </c>
      <c r="F28" s="81">
        <f t="shared" si="0"/>
        <v>114972</v>
      </c>
      <c r="G28" s="82">
        <f t="shared" si="1"/>
        <v>115003</v>
      </c>
      <c r="H28" s="108">
        <v>74133</v>
      </c>
      <c r="I28" s="115">
        <v>84480</v>
      </c>
      <c r="J28" s="108">
        <v>14817</v>
      </c>
      <c r="K28" s="115">
        <v>2842</v>
      </c>
      <c r="L28" s="109">
        <v>24961</v>
      </c>
      <c r="M28" s="110">
        <v>0</v>
      </c>
      <c r="N28" s="110">
        <v>1061</v>
      </c>
      <c r="O28" s="111">
        <v>26762</v>
      </c>
      <c r="P28" s="57"/>
      <c r="Q28" s="117">
        <v>10</v>
      </c>
      <c r="R28" s="108"/>
      <c r="S28" s="112">
        <v>909</v>
      </c>
      <c r="T28" s="83">
        <f t="shared" si="2"/>
        <v>0</v>
      </c>
      <c r="U28" s="84">
        <f t="shared" si="3"/>
        <v>0</v>
      </c>
      <c r="V28" s="108"/>
      <c r="W28" s="48"/>
      <c r="X28" s="108"/>
      <c r="Y28" s="48"/>
      <c r="Z28" s="109"/>
      <c r="AA28" s="110"/>
      <c r="AB28" s="110"/>
      <c r="AC28" s="47"/>
      <c r="AD28" s="47"/>
      <c r="AE28" s="55"/>
      <c r="AF28" s="108"/>
      <c r="AG28" s="49"/>
    </row>
    <row r="29" spans="1:33" ht="15">
      <c r="A29" s="104" t="s">
        <v>60</v>
      </c>
      <c r="B29" s="105" t="s">
        <v>84</v>
      </c>
      <c r="C29" s="342"/>
      <c r="D29" s="107">
        <v>101569</v>
      </c>
      <c r="E29" s="107">
        <v>9</v>
      </c>
      <c r="F29" s="81">
        <f t="shared" si="0"/>
        <v>73963</v>
      </c>
      <c r="G29" s="82">
        <f t="shared" si="1"/>
        <v>74362</v>
      </c>
      <c r="H29" s="108">
        <v>64671</v>
      </c>
      <c r="I29" s="48">
        <v>64274</v>
      </c>
      <c r="J29" s="108">
        <v>479</v>
      </c>
      <c r="K29" s="115">
        <v>0</v>
      </c>
      <c r="L29" s="109">
        <v>8813</v>
      </c>
      <c r="M29" s="110">
        <v>0</v>
      </c>
      <c r="N29" s="110">
        <v>0</v>
      </c>
      <c r="O29" s="111">
        <v>9712</v>
      </c>
      <c r="P29" s="57"/>
      <c r="Q29" s="117">
        <v>376</v>
      </c>
      <c r="R29" s="108"/>
      <c r="S29" s="46"/>
      <c r="T29" s="83">
        <f t="shared" si="2"/>
        <v>0</v>
      </c>
      <c r="U29" s="84">
        <f t="shared" si="3"/>
        <v>0</v>
      </c>
      <c r="V29" s="108"/>
      <c r="W29" s="48"/>
      <c r="X29" s="108"/>
      <c r="Y29" s="48"/>
      <c r="Z29" s="109"/>
      <c r="AA29" s="110"/>
      <c r="AB29" s="110"/>
      <c r="AC29" s="47"/>
      <c r="AD29" s="47"/>
      <c r="AE29" s="55"/>
      <c r="AF29" s="108"/>
      <c r="AG29" s="49"/>
    </row>
    <row r="30" spans="1:33" ht="15">
      <c r="A30" s="104" t="s">
        <v>60</v>
      </c>
      <c r="B30" s="118" t="s">
        <v>85</v>
      </c>
      <c r="C30" s="342" t="s">
        <v>846</v>
      </c>
      <c r="D30" s="107">
        <v>101897</v>
      </c>
      <c r="E30" s="107">
        <v>9</v>
      </c>
      <c r="F30" s="81">
        <f t="shared" si="0"/>
        <v>57241</v>
      </c>
      <c r="G30" s="82">
        <f t="shared" si="1"/>
        <v>57174</v>
      </c>
      <c r="H30" s="108">
        <v>38355</v>
      </c>
      <c r="I30" s="48">
        <v>36993</v>
      </c>
      <c r="J30" s="108">
        <v>4894</v>
      </c>
      <c r="K30" s="115">
        <v>4647</v>
      </c>
      <c r="L30" s="109">
        <v>13992</v>
      </c>
      <c r="M30" s="110">
        <v>0</v>
      </c>
      <c r="N30" s="110">
        <v>0</v>
      </c>
      <c r="O30" s="111">
        <v>15534</v>
      </c>
      <c r="P30" s="57"/>
      <c r="Q30" s="55"/>
      <c r="R30" s="108"/>
      <c r="S30" s="46"/>
      <c r="T30" s="83">
        <f t="shared" si="2"/>
        <v>0</v>
      </c>
      <c r="U30" s="84">
        <f t="shared" si="3"/>
        <v>0</v>
      </c>
      <c r="V30" s="108"/>
      <c r="W30" s="48"/>
      <c r="X30" s="108"/>
      <c r="Y30" s="48"/>
      <c r="Z30" s="109"/>
      <c r="AA30" s="110"/>
      <c r="AB30" s="110"/>
      <c r="AC30" s="47"/>
      <c r="AD30" s="47"/>
      <c r="AE30" s="55"/>
      <c r="AF30" s="108"/>
      <c r="AG30" s="49"/>
    </row>
    <row r="31" spans="1:33" ht="15">
      <c r="A31" s="104" t="s">
        <v>60</v>
      </c>
      <c r="B31" s="105" t="s">
        <v>86</v>
      </c>
      <c r="C31" s="342"/>
      <c r="D31" s="107">
        <v>101736</v>
      </c>
      <c r="E31" s="107">
        <v>9</v>
      </c>
      <c r="F31" s="81">
        <f t="shared" si="0"/>
        <v>78045</v>
      </c>
      <c r="G31" s="82">
        <f t="shared" si="1"/>
        <v>74377</v>
      </c>
      <c r="H31" s="108">
        <v>66927</v>
      </c>
      <c r="I31" s="115">
        <v>57281</v>
      </c>
      <c r="J31" s="108">
        <v>33</v>
      </c>
      <c r="K31" s="115">
        <v>4278</v>
      </c>
      <c r="L31" s="109">
        <v>10140</v>
      </c>
      <c r="M31" s="110">
        <v>945</v>
      </c>
      <c r="N31" s="110">
        <v>0</v>
      </c>
      <c r="O31" s="111">
        <v>11051</v>
      </c>
      <c r="P31" s="111">
        <v>1055</v>
      </c>
      <c r="Q31" s="117">
        <v>712</v>
      </c>
      <c r="R31" s="108"/>
      <c r="S31" s="46"/>
      <c r="T31" s="83">
        <f t="shared" si="2"/>
        <v>0</v>
      </c>
      <c r="U31" s="84">
        <f t="shared" si="3"/>
        <v>0</v>
      </c>
      <c r="V31" s="108"/>
      <c r="W31" s="48"/>
      <c r="X31" s="108"/>
      <c r="Y31" s="48"/>
      <c r="Z31" s="109"/>
      <c r="AA31" s="110"/>
      <c r="AB31" s="110"/>
      <c r="AC31" s="47"/>
      <c r="AD31" s="47"/>
      <c r="AE31" s="55"/>
      <c r="AF31" s="108"/>
      <c r="AG31" s="49"/>
    </row>
    <row r="32" spans="1:33" ht="15">
      <c r="A32" s="104" t="s">
        <v>60</v>
      </c>
      <c r="B32" s="105" t="s">
        <v>87</v>
      </c>
      <c r="C32" s="342"/>
      <c r="D32" s="107">
        <v>102067</v>
      </c>
      <c r="E32" s="107">
        <v>9</v>
      </c>
      <c r="F32" s="81">
        <f t="shared" si="0"/>
        <v>111221</v>
      </c>
      <c r="G32" s="82">
        <f t="shared" si="1"/>
        <v>108452</v>
      </c>
      <c r="H32" s="108">
        <v>101597</v>
      </c>
      <c r="I32" s="115">
        <v>91695</v>
      </c>
      <c r="J32" s="108">
        <v>0</v>
      </c>
      <c r="K32" s="115">
        <v>706</v>
      </c>
      <c r="L32" s="109">
        <v>9624</v>
      </c>
      <c r="M32" s="110">
        <v>0</v>
      </c>
      <c r="N32" s="110">
        <v>0</v>
      </c>
      <c r="O32" s="111">
        <v>15568</v>
      </c>
      <c r="P32" s="57"/>
      <c r="Q32" s="117">
        <v>483</v>
      </c>
      <c r="R32" s="108"/>
      <c r="S32" s="46"/>
      <c r="T32" s="83">
        <f t="shared" si="2"/>
        <v>0</v>
      </c>
      <c r="U32" s="84">
        <f t="shared" si="3"/>
        <v>0</v>
      </c>
      <c r="V32" s="108"/>
      <c r="W32" s="48"/>
      <c r="X32" s="108"/>
      <c r="Y32" s="48"/>
      <c r="Z32" s="109"/>
      <c r="AA32" s="110"/>
      <c r="AB32" s="110"/>
      <c r="AC32" s="47"/>
      <c r="AD32" s="47"/>
      <c r="AE32" s="55"/>
      <c r="AF32" s="108"/>
      <c r="AG32" s="49"/>
    </row>
    <row r="33" spans="1:33" ht="15">
      <c r="A33" s="104" t="s">
        <v>60</v>
      </c>
      <c r="B33" s="105" t="s">
        <v>88</v>
      </c>
      <c r="C33" s="342"/>
      <c r="D33" s="107">
        <v>251260</v>
      </c>
      <c r="E33" s="107">
        <v>9</v>
      </c>
      <c r="F33" s="81">
        <f t="shared" si="0"/>
        <v>117916</v>
      </c>
      <c r="G33" s="82">
        <f t="shared" si="1"/>
        <v>115248</v>
      </c>
      <c r="H33" s="108">
        <v>14873</v>
      </c>
      <c r="I33" s="115">
        <v>95917</v>
      </c>
      <c r="J33" s="108">
        <v>85897</v>
      </c>
      <c r="K33" s="115">
        <v>3528</v>
      </c>
      <c r="L33" s="109">
        <v>17146</v>
      </c>
      <c r="M33" s="110">
        <v>0</v>
      </c>
      <c r="N33" s="110">
        <v>0</v>
      </c>
      <c r="O33" s="111">
        <v>15803</v>
      </c>
      <c r="P33" s="57"/>
      <c r="Q33" s="55"/>
      <c r="R33" s="108"/>
      <c r="S33" s="46"/>
      <c r="T33" s="83">
        <f t="shared" si="2"/>
        <v>0</v>
      </c>
      <c r="U33" s="84">
        <f t="shared" si="3"/>
        <v>0</v>
      </c>
      <c r="V33" s="108"/>
      <c r="W33" s="48"/>
      <c r="X33" s="108"/>
      <c r="Y33" s="48"/>
      <c r="Z33" s="109"/>
      <c r="AA33" s="110"/>
      <c r="AB33" s="110"/>
      <c r="AC33" s="47"/>
      <c r="AD33" s="47"/>
      <c r="AE33" s="55"/>
      <c r="AF33" s="108"/>
      <c r="AG33" s="49"/>
    </row>
    <row r="34" spans="1:33" ht="15">
      <c r="A34" s="104" t="s">
        <v>60</v>
      </c>
      <c r="B34" s="105" t="s">
        <v>89</v>
      </c>
      <c r="C34" s="342"/>
      <c r="D34" s="107">
        <v>101295</v>
      </c>
      <c r="E34" s="121">
        <v>9</v>
      </c>
      <c r="F34" s="81">
        <f t="shared" si="0"/>
        <v>129525</v>
      </c>
      <c r="G34" s="82">
        <f t="shared" si="1"/>
        <v>129207</v>
      </c>
      <c r="H34" s="108">
        <v>97906</v>
      </c>
      <c r="I34" s="48">
        <v>96147</v>
      </c>
      <c r="J34" s="108">
        <v>0</v>
      </c>
      <c r="K34" s="56">
        <v>0</v>
      </c>
      <c r="L34" s="109">
        <v>31619</v>
      </c>
      <c r="M34" s="110">
        <v>0</v>
      </c>
      <c r="N34" s="110">
        <v>0</v>
      </c>
      <c r="O34" s="57">
        <v>33060</v>
      </c>
      <c r="P34" s="57"/>
      <c r="Q34" s="55"/>
      <c r="R34" s="108"/>
      <c r="S34" s="46"/>
      <c r="T34" s="83">
        <f t="shared" si="2"/>
        <v>0</v>
      </c>
      <c r="U34" s="84">
        <f t="shared" si="3"/>
        <v>0</v>
      </c>
      <c r="V34" s="108"/>
      <c r="W34" s="48"/>
      <c r="X34" s="108"/>
      <c r="Y34" s="48"/>
      <c r="Z34" s="109"/>
      <c r="AA34" s="110"/>
      <c r="AB34" s="110"/>
      <c r="AC34" s="47"/>
      <c r="AD34" s="47"/>
      <c r="AE34" s="55"/>
      <c r="AF34" s="108"/>
      <c r="AG34" s="49"/>
    </row>
    <row r="35" spans="1:33" ht="15">
      <c r="A35" s="104" t="s">
        <v>60</v>
      </c>
      <c r="B35" s="105" t="s">
        <v>90</v>
      </c>
      <c r="C35" s="342"/>
      <c r="D35" s="107">
        <v>101949</v>
      </c>
      <c r="E35" s="107">
        <v>10</v>
      </c>
      <c r="F35" s="81">
        <f t="shared" si="0"/>
        <v>33581</v>
      </c>
      <c r="G35" s="82">
        <f t="shared" si="1"/>
        <v>32652</v>
      </c>
      <c r="H35" s="108">
        <v>11415</v>
      </c>
      <c r="I35" s="56">
        <v>11812</v>
      </c>
      <c r="J35" s="108">
        <v>18404</v>
      </c>
      <c r="K35" s="115">
        <v>17117</v>
      </c>
      <c r="L35" s="109">
        <v>3762</v>
      </c>
      <c r="M35" s="110">
        <v>0</v>
      </c>
      <c r="N35" s="110">
        <v>0</v>
      </c>
      <c r="O35" s="57">
        <v>3717</v>
      </c>
      <c r="P35" s="57"/>
      <c r="Q35" s="117">
        <v>6</v>
      </c>
      <c r="R35" s="108"/>
      <c r="S35" s="46"/>
      <c r="T35" s="83">
        <f t="shared" si="2"/>
        <v>0</v>
      </c>
      <c r="U35" s="84">
        <f t="shared" si="3"/>
        <v>0</v>
      </c>
      <c r="V35" s="108"/>
      <c r="W35" s="56"/>
      <c r="X35" s="108"/>
      <c r="Y35" s="56"/>
      <c r="Z35" s="109"/>
      <c r="AA35" s="110"/>
      <c r="AB35" s="110"/>
      <c r="AC35" s="47"/>
      <c r="AD35" s="47"/>
      <c r="AE35" s="55"/>
      <c r="AF35" s="108"/>
      <c r="AG35" s="49"/>
    </row>
    <row r="36" spans="1:33" ht="15">
      <c r="A36" s="104" t="s">
        <v>60</v>
      </c>
      <c r="B36" s="105" t="s">
        <v>91</v>
      </c>
      <c r="C36" s="342"/>
      <c r="D36" s="107">
        <v>100760</v>
      </c>
      <c r="E36" s="121">
        <v>10</v>
      </c>
      <c r="F36" s="81">
        <f t="shared" si="0"/>
        <v>42868</v>
      </c>
      <c r="G36" s="82">
        <f t="shared" si="1"/>
        <v>40957</v>
      </c>
      <c r="H36" s="108">
        <v>33971</v>
      </c>
      <c r="I36" s="115">
        <v>27422</v>
      </c>
      <c r="J36" s="108">
        <v>0</v>
      </c>
      <c r="K36" s="115">
        <v>4048</v>
      </c>
      <c r="L36" s="109">
        <v>8897</v>
      </c>
      <c r="M36" s="110">
        <v>0</v>
      </c>
      <c r="N36" s="110">
        <v>0</v>
      </c>
      <c r="O36" s="111">
        <v>9481</v>
      </c>
      <c r="P36" s="57"/>
      <c r="Q36" s="117">
        <v>6</v>
      </c>
      <c r="R36" s="108"/>
      <c r="S36" s="46"/>
      <c r="T36" s="83">
        <f t="shared" si="2"/>
        <v>0</v>
      </c>
      <c r="U36" s="84">
        <f t="shared" si="3"/>
        <v>0</v>
      </c>
      <c r="V36" s="108"/>
      <c r="W36" s="48"/>
      <c r="X36" s="108"/>
      <c r="Y36" s="48"/>
      <c r="Z36" s="109"/>
      <c r="AA36" s="110"/>
      <c r="AB36" s="110"/>
      <c r="AC36" s="47"/>
      <c r="AD36" s="47"/>
      <c r="AE36" s="55"/>
      <c r="AF36" s="108"/>
      <c r="AG36" s="49"/>
    </row>
    <row r="37" spans="1:33" ht="15">
      <c r="A37" s="104" t="s">
        <v>60</v>
      </c>
      <c r="B37" s="105" t="s">
        <v>92</v>
      </c>
      <c r="C37" s="342"/>
      <c r="D37" s="107">
        <v>101028</v>
      </c>
      <c r="E37" s="107">
        <v>10</v>
      </c>
      <c r="F37" s="81">
        <f t="shared" si="0"/>
        <v>41842</v>
      </c>
      <c r="G37" s="82">
        <f t="shared" si="1"/>
        <v>38520</v>
      </c>
      <c r="H37" s="108">
        <v>38793</v>
      </c>
      <c r="I37" s="115">
        <v>35155</v>
      </c>
      <c r="J37" s="108">
        <v>351</v>
      </c>
      <c r="K37" s="115">
        <v>49</v>
      </c>
      <c r="L37" s="109">
        <v>2698</v>
      </c>
      <c r="M37" s="110">
        <v>0</v>
      </c>
      <c r="N37" s="110">
        <v>0</v>
      </c>
      <c r="O37" s="111">
        <v>2999</v>
      </c>
      <c r="P37" s="57"/>
      <c r="Q37" s="117">
        <v>317</v>
      </c>
      <c r="R37" s="108"/>
      <c r="S37" s="46"/>
      <c r="T37" s="83">
        <f t="shared" si="2"/>
        <v>0</v>
      </c>
      <c r="U37" s="84">
        <f t="shared" si="3"/>
        <v>0</v>
      </c>
      <c r="V37" s="108"/>
      <c r="W37" s="48"/>
      <c r="X37" s="108"/>
      <c r="Y37" s="48"/>
      <c r="Z37" s="109"/>
      <c r="AA37" s="110"/>
      <c r="AB37" s="110"/>
      <c r="AC37" s="47"/>
      <c r="AD37" s="47"/>
      <c r="AE37" s="55"/>
      <c r="AF37" s="108"/>
      <c r="AG37" s="49"/>
    </row>
    <row r="38" spans="1:33" ht="15">
      <c r="A38" s="104" t="s">
        <v>60</v>
      </c>
      <c r="B38" s="105" t="s">
        <v>93</v>
      </c>
      <c r="C38" s="342"/>
      <c r="D38" s="107">
        <v>101301</v>
      </c>
      <c r="E38" s="107">
        <v>10</v>
      </c>
      <c r="F38" s="81">
        <f t="shared" si="0"/>
        <v>43562</v>
      </c>
      <c r="G38" s="82">
        <f t="shared" si="1"/>
        <v>43915</v>
      </c>
      <c r="H38" s="108">
        <v>28925</v>
      </c>
      <c r="I38" s="48">
        <v>28237</v>
      </c>
      <c r="J38" s="108">
        <v>0</v>
      </c>
      <c r="K38" s="56">
        <v>0</v>
      </c>
      <c r="L38" s="109">
        <v>14637</v>
      </c>
      <c r="M38" s="110">
        <v>0</v>
      </c>
      <c r="N38" s="110">
        <v>0</v>
      </c>
      <c r="O38" s="111">
        <v>15678</v>
      </c>
      <c r="P38" s="57"/>
      <c r="Q38" s="55"/>
      <c r="R38" s="108"/>
      <c r="S38" s="46"/>
      <c r="T38" s="83">
        <f t="shared" si="2"/>
        <v>0</v>
      </c>
      <c r="U38" s="84">
        <f t="shared" si="3"/>
        <v>0</v>
      </c>
      <c r="V38" s="108"/>
      <c r="W38" s="48"/>
      <c r="X38" s="108"/>
      <c r="Y38" s="48"/>
      <c r="Z38" s="109"/>
      <c r="AA38" s="110"/>
      <c r="AB38" s="110"/>
      <c r="AC38" s="47"/>
      <c r="AD38" s="47"/>
      <c r="AE38" s="55"/>
      <c r="AF38" s="108"/>
      <c r="AG38" s="49"/>
    </row>
    <row r="39" spans="1:33" ht="15">
      <c r="A39" s="104" t="s">
        <v>60</v>
      </c>
      <c r="B39" s="105" t="s">
        <v>94</v>
      </c>
      <c r="C39" s="342"/>
      <c r="D39" s="107">
        <v>101499</v>
      </c>
      <c r="E39" s="107">
        <v>10</v>
      </c>
      <c r="F39" s="81">
        <f t="shared" si="0"/>
        <v>28068</v>
      </c>
      <c r="G39" s="82">
        <f t="shared" si="1"/>
        <v>27600</v>
      </c>
      <c r="H39" s="108">
        <v>12230</v>
      </c>
      <c r="I39" s="115">
        <v>23749</v>
      </c>
      <c r="J39" s="108">
        <v>11630</v>
      </c>
      <c r="K39" s="115">
        <v>28</v>
      </c>
      <c r="L39" s="109">
        <v>3642</v>
      </c>
      <c r="M39" s="110">
        <v>0</v>
      </c>
      <c r="N39" s="110">
        <v>566</v>
      </c>
      <c r="O39" s="57">
        <v>3788</v>
      </c>
      <c r="P39" s="57"/>
      <c r="Q39" s="117">
        <v>0</v>
      </c>
      <c r="R39" s="108"/>
      <c r="S39" s="112">
        <v>35</v>
      </c>
      <c r="T39" s="83">
        <f t="shared" si="2"/>
        <v>0</v>
      </c>
      <c r="U39" s="84">
        <f t="shared" si="3"/>
        <v>0</v>
      </c>
      <c r="V39" s="108"/>
      <c r="W39" s="48"/>
      <c r="X39" s="108"/>
      <c r="Y39" s="48"/>
      <c r="Z39" s="109"/>
      <c r="AA39" s="110"/>
      <c r="AB39" s="110"/>
      <c r="AC39" s="47"/>
      <c r="AD39" s="47"/>
      <c r="AE39" s="55"/>
      <c r="AF39" s="108"/>
      <c r="AG39" s="49"/>
    </row>
    <row r="40" spans="1:33" ht="15">
      <c r="A40" s="104" t="s">
        <v>60</v>
      </c>
      <c r="B40" s="105" t="s">
        <v>95</v>
      </c>
      <c r="C40" s="342"/>
      <c r="D40" s="107">
        <v>101602</v>
      </c>
      <c r="E40" s="107">
        <v>10</v>
      </c>
      <c r="F40" s="81">
        <f t="shared" si="0"/>
        <v>39899</v>
      </c>
      <c r="G40" s="82">
        <f t="shared" si="1"/>
        <v>41792</v>
      </c>
      <c r="H40" s="108">
        <v>29266</v>
      </c>
      <c r="I40" s="115">
        <v>34070</v>
      </c>
      <c r="J40" s="108">
        <v>1352</v>
      </c>
      <c r="K40" s="115">
        <v>1627</v>
      </c>
      <c r="L40" s="109">
        <v>9281</v>
      </c>
      <c r="M40" s="110">
        <v>0</v>
      </c>
      <c r="N40" s="110">
        <v>0</v>
      </c>
      <c r="O40" s="111">
        <v>6095</v>
      </c>
      <c r="P40" s="57"/>
      <c r="Q40" s="122">
        <v>0</v>
      </c>
      <c r="R40" s="108"/>
      <c r="S40" s="46"/>
      <c r="T40" s="83">
        <f t="shared" si="2"/>
        <v>0</v>
      </c>
      <c r="U40" s="84">
        <f t="shared" si="3"/>
        <v>0</v>
      </c>
      <c r="V40" s="108"/>
      <c r="W40" s="48"/>
      <c r="X40" s="108"/>
      <c r="Y40" s="48"/>
      <c r="Z40" s="109"/>
      <c r="AA40" s="110"/>
      <c r="AB40" s="110"/>
      <c r="AC40" s="47"/>
      <c r="AD40" s="47"/>
      <c r="AE40" s="55"/>
      <c r="AF40" s="108"/>
      <c r="AG40" s="49"/>
    </row>
    <row r="41" spans="1:33" ht="15">
      <c r="A41" s="104" t="s">
        <v>60</v>
      </c>
      <c r="B41" s="105" t="s">
        <v>96</v>
      </c>
      <c r="C41" s="342" t="s">
        <v>847</v>
      </c>
      <c r="D41" s="107">
        <v>102076</v>
      </c>
      <c r="E41" s="107">
        <v>10</v>
      </c>
      <c r="F41" s="81">
        <f t="shared" si="0"/>
        <v>63042</v>
      </c>
      <c r="G41" s="82">
        <f t="shared" si="1"/>
        <v>61943</v>
      </c>
      <c r="H41" s="108">
        <v>33424</v>
      </c>
      <c r="I41" s="115">
        <v>30094</v>
      </c>
      <c r="J41" s="108">
        <v>0</v>
      </c>
      <c r="K41" s="56">
        <v>0</v>
      </c>
      <c r="L41" s="109">
        <v>29618</v>
      </c>
      <c r="M41" s="110">
        <v>0</v>
      </c>
      <c r="N41" s="110">
        <v>0</v>
      </c>
      <c r="O41" s="111">
        <v>31849</v>
      </c>
      <c r="P41" s="57"/>
      <c r="Q41" s="55"/>
      <c r="R41" s="108"/>
      <c r="S41" s="46"/>
      <c r="T41" s="83">
        <f t="shared" si="2"/>
        <v>0</v>
      </c>
      <c r="U41" s="84">
        <f t="shared" si="3"/>
        <v>0</v>
      </c>
      <c r="V41" s="108"/>
      <c r="W41" s="48"/>
      <c r="X41" s="108"/>
      <c r="Y41" s="48"/>
      <c r="Z41" s="109"/>
      <c r="AA41" s="110"/>
      <c r="AB41" s="110"/>
      <c r="AC41" s="47"/>
      <c r="AD41" s="47"/>
      <c r="AE41" s="55"/>
      <c r="AF41" s="108"/>
      <c r="AG41" s="49"/>
    </row>
    <row r="42" spans="1:33">
      <c r="A42" s="104" t="s">
        <v>60</v>
      </c>
      <c r="B42" s="105" t="s">
        <v>97</v>
      </c>
      <c r="C42" s="106"/>
      <c r="D42" s="107">
        <v>102313</v>
      </c>
      <c r="E42" s="107">
        <v>12</v>
      </c>
      <c r="F42" s="81">
        <f t="shared" si="0"/>
        <v>36087</v>
      </c>
      <c r="G42" s="82">
        <f t="shared" si="1"/>
        <v>38556</v>
      </c>
      <c r="H42" s="108">
        <v>31366</v>
      </c>
      <c r="I42" s="115">
        <v>33894</v>
      </c>
      <c r="J42" s="108">
        <v>2260</v>
      </c>
      <c r="K42" s="115">
        <v>0</v>
      </c>
      <c r="L42" s="109">
        <v>2461</v>
      </c>
      <c r="M42" s="110">
        <v>0</v>
      </c>
      <c r="N42" s="110">
        <v>0</v>
      </c>
      <c r="O42" s="57">
        <v>2387</v>
      </c>
      <c r="P42" s="57"/>
      <c r="Q42" s="117">
        <v>2275</v>
      </c>
      <c r="R42" s="108"/>
      <c r="S42" s="46"/>
      <c r="T42" s="83">
        <f t="shared" si="2"/>
        <v>0</v>
      </c>
      <c r="U42" s="84">
        <f t="shared" si="3"/>
        <v>0</v>
      </c>
      <c r="V42" s="108"/>
      <c r="W42" s="48"/>
      <c r="X42" s="108"/>
      <c r="Y42" s="48"/>
      <c r="Z42" s="109"/>
      <c r="AA42" s="110"/>
      <c r="AB42" s="110"/>
      <c r="AC42" s="47"/>
      <c r="AD42" s="47"/>
      <c r="AE42" s="55"/>
      <c r="AF42" s="108"/>
      <c r="AG42" s="49"/>
    </row>
    <row r="43" spans="1:33">
      <c r="A43" s="104" t="s">
        <v>60</v>
      </c>
      <c r="B43" s="105" t="s">
        <v>98</v>
      </c>
      <c r="C43" s="106"/>
      <c r="D43" s="107">
        <v>101462</v>
      </c>
      <c r="E43" s="107">
        <v>13</v>
      </c>
      <c r="F43" s="81">
        <f t="shared" si="0"/>
        <v>22869</v>
      </c>
      <c r="G43" s="82">
        <f t="shared" si="1"/>
        <v>20532</v>
      </c>
      <c r="H43" s="108">
        <v>22869</v>
      </c>
      <c r="I43" s="115">
        <v>16226</v>
      </c>
      <c r="J43" s="108">
        <v>0</v>
      </c>
      <c r="K43" s="56">
        <v>0</v>
      </c>
      <c r="L43" s="109">
        <v>0</v>
      </c>
      <c r="M43" s="110">
        <v>0</v>
      </c>
      <c r="N43" s="110">
        <v>0</v>
      </c>
      <c r="O43" s="111">
        <v>3953</v>
      </c>
      <c r="P43" s="57"/>
      <c r="Q43" s="117">
        <v>353</v>
      </c>
      <c r="R43" s="108"/>
      <c r="S43" s="46"/>
      <c r="T43" s="83">
        <f t="shared" si="2"/>
        <v>0</v>
      </c>
      <c r="U43" s="84">
        <f t="shared" si="3"/>
        <v>0</v>
      </c>
      <c r="V43" s="108"/>
      <c r="W43" s="48"/>
      <c r="X43" s="108"/>
      <c r="Y43" s="48"/>
      <c r="Z43" s="109"/>
      <c r="AA43" s="110"/>
      <c r="AB43" s="110"/>
      <c r="AC43" s="47"/>
      <c r="AD43" s="47"/>
      <c r="AE43" s="55"/>
      <c r="AF43" s="108"/>
      <c r="AG43" s="49"/>
    </row>
    <row r="44" spans="1:33">
      <c r="A44" s="104" t="s">
        <v>60</v>
      </c>
      <c r="B44" s="105" t="s">
        <v>99</v>
      </c>
      <c r="C44" s="106"/>
      <c r="D44" s="107">
        <v>101471</v>
      </c>
      <c r="E44" s="107">
        <v>13</v>
      </c>
      <c r="F44" s="81">
        <f t="shared" si="0"/>
        <v>17584</v>
      </c>
      <c r="G44" s="82">
        <f t="shared" si="1"/>
        <v>18324</v>
      </c>
      <c r="H44" s="108">
        <v>17584</v>
      </c>
      <c r="I44" s="48">
        <v>18324</v>
      </c>
      <c r="J44" s="108">
        <v>0</v>
      </c>
      <c r="K44" s="56">
        <v>0</v>
      </c>
      <c r="L44" s="109">
        <v>0</v>
      </c>
      <c r="M44" s="110">
        <v>0</v>
      </c>
      <c r="N44" s="110">
        <v>0</v>
      </c>
      <c r="O44" s="57"/>
      <c r="P44" s="57"/>
      <c r="Q44" s="55"/>
      <c r="R44" s="108"/>
      <c r="S44" s="46"/>
      <c r="T44" s="83">
        <f t="shared" si="2"/>
        <v>0</v>
      </c>
      <c r="U44" s="84">
        <f t="shared" si="3"/>
        <v>0</v>
      </c>
      <c r="V44" s="108"/>
      <c r="W44" s="48"/>
      <c r="X44" s="108"/>
      <c r="Y44" s="48"/>
      <c r="Z44" s="109"/>
      <c r="AA44" s="110"/>
      <c r="AB44" s="110"/>
      <c r="AC44" s="47"/>
      <c r="AD44" s="47"/>
      <c r="AE44" s="55"/>
      <c r="AF44" s="108"/>
      <c r="AG44" s="49"/>
    </row>
    <row r="45" spans="1:33">
      <c r="A45" s="104" t="s">
        <v>60</v>
      </c>
      <c r="B45" s="105" t="s">
        <v>100</v>
      </c>
      <c r="C45" s="106"/>
      <c r="D45" s="107">
        <v>101994</v>
      </c>
      <c r="E45" s="107">
        <v>13</v>
      </c>
      <c r="F45" s="81">
        <f t="shared" si="0"/>
        <v>12782</v>
      </c>
      <c r="G45" s="82">
        <f t="shared" si="1"/>
        <v>11505</v>
      </c>
      <c r="H45" s="108">
        <v>10106</v>
      </c>
      <c r="I45" s="115">
        <v>9088</v>
      </c>
      <c r="J45" s="108">
        <v>2676</v>
      </c>
      <c r="K45" s="115">
        <v>2417</v>
      </c>
      <c r="L45" s="109">
        <v>0</v>
      </c>
      <c r="M45" s="110">
        <v>0</v>
      </c>
      <c r="N45" s="110">
        <v>0</v>
      </c>
      <c r="O45" s="57"/>
      <c r="P45" s="57"/>
      <c r="Q45" s="55"/>
      <c r="R45" s="108"/>
      <c r="S45" s="46"/>
      <c r="T45" s="83">
        <f t="shared" si="2"/>
        <v>0</v>
      </c>
      <c r="U45" s="84">
        <f t="shared" si="3"/>
        <v>0</v>
      </c>
      <c r="V45" s="108"/>
      <c r="W45" s="56"/>
      <c r="X45" s="108"/>
      <c r="Y45" s="48"/>
      <c r="Z45" s="109"/>
      <c r="AA45" s="110"/>
      <c r="AB45" s="110"/>
      <c r="AC45" s="47"/>
      <c r="AD45" s="47"/>
      <c r="AE45" s="55"/>
      <c r="AF45" s="108"/>
      <c r="AG45" s="49"/>
    </row>
    <row r="46" spans="1:33">
      <c r="A46" s="104" t="s">
        <v>60</v>
      </c>
      <c r="B46" s="105" t="s">
        <v>101</v>
      </c>
      <c r="C46" s="106"/>
      <c r="D46" s="107">
        <v>101648</v>
      </c>
      <c r="E46" s="107">
        <v>15</v>
      </c>
      <c r="F46" s="81">
        <f t="shared" si="0"/>
        <v>14189</v>
      </c>
      <c r="G46" s="82">
        <f t="shared" si="1"/>
        <v>13766</v>
      </c>
      <c r="H46" s="108">
        <v>14189</v>
      </c>
      <c r="I46" s="48">
        <v>13766</v>
      </c>
      <c r="J46" s="108">
        <v>0</v>
      </c>
      <c r="K46" s="56"/>
      <c r="L46" s="109">
        <v>0</v>
      </c>
      <c r="M46" s="110">
        <v>0</v>
      </c>
      <c r="N46" s="110">
        <v>0</v>
      </c>
      <c r="O46" s="57"/>
      <c r="P46" s="57"/>
      <c r="Q46" s="55"/>
      <c r="R46" s="108"/>
      <c r="S46" s="46"/>
      <c r="T46" s="83">
        <f t="shared" si="2"/>
        <v>0</v>
      </c>
      <c r="U46" s="84">
        <f t="shared" si="3"/>
        <v>0</v>
      </c>
      <c r="V46" s="108"/>
      <c r="W46" s="46"/>
      <c r="X46" s="108"/>
      <c r="Y46" s="48"/>
      <c r="Z46" s="109"/>
      <c r="AA46" s="110"/>
      <c r="AB46" s="110"/>
      <c r="AC46" s="47"/>
      <c r="AD46" s="47"/>
      <c r="AE46" s="55"/>
      <c r="AF46" s="108"/>
      <c r="AG46" s="49"/>
    </row>
    <row r="47" spans="1:33" s="74" customFormat="1" ht="13.5" customHeight="1">
      <c r="A47" s="36" t="s">
        <v>102</v>
      </c>
      <c r="B47" s="35" t="s">
        <v>103</v>
      </c>
      <c r="C47" s="34"/>
      <c r="D47" s="33">
        <v>106397</v>
      </c>
      <c r="E47" s="33">
        <v>1</v>
      </c>
      <c r="F47" s="81">
        <f t="shared" si="0"/>
        <v>629101</v>
      </c>
      <c r="G47" s="82">
        <f t="shared" si="1"/>
        <v>638732</v>
      </c>
      <c r="H47" s="32">
        <v>565055</v>
      </c>
      <c r="I47" s="56">
        <v>573464</v>
      </c>
      <c r="J47" s="32">
        <v>8821</v>
      </c>
      <c r="K47" s="56">
        <v>9162</v>
      </c>
      <c r="L47" s="31">
        <v>51182</v>
      </c>
      <c r="M47" s="110">
        <v>515</v>
      </c>
      <c r="N47" s="110">
        <v>0</v>
      </c>
      <c r="O47" s="56">
        <v>52367</v>
      </c>
      <c r="P47" s="115">
        <v>457</v>
      </c>
      <c r="Q47" s="56">
        <v>0</v>
      </c>
      <c r="R47" s="32">
        <v>3528</v>
      </c>
      <c r="S47" s="115">
        <v>3282</v>
      </c>
      <c r="T47" s="83">
        <f t="shared" si="2"/>
        <v>80235</v>
      </c>
      <c r="U47" s="84">
        <f t="shared" si="3"/>
        <v>81194</v>
      </c>
      <c r="V47" s="32">
        <v>57364</v>
      </c>
      <c r="W47" s="56">
        <v>56247</v>
      </c>
      <c r="X47" s="32">
        <v>1980</v>
      </c>
      <c r="Y47" s="115">
        <v>1278</v>
      </c>
      <c r="Z47" s="31">
        <v>20891</v>
      </c>
      <c r="AA47" s="110">
        <v>0</v>
      </c>
      <c r="AB47" s="110">
        <v>0</v>
      </c>
      <c r="AC47" s="115">
        <v>23650</v>
      </c>
      <c r="AD47" s="56">
        <v>0</v>
      </c>
      <c r="AE47" s="115">
        <v>19</v>
      </c>
      <c r="AF47" s="32">
        <v>0</v>
      </c>
      <c r="AG47" s="56">
        <v>0</v>
      </c>
    </row>
    <row r="48" spans="1:33">
      <c r="A48" s="36" t="s">
        <v>102</v>
      </c>
      <c r="B48" s="35" t="s">
        <v>104</v>
      </c>
      <c r="C48" s="30"/>
      <c r="D48" s="33">
        <v>106245</v>
      </c>
      <c r="E48" s="29">
        <v>2</v>
      </c>
      <c r="F48" s="81">
        <f t="shared" si="0"/>
        <v>212666</v>
      </c>
      <c r="G48" s="82">
        <f t="shared" si="1"/>
        <v>206489</v>
      </c>
      <c r="H48" s="32">
        <v>126692</v>
      </c>
      <c r="I48" s="115">
        <v>116807</v>
      </c>
      <c r="J48" s="32">
        <v>19895</v>
      </c>
      <c r="K48" s="115">
        <v>21304</v>
      </c>
      <c r="L48" s="31">
        <v>66079</v>
      </c>
      <c r="M48" s="110">
        <v>0</v>
      </c>
      <c r="N48" s="110">
        <v>0</v>
      </c>
      <c r="O48" s="56">
        <v>68378</v>
      </c>
      <c r="P48" s="56">
        <v>0</v>
      </c>
      <c r="Q48" s="56">
        <v>0</v>
      </c>
      <c r="R48" s="32">
        <v>0</v>
      </c>
      <c r="S48" s="56">
        <v>0</v>
      </c>
      <c r="T48" s="83">
        <f t="shared" si="2"/>
        <v>43190</v>
      </c>
      <c r="U48" s="84">
        <f t="shared" si="3"/>
        <v>42496</v>
      </c>
      <c r="V48" s="32">
        <v>20860</v>
      </c>
      <c r="W48" s="115">
        <v>27335</v>
      </c>
      <c r="X48" s="32">
        <v>11464</v>
      </c>
      <c r="Y48" s="115">
        <v>5004</v>
      </c>
      <c r="Z48" s="31">
        <v>10866</v>
      </c>
      <c r="AA48" s="110">
        <v>0</v>
      </c>
      <c r="AB48" s="110">
        <v>0</v>
      </c>
      <c r="AC48" s="115">
        <v>10157</v>
      </c>
      <c r="AD48" s="56">
        <v>0</v>
      </c>
      <c r="AE48" s="56">
        <v>0</v>
      </c>
      <c r="AF48" s="32">
        <v>0</v>
      </c>
      <c r="AG48" s="56">
        <v>0</v>
      </c>
    </row>
    <row r="49" spans="1:33">
      <c r="A49" s="36" t="s">
        <v>102</v>
      </c>
      <c r="B49" s="35" t="s">
        <v>105</v>
      </c>
      <c r="C49" s="34"/>
      <c r="D49" s="33">
        <v>106458</v>
      </c>
      <c r="E49" s="33">
        <v>3</v>
      </c>
      <c r="F49" s="81">
        <f t="shared" si="0"/>
        <v>265272</v>
      </c>
      <c r="G49" s="82">
        <f t="shared" si="1"/>
        <v>268602</v>
      </c>
      <c r="H49" s="32">
        <v>180505</v>
      </c>
      <c r="I49" s="56">
        <v>172412</v>
      </c>
      <c r="J49" s="32">
        <v>18510</v>
      </c>
      <c r="K49" s="115">
        <v>15899</v>
      </c>
      <c r="L49" s="31">
        <v>64697</v>
      </c>
      <c r="M49" s="110">
        <v>1557</v>
      </c>
      <c r="N49" s="110">
        <v>3</v>
      </c>
      <c r="O49" s="115">
        <v>77931</v>
      </c>
      <c r="P49" s="115">
        <v>2360</v>
      </c>
      <c r="Q49" s="115">
        <v>0</v>
      </c>
      <c r="R49" s="32">
        <v>0</v>
      </c>
      <c r="S49" s="56">
        <v>0</v>
      </c>
      <c r="T49" s="83">
        <f t="shared" si="2"/>
        <v>80183</v>
      </c>
      <c r="U49" s="84">
        <f t="shared" si="3"/>
        <v>92137</v>
      </c>
      <c r="V49" s="32">
        <v>22927</v>
      </c>
      <c r="W49" s="56">
        <v>22718</v>
      </c>
      <c r="X49" s="32">
        <v>42</v>
      </c>
      <c r="Y49" s="115">
        <v>3</v>
      </c>
      <c r="Z49" s="31">
        <v>57142</v>
      </c>
      <c r="AA49" s="110">
        <v>0</v>
      </c>
      <c r="AB49" s="110">
        <v>72</v>
      </c>
      <c r="AC49" s="115">
        <v>69347</v>
      </c>
      <c r="AD49" s="56">
        <v>0</v>
      </c>
      <c r="AE49" s="56">
        <v>69</v>
      </c>
      <c r="AF49" s="32">
        <v>0</v>
      </c>
      <c r="AG49" s="56">
        <v>0</v>
      </c>
    </row>
    <row r="50" spans="1:33">
      <c r="A50" s="36" t="s">
        <v>102</v>
      </c>
      <c r="B50" s="35" t="s">
        <v>106</v>
      </c>
      <c r="C50" s="30"/>
      <c r="D50" s="33">
        <v>106467</v>
      </c>
      <c r="E50" s="33">
        <v>3</v>
      </c>
      <c r="F50" s="81">
        <f t="shared" si="0"/>
        <v>230757</v>
      </c>
      <c r="G50" s="82">
        <f t="shared" si="1"/>
        <v>223609</v>
      </c>
      <c r="H50" s="32">
        <v>158617</v>
      </c>
      <c r="I50" s="56">
        <v>153467</v>
      </c>
      <c r="J50" s="32">
        <v>15144</v>
      </c>
      <c r="K50" s="115">
        <v>10453</v>
      </c>
      <c r="L50" s="31">
        <v>55821</v>
      </c>
      <c r="M50" s="110">
        <v>0</v>
      </c>
      <c r="N50" s="110">
        <v>1175</v>
      </c>
      <c r="O50" s="115">
        <v>58624</v>
      </c>
      <c r="P50" s="56">
        <v>0</v>
      </c>
      <c r="Q50" s="115">
        <v>1065</v>
      </c>
      <c r="R50" s="32">
        <v>0</v>
      </c>
      <c r="S50" s="56">
        <v>0</v>
      </c>
      <c r="T50" s="83">
        <f t="shared" si="2"/>
        <v>16073</v>
      </c>
      <c r="U50" s="84">
        <f t="shared" si="3"/>
        <v>15406</v>
      </c>
      <c r="V50" s="32">
        <v>7113</v>
      </c>
      <c r="W50" s="115">
        <v>5506</v>
      </c>
      <c r="X50" s="32">
        <v>1203</v>
      </c>
      <c r="Y50" s="115">
        <v>1647</v>
      </c>
      <c r="Z50" s="31">
        <v>7343</v>
      </c>
      <c r="AA50" s="110">
        <v>0</v>
      </c>
      <c r="AB50" s="110">
        <v>414</v>
      </c>
      <c r="AC50" s="115">
        <v>7988</v>
      </c>
      <c r="AD50" s="56">
        <v>0</v>
      </c>
      <c r="AE50" s="115">
        <v>265</v>
      </c>
      <c r="AF50" s="32">
        <v>0</v>
      </c>
      <c r="AG50" s="56">
        <v>0</v>
      </c>
    </row>
    <row r="51" spans="1:33">
      <c r="A51" s="36" t="s">
        <v>102</v>
      </c>
      <c r="B51" s="35" t="s">
        <v>107</v>
      </c>
      <c r="C51" s="34"/>
      <c r="D51" s="33">
        <v>106704</v>
      </c>
      <c r="E51" s="33">
        <v>3</v>
      </c>
      <c r="F51" s="81">
        <f t="shared" si="0"/>
        <v>272879</v>
      </c>
      <c r="G51" s="82">
        <f t="shared" si="1"/>
        <v>270455</v>
      </c>
      <c r="H51" s="32">
        <v>254572</v>
      </c>
      <c r="I51" s="56">
        <v>245649</v>
      </c>
      <c r="J51" s="32">
        <v>2514</v>
      </c>
      <c r="K51" s="115">
        <v>3257</v>
      </c>
      <c r="L51" s="31">
        <v>15691</v>
      </c>
      <c r="M51" s="110">
        <v>102</v>
      </c>
      <c r="N51" s="110">
        <v>0</v>
      </c>
      <c r="O51" s="115">
        <v>21395</v>
      </c>
      <c r="P51" s="115">
        <v>153</v>
      </c>
      <c r="Q51" s="56">
        <v>0</v>
      </c>
      <c r="R51" s="32">
        <v>0</v>
      </c>
      <c r="S51" s="115">
        <v>1</v>
      </c>
      <c r="T51" s="83">
        <f t="shared" si="2"/>
        <v>37618</v>
      </c>
      <c r="U51" s="84">
        <f t="shared" si="3"/>
        <v>37487</v>
      </c>
      <c r="V51" s="32">
        <v>20522</v>
      </c>
      <c r="W51" s="56">
        <v>19585</v>
      </c>
      <c r="X51" s="32">
        <v>0</v>
      </c>
      <c r="Y51" s="56">
        <v>0</v>
      </c>
      <c r="Z51" s="31">
        <v>12392</v>
      </c>
      <c r="AA51" s="110">
        <v>4704</v>
      </c>
      <c r="AB51" s="110">
        <v>0</v>
      </c>
      <c r="AC51" s="56">
        <v>12927</v>
      </c>
      <c r="AD51" s="115">
        <v>4975</v>
      </c>
      <c r="AE51" s="56">
        <v>0</v>
      </c>
      <c r="AF51" s="32">
        <v>0</v>
      </c>
      <c r="AG51" s="56">
        <v>0</v>
      </c>
    </row>
    <row r="52" spans="1:33">
      <c r="A52" s="36" t="s">
        <v>102</v>
      </c>
      <c r="B52" s="35" t="s">
        <v>108</v>
      </c>
      <c r="C52" s="34"/>
      <c r="D52" s="33">
        <v>107071</v>
      </c>
      <c r="E52" s="33">
        <v>4</v>
      </c>
      <c r="F52" s="81">
        <f t="shared" si="0"/>
        <v>89086</v>
      </c>
      <c r="G52" s="82">
        <f t="shared" si="1"/>
        <v>88838</v>
      </c>
      <c r="H52" s="32">
        <v>75344</v>
      </c>
      <c r="I52" s="56">
        <v>72553</v>
      </c>
      <c r="J52" s="32">
        <v>1630</v>
      </c>
      <c r="K52" s="115">
        <v>1847</v>
      </c>
      <c r="L52" s="31">
        <v>12112</v>
      </c>
      <c r="M52" s="110">
        <v>0</v>
      </c>
      <c r="N52" s="110">
        <v>0</v>
      </c>
      <c r="O52" s="115">
        <v>14438</v>
      </c>
      <c r="P52" s="56">
        <v>0</v>
      </c>
      <c r="Q52" s="56">
        <v>0</v>
      </c>
      <c r="R52" s="32">
        <v>0</v>
      </c>
      <c r="S52" s="56">
        <v>0</v>
      </c>
      <c r="T52" s="83">
        <f t="shared" si="2"/>
        <v>6313</v>
      </c>
      <c r="U52" s="84">
        <f t="shared" si="3"/>
        <v>7490</v>
      </c>
      <c r="V52" s="32">
        <v>2734</v>
      </c>
      <c r="W52" s="115">
        <v>2366</v>
      </c>
      <c r="X52" s="32">
        <v>237</v>
      </c>
      <c r="Y52" s="115">
        <v>210</v>
      </c>
      <c r="Z52" s="31">
        <v>3342</v>
      </c>
      <c r="AA52" s="110">
        <v>0</v>
      </c>
      <c r="AB52" s="110">
        <v>0</v>
      </c>
      <c r="AC52" s="115">
        <v>4914</v>
      </c>
      <c r="AD52" s="56">
        <v>0</v>
      </c>
      <c r="AE52" s="56">
        <v>0</v>
      </c>
      <c r="AF52" s="32">
        <v>0</v>
      </c>
      <c r="AG52" s="56">
        <v>0</v>
      </c>
    </row>
    <row r="53" spans="1:33" s="74" customFormat="1" ht="15" customHeight="1">
      <c r="A53" s="36" t="s">
        <v>102</v>
      </c>
      <c r="B53" s="35" t="s">
        <v>109</v>
      </c>
      <c r="C53" s="30"/>
      <c r="D53" s="33">
        <v>107983</v>
      </c>
      <c r="E53" s="33">
        <v>4</v>
      </c>
      <c r="F53" s="81">
        <f t="shared" si="0"/>
        <v>86298</v>
      </c>
      <c r="G53" s="82">
        <f t="shared" si="1"/>
        <v>53603</v>
      </c>
      <c r="H53" s="32">
        <v>69344</v>
      </c>
      <c r="I53" s="115">
        <v>34899</v>
      </c>
      <c r="J53" s="32">
        <v>2177</v>
      </c>
      <c r="K53" s="115">
        <v>2005</v>
      </c>
      <c r="L53" s="31">
        <v>14777</v>
      </c>
      <c r="M53" s="110">
        <v>0</v>
      </c>
      <c r="N53" s="110">
        <v>0</v>
      </c>
      <c r="O53" s="115">
        <v>16699</v>
      </c>
      <c r="P53" s="56">
        <v>0</v>
      </c>
      <c r="Q53" s="56">
        <v>0</v>
      </c>
      <c r="R53" s="32">
        <v>0</v>
      </c>
      <c r="S53" s="56">
        <v>0</v>
      </c>
      <c r="T53" s="83">
        <f t="shared" si="2"/>
        <v>13989</v>
      </c>
      <c r="U53" s="84">
        <f t="shared" si="3"/>
        <v>28267</v>
      </c>
      <c r="V53" s="32">
        <v>3570</v>
      </c>
      <c r="W53" s="115">
        <v>4488</v>
      </c>
      <c r="X53" s="32">
        <v>0</v>
      </c>
      <c r="Y53" s="115">
        <v>2550</v>
      </c>
      <c r="Z53" s="31">
        <v>10374</v>
      </c>
      <c r="AA53" s="110">
        <v>45</v>
      </c>
      <c r="AB53" s="110">
        <v>0</v>
      </c>
      <c r="AC53" s="115">
        <v>21229</v>
      </c>
      <c r="AD53" s="115">
        <v>0</v>
      </c>
      <c r="AE53" s="56">
        <v>0</v>
      </c>
      <c r="AF53" s="32">
        <v>0</v>
      </c>
      <c r="AG53" s="56">
        <v>0</v>
      </c>
    </row>
    <row r="54" spans="1:33" s="74" customFormat="1" ht="15" customHeight="1">
      <c r="A54" s="36" t="s">
        <v>102</v>
      </c>
      <c r="B54" s="35" t="s">
        <v>110</v>
      </c>
      <c r="C54" s="34"/>
      <c r="D54" s="33">
        <v>106485</v>
      </c>
      <c r="E54" s="33">
        <v>5</v>
      </c>
      <c r="F54" s="81">
        <f t="shared" si="0"/>
        <v>68255</v>
      </c>
      <c r="G54" s="82">
        <f t="shared" si="1"/>
        <v>67489</v>
      </c>
      <c r="H54" s="32">
        <v>48460</v>
      </c>
      <c r="I54" s="56">
        <v>46678</v>
      </c>
      <c r="J54" s="32">
        <v>5555</v>
      </c>
      <c r="K54" s="115">
        <v>3109</v>
      </c>
      <c r="L54" s="31">
        <v>14240</v>
      </c>
      <c r="M54" s="110">
        <v>0</v>
      </c>
      <c r="N54" s="110">
        <v>0</v>
      </c>
      <c r="O54" s="115">
        <v>17702</v>
      </c>
      <c r="P54" s="56">
        <v>0</v>
      </c>
      <c r="Q54" s="56">
        <v>0</v>
      </c>
      <c r="R54" s="32">
        <v>0</v>
      </c>
      <c r="S54" s="56">
        <v>0</v>
      </c>
      <c r="T54" s="83">
        <f t="shared" si="2"/>
        <v>3510</v>
      </c>
      <c r="U54" s="84">
        <f t="shared" si="3"/>
        <v>4537</v>
      </c>
      <c r="V54" s="32">
        <v>476</v>
      </c>
      <c r="W54" s="115">
        <v>757</v>
      </c>
      <c r="X54" s="32">
        <v>0</v>
      </c>
      <c r="Y54" s="115">
        <v>6</v>
      </c>
      <c r="Z54" s="31">
        <v>3034</v>
      </c>
      <c r="AA54" s="110">
        <v>0</v>
      </c>
      <c r="AB54" s="110">
        <v>0</v>
      </c>
      <c r="AC54" s="115">
        <v>3774</v>
      </c>
      <c r="AD54" s="56">
        <v>0</v>
      </c>
      <c r="AE54" s="56">
        <v>0</v>
      </c>
      <c r="AF54" s="32">
        <v>0</v>
      </c>
      <c r="AG54" s="56">
        <v>0</v>
      </c>
    </row>
    <row r="55" spans="1:33" s="74" customFormat="1" ht="15" customHeight="1">
      <c r="A55" s="36" t="s">
        <v>102</v>
      </c>
      <c r="B55" s="35" t="s">
        <v>111</v>
      </c>
      <c r="C55" s="34"/>
      <c r="D55" s="33">
        <v>108092</v>
      </c>
      <c r="E55" s="33">
        <v>6</v>
      </c>
      <c r="F55" s="81">
        <f t="shared" si="0"/>
        <v>166174</v>
      </c>
      <c r="G55" s="82">
        <f t="shared" si="1"/>
        <v>158534</v>
      </c>
      <c r="H55" s="32">
        <v>133819</v>
      </c>
      <c r="I55" s="115">
        <v>121326</v>
      </c>
      <c r="J55" s="32">
        <v>2183</v>
      </c>
      <c r="K55" s="115">
        <v>3884</v>
      </c>
      <c r="L55" s="31">
        <v>30172</v>
      </c>
      <c r="M55" s="110">
        <v>0</v>
      </c>
      <c r="N55" s="110">
        <v>0</v>
      </c>
      <c r="O55" s="115">
        <v>33324</v>
      </c>
      <c r="P55" s="56">
        <v>0</v>
      </c>
      <c r="Q55" s="56">
        <v>0</v>
      </c>
      <c r="R55" s="32">
        <v>0</v>
      </c>
      <c r="S55" s="56">
        <v>0</v>
      </c>
      <c r="T55" s="83">
        <f t="shared" si="2"/>
        <v>36</v>
      </c>
      <c r="U55" s="84">
        <f t="shared" si="3"/>
        <v>210</v>
      </c>
      <c r="V55" s="32">
        <v>0</v>
      </c>
      <c r="W55" s="56">
        <v>0</v>
      </c>
      <c r="X55" s="32">
        <v>0</v>
      </c>
      <c r="Y55" s="56">
        <v>0</v>
      </c>
      <c r="Z55" s="31">
        <v>36</v>
      </c>
      <c r="AA55" s="110">
        <v>0</v>
      </c>
      <c r="AB55" s="110">
        <v>0</v>
      </c>
      <c r="AC55" s="115">
        <v>210</v>
      </c>
      <c r="AD55" s="56">
        <v>0</v>
      </c>
      <c r="AE55" s="56">
        <v>0</v>
      </c>
      <c r="AF55" s="32">
        <v>0</v>
      </c>
      <c r="AG55" s="56">
        <v>0</v>
      </c>
    </row>
    <row r="56" spans="1:33" s="74" customFormat="1" ht="15" customHeight="1">
      <c r="A56" s="36" t="s">
        <v>102</v>
      </c>
      <c r="B56" s="35" t="s">
        <v>112</v>
      </c>
      <c r="C56" s="344" t="s">
        <v>848</v>
      </c>
      <c r="D56" s="33">
        <v>106412</v>
      </c>
      <c r="E56" s="33">
        <v>6</v>
      </c>
      <c r="F56" s="81">
        <f t="shared" si="0"/>
        <v>70836</v>
      </c>
      <c r="G56" s="82">
        <f t="shared" si="1"/>
        <v>73420</v>
      </c>
      <c r="H56" s="32">
        <v>59634</v>
      </c>
      <c r="I56" s="56">
        <v>61915</v>
      </c>
      <c r="J56" s="32">
        <v>30</v>
      </c>
      <c r="K56" s="115">
        <v>0</v>
      </c>
      <c r="L56" s="31">
        <v>11172</v>
      </c>
      <c r="M56" s="110">
        <v>0</v>
      </c>
      <c r="N56" s="110">
        <v>0</v>
      </c>
      <c r="O56" s="56">
        <v>11505</v>
      </c>
      <c r="P56" s="56">
        <v>0</v>
      </c>
      <c r="Q56" s="56">
        <v>0</v>
      </c>
      <c r="R56" s="32">
        <v>0</v>
      </c>
      <c r="S56" s="56">
        <v>0</v>
      </c>
      <c r="T56" s="83">
        <f t="shared" si="2"/>
        <v>1890</v>
      </c>
      <c r="U56" s="84">
        <f t="shared" si="3"/>
        <v>1436</v>
      </c>
      <c r="V56" s="32">
        <v>1434</v>
      </c>
      <c r="W56" s="115">
        <v>1088</v>
      </c>
      <c r="X56" s="32">
        <v>0</v>
      </c>
      <c r="Y56" s="56">
        <v>0</v>
      </c>
      <c r="Z56" s="31">
        <v>456</v>
      </c>
      <c r="AA56" s="110">
        <v>0</v>
      </c>
      <c r="AB56" s="110">
        <v>0</v>
      </c>
      <c r="AC56" s="115">
        <v>348</v>
      </c>
      <c r="AD56" s="56">
        <v>0</v>
      </c>
      <c r="AE56" s="56">
        <v>0</v>
      </c>
      <c r="AF56" s="32">
        <v>0</v>
      </c>
      <c r="AG56" s="56">
        <v>0</v>
      </c>
    </row>
    <row r="57" spans="1:33" s="74" customFormat="1" ht="15" customHeight="1">
      <c r="A57" s="28" t="s">
        <v>102</v>
      </c>
      <c r="B57" s="35" t="s">
        <v>113</v>
      </c>
      <c r="C57" s="344" t="s">
        <v>849</v>
      </c>
      <c r="D57" s="27">
        <v>367459</v>
      </c>
      <c r="E57" s="33">
        <v>8</v>
      </c>
      <c r="F57" s="81">
        <f t="shared" si="0"/>
        <v>149171</v>
      </c>
      <c r="G57" s="82">
        <f t="shared" si="1"/>
        <v>147232</v>
      </c>
      <c r="H57" s="32">
        <v>91915</v>
      </c>
      <c r="I57" s="56">
        <v>88828</v>
      </c>
      <c r="J57" s="32">
        <v>18800</v>
      </c>
      <c r="K57" s="56">
        <v>18623</v>
      </c>
      <c r="L57" s="31">
        <v>38334</v>
      </c>
      <c r="M57" s="110">
        <v>122</v>
      </c>
      <c r="N57" s="110">
        <v>0</v>
      </c>
      <c r="O57" s="56">
        <v>39731</v>
      </c>
      <c r="P57" s="115">
        <v>50</v>
      </c>
      <c r="Q57" s="56">
        <v>0</v>
      </c>
      <c r="R57" s="32">
        <v>0</v>
      </c>
      <c r="S57" s="56">
        <v>0</v>
      </c>
      <c r="T57" s="83">
        <f t="shared" si="2"/>
        <v>0</v>
      </c>
      <c r="U57" s="84">
        <f t="shared" si="3"/>
        <v>0</v>
      </c>
      <c r="V57" s="32">
        <v>0</v>
      </c>
      <c r="W57" s="56">
        <v>0</v>
      </c>
      <c r="X57" s="32">
        <v>0</v>
      </c>
      <c r="Y57" s="56">
        <v>0</v>
      </c>
      <c r="Z57" s="31">
        <v>0</v>
      </c>
      <c r="AA57" s="110">
        <v>0</v>
      </c>
      <c r="AB57" s="110">
        <v>0</v>
      </c>
      <c r="AC57" s="56">
        <v>0</v>
      </c>
      <c r="AD57" s="56">
        <v>0</v>
      </c>
      <c r="AE57" s="56">
        <v>0</v>
      </c>
      <c r="AF57" s="32">
        <v>0</v>
      </c>
      <c r="AG57" s="56">
        <v>0</v>
      </c>
    </row>
    <row r="58" spans="1:33" s="74" customFormat="1" ht="15" customHeight="1">
      <c r="A58" s="28" t="s">
        <v>102</v>
      </c>
      <c r="B58" s="26" t="s">
        <v>114</v>
      </c>
      <c r="C58" s="344" t="s">
        <v>850</v>
      </c>
      <c r="D58" s="27">
        <v>107664</v>
      </c>
      <c r="E58" s="24">
        <v>8</v>
      </c>
      <c r="F58" s="81">
        <f t="shared" si="0"/>
        <v>170528</v>
      </c>
      <c r="G58" s="82">
        <f t="shared" si="1"/>
        <v>144062</v>
      </c>
      <c r="H58" s="32">
        <v>110057</v>
      </c>
      <c r="I58" s="115">
        <v>90966</v>
      </c>
      <c r="J58" s="32">
        <v>0</v>
      </c>
      <c r="K58" s="115">
        <v>1293</v>
      </c>
      <c r="L58" s="31">
        <v>60471</v>
      </c>
      <c r="M58" s="110">
        <v>0</v>
      </c>
      <c r="N58" s="110">
        <v>0</v>
      </c>
      <c r="O58" s="115">
        <v>51803</v>
      </c>
      <c r="P58" s="56">
        <v>0</v>
      </c>
      <c r="Q58" s="56">
        <v>0</v>
      </c>
      <c r="R58" s="32">
        <v>0</v>
      </c>
      <c r="S58" s="56">
        <v>0</v>
      </c>
      <c r="T58" s="83">
        <f t="shared" si="2"/>
        <v>0</v>
      </c>
      <c r="U58" s="84">
        <f t="shared" si="3"/>
        <v>0</v>
      </c>
      <c r="V58" s="32">
        <v>0</v>
      </c>
      <c r="W58" s="56">
        <v>0</v>
      </c>
      <c r="X58" s="32">
        <v>0</v>
      </c>
      <c r="Y58" s="56">
        <v>0</v>
      </c>
      <c r="Z58" s="31">
        <v>0</v>
      </c>
      <c r="AA58" s="110">
        <v>0</v>
      </c>
      <c r="AB58" s="110">
        <v>0</v>
      </c>
      <c r="AC58" s="56">
        <v>0</v>
      </c>
      <c r="AD58" s="56">
        <v>0</v>
      </c>
      <c r="AE58" s="56">
        <v>0</v>
      </c>
      <c r="AF58" s="32">
        <v>0</v>
      </c>
      <c r="AG58" s="56">
        <v>0</v>
      </c>
    </row>
    <row r="59" spans="1:33" s="74" customFormat="1" ht="15" customHeight="1">
      <c r="A59" s="28" t="s">
        <v>102</v>
      </c>
      <c r="B59" s="26" t="s">
        <v>115</v>
      </c>
      <c r="C59" s="344"/>
      <c r="D59" s="27">
        <v>106449</v>
      </c>
      <c r="E59" s="27">
        <v>9</v>
      </c>
      <c r="F59" s="81">
        <f t="shared" si="0"/>
        <v>89476</v>
      </c>
      <c r="G59" s="82">
        <f t="shared" si="1"/>
        <v>86601</v>
      </c>
      <c r="H59" s="32">
        <v>60136</v>
      </c>
      <c r="I59" s="115">
        <v>56904</v>
      </c>
      <c r="J59" s="32">
        <v>9667</v>
      </c>
      <c r="K59" s="56">
        <v>9652</v>
      </c>
      <c r="L59" s="31">
        <v>19673</v>
      </c>
      <c r="M59" s="110">
        <v>0</v>
      </c>
      <c r="N59" s="110">
        <v>0</v>
      </c>
      <c r="O59" s="56">
        <v>20045</v>
      </c>
      <c r="P59" s="56">
        <v>0</v>
      </c>
      <c r="Q59" s="56">
        <v>0</v>
      </c>
      <c r="R59" s="32">
        <v>0</v>
      </c>
      <c r="S59" s="56">
        <v>0</v>
      </c>
      <c r="T59" s="83">
        <f t="shared" si="2"/>
        <v>0</v>
      </c>
      <c r="U59" s="84">
        <f t="shared" si="3"/>
        <v>0</v>
      </c>
      <c r="V59" s="32"/>
      <c r="W59" s="56">
        <v>0</v>
      </c>
      <c r="X59" s="32">
        <v>0</v>
      </c>
      <c r="Y59" s="56">
        <v>0</v>
      </c>
      <c r="Z59" s="31"/>
      <c r="AA59" s="110"/>
      <c r="AB59" s="110"/>
      <c r="AC59" s="56">
        <v>0</v>
      </c>
      <c r="AD59" s="56">
        <v>0</v>
      </c>
      <c r="AE59" s="56">
        <v>0</v>
      </c>
      <c r="AF59" s="32"/>
      <c r="AG59" s="56">
        <v>0</v>
      </c>
    </row>
    <row r="60" spans="1:33" s="74" customFormat="1" ht="15" customHeight="1">
      <c r="A60" s="28" t="s">
        <v>102</v>
      </c>
      <c r="B60" s="23" t="s">
        <v>116</v>
      </c>
      <c r="C60" s="344" t="s">
        <v>851</v>
      </c>
      <c r="D60" s="33">
        <v>106980</v>
      </c>
      <c r="E60" s="33">
        <v>9</v>
      </c>
      <c r="F60" s="81">
        <f t="shared" si="0"/>
        <v>58084</v>
      </c>
      <c r="G60" s="82">
        <f t="shared" si="1"/>
        <v>55678</v>
      </c>
      <c r="H60" s="32">
        <v>41201</v>
      </c>
      <c r="I60" s="115">
        <v>37725</v>
      </c>
      <c r="J60" s="32">
        <v>5308</v>
      </c>
      <c r="K60" s="115">
        <v>6621</v>
      </c>
      <c r="L60" s="31">
        <v>11575</v>
      </c>
      <c r="M60" s="110">
        <v>0</v>
      </c>
      <c r="N60" s="110">
        <v>0</v>
      </c>
      <c r="O60" s="56">
        <v>11332</v>
      </c>
      <c r="P60" s="56">
        <v>0</v>
      </c>
      <c r="Q60" s="56">
        <v>0</v>
      </c>
      <c r="R60" s="32">
        <v>0</v>
      </c>
      <c r="S60" s="56">
        <v>0</v>
      </c>
      <c r="T60" s="83">
        <f t="shared" si="2"/>
        <v>0</v>
      </c>
      <c r="U60" s="84">
        <f t="shared" si="3"/>
        <v>0</v>
      </c>
      <c r="V60" s="32"/>
      <c r="W60" s="56">
        <v>0</v>
      </c>
      <c r="X60" s="32">
        <v>0</v>
      </c>
      <c r="Y60" s="56">
        <v>0</v>
      </c>
      <c r="Z60" s="31"/>
      <c r="AA60" s="110"/>
      <c r="AB60" s="110"/>
      <c r="AC60" s="56">
        <v>0</v>
      </c>
      <c r="AD60" s="56">
        <v>0</v>
      </c>
      <c r="AE60" s="56">
        <v>0</v>
      </c>
      <c r="AF60" s="32"/>
      <c r="AG60" s="56">
        <v>0</v>
      </c>
    </row>
    <row r="61" spans="1:33" s="74" customFormat="1" ht="15" customHeight="1">
      <c r="A61" s="28" t="s">
        <v>102</v>
      </c>
      <c r="B61" s="26" t="s">
        <v>117</v>
      </c>
      <c r="C61" s="25"/>
      <c r="D61" s="27">
        <v>107327</v>
      </c>
      <c r="E61" s="27">
        <v>10</v>
      </c>
      <c r="F61" s="81">
        <f t="shared" si="0"/>
        <v>27670</v>
      </c>
      <c r="G61" s="82">
        <f t="shared" si="1"/>
        <v>28038</v>
      </c>
      <c r="H61" s="32">
        <v>20675</v>
      </c>
      <c r="I61" s="56">
        <v>20321</v>
      </c>
      <c r="J61" s="32">
        <v>381</v>
      </c>
      <c r="K61" s="115">
        <v>275</v>
      </c>
      <c r="L61" s="31">
        <v>6614</v>
      </c>
      <c r="M61" s="110">
        <v>0</v>
      </c>
      <c r="N61" s="110">
        <v>0</v>
      </c>
      <c r="O61" s="115">
        <v>7442</v>
      </c>
      <c r="P61" s="56">
        <v>0</v>
      </c>
      <c r="Q61" s="56">
        <v>0</v>
      </c>
      <c r="R61" s="32">
        <v>0</v>
      </c>
      <c r="S61" s="56">
        <v>0</v>
      </c>
      <c r="T61" s="83">
        <f t="shared" si="2"/>
        <v>0</v>
      </c>
      <c r="U61" s="84">
        <f t="shared" si="3"/>
        <v>0</v>
      </c>
      <c r="V61" s="32"/>
      <c r="W61" s="56">
        <v>0</v>
      </c>
      <c r="X61" s="32">
        <v>0</v>
      </c>
      <c r="Y61" s="56">
        <v>0</v>
      </c>
      <c r="Z61" s="31"/>
      <c r="AA61" s="110"/>
      <c r="AB61" s="110"/>
      <c r="AC61" s="56">
        <v>0</v>
      </c>
      <c r="AD61" s="56">
        <v>0</v>
      </c>
      <c r="AE61" s="56">
        <v>0</v>
      </c>
      <c r="AF61" s="32"/>
      <c r="AG61" s="56">
        <v>0</v>
      </c>
    </row>
    <row r="62" spans="1:33" s="74" customFormat="1" ht="15" customHeight="1">
      <c r="A62" s="28" t="s">
        <v>102</v>
      </c>
      <c r="B62" s="22" t="s">
        <v>118</v>
      </c>
      <c r="C62" s="25"/>
      <c r="D62" s="27">
        <v>107318</v>
      </c>
      <c r="E62" s="27">
        <v>10</v>
      </c>
      <c r="F62" s="81">
        <f t="shared" si="0"/>
        <v>31843</v>
      </c>
      <c r="G62" s="82">
        <f t="shared" si="1"/>
        <v>31364</v>
      </c>
      <c r="H62" s="32">
        <v>28042</v>
      </c>
      <c r="I62" s="56">
        <v>27244</v>
      </c>
      <c r="J62" s="32">
        <v>55</v>
      </c>
      <c r="K62" s="115">
        <v>12</v>
      </c>
      <c r="L62" s="31">
        <v>3746</v>
      </c>
      <c r="M62" s="110">
        <v>0</v>
      </c>
      <c r="N62" s="110">
        <v>0</v>
      </c>
      <c r="O62" s="115">
        <v>4108</v>
      </c>
      <c r="P62" s="56">
        <v>0</v>
      </c>
      <c r="Q62" s="56">
        <v>0</v>
      </c>
      <c r="R62" s="32">
        <v>0</v>
      </c>
      <c r="S62" s="56">
        <v>0</v>
      </c>
      <c r="T62" s="83">
        <f t="shared" si="2"/>
        <v>0</v>
      </c>
      <c r="U62" s="84">
        <f t="shared" si="3"/>
        <v>0</v>
      </c>
      <c r="V62" s="32"/>
      <c r="W62" s="56">
        <v>0</v>
      </c>
      <c r="X62" s="32">
        <v>0</v>
      </c>
      <c r="Y62" s="56">
        <v>0</v>
      </c>
      <c r="Z62" s="31"/>
      <c r="AA62" s="110"/>
      <c r="AB62" s="110"/>
      <c r="AC62" s="56">
        <v>0</v>
      </c>
      <c r="AD62" s="56">
        <v>0</v>
      </c>
      <c r="AE62" s="56">
        <v>0</v>
      </c>
      <c r="AF62" s="32"/>
      <c r="AG62" s="56">
        <v>0</v>
      </c>
    </row>
    <row r="63" spans="1:33" s="74" customFormat="1" ht="15" customHeight="1">
      <c r="A63" s="28" t="s">
        <v>102</v>
      </c>
      <c r="B63" s="26" t="s">
        <v>119</v>
      </c>
      <c r="C63" s="25"/>
      <c r="D63" s="27">
        <v>420538</v>
      </c>
      <c r="E63" s="27">
        <v>10</v>
      </c>
      <c r="F63" s="81">
        <f t="shared" si="0"/>
        <v>32573</v>
      </c>
      <c r="G63" s="82">
        <f t="shared" si="1"/>
        <v>32005</v>
      </c>
      <c r="H63" s="32">
        <v>15435</v>
      </c>
      <c r="I63" s="56">
        <v>15109</v>
      </c>
      <c r="J63" s="32">
        <v>3905</v>
      </c>
      <c r="K63" s="115">
        <v>4319</v>
      </c>
      <c r="L63" s="31">
        <v>12891</v>
      </c>
      <c r="M63" s="110">
        <v>342</v>
      </c>
      <c r="N63" s="110">
        <v>0</v>
      </c>
      <c r="O63" s="115">
        <v>11881</v>
      </c>
      <c r="P63" s="115">
        <v>696</v>
      </c>
      <c r="Q63" s="56">
        <v>0</v>
      </c>
      <c r="R63" s="32">
        <v>0</v>
      </c>
      <c r="S63" s="56">
        <v>0</v>
      </c>
      <c r="T63" s="83">
        <f t="shared" si="2"/>
        <v>0</v>
      </c>
      <c r="U63" s="84">
        <f t="shared" si="3"/>
        <v>0</v>
      </c>
      <c r="V63" s="32"/>
      <c r="W63" s="56">
        <v>0</v>
      </c>
      <c r="X63" s="32">
        <v>0</v>
      </c>
      <c r="Y63" s="56">
        <v>0</v>
      </c>
      <c r="Z63" s="31"/>
      <c r="AA63" s="110"/>
      <c r="AB63" s="110"/>
      <c r="AC63" s="56">
        <v>0</v>
      </c>
      <c r="AD63" s="56">
        <v>0</v>
      </c>
      <c r="AE63" s="56">
        <v>0</v>
      </c>
      <c r="AF63" s="32"/>
      <c r="AG63" s="56">
        <v>0</v>
      </c>
    </row>
    <row r="64" spans="1:33" s="74" customFormat="1" ht="15" customHeight="1">
      <c r="A64" s="28" t="s">
        <v>102</v>
      </c>
      <c r="B64" s="26" t="s">
        <v>120</v>
      </c>
      <c r="C64" s="25"/>
      <c r="D64" s="27">
        <v>440402</v>
      </c>
      <c r="E64" s="27">
        <v>10</v>
      </c>
      <c r="F64" s="81">
        <f t="shared" si="0"/>
        <v>53403</v>
      </c>
      <c r="G64" s="82">
        <f t="shared" si="1"/>
        <v>55273</v>
      </c>
      <c r="H64" s="32">
        <v>25100</v>
      </c>
      <c r="I64" s="56">
        <v>25855</v>
      </c>
      <c r="J64" s="32">
        <v>7201</v>
      </c>
      <c r="K64" s="115">
        <v>7961</v>
      </c>
      <c r="L64" s="31">
        <v>20897</v>
      </c>
      <c r="M64" s="110">
        <v>205</v>
      </c>
      <c r="N64" s="110">
        <v>0</v>
      </c>
      <c r="O64" s="56">
        <v>21406</v>
      </c>
      <c r="P64" s="115">
        <v>51</v>
      </c>
      <c r="Q64" s="56">
        <v>0</v>
      </c>
      <c r="R64" s="32">
        <v>0</v>
      </c>
      <c r="S64" s="56">
        <v>0</v>
      </c>
      <c r="T64" s="83">
        <f t="shared" si="2"/>
        <v>0</v>
      </c>
      <c r="U64" s="84">
        <f t="shared" si="3"/>
        <v>0</v>
      </c>
      <c r="V64" s="32"/>
      <c r="W64" s="56">
        <v>0</v>
      </c>
      <c r="X64" s="32">
        <v>0</v>
      </c>
      <c r="Y64" s="56">
        <v>0</v>
      </c>
      <c r="Z64" s="31"/>
      <c r="AA64" s="110"/>
      <c r="AB64" s="110"/>
      <c r="AC64" s="56">
        <v>0</v>
      </c>
      <c r="AD64" s="56">
        <v>0</v>
      </c>
      <c r="AE64" s="56">
        <v>0</v>
      </c>
      <c r="AF64" s="32"/>
      <c r="AG64" s="56">
        <v>0</v>
      </c>
    </row>
    <row r="65" spans="1:33" s="74" customFormat="1" ht="15" customHeight="1">
      <c r="A65" s="28" t="s">
        <v>102</v>
      </c>
      <c r="B65" s="35" t="s">
        <v>121</v>
      </c>
      <c r="C65" s="34"/>
      <c r="D65" s="27">
        <v>106625</v>
      </c>
      <c r="E65" s="27">
        <v>10</v>
      </c>
      <c r="F65" s="81">
        <f t="shared" si="0"/>
        <v>40331</v>
      </c>
      <c r="G65" s="82">
        <f t="shared" si="1"/>
        <v>31496</v>
      </c>
      <c r="H65" s="32">
        <v>25096</v>
      </c>
      <c r="I65" s="115">
        <v>17462</v>
      </c>
      <c r="J65" s="32">
        <v>3474</v>
      </c>
      <c r="K65" s="115">
        <v>2798</v>
      </c>
      <c r="L65" s="31">
        <v>10300</v>
      </c>
      <c r="M65" s="110">
        <v>1461</v>
      </c>
      <c r="N65" s="110">
        <v>0</v>
      </c>
      <c r="O65" s="115">
        <v>9589</v>
      </c>
      <c r="P65" s="115">
        <v>1647</v>
      </c>
      <c r="Q65" s="56">
        <v>0</v>
      </c>
      <c r="R65" s="32">
        <v>0</v>
      </c>
      <c r="S65" s="56">
        <v>0</v>
      </c>
      <c r="T65" s="83">
        <f t="shared" si="2"/>
        <v>0</v>
      </c>
      <c r="U65" s="84">
        <f t="shared" si="3"/>
        <v>0</v>
      </c>
      <c r="V65" s="32"/>
      <c r="W65" s="56">
        <v>0</v>
      </c>
      <c r="X65" s="32">
        <v>0</v>
      </c>
      <c r="Y65" s="56">
        <v>0</v>
      </c>
      <c r="Z65" s="31"/>
      <c r="AA65" s="110"/>
      <c r="AB65" s="110"/>
      <c r="AC65" s="56">
        <v>0</v>
      </c>
      <c r="AD65" s="56">
        <v>0</v>
      </c>
      <c r="AE65" s="56">
        <v>0</v>
      </c>
      <c r="AF65" s="32"/>
      <c r="AG65" s="56">
        <v>0</v>
      </c>
    </row>
    <row r="66" spans="1:33" s="74" customFormat="1" ht="15" customHeight="1">
      <c r="A66" s="28" t="s">
        <v>102</v>
      </c>
      <c r="B66" s="26" t="s">
        <v>122</v>
      </c>
      <c r="C66" s="30"/>
      <c r="D66" s="27">
        <v>107521</v>
      </c>
      <c r="E66" s="27">
        <v>10</v>
      </c>
      <c r="F66" s="81">
        <f t="shared" si="0"/>
        <v>25865</v>
      </c>
      <c r="G66" s="82">
        <f t="shared" si="1"/>
        <v>23711</v>
      </c>
      <c r="H66" s="32">
        <v>20056</v>
      </c>
      <c r="I66" s="115">
        <v>17400</v>
      </c>
      <c r="J66" s="32">
        <v>1621</v>
      </c>
      <c r="K66" s="115">
        <v>1752</v>
      </c>
      <c r="L66" s="31">
        <v>4188</v>
      </c>
      <c r="M66" s="110">
        <v>0</v>
      </c>
      <c r="N66" s="110">
        <v>0</v>
      </c>
      <c r="O66" s="115">
        <v>4559</v>
      </c>
      <c r="P66" s="56">
        <v>0</v>
      </c>
      <c r="Q66" s="56">
        <v>0</v>
      </c>
      <c r="R66" s="32">
        <v>0</v>
      </c>
      <c r="S66" s="56">
        <v>0</v>
      </c>
      <c r="T66" s="83">
        <f t="shared" si="2"/>
        <v>0</v>
      </c>
      <c r="U66" s="84">
        <f t="shared" si="3"/>
        <v>0</v>
      </c>
      <c r="V66" s="32"/>
      <c r="W66" s="56">
        <v>0</v>
      </c>
      <c r="X66" s="32">
        <v>0</v>
      </c>
      <c r="Y66" s="56">
        <v>0</v>
      </c>
      <c r="Z66" s="31"/>
      <c r="AA66" s="110"/>
      <c r="AB66" s="110"/>
      <c r="AC66" s="56">
        <v>0</v>
      </c>
      <c r="AD66" s="56">
        <v>0</v>
      </c>
      <c r="AE66" s="56">
        <v>0</v>
      </c>
      <c r="AF66" s="32"/>
      <c r="AG66" s="56">
        <v>0</v>
      </c>
    </row>
    <row r="67" spans="1:33" s="74" customFormat="1" ht="15" customHeight="1">
      <c r="A67" s="28" t="s">
        <v>102</v>
      </c>
      <c r="B67" s="26" t="s">
        <v>123</v>
      </c>
      <c r="C67" s="25"/>
      <c r="D67" s="27">
        <v>106795</v>
      </c>
      <c r="E67" s="27">
        <v>10</v>
      </c>
      <c r="F67" s="81">
        <f t="shared" si="0"/>
        <v>28890</v>
      </c>
      <c r="G67" s="82">
        <f t="shared" si="1"/>
        <v>28453</v>
      </c>
      <c r="H67" s="32">
        <v>7195</v>
      </c>
      <c r="I67" s="115">
        <v>6429</v>
      </c>
      <c r="J67" s="32">
        <v>10264</v>
      </c>
      <c r="K67" s="115">
        <v>10843</v>
      </c>
      <c r="L67" s="31">
        <v>7811</v>
      </c>
      <c r="M67" s="110">
        <v>3620</v>
      </c>
      <c r="N67" s="110">
        <v>0</v>
      </c>
      <c r="O67" s="56">
        <v>7820</v>
      </c>
      <c r="P67" s="115">
        <v>3361</v>
      </c>
      <c r="Q67" s="56">
        <v>0</v>
      </c>
      <c r="R67" s="32">
        <v>0</v>
      </c>
      <c r="S67" s="56">
        <v>0</v>
      </c>
      <c r="T67" s="83">
        <f t="shared" si="2"/>
        <v>0</v>
      </c>
      <c r="U67" s="84">
        <f t="shared" si="3"/>
        <v>0</v>
      </c>
      <c r="V67" s="32"/>
      <c r="W67" s="56">
        <v>0</v>
      </c>
      <c r="X67" s="32">
        <v>0</v>
      </c>
      <c r="Y67" s="56">
        <v>0</v>
      </c>
      <c r="Z67" s="31"/>
      <c r="AA67" s="110"/>
      <c r="AB67" s="110"/>
      <c r="AC67" s="56">
        <v>0</v>
      </c>
      <c r="AD67" s="56">
        <v>0</v>
      </c>
      <c r="AE67" s="56">
        <v>0</v>
      </c>
      <c r="AF67" s="32"/>
      <c r="AG67" s="56">
        <v>0</v>
      </c>
    </row>
    <row r="68" spans="1:33" s="74" customFormat="1" ht="15" customHeight="1">
      <c r="A68" s="28" t="s">
        <v>102</v>
      </c>
      <c r="B68" s="26" t="s">
        <v>124</v>
      </c>
      <c r="C68" s="25"/>
      <c r="D68" s="27">
        <v>106883</v>
      </c>
      <c r="E68" s="27">
        <v>10</v>
      </c>
      <c r="F68" s="81">
        <f t="shared" si="0"/>
        <v>23490</v>
      </c>
      <c r="G68" s="82">
        <f t="shared" si="1"/>
        <v>21629</v>
      </c>
      <c r="H68" s="32">
        <v>10701</v>
      </c>
      <c r="I68" s="115">
        <v>9464</v>
      </c>
      <c r="J68" s="32">
        <v>6171</v>
      </c>
      <c r="K68" s="56">
        <v>6322</v>
      </c>
      <c r="L68" s="31">
        <v>6618</v>
      </c>
      <c r="M68" s="110">
        <v>0</v>
      </c>
      <c r="N68" s="110">
        <v>0</v>
      </c>
      <c r="O68" s="115">
        <v>5843</v>
      </c>
      <c r="P68" s="56">
        <v>0</v>
      </c>
      <c r="Q68" s="56">
        <v>0</v>
      </c>
      <c r="R68" s="32">
        <v>0</v>
      </c>
      <c r="S68" s="56">
        <v>0</v>
      </c>
      <c r="T68" s="83">
        <f t="shared" si="2"/>
        <v>0</v>
      </c>
      <c r="U68" s="84">
        <f t="shared" si="3"/>
        <v>0</v>
      </c>
      <c r="V68" s="32"/>
      <c r="W68" s="56">
        <v>0</v>
      </c>
      <c r="X68" s="32">
        <v>0</v>
      </c>
      <c r="Y68" s="56">
        <v>0</v>
      </c>
      <c r="Z68" s="31"/>
      <c r="AA68" s="110"/>
      <c r="AB68" s="110"/>
      <c r="AC68" s="56">
        <v>0</v>
      </c>
      <c r="AD68" s="56">
        <v>0</v>
      </c>
      <c r="AE68" s="56">
        <v>0</v>
      </c>
      <c r="AF68" s="32"/>
      <c r="AG68" s="56">
        <v>0</v>
      </c>
    </row>
    <row r="69" spans="1:33" s="74" customFormat="1" ht="15" customHeight="1">
      <c r="A69" s="28" t="s">
        <v>102</v>
      </c>
      <c r="B69" s="26" t="s">
        <v>125</v>
      </c>
      <c r="C69" s="25"/>
      <c r="D69" s="27">
        <v>107460</v>
      </c>
      <c r="E69" s="27">
        <v>10</v>
      </c>
      <c r="F69" s="81">
        <f t="shared" si="0"/>
        <v>41054</v>
      </c>
      <c r="G69" s="82">
        <f t="shared" si="1"/>
        <v>39805</v>
      </c>
      <c r="H69" s="32">
        <v>29793</v>
      </c>
      <c r="I69" s="115">
        <v>28191</v>
      </c>
      <c r="J69" s="32">
        <v>3090</v>
      </c>
      <c r="K69" s="56">
        <v>3099</v>
      </c>
      <c r="L69" s="31">
        <v>8171</v>
      </c>
      <c r="M69" s="110">
        <v>0</v>
      </c>
      <c r="N69" s="110">
        <v>0</v>
      </c>
      <c r="O69" s="56">
        <v>8442</v>
      </c>
      <c r="P69" s="115">
        <v>73</v>
      </c>
      <c r="Q69" s="56">
        <v>0</v>
      </c>
      <c r="R69" s="32">
        <v>0</v>
      </c>
      <c r="S69" s="56">
        <v>0</v>
      </c>
      <c r="T69" s="83">
        <f t="shared" si="2"/>
        <v>0</v>
      </c>
      <c r="U69" s="84">
        <f t="shared" si="3"/>
        <v>0</v>
      </c>
      <c r="V69" s="32"/>
      <c r="W69" s="56">
        <v>0</v>
      </c>
      <c r="X69" s="32">
        <v>0</v>
      </c>
      <c r="Y69" s="56">
        <v>0</v>
      </c>
      <c r="Z69" s="31"/>
      <c r="AA69" s="110"/>
      <c r="AB69" s="110"/>
      <c r="AC69" s="56">
        <v>0</v>
      </c>
      <c r="AD69" s="56">
        <v>0</v>
      </c>
      <c r="AE69" s="56">
        <v>0</v>
      </c>
      <c r="AF69" s="32"/>
      <c r="AG69" s="56">
        <v>0</v>
      </c>
    </row>
    <row r="70" spans="1:33" s="74" customFormat="1" ht="15" customHeight="1">
      <c r="A70" s="28" t="s">
        <v>102</v>
      </c>
      <c r="B70" s="26" t="s">
        <v>126</v>
      </c>
      <c r="C70" s="25"/>
      <c r="D70" s="27">
        <v>107549</v>
      </c>
      <c r="E70" s="27">
        <v>10</v>
      </c>
      <c r="F70" s="81">
        <f t="shared" si="0"/>
        <v>25808</v>
      </c>
      <c r="G70" s="82">
        <f t="shared" si="1"/>
        <v>24774</v>
      </c>
      <c r="H70" s="32">
        <v>12730</v>
      </c>
      <c r="I70" s="115">
        <v>11882</v>
      </c>
      <c r="J70" s="32">
        <v>1433</v>
      </c>
      <c r="K70" s="115">
        <v>1612</v>
      </c>
      <c r="L70" s="31">
        <v>11438</v>
      </c>
      <c r="M70" s="110">
        <v>207</v>
      </c>
      <c r="N70" s="110">
        <v>0</v>
      </c>
      <c r="O70" s="56">
        <v>11133</v>
      </c>
      <c r="P70" s="115">
        <v>147</v>
      </c>
      <c r="Q70" s="56">
        <v>0</v>
      </c>
      <c r="R70" s="32">
        <v>0</v>
      </c>
      <c r="S70" s="56">
        <v>0</v>
      </c>
      <c r="T70" s="83">
        <f t="shared" si="2"/>
        <v>0</v>
      </c>
      <c r="U70" s="84">
        <f t="shared" si="3"/>
        <v>0</v>
      </c>
      <c r="V70" s="32"/>
      <c r="W70" s="56">
        <v>0</v>
      </c>
      <c r="X70" s="32">
        <v>0</v>
      </c>
      <c r="Y70" s="56">
        <v>0</v>
      </c>
      <c r="Z70" s="31"/>
      <c r="AA70" s="110"/>
      <c r="AB70" s="110"/>
      <c r="AC70" s="56">
        <v>0</v>
      </c>
      <c r="AD70" s="56">
        <v>0</v>
      </c>
      <c r="AE70" s="56">
        <v>0</v>
      </c>
      <c r="AF70" s="32"/>
      <c r="AG70" s="56">
        <v>0</v>
      </c>
    </row>
    <row r="71" spans="1:33" s="74" customFormat="1" ht="15" customHeight="1">
      <c r="A71" s="28" t="s">
        <v>102</v>
      </c>
      <c r="B71" s="26" t="s">
        <v>127</v>
      </c>
      <c r="C71" s="25"/>
      <c r="D71" s="27">
        <v>107619</v>
      </c>
      <c r="E71" s="27">
        <v>10</v>
      </c>
      <c r="F71" s="81">
        <f t="shared" ref="F71:F137" si="4">SUM(H71,J71,L71,M71,N71,R71)</f>
        <v>28513</v>
      </c>
      <c r="G71" s="82">
        <f t="shared" ref="G71:G93" si="5">SUM(I71,K71,O71,P71,Q71,S71)</f>
        <v>29261</v>
      </c>
      <c r="H71" s="32">
        <v>21602</v>
      </c>
      <c r="I71" s="56">
        <v>22069</v>
      </c>
      <c r="J71" s="32">
        <v>1639</v>
      </c>
      <c r="K71" s="115">
        <v>1430</v>
      </c>
      <c r="L71" s="31">
        <v>2542</v>
      </c>
      <c r="M71" s="110">
        <v>2730</v>
      </c>
      <c r="N71" s="110">
        <v>0</v>
      </c>
      <c r="O71" s="115">
        <v>3153</v>
      </c>
      <c r="P71" s="56">
        <v>2609</v>
      </c>
      <c r="Q71" s="56">
        <v>0</v>
      </c>
      <c r="R71" s="32">
        <v>0</v>
      </c>
      <c r="S71" s="56">
        <v>0</v>
      </c>
      <c r="T71" s="83">
        <f t="shared" ref="T71:T137" si="6">SUM(V71,X71,Z71,AA71,AB71,AF71)</f>
        <v>0</v>
      </c>
      <c r="U71" s="84">
        <f t="shared" ref="U71:U121" si="7">SUM(W71,Y71,AC71,AD71,AE71,AG71)</f>
        <v>0</v>
      </c>
      <c r="V71" s="32"/>
      <c r="W71" s="56">
        <v>0</v>
      </c>
      <c r="X71" s="32">
        <v>0</v>
      </c>
      <c r="Y71" s="56">
        <v>0</v>
      </c>
      <c r="Z71" s="31"/>
      <c r="AA71" s="110"/>
      <c r="AB71" s="110"/>
      <c r="AC71" s="56">
        <v>0</v>
      </c>
      <c r="AD71" s="56">
        <v>0</v>
      </c>
      <c r="AE71" s="56">
        <v>0</v>
      </c>
      <c r="AF71" s="32"/>
      <c r="AG71" s="56">
        <v>0</v>
      </c>
    </row>
    <row r="72" spans="1:33" s="74" customFormat="1" ht="15" customHeight="1">
      <c r="A72" s="28" t="s">
        <v>102</v>
      </c>
      <c r="B72" s="26" t="s">
        <v>128</v>
      </c>
      <c r="C72" s="25"/>
      <c r="D72" s="27">
        <v>107743</v>
      </c>
      <c r="E72" s="27">
        <v>10</v>
      </c>
      <c r="F72" s="81">
        <f t="shared" si="4"/>
        <v>16417</v>
      </c>
      <c r="G72" s="82">
        <f t="shared" si="5"/>
        <v>16038</v>
      </c>
      <c r="H72" s="32">
        <v>10013</v>
      </c>
      <c r="I72" s="56">
        <v>10330</v>
      </c>
      <c r="J72" s="32">
        <v>2851</v>
      </c>
      <c r="K72" s="115">
        <v>2387</v>
      </c>
      <c r="L72" s="31">
        <v>3037</v>
      </c>
      <c r="M72" s="110">
        <v>516</v>
      </c>
      <c r="N72" s="110">
        <v>0</v>
      </c>
      <c r="O72" s="56">
        <v>2982</v>
      </c>
      <c r="P72" s="115">
        <v>339</v>
      </c>
      <c r="Q72" s="56">
        <v>0</v>
      </c>
      <c r="R72" s="32">
        <v>0</v>
      </c>
      <c r="S72" s="56">
        <v>0</v>
      </c>
      <c r="T72" s="83">
        <f t="shared" si="6"/>
        <v>0</v>
      </c>
      <c r="U72" s="84">
        <f t="shared" si="7"/>
        <v>0</v>
      </c>
      <c r="V72" s="32"/>
      <c r="W72" s="56">
        <v>0</v>
      </c>
      <c r="X72" s="32">
        <v>0</v>
      </c>
      <c r="Y72" s="56">
        <v>0</v>
      </c>
      <c r="Z72" s="31"/>
      <c r="AA72" s="110"/>
      <c r="AB72" s="110"/>
      <c r="AC72" s="56">
        <v>0</v>
      </c>
      <c r="AD72" s="56">
        <v>0</v>
      </c>
      <c r="AE72" s="56">
        <v>0</v>
      </c>
      <c r="AF72" s="32"/>
      <c r="AG72" s="56">
        <v>0</v>
      </c>
    </row>
    <row r="73" spans="1:33" s="74" customFormat="1" ht="15" customHeight="1">
      <c r="A73" s="28" t="s">
        <v>102</v>
      </c>
      <c r="B73" s="26" t="s">
        <v>129</v>
      </c>
      <c r="C73" s="25"/>
      <c r="D73" s="27">
        <v>107974</v>
      </c>
      <c r="E73" s="27">
        <v>10</v>
      </c>
      <c r="F73" s="81">
        <f t="shared" si="4"/>
        <v>33824</v>
      </c>
      <c r="G73" s="82">
        <f t="shared" si="5"/>
        <v>31280</v>
      </c>
      <c r="H73" s="32">
        <v>22960</v>
      </c>
      <c r="I73" s="115">
        <v>21353</v>
      </c>
      <c r="J73" s="32">
        <v>2592</v>
      </c>
      <c r="K73" s="115">
        <v>2161</v>
      </c>
      <c r="L73" s="31">
        <v>8272</v>
      </c>
      <c r="M73" s="110">
        <v>0</v>
      </c>
      <c r="N73" s="110">
        <v>0</v>
      </c>
      <c r="O73" s="115">
        <v>7766</v>
      </c>
      <c r="P73" s="56">
        <v>0</v>
      </c>
      <c r="Q73" s="56">
        <v>0</v>
      </c>
      <c r="R73" s="32">
        <v>0</v>
      </c>
      <c r="S73" s="56">
        <v>0</v>
      </c>
      <c r="T73" s="83">
        <f t="shared" si="6"/>
        <v>0</v>
      </c>
      <c r="U73" s="84">
        <f t="shared" si="7"/>
        <v>0</v>
      </c>
      <c r="V73" s="32"/>
      <c r="W73" s="56">
        <v>0</v>
      </c>
      <c r="X73" s="32">
        <v>0</v>
      </c>
      <c r="Y73" s="56">
        <v>0</v>
      </c>
      <c r="Z73" s="31"/>
      <c r="AA73" s="110"/>
      <c r="AB73" s="110"/>
      <c r="AC73" s="56">
        <v>0</v>
      </c>
      <c r="AD73" s="56">
        <v>0</v>
      </c>
      <c r="AE73" s="56">
        <v>0</v>
      </c>
      <c r="AF73" s="32"/>
      <c r="AG73" s="56">
        <v>0</v>
      </c>
    </row>
    <row r="74" spans="1:33" s="74" customFormat="1" ht="15" customHeight="1">
      <c r="A74" s="28" t="s">
        <v>102</v>
      </c>
      <c r="B74" s="26" t="s">
        <v>130</v>
      </c>
      <c r="C74" s="25"/>
      <c r="D74" s="27">
        <v>107637</v>
      </c>
      <c r="E74" s="27">
        <v>10</v>
      </c>
      <c r="F74" s="81">
        <f t="shared" si="4"/>
        <v>31328</v>
      </c>
      <c r="G74" s="82">
        <f t="shared" si="5"/>
        <v>30094</v>
      </c>
      <c r="H74" s="32">
        <v>26178</v>
      </c>
      <c r="I74" s="115">
        <v>24311</v>
      </c>
      <c r="J74" s="32">
        <v>915</v>
      </c>
      <c r="K74" s="56">
        <v>949</v>
      </c>
      <c r="L74" s="31">
        <v>4235</v>
      </c>
      <c r="M74" s="110">
        <v>0</v>
      </c>
      <c r="N74" s="110">
        <v>0</v>
      </c>
      <c r="O74" s="115">
        <v>4834</v>
      </c>
      <c r="P74" s="56">
        <v>0</v>
      </c>
      <c r="Q74" s="56">
        <v>0</v>
      </c>
      <c r="R74" s="32">
        <v>0</v>
      </c>
      <c r="S74" s="56">
        <v>0</v>
      </c>
      <c r="T74" s="83">
        <f t="shared" si="6"/>
        <v>0</v>
      </c>
      <c r="U74" s="84">
        <f t="shared" si="7"/>
        <v>0</v>
      </c>
      <c r="V74" s="32"/>
      <c r="W74" s="56">
        <v>0</v>
      </c>
      <c r="X74" s="32">
        <v>0</v>
      </c>
      <c r="Y74" s="56">
        <v>0</v>
      </c>
      <c r="Z74" s="31"/>
      <c r="AA74" s="110"/>
      <c r="AB74" s="110"/>
      <c r="AC74" s="56">
        <v>0</v>
      </c>
      <c r="AD74" s="56">
        <v>0</v>
      </c>
      <c r="AE74" s="56">
        <v>0</v>
      </c>
      <c r="AF74" s="32"/>
      <c r="AG74" s="56">
        <v>0</v>
      </c>
    </row>
    <row r="75" spans="1:33" s="74" customFormat="1" ht="15" customHeight="1">
      <c r="A75" s="28" t="s">
        <v>102</v>
      </c>
      <c r="B75" s="26" t="s">
        <v>131</v>
      </c>
      <c r="C75" s="25"/>
      <c r="D75" s="27">
        <v>107992</v>
      </c>
      <c r="E75" s="27">
        <v>10</v>
      </c>
      <c r="F75" s="81">
        <f t="shared" si="4"/>
        <v>33968</v>
      </c>
      <c r="G75" s="82">
        <f t="shared" si="5"/>
        <v>33595</v>
      </c>
      <c r="H75" s="32">
        <v>13282</v>
      </c>
      <c r="I75" s="56">
        <v>13383</v>
      </c>
      <c r="J75" s="32">
        <v>15438</v>
      </c>
      <c r="K75" s="56">
        <v>14815</v>
      </c>
      <c r="L75" s="31">
        <v>5248</v>
      </c>
      <c r="M75" s="110">
        <v>0</v>
      </c>
      <c r="N75" s="110">
        <v>0</v>
      </c>
      <c r="O75" s="56">
        <v>5397</v>
      </c>
      <c r="P75" s="56">
        <v>0</v>
      </c>
      <c r="Q75" s="56">
        <v>0</v>
      </c>
      <c r="R75" s="32">
        <v>0</v>
      </c>
      <c r="S75" s="56">
        <v>0</v>
      </c>
      <c r="T75" s="83">
        <f t="shared" si="6"/>
        <v>0</v>
      </c>
      <c r="U75" s="84">
        <f t="shared" si="7"/>
        <v>0</v>
      </c>
      <c r="V75" s="32"/>
      <c r="W75" s="56">
        <v>0</v>
      </c>
      <c r="X75" s="32">
        <v>0</v>
      </c>
      <c r="Y75" s="56">
        <v>0</v>
      </c>
      <c r="Z75" s="31"/>
      <c r="AA75" s="110"/>
      <c r="AB75" s="110"/>
      <c r="AC75" s="56">
        <v>0</v>
      </c>
      <c r="AD75" s="56">
        <v>0</v>
      </c>
      <c r="AE75" s="56">
        <v>0</v>
      </c>
      <c r="AF75" s="32"/>
      <c r="AG75" s="56">
        <v>0</v>
      </c>
    </row>
    <row r="76" spans="1:33" s="74" customFormat="1" ht="15" customHeight="1">
      <c r="A76" s="28" t="s">
        <v>102</v>
      </c>
      <c r="B76" s="26" t="s">
        <v>132</v>
      </c>
      <c r="C76" s="25"/>
      <c r="D76" s="27">
        <v>106999</v>
      </c>
      <c r="E76" s="27">
        <v>10</v>
      </c>
      <c r="F76" s="81">
        <f t="shared" si="4"/>
        <v>28778</v>
      </c>
      <c r="G76" s="82">
        <f t="shared" si="5"/>
        <v>27814</v>
      </c>
      <c r="H76" s="32">
        <v>19172</v>
      </c>
      <c r="I76" s="115">
        <v>18154</v>
      </c>
      <c r="J76" s="32">
        <v>1725</v>
      </c>
      <c r="K76" s="115">
        <v>1832</v>
      </c>
      <c r="L76" s="31">
        <v>7881</v>
      </c>
      <c r="M76" s="110">
        <v>0</v>
      </c>
      <c r="N76" s="110">
        <v>0</v>
      </c>
      <c r="O76" s="56">
        <v>7828</v>
      </c>
      <c r="P76" s="56">
        <v>0</v>
      </c>
      <c r="Q76" s="56">
        <v>0</v>
      </c>
      <c r="R76" s="32">
        <v>0</v>
      </c>
      <c r="S76" s="56">
        <v>0</v>
      </c>
      <c r="T76" s="83">
        <f t="shared" si="6"/>
        <v>0</v>
      </c>
      <c r="U76" s="84">
        <f t="shared" si="7"/>
        <v>0</v>
      </c>
      <c r="V76" s="32"/>
      <c r="W76" s="56">
        <v>0</v>
      </c>
      <c r="X76" s="32">
        <v>0</v>
      </c>
      <c r="Y76" s="56">
        <v>0</v>
      </c>
      <c r="Z76" s="31"/>
      <c r="AA76" s="110"/>
      <c r="AB76" s="110"/>
      <c r="AC76" s="56">
        <v>0</v>
      </c>
      <c r="AD76" s="56">
        <v>0</v>
      </c>
      <c r="AE76" s="56">
        <v>0</v>
      </c>
      <c r="AF76" s="32"/>
      <c r="AG76" s="56">
        <v>0</v>
      </c>
    </row>
    <row r="77" spans="1:33">
      <c r="A77" s="28" t="s">
        <v>102</v>
      </c>
      <c r="B77" s="26" t="s">
        <v>133</v>
      </c>
      <c r="C77" s="25"/>
      <c r="D77" s="27">
        <v>107725</v>
      </c>
      <c r="E77" s="27">
        <v>10</v>
      </c>
      <c r="F77" s="81">
        <f t="shared" si="4"/>
        <v>27406</v>
      </c>
      <c r="G77" s="82">
        <f t="shared" si="5"/>
        <v>29412</v>
      </c>
      <c r="H77" s="32">
        <v>15642</v>
      </c>
      <c r="I77" s="56">
        <v>15869</v>
      </c>
      <c r="J77" s="32">
        <v>5999</v>
      </c>
      <c r="K77" s="115">
        <v>7626</v>
      </c>
      <c r="L77" s="31">
        <v>4574</v>
      </c>
      <c r="M77" s="110">
        <v>1191</v>
      </c>
      <c r="N77" s="110">
        <v>0</v>
      </c>
      <c r="O77" s="56">
        <v>4684</v>
      </c>
      <c r="P77" s="56">
        <v>1233</v>
      </c>
      <c r="Q77" s="56">
        <v>0</v>
      </c>
      <c r="R77" s="32">
        <v>0</v>
      </c>
      <c r="S77" s="56">
        <v>0</v>
      </c>
      <c r="T77" s="83">
        <f t="shared" si="6"/>
        <v>0</v>
      </c>
      <c r="U77" s="84">
        <f t="shared" si="7"/>
        <v>0</v>
      </c>
      <c r="V77" s="32"/>
      <c r="W77" s="56">
        <v>0</v>
      </c>
      <c r="X77" s="32">
        <v>0</v>
      </c>
      <c r="Y77" s="56">
        <v>0</v>
      </c>
      <c r="Z77" s="31"/>
      <c r="AA77" s="110"/>
      <c r="AB77" s="110"/>
      <c r="AC77" s="56">
        <v>0</v>
      </c>
      <c r="AD77" s="56">
        <v>0</v>
      </c>
      <c r="AE77" s="56">
        <v>0</v>
      </c>
      <c r="AF77" s="32"/>
      <c r="AG77" s="56">
        <v>0</v>
      </c>
    </row>
    <row r="78" spans="1:33">
      <c r="A78" s="28" t="s">
        <v>102</v>
      </c>
      <c r="B78" s="26" t="s">
        <v>134</v>
      </c>
      <c r="C78" s="25"/>
      <c r="D78" s="27">
        <v>107585</v>
      </c>
      <c r="E78" s="27">
        <v>10</v>
      </c>
      <c r="F78" s="81">
        <f t="shared" si="4"/>
        <v>46279</v>
      </c>
      <c r="G78" s="82">
        <f t="shared" si="5"/>
        <v>46040</v>
      </c>
      <c r="H78" s="32">
        <v>40893</v>
      </c>
      <c r="I78" s="56">
        <v>40215</v>
      </c>
      <c r="J78" s="32">
        <v>0</v>
      </c>
      <c r="K78" s="115">
        <v>30</v>
      </c>
      <c r="L78" s="31">
        <v>5386</v>
      </c>
      <c r="M78" s="110">
        <v>0</v>
      </c>
      <c r="N78" s="110">
        <v>0</v>
      </c>
      <c r="O78" s="115">
        <v>5795</v>
      </c>
      <c r="P78" s="56">
        <v>0</v>
      </c>
      <c r="Q78" s="56">
        <v>0</v>
      </c>
      <c r="R78" s="32">
        <v>0</v>
      </c>
      <c r="S78" s="56">
        <v>0</v>
      </c>
      <c r="T78" s="83">
        <f t="shared" si="6"/>
        <v>0</v>
      </c>
      <c r="U78" s="84">
        <f t="shared" si="7"/>
        <v>0</v>
      </c>
      <c r="V78" s="32"/>
      <c r="W78" s="56">
        <v>0</v>
      </c>
      <c r="X78" s="32">
        <v>0</v>
      </c>
      <c r="Y78" s="56">
        <v>0</v>
      </c>
      <c r="Z78" s="31"/>
      <c r="AA78" s="110"/>
      <c r="AB78" s="110"/>
      <c r="AC78" s="56">
        <v>0</v>
      </c>
      <c r="AD78" s="56">
        <v>0</v>
      </c>
      <c r="AE78" s="56">
        <v>0</v>
      </c>
      <c r="AF78" s="32"/>
      <c r="AG78" s="56">
        <v>0</v>
      </c>
    </row>
    <row r="79" spans="1:33" s="74" customFormat="1" ht="15" customHeight="1">
      <c r="A79" s="28" t="s">
        <v>102</v>
      </c>
      <c r="B79" s="35" t="s">
        <v>135</v>
      </c>
      <c r="C79" s="34"/>
      <c r="D79" s="33">
        <v>106263</v>
      </c>
      <c r="E79" s="33">
        <v>15</v>
      </c>
      <c r="F79" s="81">
        <f t="shared" si="4"/>
        <v>20061</v>
      </c>
      <c r="G79" s="82">
        <f t="shared" si="5"/>
        <v>18675</v>
      </c>
      <c r="H79" s="32">
        <v>20061</v>
      </c>
      <c r="I79" s="115">
        <v>15734</v>
      </c>
      <c r="J79" s="32">
        <v>0</v>
      </c>
      <c r="K79" s="115">
        <v>413</v>
      </c>
      <c r="L79" s="32">
        <v>0</v>
      </c>
      <c r="M79" s="32">
        <v>0</v>
      </c>
      <c r="N79" s="32">
        <v>0</v>
      </c>
      <c r="O79" s="115">
        <v>2183</v>
      </c>
      <c r="P79" s="115">
        <v>345</v>
      </c>
      <c r="Q79" s="56">
        <v>0</v>
      </c>
      <c r="R79" s="32">
        <v>0</v>
      </c>
      <c r="S79" s="56">
        <v>0</v>
      </c>
      <c r="T79" s="83">
        <f t="shared" si="6"/>
        <v>62857</v>
      </c>
      <c r="U79" s="84">
        <f t="shared" si="7"/>
        <v>66817</v>
      </c>
      <c r="V79" s="32">
        <v>62857</v>
      </c>
      <c r="W79" s="56">
        <v>60880</v>
      </c>
      <c r="X79" s="31">
        <v>0</v>
      </c>
      <c r="Y79" s="115">
        <v>847</v>
      </c>
      <c r="Z79" s="32"/>
      <c r="AA79" s="32"/>
      <c r="AB79" s="32"/>
      <c r="AC79" s="115">
        <v>3080</v>
      </c>
      <c r="AD79" s="115">
        <v>2010</v>
      </c>
      <c r="AE79" s="56">
        <v>0</v>
      </c>
      <c r="AF79" s="32"/>
      <c r="AG79" s="56">
        <v>0</v>
      </c>
    </row>
    <row r="80" spans="1:33" s="192" customFormat="1" ht="13.5" customHeight="1">
      <c r="A80" s="238" t="s">
        <v>524</v>
      </c>
      <c r="B80" s="230" t="s">
        <v>525</v>
      </c>
      <c r="C80" s="231"/>
      <c r="D80" s="232">
        <v>130943</v>
      </c>
      <c r="E80" s="232">
        <v>1</v>
      </c>
      <c r="F80" s="194">
        <f>SUM(H80,J80,L80,M80,N80,R80)</f>
        <v>567333</v>
      </c>
      <c r="G80" s="195">
        <f>SUM(I80,K80,O80,P80,Q80,S80)</f>
        <v>577848</v>
      </c>
      <c r="H80" s="202">
        <v>549869</v>
      </c>
      <c r="I80" s="56">
        <v>558155</v>
      </c>
      <c r="J80" s="202"/>
      <c r="K80" s="56"/>
      <c r="L80" s="203">
        <v>17464</v>
      </c>
      <c r="M80" s="110">
        <v>0</v>
      </c>
      <c r="N80" s="110">
        <v>0</v>
      </c>
      <c r="O80" s="111">
        <v>19693</v>
      </c>
      <c r="P80" s="47">
        <v>0</v>
      </c>
      <c r="Q80" s="55">
        <v>0</v>
      </c>
      <c r="R80" s="202"/>
      <c r="S80" s="46"/>
      <c r="T80" s="196">
        <f>SUM(V80,X80,Z80,AA80,AB80,AF80)</f>
        <v>54107</v>
      </c>
      <c r="U80" s="197">
        <f>SUM(W80,Y80,AC80,AD80,AE80,AG80)</f>
        <v>57909</v>
      </c>
      <c r="V80" s="202">
        <v>49551</v>
      </c>
      <c r="W80" s="115">
        <v>52257</v>
      </c>
      <c r="X80" s="202">
        <v>0</v>
      </c>
      <c r="Y80" s="56">
        <v>0</v>
      </c>
      <c r="Z80" s="203">
        <v>4556</v>
      </c>
      <c r="AA80" s="110">
        <v>0</v>
      </c>
      <c r="AB80" s="110">
        <v>0</v>
      </c>
      <c r="AC80" s="111">
        <v>5652</v>
      </c>
      <c r="AD80" s="47">
        <v>0</v>
      </c>
      <c r="AE80" s="55">
        <v>0</v>
      </c>
      <c r="AF80" s="202"/>
      <c r="AG80" s="49"/>
    </row>
    <row r="81" spans="1:33" s="222" customFormat="1">
      <c r="A81" s="229" t="s">
        <v>524</v>
      </c>
      <c r="B81" s="230" t="s">
        <v>526</v>
      </c>
      <c r="C81" s="234"/>
      <c r="D81" s="232">
        <v>130934</v>
      </c>
      <c r="E81" s="232">
        <v>3</v>
      </c>
      <c r="F81" s="194">
        <f>SUM(H81,J81,L81,M81,N81,R81)</f>
        <v>121952</v>
      </c>
      <c r="G81" s="195">
        <f>SUM(I81,K81,O81,P81,Q81,S81)</f>
        <v>127789</v>
      </c>
      <c r="H81" s="202">
        <v>118126</v>
      </c>
      <c r="I81" s="56">
        <v>122627</v>
      </c>
      <c r="J81" s="202"/>
      <c r="K81" s="56"/>
      <c r="L81" s="203">
        <v>3826</v>
      </c>
      <c r="M81" s="110">
        <v>0</v>
      </c>
      <c r="N81" s="110">
        <v>0</v>
      </c>
      <c r="O81" s="111">
        <v>5162</v>
      </c>
      <c r="P81" s="47">
        <v>0</v>
      </c>
      <c r="Q81" s="55">
        <v>0</v>
      </c>
      <c r="R81" s="202"/>
      <c r="S81" s="46"/>
      <c r="T81" s="196">
        <f>SUM(V81,X81,Z81,AA81,AB81,AF81)</f>
        <v>5497</v>
      </c>
      <c r="U81" s="197">
        <f>SUM(W81,Y81,AC81,AD81,AE81,AG81)</f>
        <v>6146</v>
      </c>
      <c r="V81" s="202">
        <v>5239</v>
      </c>
      <c r="W81" s="115">
        <v>5816</v>
      </c>
      <c r="X81" s="202"/>
      <c r="Y81" s="56"/>
      <c r="Z81" s="203">
        <v>258</v>
      </c>
      <c r="AA81" s="110">
        <v>0</v>
      </c>
      <c r="AB81" s="110">
        <v>0</v>
      </c>
      <c r="AC81" s="111">
        <v>330</v>
      </c>
      <c r="AD81" s="47">
        <v>0</v>
      </c>
      <c r="AE81" s="55">
        <v>0</v>
      </c>
      <c r="AF81" s="202"/>
      <c r="AG81" s="49"/>
    </row>
    <row r="82" spans="1:33" s="222" customFormat="1" ht="15">
      <c r="A82" s="229" t="s">
        <v>524</v>
      </c>
      <c r="B82" s="247" t="s">
        <v>527</v>
      </c>
      <c r="C82" s="345" t="s">
        <v>852</v>
      </c>
      <c r="D82" s="232">
        <v>130907</v>
      </c>
      <c r="E82" s="232">
        <v>9</v>
      </c>
      <c r="F82" s="194">
        <f>SUM(H82,J82,L82,M82,N82,R82)</f>
        <v>273057</v>
      </c>
      <c r="G82" s="195">
        <f>SUM(I82,K82,O82,P82,Q82,S82)</f>
        <v>276057</v>
      </c>
      <c r="H82" s="169">
        <v>238848</v>
      </c>
      <c r="I82" s="248">
        <v>237563</v>
      </c>
      <c r="J82" s="202"/>
      <c r="K82" s="56"/>
      <c r="L82" s="170">
        <v>33132</v>
      </c>
      <c r="M82" s="170">
        <v>849</v>
      </c>
      <c r="N82" s="170">
        <v>228</v>
      </c>
      <c r="O82" s="111">
        <v>37297</v>
      </c>
      <c r="P82" s="111">
        <v>969</v>
      </c>
      <c r="Q82" s="249">
        <v>228</v>
      </c>
      <c r="R82" s="202"/>
      <c r="S82" s="46"/>
      <c r="T82" s="196">
        <f>SUM(V82,X82,Z82,AA82,AB82,AF82)</f>
        <v>0</v>
      </c>
      <c r="U82" s="197">
        <f>SUM(W82,Y82,AC82,AD82,AE82,AG82)</f>
        <v>0</v>
      </c>
      <c r="V82" s="202"/>
      <c r="W82" s="56"/>
      <c r="X82" s="202"/>
      <c r="Y82" s="56"/>
      <c r="Z82" s="203"/>
      <c r="AA82" s="110"/>
      <c r="AB82" s="110"/>
      <c r="AC82" s="47"/>
      <c r="AD82" s="47"/>
      <c r="AE82" s="55"/>
      <c r="AF82" s="202"/>
      <c r="AG82" s="49"/>
    </row>
    <row r="83" spans="1:33" s="74" customFormat="1" ht="13.5" customHeight="1">
      <c r="A83" s="21" t="s">
        <v>136</v>
      </c>
      <c r="B83" s="20" t="s">
        <v>137</v>
      </c>
      <c r="C83" s="19"/>
      <c r="D83" s="18">
        <v>133669</v>
      </c>
      <c r="E83" s="17">
        <v>1</v>
      </c>
      <c r="F83" s="81">
        <f t="shared" si="4"/>
        <v>621408</v>
      </c>
      <c r="G83" s="82">
        <f t="shared" si="5"/>
        <v>635302</v>
      </c>
      <c r="H83" s="16">
        <v>421128</v>
      </c>
      <c r="I83" s="15">
        <v>415208</v>
      </c>
      <c r="J83" s="16">
        <v>71868</v>
      </c>
      <c r="K83" s="14">
        <v>67109</v>
      </c>
      <c r="L83" s="31">
        <v>127925</v>
      </c>
      <c r="M83" s="110">
        <v>487</v>
      </c>
      <c r="N83" s="110"/>
      <c r="O83" s="13">
        <v>152317</v>
      </c>
      <c r="P83" s="13">
        <v>668</v>
      </c>
      <c r="Q83" s="55"/>
      <c r="R83" s="32"/>
      <c r="S83" s="46"/>
      <c r="T83" s="83">
        <f t="shared" si="6"/>
        <v>65160.9</v>
      </c>
      <c r="U83" s="84">
        <f t="shared" si="7"/>
        <v>70654</v>
      </c>
      <c r="V83" s="16">
        <v>44986.9</v>
      </c>
      <c r="W83" s="46">
        <v>44910</v>
      </c>
      <c r="X83" s="16">
        <v>6113</v>
      </c>
      <c r="Y83" s="46">
        <v>6021</v>
      </c>
      <c r="Z83" s="31">
        <v>13745</v>
      </c>
      <c r="AA83" s="110">
        <v>316</v>
      </c>
      <c r="AB83" s="110"/>
      <c r="AC83" s="111">
        <v>19065</v>
      </c>
      <c r="AD83" s="111">
        <v>658</v>
      </c>
      <c r="AE83" s="55"/>
      <c r="AF83" s="32"/>
      <c r="AG83" s="49"/>
    </row>
    <row r="84" spans="1:33">
      <c r="A84" s="21" t="s">
        <v>136</v>
      </c>
      <c r="B84" s="20" t="s">
        <v>138</v>
      </c>
      <c r="C84" s="12"/>
      <c r="D84" s="18">
        <v>133951</v>
      </c>
      <c r="E84" s="18">
        <v>1</v>
      </c>
      <c r="F84" s="81">
        <f t="shared" si="4"/>
        <v>1087059</v>
      </c>
      <c r="G84" s="82">
        <f t="shared" si="5"/>
        <v>1096391</v>
      </c>
      <c r="H84" s="16">
        <v>618153</v>
      </c>
      <c r="I84" s="15">
        <v>595176</v>
      </c>
      <c r="J84" s="16">
        <v>133056</v>
      </c>
      <c r="K84" s="14">
        <v>120150</v>
      </c>
      <c r="L84" s="31">
        <v>332558</v>
      </c>
      <c r="M84" s="110"/>
      <c r="N84" s="110"/>
      <c r="O84" s="13">
        <v>378693</v>
      </c>
      <c r="P84" s="11"/>
      <c r="Q84" s="55"/>
      <c r="R84" s="32">
        <v>3292</v>
      </c>
      <c r="S84" s="112">
        <v>2372</v>
      </c>
      <c r="T84" s="83">
        <f t="shared" si="6"/>
        <v>193842</v>
      </c>
      <c r="U84" s="84">
        <f t="shared" si="7"/>
        <v>196310</v>
      </c>
      <c r="V84" s="16">
        <v>113984</v>
      </c>
      <c r="W84" s="46">
        <v>115371</v>
      </c>
      <c r="X84" s="16">
        <v>38697</v>
      </c>
      <c r="Y84" s="112">
        <v>34008</v>
      </c>
      <c r="Z84" s="31">
        <v>40801</v>
      </c>
      <c r="AA84" s="110"/>
      <c r="AB84" s="110"/>
      <c r="AC84" s="111">
        <v>46451</v>
      </c>
      <c r="AD84" s="47"/>
      <c r="AE84" s="55"/>
      <c r="AF84" s="32">
        <v>360</v>
      </c>
      <c r="AG84" s="10">
        <v>480</v>
      </c>
    </row>
    <row r="85" spans="1:33">
      <c r="A85" s="21" t="s">
        <v>136</v>
      </c>
      <c r="B85" s="20" t="s">
        <v>139</v>
      </c>
      <c r="C85" s="12"/>
      <c r="D85" s="18">
        <v>134097</v>
      </c>
      <c r="E85" s="18">
        <v>1</v>
      </c>
      <c r="F85" s="81">
        <f t="shared" si="4"/>
        <v>937405</v>
      </c>
      <c r="G85" s="82">
        <f t="shared" si="5"/>
        <v>940260</v>
      </c>
      <c r="H85" s="16">
        <v>766064</v>
      </c>
      <c r="I85" s="15">
        <v>749582</v>
      </c>
      <c r="J85" s="16">
        <v>67200</v>
      </c>
      <c r="K85" s="15">
        <v>64686</v>
      </c>
      <c r="L85" s="31">
        <v>94736</v>
      </c>
      <c r="M85" s="110"/>
      <c r="N85" s="110">
        <v>6726</v>
      </c>
      <c r="O85" s="13">
        <v>115144</v>
      </c>
      <c r="P85" s="13">
        <v>564</v>
      </c>
      <c r="Q85" s="117">
        <v>7407</v>
      </c>
      <c r="R85" s="32">
        <v>2679</v>
      </c>
      <c r="S85" s="112">
        <v>2877</v>
      </c>
      <c r="T85" s="83">
        <f t="shared" si="6"/>
        <v>174168</v>
      </c>
      <c r="U85" s="84">
        <f t="shared" si="7"/>
        <v>176981</v>
      </c>
      <c r="V85" s="16">
        <v>142007</v>
      </c>
      <c r="W85" s="46">
        <v>140676</v>
      </c>
      <c r="X85" s="16">
        <v>8627</v>
      </c>
      <c r="Y85" s="46">
        <v>8692</v>
      </c>
      <c r="Z85" s="31">
        <v>22857</v>
      </c>
      <c r="AA85" s="110">
        <v>542</v>
      </c>
      <c r="AB85" s="110">
        <v>102</v>
      </c>
      <c r="AC85" s="111">
        <v>26740</v>
      </c>
      <c r="AD85" s="111">
        <v>740</v>
      </c>
      <c r="AE85" s="117">
        <v>81</v>
      </c>
      <c r="AF85" s="32">
        <v>33</v>
      </c>
      <c r="AG85" s="10">
        <v>52</v>
      </c>
    </row>
    <row r="86" spans="1:33">
      <c r="A86" s="21" t="s">
        <v>136</v>
      </c>
      <c r="B86" s="20" t="s">
        <v>140</v>
      </c>
      <c r="C86" s="12"/>
      <c r="D86" s="18">
        <v>132903</v>
      </c>
      <c r="E86" s="18">
        <v>1</v>
      </c>
      <c r="F86" s="81">
        <f t="shared" si="4"/>
        <v>1066012</v>
      </c>
      <c r="G86" s="82">
        <f t="shared" si="5"/>
        <v>1073726</v>
      </c>
      <c r="H86" s="16">
        <v>794384</v>
      </c>
      <c r="I86" s="15">
        <v>786125</v>
      </c>
      <c r="J86" s="16">
        <v>70035</v>
      </c>
      <c r="K86" s="14">
        <v>60927</v>
      </c>
      <c r="L86" s="31">
        <v>201593</v>
      </c>
      <c r="M86" s="110"/>
      <c r="N86" s="110"/>
      <c r="O86" s="13">
        <v>226674</v>
      </c>
      <c r="P86" s="11"/>
      <c r="Q86" s="55"/>
      <c r="R86" s="32"/>
      <c r="S86" s="46"/>
      <c r="T86" s="83">
        <f t="shared" si="6"/>
        <v>100483.5</v>
      </c>
      <c r="U86" s="84">
        <f t="shared" si="7"/>
        <v>99526.5</v>
      </c>
      <c r="V86" s="16">
        <v>70481.5</v>
      </c>
      <c r="W86" s="46">
        <v>69333.5</v>
      </c>
      <c r="X86" s="16">
        <v>8897</v>
      </c>
      <c r="Y86" s="46">
        <v>9007</v>
      </c>
      <c r="Z86" s="31">
        <v>21105</v>
      </c>
      <c r="AA86" s="110"/>
      <c r="AB86" s="110"/>
      <c r="AC86" s="47">
        <v>21153</v>
      </c>
      <c r="AD86" s="111">
        <v>33</v>
      </c>
      <c r="AE86" s="55"/>
      <c r="AF86" s="32"/>
      <c r="AG86" s="49"/>
    </row>
    <row r="87" spans="1:33">
      <c r="A87" s="21" t="s">
        <v>136</v>
      </c>
      <c r="B87" s="20" t="s">
        <v>141</v>
      </c>
      <c r="C87" s="12"/>
      <c r="D87" s="18">
        <v>134130</v>
      </c>
      <c r="E87" s="18">
        <v>1</v>
      </c>
      <c r="F87" s="81">
        <f t="shared" si="4"/>
        <v>998168</v>
      </c>
      <c r="G87" s="82">
        <f t="shared" si="5"/>
        <v>1032370</v>
      </c>
      <c r="H87" s="16">
        <v>694639</v>
      </c>
      <c r="I87" s="15">
        <v>693299</v>
      </c>
      <c r="J87" s="16"/>
      <c r="K87" s="15"/>
      <c r="L87" s="31">
        <v>301352</v>
      </c>
      <c r="M87" s="110"/>
      <c r="N87" s="110">
        <v>320</v>
      </c>
      <c r="O87" s="13">
        <v>338864</v>
      </c>
      <c r="P87" s="11"/>
      <c r="Q87" s="117">
        <v>90</v>
      </c>
      <c r="R87" s="32">
        <v>1857</v>
      </c>
      <c r="S87" s="112">
        <v>117</v>
      </c>
      <c r="T87" s="83">
        <f t="shared" si="6"/>
        <v>341614</v>
      </c>
      <c r="U87" s="84">
        <f t="shared" si="7"/>
        <v>353542</v>
      </c>
      <c r="V87" s="16">
        <v>240798</v>
      </c>
      <c r="W87" s="46">
        <v>245949</v>
      </c>
      <c r="X87" s="16"/>
      <c r="Y87" s="46"/>
      <c r="Z87" s="31">
        <v>100784</v>
      </c>
      <c r="AA87" s="110">
        <v>28</v>
      </c>
      <c r="AB87" s="110">
        <v>4</v>
      </c>
      <c r="AC87" s="111">
        <v>107439</v>
      </c>
      <c r="AD87" s="111"/>
      <c r="AE87" s="117">
        <v>150</v>
      </c>
      <c r="AF87" s="32"/>
      <c r="AG87" s="10">
        <v>4</v>
      </c>
    </row>
    <row r="88" spans="1:33">
      <c r="A88" s="21" t="s">
        <v>136</v>
      </c>
      <c r="B88" s="20" t="s">
        <v>142</v>
      </c>
      <c r="C88" s="12"/>
      <c r="D88" s="18">
        <v>137351</v>
      </c>
      <c r="E88" s="18">
        <v>1</v>
      </c>
      <c r="F88" s="81">
        <f t="shared" si="4"/>
        <v>738925</v>
      </c>
      <c r="G88" s="82">
        <f t="shared" si="5"/>
        <v>783129</v>
      </c>
      <c r="H88" s="9">
        <v>708846</v>
      </c>
      <c r="I88" s="14">
        <v>626044</v>
      </c>
      <c r="J88" s="9">
        <v>11963</v>
      </c>
      <c r="K88" s="14">
        <v>6876</v>
      </c>
      <c r="L88" s="31">
        <v>14090</v>
      </c>
      <c r="M88" s="110">
        <v>4026</v>
      </c>
      <c r="N88" s="110"/>
      <c r="O88" s="13">
        <v>150209</v>
      </c>
      <c r="P88" s="13"/>
      <c r="Q88" s="55"/>
      <c r="R88" s="32"/>
      <c r="S88" s="46"/>
      <c r="T88" s="83">
        <f t="shared" si="6"/>
        <v>164305</v>
      </c>
      <c r="U88" s="84">
        <f t="shared" si="7"/>
        <v>200041</v>
      </c>
      <c r="V88" s="9">
        <v>146690</v>
      </c>
      <c r="W88" s="46">
        <v>149186</v>
      </c>
      <c r="X88" s="16">
        <v>12594</v>
      </c>
      <c r="Y88" s="112">
        <v>11541</v>
      </c>
      <c r="Z88" s="8">
        <v>5021</v>
      </c>
      <c r="AA88" s="110"/>
      <c r="AB88" s="110"/>
      <c r="AC88" s="111">
        <v>39314</v>
      </c>
      <c r="AD88" s="47"/>
      <c r="AE88" s="55"/>
      <c r="AF88" s="32"/>
      <c r="AG88" s="49"/>
    </row>
    <row r="89" spans="1:33" ht="15">
      <c r="A89" s="21" t="s">
        <v>136</v>
      </c>
      <c r="B89" s="20" t="s">
        <v>143</v>
      </c>
      <c r="C89" s="348" t="s">
        <v>857</v>
      </c>
      <c r="D89" s="18">
        <v>133650</v>
      </c>
      <c r="E89" s="18">
        <v>3</v>
      </c>
      <c r="F89" s="81">
        <f t="shared" si="4"/>
        <v>237428</v>
      </c>
      <c r="G89" s="82">
        <f t="shared" si="5"/>
        <v>227940</v>
      </c>
      <c r="H89" s="16">
        <v>226732</v>
      </c>
      <c r="I89" s="15">
        <v>216321</v>
      </c>
      <c r="J89" s="9">
        <v>3982</v>
      </c>
      <c r="K89" s="14">
        <v>2298</v>
      </c>
      <c r="L89" s="31">
        <v>6714</v>
      </c>
      <c r="M89" s="110"/>
      <c r="N89" s="110"/>
      <c r="O89" s="13">
        <v>9321</v>
      </c>
      <c r="P89" s="7"/>
      <c r="Q89" s="55"/>
      <c r="R89" s="32"/>
      <c r="S89" s="46"/>
      <c r="T89" s="83">
        <f t="shared" si="6"/>
        <v>43508</v>
      </c>
      <c r="U89" s="84">
        <f t="shared" si="7"/>
        <v>45556</v>
      </c>
      <c r="V89" s="16">
        <v>28899</v>
      </c>
      <c r="W89" s="112">
        <v>31406</v>
      </c>
      <c r="X89" s="16">
        <v>12795</v>
      </c>
      <c r="Y89" s="46">
        <v>12680</v>
      </c>
      <c r="Z89" s="31">
        <v>1814</v>
      </c>
      <c r="AA89" s="110"/>
      <c r="AB89" s="110"/>
      <c r="AC89" s="111">
        <v>1470</v>
      </c>
      <c r="AD89" s="47"/>
      <c r="AE89" s="55"/>
      <c r="AF89" s="32"/>
      <c r="AG89" s="49"/>
    </row>
    <row r="90" spans="1:33">
      <c r="A90" s="21" t="s">
        <v>136</v>
      </c>
      <c r="B90" s="20" t="s">
        <v>144</v>
      </c>
      <c r="C90" s="12"/>
      <c r="D90" s="18">
        <v>136172</v>
      </c>
      <c r="E90" s="18">
        <v>3</v>
      </c>
      <c r="F90" s="81">
        <f t="shared" si="4"/>
        <v>309421</v>
      </c>
      <c r="G90" s="82">
        <f t="shared" si="5"/>
        <v>298840</v>
      </c>
      <c r="H90" s="16">
        <v>298067</v>
      </c>
      <c r="I90" s="15">
        <v>286500</v>
      </c>
      <c r="J90" s="16">
        <v>3661</v>
      </c>
      <c r="K90" s="14">
        <v>4431</v>
      </c>
      <c r="L90" s="31">
        <v>7693</v>
      </c>
      <c r="M90" s="110"/>
      <c r="N90" s="110"/>
      <c r="O90" s="11">
        <v>7909</v>
      </c>
      <c r="P90" s="6"/>
      <c r="Q90" s="55"/>
      <c r="R90" s="32"/>
      <c r="S90" s="46"/>
      <c r="T90" s="83">
        <f t="shared" si="6"/>
        <v>26499</v>
      </c>
      <c r="U90" s="84">
        <f t="shared" si="7"/>
        <v>26909</v>
      </c>
      <c r="V90" s="16">
        <v>21916</v>
      </c>
      <c r="W90" s="46">
        <v>22596</v>
      </c>
      <c r="X90" s="16">
        <v>2360</v>
      </c>
      <c r="Y90" s="112">
        <v>1892</v>
      </c>
      <c r="Z90" s="31">
        <v>2223</v>
      </c>
      <c r="AA90" s="110"/>
      <c r="AB90" s="110"/>
      <c r="AC90" s="111">
        <v>2421</v>
      </c>
      <c r="AD90" s="47"/>
      <c r="AE90" s="55"/>
      <c r="AF90" s="32"/>
      <c r="AG90" s="49"/>
    </row>
    <row r="91" spans="1:33">
      <c r="A91" s="21" t="s">
        <v>136</v>
      </c>
      <c r="B91" s="20" t="s">
        <v>145</v>
      </c>
      <c r="C91" s="12"/>
      <c r="D91" s="18">
        <v>138354</v>
      </c>
      <c r="E91" s="18">
        <v>3</v>
      </c>
      <c r="F91" s="81">
        <f t="shared" si="4"/>
        <v>254972</v>
      </c>
      <c r="G91" s="82">
        <f t="shared" si="5"/>
        <v>256970.5</v>
      </c>
      <c r="H91" s="16">
        <v>172641</v>
      </c>
      <c r="I91" s="15">
        <v>167766.5</v>
      </c>
      <c r="J91" s="16">
        <v>1290</v>
      </c>
      <c r="K91" s="14"/>
      <c r="L91" s="31">
        <v>81041</v>
      </c>
      <c r="M91" s="110"/>
      <c r="N91" s="110"/>
      <c r="O91" s="13">
        <v>89204</v>
      </c>
      <c r="P91" s="6"/>
      <c r="Q91" s="55"/>
      <c r="R91" s="32"/>
      <c r="S91" s="46"/>
      <c r="T91" s="83">
        <f t="shared" si="6"/>
        <v>38419</v>
      </c>
      <c r="U91" s="84">
        <f t="shared" si="7"/>
        <v>42935.5</v>
      </c>
      <c r="V91" s="16">
        <v>9720.5</v>
      </c>
      <c r="W91" s="112">
        <v>8009</v>
      </c>
      <c r="X91" s="16">
        <v>102</v>
      </c>
      <c r="Y91" s="112"/>
      <c r="Z91" s="31">
        <v>28596.5</v>
      </c>
      <c r="AA91" s="110"/>
      <c r="AB91" s="110"/>
      <c r="AC91" s="111">
        <v>34926.5</v>
      </c>
      <c r="AD91" s="47"/>
      <c r="AE91" s="55"/>
      <c r="AF91" s="32"/>
      <c r="AG91" s="49"/>
    </row>
    <row r="92" spans="1:33">
      <c r="A92" s="21" t="s">
        <v>136</v>
      </c>
      <c r="B92" s="20" t="s">
        <v>146</v>
      </c>
      <c r="C92" s="12"/>
      <c r="D92" s="18">
        <v>433660</v>
      </c>
      <c r="E92" s="18">
        <v>4</v>
      </c>
      <c r="F92" s="81">
        <f t="shared" si="4"/>
        <v>347892</v>
      </c>
      <c r="G92" s="82">
        <f t="shared" si="5"/>
        <v>353377</v>
      </c>
      <c r="H92" s="16">
        <v>264084</v>
      </c>
      <c r="I92" s="15">
        <v>273871</v>
      </c>
      <c r="J92" s="9">
        <v>8660</v>
      </c>
      <c r="K92" s="15">
        <v>8272</v>
      </c>
      <c r="L92" s="31">
        <v>75148</v>
      </c>
      <c r="M92" s="110"/>
      <c r="N92" s="110"/>
      <c r="O92" s="13">
        <v>71234</v>
      </c>
      <c r="P92" s="6"/>
      <c r="Q92" s="55"/>
      <c r="R92" s="32"/>
      <c r="S92" s="46"/>
      <c r="T92" s="83">
        <f t="shared" si="6"/>
        <v>19809</v>
      </c>
      <c r="U92" s="84">
        <f t="shared" si="7"/>
        <v>19899</v>
      </c>
      <c r="V92" s="16">
        <v>10115</v>
      </c>
      <c r="W92" s="112">
        <v>11251</v>
      </c>
      <c r="X92" s="16">
        <v>2324</v>
      </c>
      <c r="Y92" s="46">
        <v>2428</v>
      </c>
      <c r="Z92" s="31">
        <v>7370</v>
      </c>
      <c r="AA92" s="110"/>
      <c r="AB92" s="110"/>
      <c r="AC92" s="111">
        <v>6220</v>
      </c>
      <c r="AD92" s="47"/>
      <c r="AE92" s="55"/>
      <c r="AF92" s="32"/>
      <c r="AG92" s="49"/>
    </row>
    <row r="93" spans="1:33">
      <c r="A93" s="21" t="s">
        <v>136</v>
      </c>
      <c r="B93" s="20" t="s">
        <v>147</v>
      </c>
      <c r="C93" s="12"/>
      <c r="D93" s="18">
        <v>262129</v>
      </c>
      <c r="E93" s="18">
        <v>6</v>
      </c>
      <c r="F93" s="81">
        <f t="shared" si="4"/>
        <v>29248</v>
      </c>
      <c r="G93" s="82">
        <f t="shared" si="5"/>
        <v>28608</v>
      </c>
      <c r="H93" s="16">
        <v>29248</v>
      </c>
      <c r="I93" s="15">
        <v>28608</v>
      </c>
      <c r="J93" s="16"/>
      <c r="K93" s="15"/>
      <c r="L93" s="31"/>
      <c r="M93" s="110"/>
      <c r="N93" s="110"/>
      <c r="O93" s="11"/>
      <c r="P93" s="47"/>
      <c r="Q93" s="55"/>
      <c r="R93" s="32"/>
      <c r="S93" s="46"/>
      <c r="T93" s="83">
        <f t="shared" si="6"/>
        <v>0</v>
      </c>
      <c r="U93" s="84">
        <f t="shared" si="7"/>
        <v>231</v>
      </c>
      <c r="V93" s="16"/>
      <c r="W93" s="115">
        <v>231</v>
      </c>
      <c r="X93" s="16"/>
      <c r="Y93" s="46"/>
      <c r="Z93" s="31"/>
      <c r="AA93" s="110"/>
      <c r="AB93" s="110"/>
      <c r="AC93" s="47"/>
      <c r="AD93" s="47"/>
      <c r="AE93" s="55"/>
      <c r="AF93" s="32"/>
      <c r="AG93" s="49"/>
    </row>
    <row r="94" spans="1:33" s="74" customFormat="1" ht="17.25" customHeight="1">
      <c r="A94" s="5" t="s">
        <v>136</v>
      </c>
      <c r="B94" s="4" t="s">
        <v>148</v>
      </c>
      <c r="C94" s="346" t="s">
        <v>853</v>
      </c>
      <c r="D94" s="2">
        <v>132693</v>
      </c>
      <c r="E94" s="2">
        <v>8</v>
      </c>
      <c r="F94" s="81">
        <f t="shared" si="4"/>
        <v>304376</v>
      </c>
      <c r="G94" s="1">
        <v>309025</v>
      </c>
      <c r="H94" s="32">
        <v>247462</v>
      </c>
      <c r="I94" s="130">
        <v>217792</v>
      </c>
      <c r="J94" s="32">
        <v>6701</v>
      </c>
      <c r="K94" s="130">
        <v>7766</v>
      </c>
      <c r="L94" s="31">
        <v>50213</v>
      </c>
      <c r="M94" s="110">
        <v>0</v>
      </c>
      <c r="N94" s="110">
        <v>0</v>
      </c>
      <c r="O94" s="130">
        <v>83467</v>
      </c>
      <c r="P94" s="1">
        <v>0</v>
      </c>
      <c r="Q94" s="1">
        <v>0</v>
      </c>
      <c r="R94" s="32">
        <v>0</v>
      </c>
      <c r="S94" s="1">
        <v>0</v>
      </c>
      <c r="T94" s="83">
        <f t="shared" si="6"/>
        <v>0</v>
      </c>
      <c r="U94" s="84">
        <f t="shared" si="7"/>
        <v>0</v>
      </c>
      <c r="V94" s="32"/>
      <c r="W94" s="46"/>
      <c r="X94" s="32"/>
      <c r="Y94" s="46"/>
      <c r="Z94" s="31"/>
      <c r="AA94" s="110"/>
      <c r="AB94" s="110"/>
      <c r="AC94" s="47"/>
      <c r="AD94" s="47"/>
      <c r="AE94" s="55"/>
      <c r="AF94" s="32"/>
      <c r="AG94" s="49"/>
    </row>
    <row r="95" spans="1:33" s="74" customFormat="1" ht="15" customHeight="1">
      <c r="A95" s="5" t="s">
        <v>136</v>
      </c>
      <c r="B95" s="4" t="s">
        <v>149</v>
      </c>
      <c r="C95" s="346"/>
      <c r="D95" s="2">
        <v>132709</v>
      </c>
      <c r="E95" s="2">
        <v>7</v>
      </c>
      <c r="F95" s="81">
        <f t="shared" si="4"/>
        <v>861142</v>
      </c>
      <c r="G95" s="1">
        <v>879832</v>
      </c>
      <c r="H95" s="32">
        <v>649872</v>
      </c>
      <c r="I95" s="1">
        <v>666132</v>
      </c>
      <c r="J95" s="32">
        <v>67523</v>
      </c>
      <c r="K95" s="130">
        <v>58307</v>
      </c>
      <c r="L95" s="31">
        <v>136376</v>
      </c>
      <c r="M95" s="110">
        <v>0</v>
      </c>
      <c r="N95" s="110">
        <v>7362</v>
      </c>
      <c r="O95" s="130">
        <v>152360</v>
      </c>
      <c r="P95" s="1">
        <v>0</v>
      </c>
      <c r="Q95" s="130">
        <v>3030</v>
      </c>
      <c r="R95" s="32">
        <v>9</v>
      </c>
      <c r="S95" s="130">
        <v>3</v>
      </c>
      <c r="T95" s="83">
        <f t="shared" si="6"/>
        <v>0</v>
      </c>
      <c r="U95" s="84">
        <f t="shared" si="7"/>
        <v>0</v>
      </c>
      <c r="V95" s="32"/>
      <c r="W95" s="46"/>
      <c r="X95" s="32"/>
      <c r="Y95" s="46"/>
      <c r="Z95" s="31"/>
      <c r="AA95" s="110"/>
      <c r="AB95" s="110"/>
      <c r="AC95" s="47"/>
      <c r="AD95" s="47"/>
      <c r="AE95" s="55"/>
      <c r="AF95" s="32"/>
      <c r="AG95" s="49"/>
    </row>
    <row r="96" spans="1:33" s="74" customFormat="1" ht="15" customHeight="1">
      <c r="A96" s="5" t="s">
        <v>136</v>
      </c>
      <c r="B96" s="4" t="s">
        <v>150</v>
      </c>
      <c r="C96" s="346"/>
      <c r="D96" s="2">
        <v>132851</v>
      </c>
      <c r="E96" s="132">
        <v>7</v>
      </c>
      <c r="F96" s="81">
        <f t="shared" si="4"/>
        <v>162721</v>
      </c>
      <c r="G96" s="1">
        <v>150640</v>
      </c>
      <c r="H96" s="32">
        <v>115036</v>
      </c>
      <c r="I96" s="130">
        <v>102020</v>
      </c>
      <c r="J96" s="32">
        <v>0</v>
      </c>
      <c r="K96" s="1">
        <v>0</v>
      </c>
      <c r="L96" s="31">
        <v>47685</v>
      </c>
      <c r="M96" s="110">
        <v>0</v>
      </c>
      <c r="N96" s="110">
        <v>0</v>
      </c>
      <c r="O96" s="1">
        <v>48467</v>
      </c>
      <c r="P96" s="130">
        <v>153</v>
      </c>
      <c r="Q96" s="1">
        <v>0</v>
      </c>
      <c r="R96" s="32">
        <v>0</v>
      </c>
      <c r="S96" s="1">
        <v>0</v>
      </c>
      <c r="T96" s="83">
        <f t="shared" si="6"/>
        <v>0</v>
      </c>
      <c r="U96" s="84">
        <f t="shared" si="7"/>
        <v>0</v>
      </c>
      <c r="V96" s="32"/>
      <c r="W96" s="46"/>
      <c r="X96" s="32"/>
      <c r="Y96" s="46"/>
      <c r="Z96" s="31"/>
      <c r="AA96" s="110"/>
      <c r="AB96" s="110"/>
      <c r="AC96" s="47"/>
      <c r="AD96" s="47"/>
      <c r="AE96" s="55"/>
      <c r="AF96" s="32"/>
      <c r="AG96" s="49"/>
    </row>
    <row r="97" spans="1:33" s="74" customFormat="1" ht="15" customHeight="1">
      <c r="A97" s="5" t="s">
        <v>136</v>
      </c>
      <c r="B97" s="4" t="s">
        <v>151</v>
      </c>
      <c r="C97" s="346"/>
      <c r="D97" s="2">
        <v>133021</v>
      </c>
      <c r="E97" s="2">
        <v>7</v>
      </c>
      <c r="F97" s="81">
        <f t="shared" si="4"/>
        <v>40189</v>
      </c>
      <c r="G97" s="1">
        <v>40703</v>
      </c>
      <c r="H97" s="32">
        <v>31493</v>
      </c>
      <c r="I97" s="1">
        <v>31082</v>
      </c>
      <c r="J97" s="32">
        <v>2391</v>
      </c>
      <c r="K97" s="130">
        <v>1973</v>
      </c>
      <c r="L97" s="31">
        <v>6305</v>
      </c>
      <c r="M97" s="110">
        <v>0</v>
      </c>
      <c r="N97" s="110">
        <v>0</v>
      </c>
      <c r="O97" s="130">
        <v>7648</v>
      </c>
      <c r="P97" s="1">
        <v>0</v>
      </c>
      <c r="Q97" s="1">
        <v>0</v>
      </c>
      <c r="R97" s="32">
        <v>0</v>
      </c>
      <c r="S97" s="1">
        <v>0</v>
      </c>
      <c r="T97" s="83">
        <f t="shared" si="6"/>
        <v>0</v>
      </c>
      <c r="U97" s="84">
        <f t="shared" si="7"/>
        <v>0</v>
      </c>
      <c r="V97" s="32"/>
      <c r="W97" s="46"/>
      <c r="X97" s="32"/>
      <c r="Y97" s="46"/>
      <c r="Z97" s="31"/>
      <c r="AA97" s="110"/>
      <c r="AB97" s="110"/>
      <c r="AC97" s="47"/>
      <c r="AD97" s="47"/>
      <c r="AE97" s="55"/>
      <c r="AF97" s="32"/>
      <c r="AG97" s="49"/>
    </row>
    <row r="98" spans="1:33" s="74" customFormat="1" ht="15" customHeight="1">
      <c r="A98" s="5" t="s">
        <v>136</v>
      </c>
      <c r="B98" s="4" t="s">
        <v>152</v>
      </c>
      <c r="C98" s="346"/>
      <c r="D98" s="2">
        <v>133386</v>
      </c>
      <c r="E98" s="2">
        <v>7</v>
      </c>
      <c r="F98" s="81">
        <f t="shared" si="4"/>
        <v>294845</v>
      </c>
      <c r="G98" s="1">
        <v>287352</v>
      </c>
      <c r="H98" s="32">
        <v>185362</v>
      </c>
      <c r="I98" s="1">
        <v>176278</v>
      </c>
      <c r="J98" s="32">
        <v>0</v>
      </c>
      <c r="K98" s="130">
        <v>674</v>
      </c>
      <c r="L98" s="31">
        <v>109483</v>
      </c>
      <c r="M98" s="110">
        <v>0</v>
      </c>
      <c r="N98" s="110">
        <v>0</v>
      </c>
      <c r="O98" s="1">
        <v>110400</v>
      </c>
      <c r="P98" s="1">
        <v>0</v>
      </c>
      <c r="Q98" s="1">
        <v>0</v>
      </c>
      <c r="R98" s="32">
        <v>0</v>
      </c>
      <c r="S98" s="1">
        <v>0</v>
      </c>
      <c r="T98" s="83">
        <f t="shared" si="6"/>
        <v>0</v>
      </c>
      <c r="U98" s="84">
        <f t="shared" si="7"/>
        <v>0</v>
      </c>
      <c r="V98" s="32"/>
      <c r="W98" s="46"/>
      <c r="X98" s="32"/>
      <c r="Y98" s="46"/>
      <c r="Z98" s="31"/>
      <c r="AA98" s="110"/>
      <c r="AB98" s="110"/>
      <c r="AC98" s="47"/>
      <c r="AD98" s="47"/>
      <c r="AE98" s="55"/>
      <c r="AF98" s="32"/>
      <c r="AG98" s="49"/>
    </row>
    <row r="99" spans="1:33" s="74" customFormat="1" ht="15" customHeight="1">
      <c r="A99" s="5" t="s">
        <v>136</v>
      </c>
      <c r="B99" s="133" t="s">
        <v>153</v>
      </c>
      <c r="C99" s="346"/>
      <c r="D99" s="2">
        <v>133508</v>
      </c>
      <c r="E99" s="2">
        <v>7</v>
      </c>
      <c r="F99" s="81">
        <f t="shared" si="4"/>
        <v>306409</v>
      </c>
      <c r="G99" s="1">
        <v>317290</v>
      </c>
      <c r="H99" s="32">
        <v>214077</v>
      </c>
      <c r="I99" s="130">
        <v>226142</v>
      </c>
      <c r="J99" s="32">
        <v>12981</v>
      </c>
      <c r="K99" s="130">
        <v>14430</v>
      </c>
      <c r="L99" s="31">
        <v>77292</v>
      </c>
      <c r="M99" s="110">
        <v>0</v>
      </c>
      <c r="N99" s="110">
        <v>0</v>
      </c>
      <c r="O99" s="1">
        <v>74879</v>
      </c>
      <c r="P99" s="1">
        <v>0</v>
      </c>
      <c r="Q99" s="1">
        <v>0</v>
      </c>
      <c r="R99" s="32">
        <v>2059</v>
      </c>
      <c r="S99" s="130">
        <v>1839</v>
      </c>
      <c r="T99" s="83">
        <f t="shared" si="6"/>
        <v>0</v>
      </c>
      <c r="U99" s="84">
        <f t="shared" si="7"/>
        <v>0</v>
      </c>
      <c r="V99" s="32"/>
      <c r="W99" s="46"/>
      <c r="X99" s="32"/>
      <c r="Y99" s="46"/>
      <c r="Z99" s="31"/>
      <c r="AA99" s="110"/>
      <c r="AB99" s="110"/>
      <c r="AC99" s="47"/>
      <c r="AD99" s="47"/>
      <c r="AE99" s="55"/>
      <c r="AF99" s="32"/>
      <c r="AG99" s="49"/>
    </row>
    <row r="100" spans="1:33" s="74" customFormat="1" ht="15" customHeight="1">
      <c r="A100" s="5" t="s">
        <v>136</v>
      </c>
      <c r="B100" s="4" t="s">
        <v>154</v>
      </c>
      <c r="C100" s="346"/>
      <c r="D100" s="2">
        <v>133702</v>
      </c>
      <c r="E100" s="2">
        <v>7</v>
      </c>
      <c r="F100" s="81">
        <f t="shared" si="4"/>
        <v>546912</v>
      </c>
      <c r="G100" s="1">
        <v>531512</v>
      </c>
      <c r="H100" s="32">
        <v>339147</v>
      </c>
      <c r="I100" s="130">
        <v>314858</v>
      </c>
      <c r="J100" s="32">
        <v>20597</v>
      </c>
      <c r="K100" s="1">
        <v>19874</v>
      </c>
      <c r="L100" s="31">
        <v>187168</v>
      </c>
      <c r="M100" s="110">
        <v>0</v>
      </c>
      <c r="N100" s="110">
        <v>0</v>
      </c>
      <c r="O100" s="130">
        <v>196780</v>
      </c>
      <c r="P100" s="1">
        <v>0</v>
      </c>
      <c r="Q100" s="1">
        <v>0</v>
      </c>
      <c r="R100" s="32">
        <v>0</v>
      </c>
      <c r="S100" s="1">
        <v>0</v>
      </c>
      <c r="T100" s="83">
        <f t="shared" si="6"/>
        <v>0</v>
      </c>
      <c r="U100" s="84">
        <f t="shared" si="7"/>
        <v>0</v>
      </c>
      <c r="V100" s="32"/>
      <c r="W100" s="46"/>
      <c r="X100" s="32"/>
      <c r="Y100" s="46"/>
      <c r="Z100" s="31"/>
      <c r="AA100" s="110"/>
      <c r="AB100" s="110"/>
      <c r="AC100" s="47"/>
      <c r="AD100" s="47"/>
      <c r="AE100" s="55"/>
      <c r="AF100" s="32"/>
      <c r="AG100" s="49"/>
    </row>
    <row r="101" spans="1:33" s="74" customFormat="1" ht="15" customHeight="1">
      <c r="A101" s="5" t="s">
        <v>136</v>
      </c>
      <c r="B101" s="4" t="s">
        <v>155</v>
      </c>
      <c r="C101" s="346"/>
      <c r="D101" s="2">
        <v>133960</v>
      </c>
      <c r="E101" s="2">
        <v>10</v>
      </c>
      <c r="F101" s="81">
        <f t="shared" si="4"/>
        <v>20246</v>
      </c>
      <c r="G101" s="1">
        <v>20035</v>
      </c>
      <c r="H101" s="32">
        <v>15373</v>
      </c>
      <c r="I101" s="1">
        <v>14945</v>
      </c>
      <c r="J101" s="32">
        <v>691</v>
      </c>
      <c r="K101" s="130">
        <v>864</v>
      </c>
      <c r="L101" s="31">
        <v>4182</v>
      </c>
      <c r="M101" s="110">
        <v>0</v>
      </c>
      <c r="N101" s="110">
        <v>0</v>
      </c>
      <c r="O101" s="1">
        <v>4226</v>
      </c>
      <c r="P101" s="1">
        <v>0</v>
      </c>
      <c r="Q101" s="1">
        <v>0</v>
      </c>
      <c r="R101" s="32">
        <v>0</v>
      </c>
      <c r="S101" s="1">
        <v>0</v>
      </c>
      <c r="T101" s="83">
        <f t="shared" si="6"/>
        <v>0</v>
      </c>
      <c r="U101" s="84">
        <f t="shared" si="7"/>
        <v>0</v>
      </c>
      <c r="V101" s="32"/>
      <c r="W101" s="46"/>
      <c r="X101" s="32"/>
      <c r="Y101" s="46"/>
      <c r="Z101" s="31"/>
      <c r="AA101" s="110"/>
      <c r="AB101" s="110"/>
      <c r="AC101" s="47"/>
      <c r="AD101" s="47"/>
      <c r="AE101" s="55"/>
      <c r="AF101" s="32"/>
      <c r="AG101" s="49"/>
    </row>
    <row r="102" spans="1:33" s="74" customFormat="1" ht="15" customHeight="1">
      <c r="A102" s="5" t="s">
        <v>136</v>
      </c>
      <c r="B102" s="4" t="s">
        <v>156</v>
      </c>
      <c r="C102" s="346"/>
      <c r="D102" s="2">
        <v>134343</v>
      </c>
      <c r="E102" s="134">
        <v>7</v>
      </c>
      <c r="F102" s="81">
        <f t="shared" si="4"/>
        <v>112910</v>
      </c>
      <c r="G102" s="1">
        <v>108350</v>
      </c>
      <c r="H102" s="32">
        <v>69235</v>
      </c>
      <c r="I102" s="1">
        <v>66159</v>
      </c>
      <c r="J102" s="32">
        <v>14046</v>
      </c>
      <c r="K102" s="1">
        <v>13531</v>
      </c>
      <c r="L102" s="31">
        <v>29629</v>
      </c>
      <c r="M102" s="110">
        <v>0</v>
      </c>
      <c r="N102" s="110">
        <v>0</v>
      </c>
      <c r="O102" s="1">
        <v>28660</v>
      </c>
      <c r="P102" s="1">
        <v>0</v>
      </c>
      <c r="Q102" s="1">
        <v>0</v>
      </c>
      <c r="R102" s="32">
        <v>0</v>
      </c>
      <c r="S102" s="1">
        <v>0</v>
      </c>
      <c r="T102" s="83">
        <f t="shared" si="6"/>
        <v>0</v>
      </c>
      <c r="U102" s="84">
        <f t="shared" si="7"/>
        <v>0</v>
      </c>
      <c r="V102" s="32"/>
      <c r="W102" s="46"/>
      <c r="X102" s="32"/>
      <c r="Y102" s="46"/>
      <c r="Z102" s="31"/>
      <c r="AA102" s="110"/>
      <c r="AB102" s="110"/>
      <c r="AC102" s="47"/>
      <c r="AD102" s="47"/>
      <c r="AE102" s="55"/>
      <c r="AF102" s="32"/>
      <c r="AG102" s="49"/>
    </row>
    <row r="103" spans="1:33" s="74" customFormat="1" ht="15" customHeight="1">
      <c r="A103" s="5" t="s">
        <v>136</v>
      </c>
      <c r="B103" s="4" t="s">
        <v>157</v>
      </c>
      <c r="C103" s="346"/>
      <c r="D103" s="2">
        <v>134495</v>
      </c>
      <c r="E103" s="2">
        <v>8</v>
      </c>
      <c r="F103" s="81">
        <f t="shared" si="4"/>
        <v>551430</v>
      </c>
      <c r="G103" s="1">
        <v>556098</v>
      </c>
      <c r="H103" s="32">
        <v>433117</v>
      </c>
      <c r="I103" s="130">
        <v>401069</v>
      </c>
      <c r="J103" s="32">
        <v>18702</v>
      </c>
      <c r="K103" s="130">
        <v>19986</v>
      </c>
      <c r="L103" s="31">
        <v>98963</v>
      </c>
      <c r="M103" s="110">
        <v>0</v>
      </c>
      <c r="N103" s="110">
        <v>648</v>
      </c>
      <c r="O103" s="130">
        <v>133483</v>
      </c>
      <c r="P103" s="1">
        <v>0</v>
      </c>
      <c r="Q103" s="130">
        <v>1560</v>
      </c>
      <c r="R103" s="32">
        <v>0</v>
      </c>
      <c r="S103" s="1">
        <v>0</v>
      </c>
      <c r="T103" s="83">
        <f t="shared" si="6"/>
        <v>0</v>
      </c>
      <c r="U103" s="84">
        <f t="shared" si="7"/>
        <v>0</v>
      </c>
      <c r="V103" s="32"/>
      <c r="W103" s="46"/>
      <c r="X103" s="32"/>
      <c r="Y103" s="46"/>
      <c r="Z103" s="31"/>
      <c r="AA103" s="110"/>
      <c r="AB103" s="110"/>
      <c r="AC103" s="47"/>
      <c r="AD103" s="47"/>
      <c r="AE103" s="55"/>
      <c r="AF103" s="32"/>
      <c r="AG103" s="49"/>
    </row>
    <row r="104" spans="1:33" s="74" customFormat="1" ht="15" customHeight="1">
      <c r="A104" s="5" t="s">
        <v>136</v>
      </c>
      <c r="B104" s="4" t="s">
        <v>158</v>
      </c>
      <c r="C104" s="346"/>
      <c r="D104" s="2">
        <v>134608</v>
      </c>
      <c r="E104" s="2">
        <v>7</v>
      </c>
      <c r="F104" s="81">
        <f t="shared" si="4"/>
        <v>340729</v>
      </c>
      <c r="G104" s="1">
        <v>351893</v>
      </c>
      <c r="H104" s="32">
        <v>239250</v>
      </c>
      <c r="I104" s="1">
        <v>239719</v>
      </c>
      <c r="J104" s="32">
        <v>14085</v>
      </c>
      <c r="K104" s="130">
        <v>19801</v>
      </c>
      <c r="L104" s="31">
        <v>86961</v>
      </c>
      <c r="M104" s="110">
        <v>0</v>
      </c>
      <c r="N104" s="110">
        <v>0</v>
      </c>
      <c r="O104" s="130">
        <v>92037</v>
      </c>
      <c r="P104" s="1">
        <v>0</v>
      </c>
      <c r="Q104" s="1">
        <v>0</v>
      </c>
      <c r="R104" s="32">
        <v>433</v>
      </c>
      <c r="S104" s="130">
        <v>336</v>
      </c>
      <c r="T104" s="83">
        <f t="shared" si="6"/>
        <v>0</v>
      </c>
      <c r="U104" s="84">
        <f t="shared" si="7"/>
        <v>0</v>
      </c>
      <c r="V104" s="32"/>
      <c r="W104" s="46"/>
      <c r="X104" s="32"/>
      <c r="Y104" s="46"/>
      <c r="Z104" s="31"/>
      <c r="AA104" s="110"/>
      <c r="AB104" s="110"/>
      <c r="AC104" s="47"/>
      <c r="AD104" s="47"/>
      <c r="AE104" s="55"/>
      <c r="AF104" s="32"/>
      <c r="AG104" s="49"/>
    </row>
    <row r="105" spans="1:33" s="74" customFormat="1" ht="15" customHeight="1">
      <c r="A105" s="5" t="s">
        <v>136</v>
      </c>
      <c r="B105" s="4" t="s">
        <v>159</v>
      </c>
      <c r="C105" s="347" t="s">
        <v>854</v>
      </c>
      <c r="D105" s="2">
        <v>135160</v>
      </c>
      <c r="E105" s="132">
        <v>7</v>
      </c>
      <c r="F105" s="81">
        <f t="shared" si="4"/>
        <v>50063</v>
      </c>
      <c r="G105" s="1">
        <v>55912</v>
      </c>
      <c r="H105" s="32">
        <v>23943</v>
      </c>
      <c r="I105" s="1">
        <v>24190</v>
      </c>
      <c r="J105" s="32">
        <v>4048</v>
      </c>
      <c r="K105" s="130">
        <v>4821</v>
      </c>
      <c r="L105" s="31">
        <v>22072</v>
      </c>
      <c r="M105" s="110">
        <v>0</v>
      </c>
      <c r="N105" s="110">
        <v>0</v>
      </c>
      <c r="O105" s="130">
        <v>26901</v>
      </c>
      <c r="P105" s="1">
        <v>0</v>
      </c>
      <c r="Q105" s="1">
        <v>0</v>
      </c>
      <c r="R105" s="32">
        <v>0</v>
      </c>
      <c r="S105" s="1">
        <v>0</v>
      </c>
      <c r="T105" s="83">
        <f t="shared" si="6"/>
        <v>0</v>
      </c>
      <c r="U105" s="84">
        <f t="shared" si="7"/>
        <v>0</v>
      </c>
      <c r="V105" s="32"/>
      <c r="W105" s="46"/>
      <c r="X105" s="32"/>
      <c r="Y105" s="46"/>
      <c r="Z105" s="31"/>
      <c r="AA105" s="110"/>
      <c r="AB105" s="110"/>
      <c r="AC105" s="47"/>
      <c r="AD105" s="47"/>
      <c r="AE105" s="55"/>
      <c r="AF105" s="32"/>
      <c r="AG105" s="49"/>
    </row>
    <row r="106" spans="1:33" s="74" customFormat="1" ht="15" customHeight="1">
      <c r="A106" s="5" t="s">
        <v>136</v>
      </c>
      <c r="B106" s="4" t="s">
        <v>160</v>
      </c>
      <c r="C106" s="346" t="s">
        <v>855</v>
      </c>
      <c r="D106" s="2">
        <v>135188</v>
      </c>
      <c r="E106" s="2">
        <v>9</v>
      </c>
      <c r="F106" s="81">
        <f t="shared" si="4"/>
        <v>85988</v>
      </c>
      <c r="G106" s="1">
        <v>88263</v>
      </c>
      <c r="H106" s="32">
        <v>64121</v>
      </c>
      <c r="I106" s="1">
        <v>63566</v>
      </c>
      <c r="J106" s="32">
        <v>0</v>
      </c>
      <c r="K106" s="1">
        <v>0</v>
      </c>
      <c r="L106" s="31">
        <v>21867</v>
      </c>
      <c r="M106" s="110">
        <v>0</v>
      </c>
      <c r="N106" s="110">
        <v>0</v>
      </c>
      <c r="O106" s="130">
        <v>24697</v>
      </c>
      <c r="P106" s="1">
        <v>0</v>
      </c>
      <c r="Q106" s="1">
        <v>0</v>
      </c>
      <c r="R106" s="32">
        <v>0</v>
      </c>
      <c r="S106" s="1">
        <v>0</v>
      </c>
      <c r="T106" s="83">
        <f t="shared" si="6"/>
        <v>0</v>
      </c>
      <c r="U106" s="84">
        <f t="shared" si="7"/>
        <v>0</v>
      </c>
      <c r="V106" s="32"/>
      <c r="W106" s="46"/>
      <c r="X106" s="32"/>
      <c r="Y106" s="46"/>
      <c r="Z106" s="31"/>
      <c r="AA106" s="110"/>
      <c r="AB106" s="110"/>
      <c r="AC106" s="47"/>
      <c r="AD106" s="47"/>
      <c r="AE106" s="55"/>
      <c r="AF106" s="32"/>
      <c r="AG106" s="49"/>
    </row>
    <row r="107" spans="1:33" s="74" customFormat="1" ht="15" customHeight="1">
      <c r="A107" s="5" t="s">
        <v>136</v>
      </c>
      <c r="B107" s="4" t="s">
        <v>161</v>
      </c>
      <c r="C107" s="346"/>
      <c r="D107" s="2">
        <v>135391</v>
      </c>
      <c r="E107" s="2">
        <v>7</v>
      </c>
      <c r="F107" s="81">
        <f t="shared" si="4"/>
        <v>224121</v>
      </c>
      <c r="G107" s="1">
        <v>218323</v>
      </c>
      <c r="H107" s="32">
        <v>148642</v>
      </c>
      <c r="I107" s="130">
        <v>133335</v>
      </c>
      <c r="J107" s="32">
        <v>10451</v>
      </c>
      <c r="K107" s="130">
        <v>11064</v>
      </c>
      <c r="L107" s="31">
        <v>65028</v>
      </c>
      <c r="M107" s="110">
        <v>0</v>
      </c>
      <c r="N107" s="110">
        <v>0</v>
      </c>
      <c r="O107" s="130">
        <v>73924</v>
      </c>
      <c r="P107" s="1">
        <v>0</v>
      </c>
      <c r="Q107" s="1">
        <v>0</v>
      </c>
      <c r="R107" s="32">
        <v>0</v>
      </c>
      <c r="S107" s="1">
        <v>0</v>
      </c>
      <c r="T107" s="83">
        <f t="shared" si="6"/>
        <v>0</v>
      </c>
      <c r="U107" s="84">
        <f t="shared" si="7"/>
        <v>0</v>
      </c>
      <c r="V107" s="32"/>
      <c r="W107" s="46"/>
      <c r="X107" s="32"/>
      <c r="Y107" s="46"/>
      <c r="Z107" s="31"/>
      <c r="AA107" s="110"/>
      <c r="AB107" s="110"/>
      <c r="AC107" s="47"/>
      <c r="AD107" s="47"/>
      <c r="AE107" s="55"/>
      <c r="AF107" s="32"/>
      <c r="AG107" s="49"/>
    </row>
    <row r="108" spans="1:33" s="74" customFormat="1" ht="15" customHeight="1">
      <c r="A108" s="5" t="s">
        <v>136</v>
      </c>
      <c r="B108" s="4" t="s">
        <v>162</v>
      </c>
      <c r="C108" s="346"/>
      <c r="D108" s="2">
        <v>135717</v>
      </c>
      <c r="E108" s="2">
        <v>7</v>
      </c>
      <c r="F108" s="81">
        <f t="shared" si="4"/>
        <v>1456840</v>
      </c>
      <c r="G108" s="1">
        <v>1364503</v>
      </c>
      <c r="H108" s="32">
        <v>1330018</v>
      </c>
      <c r="I108" s="130">
        <v>1231286</v>
      </c>
      <c r="J108" s="32">
        <v>8057</v>
      </c>
      <c r="K108" s="130">
        <v>13973</v>
      </c>
      <c r="L108" s="31">
        <v>118765</v>
      </c>
      <c r="M108" s="110">
        <v>0</v>
      </c>
      <c r="N108" s="110">
        <v>0</v>
      </c>
      <c r="O108" s="1">
        <v>118853</v>
      </c>
      <c r="P108" s="1">
        <v>0</v>
      </c>
      <c r="Q108" s="1">
        <v>0</v>
      </c>
      <c r="R108" s="32">
        <v>0</v>
      </c>
      <c r="S108" s="130">
        <v>391</v>
      </c>
      <c r="T108" s="83">
        <f t="shared" si="6"/>
        <v>0</v>
      </c>
      <c r="U108" s="84">
        <f t="shared" si="7"/>
        <v>0</v>
      </c>
      <c r="V108" s="32"/>
      <c r="W108" s="46"/>
      <c r="X108" s="32"/>
      <c r="Y108" s="46"/>
      <c r="Z108" s="31"/>
      <c r="AA108" s="110"/>
      <c r="AB108" s="110"/>
      <c r="AC108" s="47"/>
      <c r="AD108" s="47"/>
      <c r="AE108" s="55"/>
      <c r="AF108" s="32"/>
      <c r="AG108" s="49"/>
    </row>
    <row r="109" spans="1:33" s="74" customFormat="1" ht="15" customHeight="1">
      <c r="A109" s="5" t="s">
        <v>136</v>
      </c>
      <c r="B109" s="4" t="s">
        <v>163</v>
      </c>
      <c r="C109" s="346"/>
      <c r="D109" s="2">
        <v>136145</v>
      </c>
      <c r="E109" s="2">
        <v>10</v>
      </c>
      <c r="F109" s="81">
        <f t="shared" si="4"/>
        <v>21004</v>
      </c>
      <c r="G109" s="1">
        <v>21631</v>
      </c>
      <c r="H109" s="32">
        <v>13731</v>
      </c>
      <c r="I109" s="1">
        <v>14339</v>
      </c>
      <c r="J109" s="32">
        <v>783</v>
      </c>
      <c r="K109" s="130">
        <v>721</v>
      </c>
      <c r="L109" s="31">
        <v>5986</v>
      </c>
      <c r="M109" s="110">
        <v>504</v>
      </c>
      <c r="N109" s="110">
        <v>0</v>
      </c>
      <c r="O109" s="130">
        <v>6571</v>
      </c>
      <c r="P109" s="130">
        <v>0</v>
      </c>
      <c r="Q109" s="1">
        <v>0</v>
      </c>
      <c r="R109" s="32">
        <v>0</v>
      </c>
      <c r="S109" s="1">
        <v>0</v>
      </c>
      <c r="T109" s="83">
        <f t="shared" si="6"/>
        <v>0</v>
      </c>
      <c r="U109" s="84">
        <f t="shared" si="7"/>
        <v>0</v>
      </c>
      <c r="V109" s="32"/>
      <c r="W109" s="46"/>
      <c r="X109" s="32"/>
      <c r="Y109" s="46"/>
      <c r="Z109" s="31"/>
      <c r="AA109" s="110"/>
      <c r="AB109" s="110"/>
      <c r="AC109" s="47"/>
      <c r="AD109" s="47"/>
      <c r="AE109" s="55"/>
      <c r="AF109" s="32"/>
      <c r="AG109" s="49"/>
    </row>
    <row r="110" spans="1:33" s="74" customFormat="1" ht="15" customHeight="1">
      <c r="A110" s="5" t="s">
        <v>136</v>
      </c>
      <c r="B110" s="4" t="s">
        <v>164</v>
      </c>
      <c r="C110" s="346"/>
      <c r="D110" s="2">
        <v>136233</v>
      </c>
      <c r="E110" s="2">
        <v>7</v>
      </c>
      <c r="F110" s="81">
        <f t="shared" si="4"/>
        <v>128191</v>
      </c>
      <c r="G110" s="1">
        <v>113555</v>
      </c>
      <c r="H110" s="32">
        <v>98904</v>
      </c>
      <c r="I110" s="130">
        <v>75348</v>
      </c>
      <c r="J110" s="32">
        <v>7623</v>
      </c>
      <c r="K110" s="130">
        <v>6069</v>
      </c>
      <c r="L110" s="31">
        <v>21664</v>
      </c>
      <c r="M110" s="110">
        <v>0</v>
      </c>
      <c r="N110" s="110">
        <v>0</v>
      </c>
      <c r="O110" s="130">
        <v>32138</v>
      </c>
      <c r="P110" s="1">
        <v>0</v>
      </c>
      <c r="Q110" s="1">
        <v>0</v>
      </c>
      <c r="R110" s="32">
        <v>0</v>
      </c>
      <c r="S110" s="1">
        <v>0</v>
      </c>
      <c r="T110" s="83">
        <f t="shared" si="6"/>
        <v>0</v>
      </c>
      <c r="U110" s="84">
        <f t="shared" si="7"/>
        <v>0</v>
      </c>
      <c r="V110" s="32"/>
      <c r="W110" s="46"/>
      <c r="X110" s="32"/>
      <c r="Y110" s="46"/>
      <c r="Z110" s="31"/>
      <c r="AA110" s="110"/>
      <c r="AB110" s="110"/>
      <c r="AC110" s="47"/>
      <c r="AD110" s="47"/>
      <c r="AE110" s="55"/>
      <c r="AF110" s="32"/>
      <c r="AG110" s="49"/>
    </row>
    <row r="111" spans="1:33" s="74" customFormat="1" ht="15" customHeight="1">
      <c r="A111" s="5" t="s">
        <v>136</v>
      </c>
      <c r="B111" s="4" t="s">
        <v>165</v>
      </c>
      <c r="C111" s="346"/>
      <c r="D111" s="2">
        <v>136358</v>
      </c>
      <c r="E111" s="2">
        <v>7</v>
      </c>
      <c r="F111" s="81">
        <f t="shared" si="4"/>
        <v>559646</v>
      </c>
      <c r="G111" s="1">
        <v>569162</v>
      </c>
      <c r="H111" s="32">
        <v>450613</v>
      </c>
      <c r="I111" s="1">
        <v>459428</v>
      </c>
      <c r="J111" s="32">
        <v>9449</v>
      </c>
      <c r="K111" s="1">
        <v>8978</v>
      </c>
      <c r="L111" s="31">
        <v>96982</v>
      </c>
      <c r="M111" s="110">
        <v>0</v>
      </c>
      <c r="N111" s="110">
        <v>2602</v>
      </c>
      <c r="O111" s="1">
        <v>98281</v>
      </c>
      <c r="P111" s="1">
        <v>0</v>
      </c>
      <c r="Q111" s="1">
        <v>2475</v>
      </c>
      <c r="R111" s="32">
        <v>0</v>
      </c>
      <c r="S111" s="1">
        <v>0</v>
      </c>
      <c r="T111" s="83">
        <f t="shared" si="6"/>
        <v>0</v>
      </c>
      <c r="U111" s="84">
        <f t="shared" si="7"/>
        <v>0</v>
      </c>
      <c r="V111" s="32"/>
      <c r="W111" s="46"/>
      <c r="X111" s="32"/>
      <c r="Y111" s="46"/>
      <c r="Z111" s="31"/>
      <c r="AA111" s="110"/>
      <c r="AB111" s="110"/>
      <c r="AC111" s="47"/>
      <c r="AD111" s="47"/>
      <c r="AE111" s="55"/>
      <c r="AF111" s="32"/>
      <c r="AG111" s="49"/>
    </row>
    <row r="112" spans="1:33" s="74" customFormat="1" ht="15" customHeight="1">
      <c r="A112" s="5" t="s">
        <v>136</v>
      </c>
      <c r="B112" s="133" t="s">
        <v>166</v>
      </c>
      <c r="C112" s="346" t="s">
        <v>856</v>
      </c>
      <c r="D112" s="2">
        <v>136400</v>
      </c>
      <c r="E112" s="2">
        <v>8</v>
      </c>
      <c r="F112" s="81">
        <f t="shared" si="4"/>
        <v>222340</v>
      </c>
      <c r="G112" s="1">
        <v>222640</v>
      </c>
      <c r="H112" s="32">
        <v>151084</v>
      </c>
      <c r="I112" s="1">
        <v>144083</v>
      </c>
      <c r="J112" s="32">
        <v>8080</v>
      </c>
      <c r="K112" s="130">
        <v>8879</v>
      </c>
      <c r="L112" s="31">
        <v>63176</v>
      </c>
      <c r="M112" s="110">
        <v>0</v>
      </c>
      <c r="N112" s="110">
        <v>0</v>
      </c>
      <c r="O112" s="130">
        <v>69678</v>
      </c>
      <c r="P112" s="1">
        <v>0</v>
      </c>
      <c r="Q112" s="1">
        <v>0</v>
      </c>
      <c r="R112" s="32">
        <v>0</v>
      </c>
      <c r="S112" s="1">
        <v>0</v>
      </c>
      <c r="T112" s="83">
        <f t="shared" si="6"/>
        <v>0</v>
      </c>
      <c r="U112" s="84">
        <f t="shared" si="7"/>
        <v>0</v>
      </c>
      <c r="V112" s="32"/>
      <c r="W112" s="46"/>
      <c r="X112" s="32"/>
      <c r="Y112" s="46"/>
      <c r="Z112" s="31"/>
      <c r="AA112" s="110"/>
      <c r="AB112" s="110"/>
      <c r="AC112" s="47"/>
      <c r="AD112" s="47"/>
      <c r="AE112" s="55"/>
      <c r="AF112" s="32"/>
      <c r="AG112" s="49"/>
    </row>
    <row r="113" spans="1:33" s="74" customFormat="1" ht="15" customHeight="1">
      <c r="A113" s="5" t="s">
        <v>136</v>
      </c>
      <c r="B113" s="4" t="s">
        <v>167</v>
      </c>
      <c r="C113" s="346"/>
      <c r="D113" s="2">
        <v>136473</v>
      </c>
      <c r="E113" s="134">
        <v>7</v>
      </c>
      <c r="F113" s="81">
        <f t="shared" si="4"/>
        <v>194368</v>
      </c>
      <c r="G113" s="1">
        <v>186906</v>
      </c>
      <c r="H113" s="32">
        <v>134721</v>
      </c>
      <c r="I113" s="130">
        <v>126428</v>
      </c>
      <c r="J113" s="32">
        <v>19776</v>
      </c>
      <c r="K113" s="130">
        <v>17698</v>
      </c>
      <c r="L113" s="31">
        <v>39871</v>
      </c>
      <c r="M113" s="110">
        <v>0</v>
      </c>
      <c r="N113" s="110">
        <v>0</v>
      </c>
      <c r="O113" s="130">
        <v>42768</v>
      </c>
      <c r="P113" s="130">
        <v>12</v>
      </c>
      <c r="Q113" s="1">
        <v>0</v>
      </c>
      <c r="R113" s="32">
        <v>0</v>
      </c>
      <c r="S113" s="1">
        <v>0</v>
      </c>
      <c r="T113" s="83">
        <f t="shared" si="6"/>
        <v>0</v>
      </c>
      <c r="U113" s="84">
        <f t="shared" si="7"/>
        <v>0</v>
      </c>
      <c r="V113" s="32"/>
      <c r="W113" s="46"/>
      <c r="X113" s="32"/>
      <c r="Y113" s="46"/>
      <c r="Z113" s="31"/>
      <c r="AA113" s="110"/>
      <c r="AB113" s="110"/>
      <c r="AC113" s="47"/>
      <c r="AD113" s="47"/>
      <c r="AE113" s="55"/>
      <c r="AF113" s="32"/>
      <c r="AG113" s="49"/>
    </row>
    <row r="114" spans="1:33" s="74" customFormat="1" ht="15" customHeight="1">
      <c r="A114" s="5" t="s">
        <v>136</v>
      </c>
      <c r="B114" s="4" t="s">
        <v>168</v>
      </c>
      <c r="C114" s="346"/>
      <c r="D114" s="2">
        <v>136516</v>
      </c>
      <c r="E114" s="2">
        <v>7</v>
      </c>
      <c r="F114" s="81">
        <f t="shared" si="4"/>
        <v>216555</v>
      </c>
      <c r="G114" s="1">
        <v>203929</v>
      </c>
      <c r="H114" s="32">
        <v>138215</v>
      </c>
      <c r="I114" s="130">
        <v>120338</v>
      </c>
      <c r="J114" s="32">
        <v>18674</v>
      </c>
      <c r="K114" s="130">
        <v>21365</v>
      </c>
      <c r="L114" s="31">
        <v>59666</v>
      </c>
      <c r="M114" s="110">
        <v>0</v>
      </c>
      <c r="N114" s="110">
        <v>0</v>
      </c>
      <c r="O114" s="1">
        <v>62226</v>
      </c>
      <c r="P114" s="1">
        <v>0</v>
      </c>
      <c r="Q114" s="1">
        <v>0</v>
      </c>
      <c r="R114" s="32">
        <v>0</v>
      </c>
      <c r="S114" s="1">
        <v>0</v>
      </c>
      <c r="T114" s="83">
        <f t="shared" si="6"/>
        <v>0</v>
      </c>
      <c r="U114" s="84">
        <f t="shared" si="7"/>
        <v>0</v>
      </c>
      <c r="V114" s="32"/>
      <c r="W114" s="46"/>
      <c r="X114" s="32"/>
      <c r="Y114" s="46"/>
      <c r="Z114" s="31"/>
      <c r="AA114" s="110"/>
      <c r="AB114" s="110"/>
      <c r="AC114" s="47"/>
      <c r="AD114" s="47"/>
      <c r="AE114" s="55"/>
      <c r="AF114" s="32"/>
      <c r="AG114" s="49"/>
    </row>
    <row r="115" spans="1:33" s="74" customFormat="1" ht="15" customHeight="1">
      <c r="A115" s="5" t="s">
        <v>136</v>
      </c>
      <c r="B115" s="4" t="s">
        <v>169</v>
      </c>
      <c r="C115" s="346"/>
      <c r="D115" s="2">
        <v>137281</v>
      </c>
      <c r="E115" s="2">
        <v>7</v>
      </c>
      <c r="F115" s="81">
        <f t="shared" si="4"/>
        <v>134115</v>
      </c>
      <c r="G115" s="1">
        <v>129077</v>
      </c>
      <c r="H115" s="32">
        <v>84481</v>
      </c>
      <c r="I115" s="130">
        <v>78729</v>
      </c>
      <c r="J115" s="32">
        <v>14474</v>
      </c>
      <c r="K115" s="1">
        <v>14969</v>
      </c>
      <c r="L115" s="31">
        <v>35160</v>
      </c>
      <c r="M115" s="110">
        <v>0</v>
      </c>
      <c r="N115" s="110">
        <v>0</v>
      </c>
      <c r="O115" s="1">
        <v>35379</v>
      </c>
      <c r="P115" s="1">
        <v>0</v>
      </c>
      <c r="Q115" s="1">
        <v>0</v>
      </c>
      <c r="R115" s="32">
        <v>0</v>
      </c>
      <c r="S115" s="1">
        <v>0</v>
      </c>
      <c r="T115" s="83">
        <f t="shared" si="6"/>
        <v>0</v>
      </c>
      <c r="U115" s="84">
        <f t="shared" si="7"/>
        <v>0</v>
      </c>
      <c r="V115" s="32"/>
      <c r="W115" s="46"/>
      <c r="X115" s="32"/>
      <c r="Y115" s="46"/>
      <c r="Z115" s="31"/>
      <c r="AA115" s="110"/>
      <c r="AB115" s="110"/>
      <c r="AC115" s="47"/>
      <c r="AD115" s="47"/>
      <c r="AE115" s="55"/>
      <c r="AF115" s="32"/>
      <c r="AG115" s="49"/>
    </row>
    <row r="116" spans="1:33" s="74" customFormat="1" ht="15" customHeight="1">
      <c r="A116" s="5" t="s">
        <v>136</v>
      </c>
      <c r="B116" s="4" t="s">
        <v>170</v>
      </c>
      <c r="C116" s="346"/>
      <c r="D116" s="2">
        <v>137078</v>
      </c>
      <c r="E116" s="2">
        <v>7</v>
      </c>
      <c r="F116" s="81">
        <f t="shared" si="4"/>
        <v>610245</v>
      </c>
      <c r="G116" s="1">
        <v>582703</v>
      </c>
      <c r="H116" s="32">
        <v>359733</v>
      </c>
      <c r="I116" s="130">
        <v>337510</v>
      </c>
      <c r="J116" s="32">
        <v>0</v>
      </c>
      <c r="K116" s="1">
        <v>0</v>
      </c>
      <c r="L116" s="31">
        <v>250408</v>
      </c>
      <c r="M116" s="110">
        <v>96</v>
      </c>
      <c r="N116" s="110">
        <v>0</v>
      </c>
      <c r="O116" s="1">
        <v>245193</v>
      </c>
      <c r="P116" s="130">
        <v>0</v>
      </c>
      <c r="Q116" s="1">
        <v>0</v>
      </c>
      <c r="R116" s="32">
        <v>8</v>
      </c>
      <c r="S116" s="130">
        <v>0</v>
      </c>
      <c r="T116" s="83">
        <f t="shared" si="6"/>
        <v>0</v>
      </c>
      <c r="U116" s="84">
        <f t="shared" si="7"/>
        <v>0</v>
      </c>
      <c r="V116" s="32"/>
      <c r="W116" s="46"/>
      <c r="X116" s="32"/>
      <c r="Y116" s="46"/>
      <c r="Z116" s="31"/>
      <c r="AA116" s="110"/>
      <c r="AB116" s="110"/>
      <c r="AC116" s="47"/>
      <c r="AD116" s="47"/>
      <c r="AE116" s="55"/>
      <c r="AF116" s="32"/>
      <c r="AG116" s="49"/>
    </row>
    <row r="117" spans="1:33" s="74" customFormat="1" ht="15" customHeight="1">
      <c r="A117" s="5" t="s">
        <v>136</v>
      </c>
      <c r="B117" s="4" t="s">
        <v>171</v>
      </c>
      <c r="C117" s="346"/>
      <c r="D117" s="2">
        <v>137096</v>
      </c>
      <c r="E117" s="134">
        <v>7</v>
      </c>
      <c r="F117" s="81">
        <f t="shared" si="4"/>
        <v>312710</v>
      </c>
      <c r="G117" s="1">
        <v>315827</v>
      </c>
      <c r="H117" s="32">
        <v>237913</v>
      </c>
      <c r="I117" s="1">
        <v>237581</v>
      </c>
      <c r="J117" s="32">
        <v>3878</v>
      </c>
      <c r="K117" s="1">
        <v>3809</v>
      </c>
      <c r="L117" s="31">
        <v>70919</v>
      </c>
      <c r="M117" s="110">
        <v>0</v>
      </c>
      <c r="N117" s="110">
        <v>0</v>
      </c>
      <c r="O117" s="1">
        <v>74437</v>
      </c>
      <c r="P117" s="1">
        <v>0</v>
      </c>
      <c r="Q117" s="1">
        <v>0</v>
      </c>
      <c r="R117" s="32">
        <v>0</v>
      </c>
      <c r="S117" s="1">
        <v>0</v>
      </c>
      <c r="T117" s="83">
        <f t="shared" si="6"/>
        <v>0</v>
      </c>
      <c r="U117" s="84">
        <f t="shared" si="7"/>
        <v>0</v>
      </c>
      <c r="V117" s="32"/>
      <c r="W117" s="46"/>
      <c r="X117" s="32"/>
      <c r="Y117" s="46"/>
      <c r="Z117" s="31"/>
      <c r="AA117" s="110"/>
      <c r="AB117" s="110"/>
      <c r="AC117" s="47"/>
      <c r="AD117" s="47"/>
      <c r="AE117" s="55"/>
      <c r="AF117" s="32"/>
      <c r="AG117" s="49"/>
    </row>
    <row r="118" spans="1:33" s="74" customFormat="1" ht="15" customHeight="1">
      <c r="A118" s="5" t="s">
        <v>136</v>
      </c>
      <c r="B118" s="4" t="s">
        <v>172</v>
      </c>
      <c r="C118" s="346"/>
      <c r="D118" s="2">
        <v>137209</v>
      </c>
      <c r="E118" s="134">
        <v>7</v>
      </c>
      <c r="F118" s="81">
        <f t="shared" si="4"/>
        <v>346111</v>
      </c>
      <c r="G118" s="1">
        <v>335487</v>
      </c>
      <c r="H118" s="32">
        <v>247064</v>
      </c>
      <c r="I118" s="130">
        <v>228327</v>
      </c>
      <c r="J118" s="32">
        <v>0</v>
      </c>
      <c r="K118" s="1">
        <v>0</v>
      </c>
      <c r="L118" s="31">
        <v>99047</v>
      </c>
      <c r="M118" s="110">
        <v>0</v>
      </c>
      <c r="N118" s="110">
        <v>0</v>
      </c>
      <c r="O118" s="130">
        <v>107160</v>
      </c>
      <c r="P118" s="1">
        <v>0</v>
      </c>
      <c r="Q118" s="1">
        <v>0</v>
      </c>
      <c r="R118" s="32">
        <v>0</v>
      </c>
      <c r="S118" s="1">
        <v>0</v>
      </c>
      <c r="T118" s="83">
        <f t="shared" si="6"/>
        <v>0</v>
      </c>
      <c r="U118" s="84">
        <f t="shared" si="7"/>
        <v>0</v>
      </c>
      <c r="V118" s="32"/>
      <c r="W118" s="46"/>
      <c r="X118" s="32"/>
      <c r="Y118" s="46"/>
      <c r="Z118" s="31"/>
      <c r="AA118" s="110"/>
      <c r="AB118" s="110"/>
      <c r="AC118" s="47"/>
      <c r="AD118" s="47"/>
      <c r="AE118" s="55"/>
      <c r="AF118" s="32"/>
      <c r="AG118" s="49"/>
    </row>
    <row r="119" spans="1:33" s="74" customFormat="1" ht="15" customHeight="1">
      <c r="A119" s="5" t="s">
        <v>136</v>
      </c>
      <c r="B119" s="4" t="s">
        <v>173</v>
      </c>
      <c r="C119" s="346" t="s">
        <v>853</v>
      </c>
      <c r="D119" s="2">
        <v>137315</v>
      </c>
      <c r="E119" s="2">
        <v>9</v>
      </c>
      <c r="F119" s="81">
        <f t="shared" si="4"/>
        <v>45873</v>
      </c>
      <c r="G119" s="1">
        <v>45615</v>
      </c>
      <c r="H119" s="32">
        <v>25927</v>
      </c>
      <c r="I119" s="1">
        <v>26365</v>
      </c>
      <c r="J119" s="32">
        <v>10326</v>
      </c>
      <c r="K119" s="130">
        <v>9683</v>
      </c>
      <c r="L119" s="31">
        <v>8562</v>
      </c>
      <c r="M119" s="110">
        <v>1003</v>
      </c>
      <c r="N119" s="110">
        <v>55</v>
      </c>
      <c r="O119" s="130">
        <v>9157</v>
      </c>
      <c r="P119" s="130">
        <v>358</v>
      </c>
      <c r="Q119" s="130">
        <v>52</v>
      </c>
      <c r="R119" s="32">
        <v>0</v>
      </c>
      <c r="S119" s="1">
        <v>0</v>
      </c>
      <c r="T119" s="83">
        <f t="shared" si="6"/>
        <v>0</v>
      </c>
      <c r="U119" s="84">
        <f t="shared" si="7"/>
        <v>0</v>
      </c>
      <c r="V119" s="32"/>
      <c r="W119" s="46"/>
      <c r="X119" s="32"/>
      <c r="Y119" s="46"/>
      <c r="Z119" s="31"/>
      <c r="AA119" s="110"/>
      <c r="AB119" s="110"/>
      <c r="AC119" s="47"/>
      <c r="AD119" s="47"/>
      <c r="AE119" s="55"/>
      <c r="AF119" s="32"/>
      <c r="AG119" s="49"/>
    </row>
    <row r="120" spans="1:33" s="74" customFormat="1" ht="15" customHeight="1">
      <c r="A120" s="5" t="s">
        <v>136</v>
      </c>
      <c r="B120" s="4" t="s">
        <v>174</v>
      </c>
      <c r="C120" s="3"/>
      <c r="D120" s="2">
        <v>137759</v>
      </c>
      <c r="E120" s="2">
        <v>8</v>
      </c>
      <c r="F120" s="81">
        <f t="shared" si="4"/>
        <v>270629</v>
      </c>
      <c r="G120" s="1">
        <v>266020</v>
      </c>
      <c r="H120" s="32">
        <v>212349</v>
      </c>
      <c r="I120" s="1">
        <v>202267</v>
      </c>
      <c r="J120" s="32">
        <v>10232</v>
      </c>
      <c r="K120" s="1">
        <v>9953</v>
      </c>
      <c r="L120" s="31">
        <v>48048</v>
      </c>
      <c r="M120" s="110">
        <v>0</v>
      </c>
      <c r="N120" s="110">
        <v>0</v>
      </c>
      <c r="O120" s="130">
        <v>53800</v>
      </c>
      <c r="P120" s="1">
        <v>0</v>
      </c>
      <c r="Q120" s="1">
        <v>0</v>
      </c>
      <c r="R120" s="32">
        <v>0</v>
      </c>
      <c r="S120" s="1">
        <v>0</v>
      </c>
      <c r="T120" s="83">
        <f t="shared" si="6"/>
        <v>0</v>
      </c>
      <c r="U120" s="84">
        <f t="shared" si="7"/>
        <v>0</v>
      </c>
      <c r="V120" s="32"/>
      <c r="W120" s="46"/>
      <c r="X120" s="32"/>
      <c r="Y120" s="46"/>
      <c r="Z120" s="31"/>
      <c r="AA120" s="110"/>
      <c r="AB120" s="110"/>
      <c r="AC120" s="47"/>
      <c r="AD120" s="47"/>
      <c r="AE120" s="55"/>
      <c r="AF120" s="32"/>
      <c r="AG120" s="49"/>
    </row>
    <row r="121" spans="1:33" s="74" customFormat="1" ht="15" customHeight="1">
      <c r="A121" s="5" t="s">
        <v>136</v>
      </c>
      <c r="B121" s="4" t="s">
        <v>175</v>
      </c>
      <c r="C121" s="131"/>
      <c r="D121" s="2">
        <v>138187</v>
      </c>
      <c r="E121" s="132">
        <v>7</v>
      </c>
      <c r="F121" s="81">
        <f t="shared" si="4"/>
        <v>894544</v>
      </c>
      <c r="G121" s="1">
        <v>900907</v>
      </c>
      <c r="H121" s="32">
        <v>648466</v>
      </c>
      <c r="I121" s="1">
        <v>636598</v>
      </c>
      <c r="J121" s="32">
        <v>17467</v>
      </c>
      <c r="K121" s="130">
        <v>21358</v>
      </c>
      <c r="L121" s="31">
        <v>228611</v>
      </c>
      <c r="M121" s="110">
        <v>0</v>
      </c>
      <c r="N121" s="110">
        <v>0</v>
      </c>
      <c r="O121" s="130">
        <v>242951</v>
      </c>
      <c r="P121" s="1">
        <v>0</v>
      </c>
      <c r="Q121" s="1">
        <v>0</v>
      </c>
      <c r="R121" s="32">
        <v>0</v>
      </c>
      <c r="S121" s="1">
        <v>0</v>
      </c>
      <c r="T121" s="83">
        <f t="shared" si="6"/>
        <v>0</v>
      </c>
      <c r="U121" s="84">
        <f t="shared" si="7"/>
        <v>0</v>
      </c>
      <c r="V121" s="32"/>
      <c r="W121" s="46"/>
      <c r="X121" s="32"/>
      <c r="Y121" s="46"/>
      <c r="Z121" s="31"/>
      <c r="AA121" s="110"/>
      <c r="AB121" s="110"/>
      <c r="AC121" s="47"/>
      <c r="AD121" s="47"/>
      <c r="AE121" s="55"/>
      <c r="AF121" s="32"/>
      <c r="AG121" s="49"/>
    </row>
    <row r="122" spans="1:33" s="74" customFormat="1" ht="13.5" customHeight="1">
      <c r="A122" s="135" t="s">
        <v>176</v>
      </c>
      <c r="B122" s="136" t="s">
        <v>177</v>
      </c>
      <c r="C122" s="137"/>
      <c r="D122" s="138" t="s">
        <v>178</v>
      </c>
      <c r="E122" s="139">
        <v>1</v>
      </c>
      <c r="F122" s="81">
        <f t="shared" si="4"/>
        <v>666994</v>
      </c>
      <c r="G122" s="140">
        <v>1093614.5</v>
      </c>
      <c r="H122" s="32">
        <v>611168</v>
      </c>
      <c r="I122" s="141">
        <v>901399.5</v>
      </c>
      <c r="J122" s="32">
        <v>7243</v>
      </c>
      <c r="K122" s="141">
        <v>11156</v>
      </c>
      <c r="L122" s="31">
        <v>48565</v>
      </c>
      <c r="M122" s="110"/>
      <c r="N122" s="110">
        <v>18</v>
      </c>
      <c r="O122" s="141">
        <v>181059</v>
      </c>
      <c r="P122" s="140">
        <v>0</v>
      </c>
      <c r="Q122" s="141">
        <v>0</v>
      </c>
      <c r="R122" s="32"/>
      <c r="S122" s="140">
        <v>0</v>
      </c>
      <c r="T122" s="83">
        <f t="shared" si="6"/>
        <v>227395</v>
      </c>
      <c r="U122" s="140">
        <v>225897</v>
      </c>
      <c r="V122" s="32">
        <v>193663</v>
      </c>
      <c r="W122" s="141">
        <v>143032.5</v>
      </c>
      <c r="X122" s="32">
        <v>23433</v>
      </c>
      <c r="Y122" s="141">
        <v>72570.5</v>
      </c>
      <c r="Z122" s="31">
        <v>10289</v>
      </c>
      <c r="AA122" s="110"/>
      <c r="AB122" s="32">
        <v>10</v>
      </c>
      <c r="AC122" s="142">
        <v>10294</v>
      </c>
      <c r="AD122" s="142">
        <v>0</v>
      </c>
      <c r="AE122" s="141">
        <v>0</v>
      </c>
      <c r="AF122" s="32"/>
      <c r="AG122" s="142">
        <v>0</v>
      </c>
    </row>
    <row r="123" spans="1:33">
      <c r="A123" s="135" t="s">
        <v>176</v>
      </c>
      <c r="B123" s="143" t="s">
        <v>179</v>
      </c>
      <c r="C123" s="137"/>
      <c r="D123" s="138" t="s">
        <v>180</v>
      </c>
      <c r="E123" s="139">
        <v>1</v>
      </c>
      <c r="F123" s="81">
        <f t="shared" si="4"/>
        <v>785409</v>
      </c>
      <c r="G123" s="140">
        <v>802634.4</v>
      </c>
      <c r="H123" s="32">
        <v>746961</v>
      </c>
      <c r="I123" s="140">
        <v>749903.4</v>
      </c>
      <c r="J123" s="32">
        <v>19690</v>
      </c>
      <c r="K123" s="140">
        <v>20526</v>
      </c>
      <c r="L123" s="31">
        <v>18758</v>
      </c>
      <c r="M123" s="110"/>
      <c r="N123" s="110"/>
      <c r="O123" s="141">
        <v>32205</v>
      </c>
      <c r="P123" s="140">
        <v>0</v>
      </c>
      <c r="Q123" s="140">
        <v>0</v>
      </c>
      <c r="R123" s="32"/>
      <c r="S123" s="140">
        <v>0</v>
      </c>
      <c r="T123" s="83">
        <f t="shared" si="6"/>
        <v>251981</v>
      </c>
      <c r="U123" s="140">
        <v>261769.8</v>
      </c>
      <c r="V123" s="32">
        <v>209439</v>
      </c>
      <c r="W123" s="140">
        <v>214839.6</v>
      </c>
      <c r="X123" s="32">
        <v>33527</v>
      </c>
      <c r="Y123" s="141">
        <v>35639.699999999997</v>
      </c>
      <c r="Z123" s="31">
        <v>9015</v>
      </c>
      <c r="AA123" s="110"/>
      <c r="AB123" s="32"/>
      <c r="AC123" s="144">
        <v>11290.5</v>
      </c>
      <c r="AD123" s="142">
        <v>0</v>
      </c>
      <c r="AE123" s="140">
        <v>0</v>
      </c>
      <c r="AF123" s="32"/>
      <c r="AG123" s="142">
        <v>0</v>
      </c>
    </row>
    <row r="124" spans="1:33">
      <c r="A124" s="135" t="s">
        <v>176</v>
      </c>
      <c r="B124" s="143" t="s">
        <v>181</v>
      </c>
      <c r="C124" s="137"/>
      <c r="D124" s="138" t="s">
        <v>182</v>
      </c>
      <c r="E124" s="139">
        <v>2</v>
      </c>
      <c r="F124" s="81">
        <f t="shared" si="4"/>
        <v>433619</v>
      </c>
      <c r="G124" s="140">
        <v>437645</v>
      </c>
      <c r="H124" s="32">
        <v>415462</v>
      </c>
      <c r="I124" s="140">
        <v>417829</v>
      </c>
      <c r="J124" s="32">
        <v>14031</v>
      </c>
      <c r="K124" s="140">
        <v>14243</v>
      </c>
      <c r="L124" s="31">
        <v>4126</v>
      </c>
      <c r="M124" s="110"/>
      <c r="N124" s="110"/>
      <c r="O124" s="141">
        <v>5573</v>
      </c>
      <c r="P124" s="140">
        <v>0</v>
      </c>
      <c r="Q124" s="140">
        <v>0</v>
      </c>
      <c r="R124" s="32"/>
      <c r="S124" s="140">
        <v>0</v>
      </c>
      <c r="T124" s="83">
        <f t="shared" si="6"/>
        <v>262428</v>
      </c>
      <c r="U124" s="140">
        <v>278585.5</v>
      </c>
      <c r="V124" s="32">
        <v>232458</v>
      </c>
      <c r="W124" s="141">
        <v>245059.5</v>
      </c>
      <c r="X124" s="32">
        <v>3332</v>
      </c>
      <c r="Y124" s="141">
        <v>2686</v>
      </c>
      <c r="Z124" s="31">
        <v>26611</v>
      </c>
      <c r="AA124" s="110"/>
      <c r="AB124" s="32">
        <v>27</v>
      </c>
      <c r="AC124" s="144">
        <v>30840</v>
      </c>
      <c r="AD124" s="142">
        <v>0</v>
      </c>
      <c r="AE124" s="141">
        <v>0</v>
      </c>
      <c r="AF124" s="32"/>
      <c r="AG124" s="142">
        <v>0</v>
      </c>
    </row>
    <row r="125" spans="1:33">
      <c r="A125" s="135" t="s">
        <v>176</v>
      </c>
      <c r="B125" s="143" t="s">
        <v>183</v>
      </c>
      <c r="C125" s="137"/>
      <c r="D125" s="138" t="s">
        <v>184</v>
      </c>
      <c r="E125" s="139">
        <v>3</v>
      </c>
      <c r="F125" s="81">
        <f t="shared" si="4"/>
        <v>514037</v>
      </c>
      <c r="G125" s="140">
        <v>520422</v>
      </c>
      <c r="H125" s="32">
        <v>433117</v>
      </c>
      <c r="I125" s="140">
        <v>431732</v>
      </c>
      <c r="J125" s="32">
        <v>4107</v>
      </c>
      <c r="K125" s="141">
        <v>4571</v>
      </c>
      <c r="L125" s="31">
        <v>76696</v>
      </c>
      <c r="M125" s="110"/>
      <c r="N125" s="110">
        <v>117</v>
      </c>
      <c r="O125" s="141">
        <v>84094</v>
      </c>
      <c r="P125" s="140">
        <v>0</v>
      </c>
      <c r="Q125" s="141">
        <v>25</v>
      </c>
      <c r="R125" s="32"/>
      <c r="S125" s="140">
        <v>0</v>
      </c>
      <c r="T125" s="83">
        <f t="shared" si="6"/>
        <v>43801</v>
      </c>
      <c r="U125" s="140">
        <v>46180</v>
      </c>
      <c r="V125" s="32">
        <v>17595</v>
      </c>
      <c r="W125" s="140">
        <v>18251</v>
      </c>
      <c r="X125" s="32">
        <v>621</v>
      </c>
      <c r="Y125" s="141">
        <v>802</v>
      </c>
      <c r="Z125" s="31">
        <v>25576</v>
      </c>
      <c r="AA125" s="110"/>
      <c r="AB125" s="32">
        <v>9</v>
      </c>
      <c r="AC125" s="144">
        <v>27124</v>
      </c>
      <c r="AD125" s="142">
        <v>0</v>
      </c>
      <c r="AE125" s="141">
        <v>3</v>
      </c>
      <c r="AF125" s="32"/>
      <c r="AG125" s="142">
        <v>0</v>
      </c>
    </row>
    <row r="126" spans="1:33">
      <c r="A126" s="135" t="s">
        <v>176</v>
      </c>
      <c r="B126" s="143" t="s">
        <v>185</v>
      </c>
      <c r="C126" s="145"/>
      <c r="D126" s="138" t="s">
        <v>186</v>
      </c>
      <c r="E126" s="146">
        <v>3</v>
      </c>
      <c r="F126" s="81">
        <f t="shared" si="4"/>
        <v>787879</v>
      </c>
      <c r="G126" s="140">
        <v>825733</v>
      </c>
      <c r="H126" s="147">
        <v>626881</v>
      </c>
      <c r="I126" s="140">
        <v>646648</v>
      </c>
      <c r="J126" s="147">
        <v>6105</v>
      </c>
      <c r="K126" s="141">
        <v>1399</v>
      </c>
      <c r="L126" s="148">
        <v>151349</v>
      </c>
      <c r="M126" s="148"/>
      <c r="N126" s="148">
        <v>1067</v>
      </c>
      <c r="O126" s="141">
        <v>177686</v>
      </c>
      <c r="P126" s="140">
        <v>0</v>
      </c>
      <c r="Q126" s="141">
        <v>0</v>
      </c>
      <c r="R126" s="147">
        <v>2477</v>
      </c>
      <c r="S126" s="141">
        <v>0</v>
      </c>
      <c r="T126" s="83">
        <f t="shared" si="6"/>
        <v>51961</v>
      </c>
      <c r="U126" s="140">
        <v>49519</v>
      </c>
      <c r="V126" s="147">
        <v>25379</v>
      </c>
      <c r="W126" s="141">
        <v>22712</v>
      </c>
      <c r="X126" s="147">
        <v>1066</v>
      </c>
      <c r="Y126" s="141">
        <v>380</v>
      </c>
      <c r="Z126" s="148">
        <v>25222</v>
      </c>
      <c r="AA126" s="148"/>
      <c r="AB126" s="147">
        <v>54</v>
      </c>
      <c r="AC126" s="142">
        <v>26427</v>
      </c>
      <c r="AD126" s="142">
        <v>0</v>
      </c>
      <c r="AE126" s="141">
        <v>0</v>
      </c>
      <c r="AF126" s="147">
        <v>240</v>
      </c>
      <c r="AG126" s="144">
        <v>0</v>
      </c>
    </row>
    <row r="127" spans="1:33">
      <c r="A127" s="135" t="s">
        <v>176</v>
      </c>
      <c r="B127" s="143" t="s">
        <v>187</v>
      </c>
      <c r="C127" s="137"/>
      <c r="D127" s="138" t="s">
        <v>188</v>
      </c>
      <c r="E127" s="139">
        <v>3</v>
      </c>
      <c r="F127" s="81">
        <f t="shared" si="4"/>
        <v>286449</v>
      </c>
      <c r="G127" s="140">
        <v>300804</v>
      </c>
      <c r="H127" s="32">
        <v>207791</v>
      </c>
      <c r="I127" s="140">
        <v>206474</v>
      </c>
      <c r="J127" s="32">
        <v>8081</v>
      </c>
      <c r="K127" s="141">
        <v>10439</v>
      </c>
      <c r="L127" s="31">
        <v>70577</v>
      </c>
      <c r="M127" s="110"/>
      <c r="N127" s="110"/>
      <c r="O127" s="141">
        <v>83891</v>
      </c>
      <c r="P127" s="140">
        <v>0</v>
      </c>
      <c r="Q127" s="140">
        <v>0</v>
      </c>
      <c r="R127" s="32"/>
      <c r="S127" s="140">
        <v>0</v>
      </c>
      <c r="T127" s="83">
        <f t="shared" si="6"/>
        <v>35308</v>
      </c>
      <c r="U127" s="140">
        <v>36455</v>
      </c>
      <c r="V127" s="32">
        <v>8038</v>
      </c>
      <c r="W127" s="141">
        <v>7459</v>
      </c>
      <c r="X127" s="32">
        <v>730</v>
      </c>
      <c r="Y127" s="141">
        <v>674</v>
      </c>
      <c r="Z127" s="31">
        <v>26540</v>
      </c>
      <c r="AA127" s="110"/>
      <c r="AB127" s="32"/>
      <c r="AC127" s="144">
        <v>28322</v>
      </c>
      <c r="AD127" s="142">
        <v>0</v>
      </c>
      <c r="AE127" s="140">
        <v>0</v>
      </c>
      <c r="AF127" s="32"/>
      <c r="AG127" s="142">
        <v>0</v>
      </c>
    </row>
    <row r="128" spans="1:33">
      <c r="A128" s="135" t="s">
        <v>176</v>
      </c>
      <c r="B128" s="143" t="s">
        <v>189</v>
      </c>
      <c r="C128" s="137"/>
      <c r="D128" s="138" t="s">
        <v>190</v>
      </c>
      <c r="E128" s="139">
        <v>3</v>
      </c>
      <c r="F128" s="81">
        <f t="shared" si="4"/>
        <v>245830</v>
      </c>
      <c r="G128" s="140">
        <v>239907</v>
      </c>
      <c r="H128" s="32">
        <v>208800</v>
      </c>
      <c r="I128" s="141">
        <v>197812</v>
      </c>
      <c r="J128" s="32">
        <v>3175</v>
      </c>
      <c r="K128" s="141">
        <v>2503</v>
      </c>
      <c r="L128" s="31">
        <v>33513</v>
      </c>
      <c r="M128" s="110">
        <v>342</v>
      </c>
      <c r="N128" s="110"/>
      <c r="O128" s="141">
        <v>39364</v>
      </c>
      <c r="P128" s="141">
        <v>228</v>
      </c>
      <c r="Q128" s="140">
        <v>0</v>
      </c>
      <c r="R128" s="32"/>
      <c r="S128" s="140">
        <v>0</v>
      </c>
      <c r="T128" s="83">
        <f t="shared" si="6"/>
        <v>43671</v>
      </c>
      <c r="U128" s="140">
        <v>47071</v>
      </c>
      <c r="V128" s="32">
        <v>14760</v>
      </c>
      <c r="W128" s="140">
        <v>14054</v>
      </c>
      <c r="X128" s="32">
        <v>902</v>
      </c>
      <c r="Y128" s="140">
        <v>928</v>
      </c>
      <c r="Z128" s="31">
        <v>27991</v>
      </c>
      <c r="AA128" s="110">
        <v>18</v>
      </c>
      <c r="AB128" s="32"/>
      <c r="AC128" s="144">
        <v>32071</v>
      </c>
      <c r="AD128" s="142">
        <v>18</v>
      </c>
      <c r="AE128" s="140">
        <v>0</v>
      </c>
      <c r="AF128" s="32"/>
      <c r="AG128" s="142">
        <v>0</v>
      </c>
    </row>
    <row r="129" spans="1:33">
      <c r="A129" s="135" t="s">
        <v>176</v>
      </c>
      <c r="B129" s="143" t="s">
        <v>191</v>
      </c>
      <c r="C129" s="137"/>
      <c r="D129" s="138" t="s">
        <v>192</v>
      </c>
      <c r="E129" s="139">
        <v>4</v>
      </c>
      <c r="F129" s="81">
        <f t="shared" si="4"/>
        <v>86033</v>
      </c>
      <c r="G129" s="140">
        <v>74123</v>
      </c>
      <c r="H129" s="32">
        <v>68435</v>
      </c>
      <c r="I129" s="141">
        <v>58209</v>
      </c>
      <c r="J129" s="32">
        <v>1859</v>
      </c>
      <c r="K129" s="141">
        <v>1336</v>
      </c>
      <c r="L129" s="31">
        <v>14856</v>
      </c>
      <c r="M129" s="110">
        <v>124</v>
      </c>
      <c r="N129" s="110">
        <v>759</v>
      </c>
      <c r="O129" s="141">
        <v>13950</v>
      </c>
      <c r="P129" s="141">
        <v>380</v>
      </c>
      <c r="Q129" s="141">
        <v>248</v>
      </c>
      <c r="R129" s="32"/>
      <c r="S129" s="140">
        <v>0</v>
      </c>
      <c r="T129" s="83">
        <f t="shared" si="6"/>
        <v>8768</v>
      </c>
      <c r="U129" s="140">
        <v>8469</v>
      </c>
      <c r="V129" s="32">
        <v>4934</v>
      </c>
      <c r="W129" s="141">
        <v>4591</v>
      </c>
      <c r="X129" s="32">
        <v>309</v>
      </c>
      <c r="Y129" s="141">
        <v>459</v>
      </c>
      <c r="Z129" s="31">
        <v>3525</v>
      </c>
      <c r="AA129" s="110"/>
      <c r="AB129" s="32"/>
      <c r="AC129" s="142">
        <v>3395</v>
      </c>
      <c r="AD129" s="142">
        <v>0</v>
      </c>
      <c r="AE129" s="141">
        <v>24</v>
      </c>
      <c r="AF129" s="32"/>
      <c r="AG129" s="142">
        <v>0</v>
      </c>
    </row>
    <row r="130" spans="1:33">
      <c r="A130" s="135" t="s">
        <v>176</v>
      </c>
      <c r="B130" s="136" t="s">
        <v>193</v>
      </c>
      <c r="C130" s="137"/>
      <c r="D130" s="138" t="s">
        <v>194</v>
      </c>
      <c r="E130" s="139">
        <v>4</v>
      </c>
      <c r="F130" s="81">
        <f t="shared" si="4"/>
        <v>165478</v>
      </c>
      <c r="G130" s="140">
        <v>166754</v>
      </c>
      <c r="H130" s="32">
        <v>140585</v>
      </c>
      <c r="I130" s="140">
        <v>136833</v>
      </c>
      <c r="J130" s="32">
        <v>6266</v>
      </c>
      <c r="K130" s="141">
        <v>6905</v>
      </c>
      <c r="L130" s="31">
        <v>18627</v>
      </c>
      <c r="M130" s="110"/>
      <c r="N130" s="110"/>
      <c r="O130" s="141">
        <v>23016</v>
      </c>
      <c r="P130" s="140">
        <v>0</v>
      </c>
      <c r="Q130" s="140">
        <v>0</v>
      </c>
      <c r="R130" s="32"/>
      <c r="S130" s="140">
        <v>0</v>
      </c>
      <c r="T130" s="83">
        <f t="shared" si="6"/>
        <v>15222</v>
      </c>
      <c r="U130" s="140">
        <v>15698</v>
      </c>
      <c r="V130" s="32">
        <v>11491</v>
      </c>
      <c r="W130" s="140">
        <v>11839</v>
      </c>
      <c r="X130" s="32">
        <v>0</v>
      </c>
      <c r="Y130" s="140">
        <v>0</v>
      </c>
      <c r="Z130" s="31">
        <v>3731</v>
      </c>
      <c r="AA130" s="110"/>
      <c r="AB130" s="32"/>
      <c r="AC130" s="142">
        <v>3859</v>
      </c>
      <c r="AD130" s="142">
        <v>0</v>
      </c>
      <c r="AE130" s="140">
        <v>0</v>
      </c>
      <c r="AF130" s="32"/>
      <c r="AG130" s="142">
        <v>0</v>
      </c>
    </row>
    <row r="131" spans="1:33">
      <c r="A131" s="135" t="s">
        <v>176</v>
      </c>
      <c r="B131" s="143" t="s">
        <v>195</v>
      </c>
      <c r="C131" s="145"/>
      <c r="D131" s="138" t="s">
        <v>196</v>
      </c>
      <c r="E131" s="146">
        <v>4</v>
      </c>
      <c r="F131" s="81">
        <f t="shared" si="4"/>
        <v>153972</v>
      </c>
      <c r="G131" s="140">
        <v>154812</v>
      </c>
      <c r="H131" s="32">
        <v>115246</v>
      </c>
      <c r="I131" s="141">
        <v>106615</v>
      </c>
      <c r="J131" s="32">
        <v>3657</v>
      </c>
      <c r="K131" s="141">
        <v>4616</v>
      </c>
      <c r="L131" s="31">
        <v>35069</v>
      </c>
      <c r="M131" s="110"/>
      <c r="N131" s="110"/>
      <c r="O131" s="141">
        <v>43581</v>
      </c>
      <c r="P131" s="140">
        <v>0</v>
      </c>
      <c r="Q131" s="140">
        <v>0</v>
      </c>
      <c r="R131" s="32"/>
      <c r="S131" s="140">
        <v>0</v>
      </c>
      <c r="T131" s="83">
        <f t="shared" si="6"/>
        <v>7279</v>
      </c>
      <c r="U131" s="140">
        <v>7988</v>
      </c>
      <c r="V131" s="32">
        <v>5298</v>
      </c>
      <c r="W131" s="141">
        <v>5910</v>
      </c>
      <c r="X131" s="32">
        <v>277</v>
      </c>
      <c r="Y131" s="141">
        <v>167</v>
      </c>
      <c r="Z131" s="31">
        <v>1704</v>
      </c>
      <c r="AA131" s="110"/>
      <c r="AB131" s="32"/>
      <c r="AC131" s="144">
        <v>1911</v>
      </c>
      <c r="AD131" s="142">
        <v>0</v>
      </c>
      <c r="AE131" s="140">
        <v>0</v>
      </c>
      <c r="AF131" s="32"/>
      <c r="AG131" s="142">
        <v>0</v>
      </c>
    </row>
    <row r="132" spans="1:33">
      <c r="A132" s="135" t="s">
        <v>176</v>
      </c>
      <c r="B132" s="143" t="s">
        <v>197</v>
      </c>
      <c r="C132" s="137"/>
      <c r="D132" s="138" t="s">
        <v>198</v>
      </c>
      <c r="E132" s="139">
        <v>4</v>
      </c>
      <c r="F132" s="81">
        <f t="shared" si="4"/>
        <v>179355</v>
      </c>
      <c r="G132" s="140">
        <v>175996</v>
      </c>
      <c r="H132" s="32">
        <v>137932</v>
      </c>
      <c r="I132" s="140">
        <v>134992</v>
      </c>
      <c r="J132" s="32">
        <v>7219</v>
      </c>
      <c r="K132" s="141">
        <v>6783</v>
      </c>
      <c r="L132" s="31">
        <v>33635</v>
      </c>
      <c r="M132" s="110">
        <v>15</v>
      </c>
      <c r="N132" s="110">
        <v>523</v>
      </c>
      <c r="O132" s="140">
        <v>34209</v>
      </c>
      <c r="P132" s="141">
        <v>12</v>
      </c>
      <c r="Q132" s="141">
        <v>0</v>
      </c>
      <c r="R132" s="32">
        <v>31</v>
      </c>
      <c r="S132" s="141">
        <v>0</v>
      </c>
      <c r="T132" s="83">
        <f t="shared" si="6"/>
        <v>24662</v>
      </c>
      <c r="U132" s="140">
        <v>27587</v>
      </c>
      <c r="V132" s="32">
        <v>10829</v>
      </c>
      <c r="W132" s="140">
        <v>10401</v>
      </c>
      <c r="X132" s="32">
        <v>592</v>
      </c>
      <c r="Y132" s="141">
        <v>761</v>
      </c>
      <c r="Z132" s="31">
        <v>12807</v>
      </c>
      <c r="AA132" s="110"/>
      <c r="AB132" s="32">
        <v>434</v>
      </c>
      <c r="AC132" s="144">
        <v>16425</v>
      </c>
      <c r="AD132" s="142">
        <v>0</v>
      </c>
      <c r="AE132" s="141">
        <v>0</v>
      </c>
      <c r="AF132" s="32"/>
      <c r="AG132" s="142">
        <v>0</v>
      </c>
    </row>
    <row r="133" spans="1:33">
      <c r="A133" s="135" t="s">
        <v>176</v>
      </c>
      <c r="B133" s="143" t="s">
        <v>199</v>
      </c>
      <c r="C133" s="145"/>
      <c r="D133" s="138" t="s">
        <v>200</v>
      </c>
      <c r="E133" s="149">
        <v>4</v>
      </c>
      <c r="F133" s="81">
        <f t="shared" si="4"/>
        <v>64797</v>
      </c>
      <c r="G133" s="140">
        <v>64203</v>
      </c>
      <c r="H133" s="32">
        <v>52482</v>
      </c>
      <c r="I133" s="140">
        <v>51987</v>
      </c>
      <c r="J133" s="32">
        <v>183</v>
      </c>
      <c r="K133" s="141">
        <v>294</v>
      </c>
      <c r="L133" s="31">
        <v>10322</v>
      </c>
      <c r="M133" s="110"/>
      <c r="N133" s="110">
        <v>1741</v>
      </c>
      <c r="O133" s="140">
        <v>10718</v>
      </c>
      <c r="P133" s="140">
        <v>0</v>
      </c>
      <c r="Q133" s="141">
        <v>1204</v>
      </c>
      <c r="R133" s="32">
        <v>69</v>
      </c>
      <c r="S133" s="141">
        <v>0</v>
      </c>
      <c r="T133" s="83">
        <f t="shared" si="6"/>
        <v>6977</v>
      </c>
      <c r="U133" s="140">
        <v>7074</v>
      </c>
      <c r="V133" s="32">
        <v>5043</v>
      </c>
      <c r="W133" s="141">
        <v>5732</v>
      </c>
      <c r="X133" s="32">
        <v>30</v>
      </c>
      <c r="Y133" s="141">
        <v>0</v>
      </c>
      <c r="Z133" s="31">
        <v>1869</v>
      </c>
      <c r="AA133" s="110"/>
      <c r="AB133" s="32">
        <v>35</v>
      </c>
      <c r="AC133" s="144">
        <v>1339</v>
      </c>
      <c r="AD133" s="142">
        <v>0</v>
      </c>
      <c r="AE133" s="141">
        <v>3</v>
      </c>
      <c r="AF133" s="32"/>
      <c r="AG133" s="142">
        <v>0</v>
      </c>
    </row>
    <row r="134" spans="1:33">
      <c r="A134" s="135" t="s">
        <v>176</v>
      </c>
      <c r="B134" s="143" t="s">
        <v>201</v>
      </c>
      <c r="C134" s="137"/>
      <c r="D134" s="138" t="s">
        <v>202</v>
      </c>
      <c r="E134" s="139">
        <v>4</v>
      </c>
      <c r="F134" s="81">
        <f t="shared" si="4"/>
        <v>179542</v>
      </c>
      <c r="G134" s="140">
        <v>181608</v>
      </c>
      <c r="H134" s="32">
        <v>163964</v>
      </c>
      <c r="I134" s="140">
        <v>165381.5</v>
      </c>
      <c r="J134" s="32">
        <v>2888</v>
      </c>
      <c r="K134" s="141">
        <v>2373.5</v>
      </c>
      <c r="L134" s="31">
        <v>12655</v>
      </c>
      <c r="M134" s="110"/>
      <c r="N134" s="110">
        <v>35</v>
      </c>
      <c r="O134" s="141">
        <v>13853</v>
      </c>
      <c r="P134" s="140">
        <v>0</v>
      </c>
      <c r="Q134" s="141">
        <v>0</v>
      </c>
      <c r="R134" s="32">
        <v>0</v>
      </c>
      <c r="S134" s="140">
        <v>0</v>
      </c>
      <c r="T134" s="83">
        <f t="shared" si="6"/>
        <v>17635</v>
      </c>
      <c r="U134" s="140">
        <v>17484</v>
      </c>
      <c r="V134" s="32">
        <v>5174</v>
      </c>
      <c r="W134" s="141">
        <v>4520</v>
      </c>
      <c r="X134" s="32">
        <v>3952</v>
      </c>
      <c r="Y134" s="141">
        <v>2631</v>
      </c>
      <c r="Z134" s="31">
        <v>8053</v>
      </c>
      <c r="AA134" s="110"/>
      <c r="AB134" s="32">
        <v>456</v>
      </c>
      <c r="AC134" s="144">
        <v>10333</v>
      </c>
      <c r="AD134" s="142">
        <v>0</v>
      </c>
      <c r="AE134" s="141">
        <v>0</v>
      </c>
      <c r="AF134" s="32"/>
      <c r="AG134" s="142">
        <v>0</v>
      </c>
    </row>
    <row r="135" spans="1:33">
      <c r="A135" s="135" t="s">
        <v>176</v>
      </c>
      <c r="B135" s="143" t="s">
        <v>203</v>
      </c>
      <c r="C135" s="137"/>
      <c r="D135" s="138" t="s">
        <v>204</v>
      </c>
      <c r="E135" s="139">
        <v>4</v>
      </c>
      <c r="F135" s="81">
        <f t="shared" si="4"/>
        <v>136552</v>
      </c>
      <c r="G135" s="140">
        <v>138904</v>
      </c>
      <c r="H135" s="32">
        <v>120634</v>
      </c>
      <c r="I135" s="140">
        <v>120934</v>
      </c>
      <c r="J135" s="32">
        <v>1967</v>
      </c>
      <c r="K135" s="141">
        <v>2167</v>
      </c>
      <c r="L135" s="31">
        <v>13951</v>
      </c>
      <c r="M135" s="110"/>
      <c r="N135" s="110"/>
      <c r="O135" s="141">
        <v>15803</v>
      </c>
      <c r="P135" s="140">
        <v>0</v>
      </c>
      <c r="Q135" s="140">
        <v>0</v>
      </c>
      <c r="R135" s="32"/>
      <c r="S135" s="140">
        <v>0</v>
      </c>
      <c r="T135" s="83">
        <f t="shared" si="6"/>
        <v>184617</v>
      </c>
      <c r="U135" s="140">
        <v>187831</v>
      </c>
      <c r="V135" s="32">
        <v>157759</v>
      </c>
      <c r="W135" s="140">
        <v>159735</v>
      </c>
      <c r="X135" s="32">
        <v>16305</v>
      </c>
      <c r="Y135" s="141">
        <v>17986</v>
      </c>
      <c r="Z135" s="31">
        <v>10553</v>
      </c>
      <c r="AA135" s="110"/>
      <c r="AB135" s="32"/>
      <c r="AC135" s="142">
        <v>10110</v>
      </c>
      <c r="AD135" s="142">
        <v>0</v>
      </c>
      <c r="AE135" s="140">
        <v>0</v>
      </c>
      <c r="AF135" s="32"/>
      <c r="AG135" s="142">
        <v>0</v>
      </c>
    </row>
    <row r="136" spans="1:33">
      <c r="A136" s="135" t="s">
        <v>176</v>
      </c>
      <c r="B136" s="143" t="s">
        <v>205</v>
      </c>
      <c r="C136" s="137"/>
      <c r="D136" s="150">
        <v>482680</v>
      </c>
      <c r="E136" s="139">
        <v>4</v>
      </c>
      <c r="F136" s="81">
        <f t="shared" si="4"/>
        <v>401913</v>
      </c>
      <c r="G136" s="140">
        <v>429578</v>
      </c>
      <c r="H136" s="32">
        <v>365343</v>
      </c>
      <c r="I136" s="141">
        <v>387679</v>
      </c>
      <c r="J136" s="32">
        <v>4246</v>
      </c>
      <c r="K136" s="141">
        <v>3368</v>
      </c>
      <c r="L136" s="31">
        <v>32324</v>
      </c>
      <c r="M136" s="110"/>
      <c r="N136" s="110"/>
      <c r="O136" s="141">
        <v>38531</v>
      </c>
      <c r="P136" s="140">
        <v>0</v>
      </c>
      <c r="Q136" s="140">
        <v>0</v>
      </c>
      <c r="R136" s="32"/>
      <c r="S136" s="140">
        <v>0</v>
      </c>
      <c r="T136" s="83">
        <f t="shared" si="6"/>
        <v>11026</v>
      </c>
      <c r="U136" s="140">
        <v>10583</v>
      </c>
      <c r="V136" s="32">
        <v>6537</v>
      </c>
      <c r="W136" s="141">
        <v>7159</v>
      </c>
      <c r="X136" s="32">
        <v>1313</v>
      </c>
      <c r="Y136" s="141">
        <v>1050</v>
      </c>
      <c r="Z136" s="31">
        <v>3176</v>
      </c>
      <c r="AA136" s="110"/>
      <c r="AB136" s="32"/>
      <c r="AC136" s="144">
        <v>2374</v>
      </c>
      <c r="AD136" s="142">
        <v>0</v>
      </c>
      <c r="AE136" s="140">
        <v>0</v>
      </c>
      <c r="AF136" s="32"/>
      <c r="AG136" s="142">
        <v>0</v>
      </c>
    </row>
    <row r="137" spans="1:33" ht="15">
      <c r="A137" s="135" t="s">
        <v>176</v>
      </c>
      <c r="B137" s="143" t="s">
        <v>206</v>
      </c>
      <c r="C137" s="349" t="s">
        <v>858</v>
      </c>
      <c r="D137" s="138" t="s">
        <v>207</v>
      </c>
      <c r="E137" s="139">
        <v>5</v>
      </c>
      <c r="F137" s="81">
        <f t="shared" si="4"/>
        <v>62875</v>
      </c>
      <c r="G137" s="140">
        <v>63932</v>
      </c>
      <c r="H137" s="32">
        <v>40548</v>
      </c>
      <c r="I137" s="141">
        <v>43573</v>
      </c>
      <c r="J137" s="32">
        <v>2009</v>
      </c>
      <c r="K137" s="141">
        <v>1271</v>
      </c>
      <c r="L137" s="31">
        <v>20318</v>
      </c>
      <c r="M137" s="110"/>
      <c r="N137" s="110"/>
      <c r="O137" s="141">
        <v>19088</v>
      </c>
      <c r="P137" s="140">
        <v>0</v>
      </c>
      <c r="Q137" s="140">
        <v>0</v>
      </c>
      <c r="R137" s="32"/>
      <c r="S137" s="140">
        <v>0</v>
      </c>
      <c r="T137" s="83">
        <f t="shared" si="6"/>
        <v>5754</v>
      </c>
      <c r="U137" s="140">
        <v>8722</v>
      </c>
      <c r="V137" s="32">
        <v>2652</v>
      </c>
      <c r="W137" s="141">
        <v>4086</v>
      </c>
      <c r="X137" s="32">
        <v>324</v>
      </c>
      <c r="Y137" s="141">
        <v>0</v>
      </c>
      <c r="Z137" s="31">
        <v>2778</v>
      </c>
      <c r="AA137" s="110"/>
      <c r="AB137" s="32"/>
      <c r="AC137" s="144">
        <v>4636</v>
      </c>
      <c r="AD137" s="142">
        <v>0</v>
      </c>
      <c r="AE137" s="140">
        <v>0</v>
      </c>
      <c r="AF137" s="32"/>
      <c r="AG137" s="142">
        <v>0</v>
      </c>
    </row>
    <row r="138" spans="1:33" ht="15">
      <c r="A138" s="135" t="s">
        <v>176</v>
      </c>
      <c r="B138" s="143" t="s">
        <v>208</v>
      </c>
      <c r="C138" s="349"/>
      <c r="D138" s="138" t="s">
        <v>209</v>
      </c>
      <c r="E138" s="139">
        <v>5</v>
      </c>
      <c r="F138" s="81">
        <f t="shared" ref="F138:F201" si="8">SUM(H138,J138,L138,M138,N138,R138)</f>
        <v>128302</v>
      </c>
      <c r="G138" s="140">
        <v>130266</v>
      </c>
      <c r="H138" s="32">
        <v>118889</v>
      </c>
      <c r="I138" s="140">
        <v>119282</v>
      </c>
      <c r="J138" s="32">
        <v>404</v>
      </c>
      <c r="K138" s="140">
        <v>385</v>
      </c>
      <c r="L138" s="31">
        <v>9009</v>
      </c>
      <c r="M138" s="110"/>
      <c r="N138" s="110"/>
      <c r="O138" s="141">
        <v>10599</v>
      </c>
      <c r="P138" s="140">
        <v>0</v>
      </c>
      <c r="Q138" s="140">
        <v>0</v>
      </c>
      <c r="R138" s="32"/>
      <c r="S138" s="140">
        <v>0</v>
      </c>
      <c r="T138" s="83">
        <f t="shared" ref="T138:T201" si="9">SUM(V138,X138,Z138,AA138,AB138,AF138)</f>
        <v>3689</v>
      </c>
      <c r="U138" s="140">
        <v>3819</v>
      </c>
      <c r="V138" s="32">
        <v>2606</v>
      </c>
      <c r="W138" s="141">
        <v>2154</v>
      </c>
      <c r="X138" s="32">
        <v>927</v>
      </c>
      <c r="Y138" s="141">
        <v>1212</v>
      </c>
      <c r="Z138" s="31">
        <v>156</v>
      </c>
      <c r="AA138" s="110"/>
      <c r="AB138" s="32"/>
      <c r="AC138" s="144">
        <v>453</v>
      </c>
      <c r="AD138" s="142">
        <v>0</v>
      </c>
      <c r="AE138" s="140">
        <v>0</v>
      </c>
      <c r="AF138" s="32"/>
      <c r="AG138" s="142">
        <v>0</v>
      </c>
    </row>
    <row r="139" spans="1:33" ht="15">
      <c r="A139" s="135" t="s">
        <v>176</v>
      </c>
      <c r="B139" s="143" t="s">
        <v>210</v>
      </c>
      <c r="C139" s="349"/>
      <c r="D139" s="138" t="s">
        <v>211</v>
      </c>
      <c r="E139" s="146">
        <v>6</v>
      </c>
      <c r="F139" s="81">
        <f t="shared" si="8"/>
        <v>116563</v>
      </c>
      <c r="G139" s="140">
        <v>120396</v>
      </c>
      <c r="H139" s="32">
        <v>105991</v>
      </c>
      <c r="I139" s="140">
        <v>107404</v>
      </c>
      <c r="J139" s="32">
        <v>4036</v>
      </c>
      <c r="K139" s="141">
        <v>4723</v>
      </c>
      <c r="L139" s="31">
        <v>6536</v>
      </c>
      <c r="M139" s="110"/>
      <c r="N139" s="110"/>
      <c r="O139" s="141">
        <v>8269</v>
      </c>
      <c r="P139" s="140">
        <v>0</v>
      </c>
      <c r="Q139" s="140">
        <v>0</v>
      </c>
      <c r="R139" s="32"/>
      <c r="S139" s="140">
        <v>0</v>
      </c>
      <c r="T139" s="83">
        <f t="shared" si="9"/>
        <v>0</v>
      </c>
      <c r="U139" s="151"/>
      <c r="V139" s="32"/>
      <c r="W139" s="46"/>
      <c r="X139" s="32"/>
      <c r="Y139" s="46"/>
      <c r="Z139" s="31"/>
      <c r="AA139" s="110"/>
      <c r="AB139" s="32"/>
      <c r="AC139" s="6"/>
      <c r="AD139" s="6"/>
      <c r="AE139" s="152"/>
      <c r="AF139" s="32"/>
      <c r="AG139" s="49"/>
    </row>
    <row r="140" spans="1:33" ht="15">
      <c r="A140" s="135" t="s">
        <v>176</v>
      </c>
      <c r="B140" s="143" t="s">
        <v>212</v>
      </c>
      <c r="C140" s="349"/>
      <c r="D140" s="138" t="s">
        <v>213</v>
      </c>
      <c r="E140" s="139">
        <v>6</v>
      </c>
      <c r="F140" s="81">
        <f t="shared" si="8"/>
        <v>281429</v>
      </c>
      <c r="G140" s="140">
        <v>293483</v>
      </c>
      <c r="H140" s="32">
        <v>281405</v>
      </c>
      <c r="I140" s="140">
        <v>290767</v>
      </c>
      <c r="J140" s="32">
        <v>15</v>
      </c>
      <c r="K140" s="141">
        <v>32</v>
      </c>
      <c r="L140" s="31">
        <v>9</v>
      </c>
      <c r="M140" s="110"/>
      <c r="N140" s="110"/>
      <c r="O140" s="141">
        <v>2684</v>
      </c>
      <c r="P140" s="140">
        <v>0</v>
      </c>
      <c r="Q140" s="140">
        <v>0</v>
      </c>
      <c r="R140" s="32"/>
      <c r="S140" s="140">
        <v>0</v>
      </c>
      <c r="T140" s="83">
        <f t="shared" si="9"/>
        <v>0</v>
      </c>
      <c r="U140" s="151"/>
      <c r="V140" s="32"/>
      <c r="W140" s="46"/>
      <c r="X140" s="32"/>
      <c r="Y140" s="46"/>
      <c r="Z140" s="31"/>
      <c r="AA140" s="110"/>
      <c r="AB140" s="32"/>
      <c r="AC140" s="6"/>
      <c r="AD140" s="6"/>
      <c r="AE140" s="152"/>
      <c r="AF140" s="32"/>
      <c r="AG140" s="49"/>
    </row>
    <row r="141" spans="1:33" ht="15">
      <c r="A141" s="135" t="s">
        <v>176</v>
      </c>
      <c r="B141" s="143" t="s">
        <v>214</v>
      </c>
      <c r="C141" s="349"/>
      <c r="D141" s="150">
        <v>482158</v>
      </c>
      <c r="E141" s="139">
        <v>6</v>
      </c>
      <c r="F141" s="81">
        <f t="shared" si="8"/>
        <v>183055</v>
      </c>
      <c r="G141" s="140">
        <v>183213</v>
      </c>
      <c r="H141" s="32">
        <v>110645</v>
      </c>
      <c r="I141" s="140">
        <v>115961</v>
      </c>
      <c r="J141" s="32">
        <v>26299</v>
      </c>
      <c r="K141" s="141">
        <v>11452</v>
      </c>
      <c r="L141" s="31">
        <v>45820</v>
      </c>
      <c r="M141" s="110">
        <v>291</v>
      </c>
      <c r="N141" s="110"/>
      <c r="O141" s="141">
        <v>54206</v>
      </c>
      <c r="P141" s="141">
        <v>1594</v>
      </c>
      <c r="Q141" s="140">
        <v>0</v>
      </c>
      <c r="R141" s="32"/>
      <c r="S141" s="140">
        <v>0</v>
      </c>
      <c r="T141" s="83">
        <f t="shared" si="9"/>
        <v>0</v>
      </c>
      <c r="U141" s="140">
        <v>1203</v>
      </c>
      <c r="V141" s="32"/>
      <c r="W141" s="46"/>
      <c r="X141" s="32"/>
      <c r="Y141" s="140">
        <v>0</v>
      </c>
      <c r="Z141" s="31"/>
      <c r="AA141" s="110"/>
      <c r="AB141" s="32"/>
      <c r="AC141" s="144">
        <v>1203</v>
      </c>
      <c r="AD141" s="142">
        <v>0</v>
      </c>
      <c r="AE141" s="140">
        <v>0</v>
      </c>
      <c r="AF141" s="32"/>
      <c r="AG141" s="142">
        <v>0</v>
      </c>
    </row>
    <row r="142" spans="1:33" ht="15">
      <c r="A142" s="135" t="s">
        <v>176</v>
      </c>
      <c r="B142" s="143" t="s">
        <v>215</v>
      </c>
      <c r="C142" s="349"/>
      <c r="D142" s="138" t="s">
        <v>216</v>
      </c>
      <c r="E142" s="139">
        <v>7</v>
      </c>
      <c r="F142" s="81">
        <f t="shared" si="8"/>
        <v>84213</v>
      </c>
      <c r="G142" s="140">
        <v>85401</v>
      </c>
      <c r="H142" s="32">
        <v>77688</v>
      </c>
      <c r="I142" s="140">
        <v>77313</v>
      </c>
      <c r="J142" s="32">
        <v>3837</v>
      </c>
      <c r="K142" s="140">
        <v>3847</v>
      </c>
      <c r="L142" s="31">
        <v>2591</v>
      </c>
      <c r="M142" s="110"/>
      <c r="N142" s="110">
        <v>97</v>
      </c>
      <c r="O142" s="141">
        <v>3908</v>
      </c>
      <c r="P142" s="141">
        <v>54</v>
      </c>
      <c r="Q142" s="141">
        <v>279</v>
      </c>
      <c r="R142" s="32"/>
      <c r="S142" s="140">
        <v>0</v>
      </c>
      <c r="T142" s="83">
        <f t="shared" si="9"/>
        <v>0</v>
      </c>
      <c r="U142" s="151"/>
      <c r="V142" s="32"/>
      <c r="W142" s="46"/>
      <c r="X142" s="32"/>
      <c r="Y142" s="46"/>
      <c r="Z142" s="31"/>
      <c r="AA142" s="110"/>
      <c r="AB142" s="32"/>
      <c r="AC142" s="6"/>
      <c r="AD142" s="6"/>
      <c r="AE142" s="152"/>
      <c r="AF142" s="32"/>
      <c r="AG142" s="49"/>
    </row>
    <row r="143" spans="1:33" ht="15">
      <c r="A143" s="135" t="s">
        <v>176</v>
      </c>
      <c r="B143" s="153" t="s">
        <v>217</v>
      </c>
      <c r="C143" s="350" t="s">
        <v>859</v>
      </c>
      <c r="D143" s="138" t="s">
        <v>218</v>
      </c>
      <c r="E143" s="149">
        <v>6</v>
      </c>
      <c r="F143" s="81">
        <f t="shared" si="8"/>
        <v>73135</v>
      </c>
      <c r="G143" s="140">
        <v>79408</v>
      </c>
      <c r="H143" s="32">
        <v>62021</v>
      </c>
      <c r="I143" s="140">
        <v>64693</v>
      </c>
      <c r="J143" s="32">
        <v>734</v>
      </c>
      <c r="K143" s="140">
        <v>726</v>
      </c>
      <c r="L143" s="31">
        <v>10380</v>
      </c>
      <c r="M143" s="110"/>
      <c r="N143" s="110"/>
      <c r="O143" s="141">
        <v>13989</v>
      </c>
      <c r="P143" s="140">
        <v>0</v>
      </c>
      <c r="Q143" s="140">
        <v>0</v>
      </c>
      <c r="R143" s="32"/>
      <c r="S143" s="140">
        <v>0</v>
      </c>
      <c r="T143" s="83">
        <f t="shared" si="9"/>
        <v>0</v>
      </c>
      <c r="U143" s="151"/>
      <c r="V143" s="32"/>
      <c r="W143" s="46"/>
      <c r="X143" s="32"/>
      <c r="Y143" s="46"/>
      <c r="Z143" s="31"/>
      <c r="AA143" s="110"/>
      <c r="AB143" s="32"/>
      <c r="AC143" s="6"/>
      <c r="AD143" s="6"/>
      <c r="AE143" s="152"/>
      <c r="AF143" s="32"/>
      <c r="AG143" s="49"/>
    </row>
    <row r="144" spans="1:33" ht="15">
      <c r="A144" s="135" t="s">
        <v>176</v>
      </c>
      <c r="B144" s="143" t="s">
        <v>219</v>
      </c>
      <c r="C144" s="349"/>
      <c r="D144" s="138" t="s">
        <v>220</v>
      </c>
      <c r="E144" s="139">
        <v>7</v>
      </c>
      <c r="F144" s="81">
        <f t="shared" si="8"/>
        <v>94569</v>
      </c>
      <c r="G144" s="140">
        <v>91418</v>
      </c>
      <c r="H144" s="32">
        <v>79273</v>
      </c>
      <c r="I144" s="141">
        <v>72579</v>
      </c>
      <c r="J144" s="32">
        <v>3542</v>
      </c>
      <c r="K144" s="141">
        <v>4108</v>
      </c>
      <c r="L144" s="31">
        <v>11754</v>
      </c>
      <c r="M144" s="110"/>
      <c r="N144" s="110"/>
      <c r="O144" s="141">
        <v>14674</v>
      </c>
      <c r="P144" s="141">
        <v>57</v>
      </c>
      <c r="Q144" s="140">
        <v>0</v>
      </c>
      <c r="R144" s="32"/>
      <c r="S144" s="140">
        <v>0</v>
      </c>
      <c r="T144" s="83">
        <f t="shared" si="9"/>
        <v>0</v>
      </c>
      <c r="U144" s="151"/>
      <c r="V144" s="32"/>
      <c r="W144" s="46"/>
      <c r="X144" s="32"/>
      <c r="Y144" s="46"/>
      <c r="Z144" s="31"/>
      <c r="AA144" s="110"/>
      <c r="AB144" s="32"/>
      <c r="AC144" s="6"/>
      <c r="AD144" s="6"/>
      <c r="AE144" s="152"/>
      <c r="AF144" s="32"/>
      <c r="AG144" s="49"/>
    </row>
    <row r="145" spans="1:33" ht="15">
      <c r="A145" s="135" t="s">
        <v>176</v>
      </c>
      <c r="B145" s="136" t="s">
        <v>221</v>
      </c>
      <c r="C145" s="349"/>
      <c r="D145" s="138" t="s">
        <v>222</v>
      </c>
      <c r="E145" s="139">
        <v>8</v>
      </c>
      <c r="F145" s="81">
        <f t="shared" si="8"/>
        <v>455219</v>
      </c>
      <c r="G145" s="154"/>
      <c r="H145" s="32">
        <v>344887</v>
      </c>
      <c r="I145" s="155"/>
      <c r="J145" s="32">
        <v>2831</v>
      </c>
      <c r="K145" s="115"/>
      <c r="L145" s="31">
        <v>107501</v>
      </c>
      <c r="M145" s="110"/>
      <c r="N145" s="110"/>
      <c r="O145" s="156"/>
      <c r="R145" s="32"/>
      <c r="S145" s="46"/>
      <c r="T145" s="83">
        <f t="shared" si="9"/>
        <v>0</v>
      </c>
      <c r="U145" s="151"/>
      <c r="V145" s="32"/>
      <c r="W145" s="46"/>
      <c r="X145" s="32"/>
      <c r="Y145" s="46"/>
      <c r="Z145" s="31"/>
      <c r="AA145" s="110"/>
      <c r="AB145" s="32"/>
      <c r="AC145" s="6"/>
      <c r="AD145" s="6"/>
      <c r="AE145" s="152"/>
      <c r="AF145" s="32"/>
      <c r="AG145" s="49"/>
    </row>
    <row r="146" spans="1:33" ht="15">
      <c r="A146" s="135" t="s">
        <v>176</v>
      </c>
      <c r="B146" s="143" t="s">
        <v>223</v>
      </c>
      <c r="C146" s="350" t="s">
        <v>860</v>
      </c>
      <c r="D146" s="138" t="s">
        <v>224</v>
      </c>
      <c r="E146" s="149">
        <v>7</v>
      </c>
      <c r="F146" s="81">
        <f t="shared" si="8"/>
        <v>70151</v>
      </c>
      <c r="G146" s="140">
        <v>62521</v>
      </c>
      <c r="H146" s="32">
        <v>52143</v>
      </c>
      <c r="I146" s="141">
        <v>46453</v>
      </c>
      <c r="J146" s="32">
        <v>684</v>
      </c>
      <c r="K146" s="141">
        <v>372</v>
      </c>
      <c r="L146" s="31">
        <v>17243</v>
      </c>
      <c r="M146" s="110"/>
      <c r="N146" s="110">
        <v>81</v>
      </c>
      <c r="O146" s="141">
        <v>15696</v>
      </c>
      <c r="P146" s="140">
        <v>0</v>
      </c>
      <c r="Q146" s="141">
        <v>0</v>
      </c>
      <c r="R146" s="32"/>
      <c r="S146" s="140">
        <v>0</v>
      </c>
      <c r="T146" s="83">
        <f t="shared" si="9"/>
        <v>0</v>
      </c>
      <c r="U146" s="151"/>
      <c r="V146" s="32"/>
      <c r="W146" s="46"/>
      <c r="X146" s="32"/>
      <c r="Y146" s="46"/>
      <c r="Z146" s="31"/>
      <c r="AA146" s="110"/>
      <c r="AB146" s="32"/>
      <c r="AC146" s="6"/>
      <c r="AD146" s="6"/>
      <c r="AE146" s="152"/>
      <c r="AF146" s="32"/>
      <c r="AG146" s="49"/>
    </row>
    <row r="147" spans="1:33" ht="15">
      <c r="A147" s="135" t="s">
        <v>176</v>
      </c>
      <c r="B147" s="143" t="s">
        <v>225</v>
      </c>
      <c r="C147" s="350" t="s">
        <v>861</v>
      </c>
      <c r="D147" s="138" t="s">
        <v>226</v>
      </c>
      <c r="E147" s="149">
        <v>10</v>
      </c>
      <c r="F147" s="81">
        <f t="shared" si="8"/>
        <v>50059</v>
      </c>
      <c r="G147" s="140">
        <v>51395</v>
      </c>
      <c r="H147" s="32">
        <v>29868</v>
      </c>
      <c r="I147" s="141">
        <v>27065</v>
      </c>
      <c r="J147" s="32">
        <v>4290</v>
      </c>
      <c r="K147" s="141">
        <v>8565</v>
      </c>
      <c r="L147" s="31">
        <v>15901</v>
      </c>
      <c r="M147" s="110"/>
      <c r="N147" s="110"/>
      <c r="O147" s="140">
        <v>15765</v>
      </c>
      <c r="P147" s="140">
        <v>0</v>
      </c>
      <c r="Q147" s="140">
        <v>0</v>
      </c>
      <c r="R147" s="32"/>
      <c r="S147" s="140">
        <v>0</v>
      </c>
      <c r="T147" s="83">
        <f t="shared" si="9"/>
        <v>0</v>
      </c>
      <c r="U147" s="151"/>
      <c r="V147" s="32"/>
      <c r="W147" s="46"/>
      <c r="X147" s="32"/>
      <c r="Y147" s="46"/>
      <c r="Z147" s="31"/>
      <c r="AA147" s="110"/>
      <c r="AB147" s="32"/>
      <c r="AC147" s="6"/>
      <c r="AD147" s="6"/>
      <c r="AE147" s="152"/>
      <c r="AF147" s="32"/>
      <c r="AG147" s="49"/>
    </row>
    <row r="148" spans="1:33" ht="15">
      <c r="A148" s="135" t="s">
        <v>176</v>
      </c>
      <c r="B148" s="153" t="s">
        <v>227</v>
      </c>
      <c r="C148" s="350" t="s">
        <v>860</v>
      </c>
      <c r="D148" s="138" t="s">
        <v>228</v>
      </c>
      <c r="E148" s="149">
        <v>7</v>
      </c>
      <c r="F148" s="81">
        <f t="shared" si="8"/>
        <v>129073</v>
      </c>
      <c r="G148" s="140">
        <v>107997</v>
      </c>
      <c r="H148" s="32">
        <v>64845</v>
      </c>
      <c r="I148" s="141">
        <v>55340</v>
      </c>
      <c r="J148" s="32">
        <v>7997</v>
      </c>
      <c r="K148" s="141">
        <v>2534</v>
      </c>
      <c r="L148" s="31">
        <v>55958</v>
      </c>
      <c r="M148" s="110"/>
      <c r="N148" s="110">
        <v>273</v>
      </c>
      <c r="O148" s="141">
        <v>50123</v>
      </c>
      <c r="P148" s="140">
        <v>0</v>
      </c>
      <c r="Q148" s="141">
        <v>0</v>
      </c>
      <c r="R148" s="32"/>
      <c r="S148" s="140">
        <v>0</v>
      </c>
      <c r="T148" s="83">
        <f t="shared" si="9"/>
        <v>0</v>
      </c>
      <c r="U148" s="151"/>
      <c r="V148" s="32"/>
      <c r="W148" s="46"/>
      <c r="X148" s="32"/>
      <c r="Y148" s="46"/>
      <c r="Z148" s="31"/>
      <c r="AA148" s="110"/>
      <c r="AB148" s="32"/>
      <c r="AC148" s="6"/>
      <c r="AD148" s="6"/>
      <c r="AE148" s="152"/>
      <c r="AF148" s="32"/>
      <c r="AG148" s="49"/>
    </row>
    <row r="149" spans="1:33" ht="15">
      <c r="A149" s="135" t="s">
        <v>176</v>
      </c>
      <c r="B149" s="143" t="s">
        <v>229</v>
      </c>
      <c r="C149" s="350" t="s">
        <v>860</v>
      </c>
      <c r="D149" s="138" t="s">
        <v>230</v>
      </c>
      <c r="E149" s="149">
        <v>7</v>
      </c>
      <c r="F149" s="81">
        <f t="shared" si="8"/>
        <v>70073</v>
      </c>
      <c r="G149" s="140">
        <v>72358</v>
      </c>
      <c r="H149" s="32">
        <v>43806</v>
      </c>
      <c r="I149" s="141">
        <v>39560</v>
      </c>
      <c r="J149" s="32">
        <v>13253</v>
      </c>
      <c r="K149" s="141">
        <v>18315</v>
      </c>
      <c r="L149" s="31">
        <v>12756</v>
      </c>
      <c r="M149" s="110"/>
      <c r="N149" s="110">
        <v>258</v>
      </c>
      <c r="O149" s="141">
        <v>14319</v>
      </c>
      <c r="P149" s="140">
        <v>0</v>
      </c>
      <c r="Q149" s="141">
        <v>164</v>
      </c>
      <c r="R149" s="32"/>
      <c r="S149" s="140">
        <v>0</v>
      </c>
      <c r="T149" s="83">
        <f t="shared" si="9"/>
        <v>0</v>
      </c>
      <c r="U149" s="151"/>
      <c r="V149" s="32"/>
      <c r="W149" s="46"/>
      <c r="X149" s="32"/>
      <c r="Y149" s="46"/>
      <c r="Z149" s="31"/>
      <c r="AA149" s="110"/>
      <c r="AB149" s="32"/>
      <c r="AC149" s="6"/>
      <c r="AD149" s="6"/>
      <c r="AE149" s="152"/>
      <c r="AF149" s="32"/>
      <c r="AG149" s="49"/>
    </row>
    <row r="150" spans="1:33" ht="15">
      <c r="A150" s="135" t="s">
        <v>176</v>
      </c>
      <c r="B150" s="143" t="s">
        <v>231</v>
      </c>
      <c r="C150" s="349" t="s">
        <v>853</v>
      </c>
      <c r="D150" s="138" t="s">
        <v>232</v>
      </c>
      <c r="E150" s="157">
        <v>9</v>
      </c>
      <c r="F150" s="81">
        <f t="shared" si="8"/>
        <v>120950</v>
      </c>
      <c r="G150" s="140">
        <v>128440</v>
      </c>
      <c r="H150" s="32">
        <v>77747</v>
      </c>
      <c r="I150" s="140">
        <v>76615</v>
      </c>
      <c r="J150" s="32">
        <v>19308</v>
      </c>
      <c r="K150" s="141">
        <v>23851</v>
      </c>
      <c r="L150" s="31">
        <v>22833</v>
      </c>
      <c r="M150" s="110"/>
      <c r="N150" s="110">
        <v>708</v>
      </c>
      <c r="O150" s="141">
        <v>27941</v>
      </c>
      <c r="P150" s="141">
        <v>33</v>
      </c>
      <c r="Q150" s="141">
        <v>0</v>
      </c>
      <c r="R150" s="32">
        <v>354</v>
      </c>
      <c r="S150" s="141">
        <v>0</v>
      </c>
      <c r="T150" s="83">
        <f t="shared" si="9"/>
        <v>0</v>
      </c>
      <c r="U150" s="151"/>
      <c r="V150" s="32"/>
      <c r="W150" s="46"/>
      <c r="X150" s="32"/>
      <c r="Y150" s="46"/>
      <c r="Z150" s="31"/>
      <c r="AA150" s="110"/>
      <c r="AB150" s="32"/>
      <c r="AC150" s="6"/>
      <c r="AD150" s="6"/>
      <c r="AE150" s="152"/>
      <c r="AF150" s="32"/>
      <c r="AG150" s="49"/>
    </row>
    <row r="151" spans="1:33" ht="15">
      <c r="A151" s="135" t="s">
        <v>176</v>
      </c>
      <c r="B151" s="143" t="s">
        <v>233</v>
      </c>
      <c r="C151" s="350" t="s">
        <v>860</v>
      </c>
      <c r="D151" s="150">
        <v>482699</v>
      </c>
      <c r="E151" s="351">
        <v>7</v>
      </c>
      <c r="F151" s="81">
        <f t="shared" si="8"/>
        <v>63947</v>
      </c>
      <c r="G151" s="140">
        <v>62670</v>
      </c>
      <c r="H151" s="32">
        <v>28933</v>
      </c>
      <c r="I151" s="141">
        <v>27275</v>
      </c>
      <c r="J151" s="32">
        <v>30791</v>
      </c>
      <c r="K151" s="141">
        <v>28532</v>
      </c>
      <c r="L151" s="31">
        <v>3819</v>
      </c>
      <c r="M151" s="110"/>
      <c r="N151" s="110">
        <v>404</v>
      </c>
      <c r="O151" s="141">
        <v>6863</v>
      </c>
      <c r="P151" s="140">
        <v>0</v>
      </c>
      <c r="Q151" s="141">
        <v>0</v>
      </c>
      <c r="R151" s="32"/>
      <c r="S151" s="140">
        <v>0</v>
      </c>
      <c r="T151" s="83">
        <f t="shared" si="9"/>
        <v>0</v>
      </c>
      <c r="U151" s="151"/>
      <c r="V151" s="32"/>
      <c r="W151" s="46"/>
      <c r="X151" s="32"/>
      <c r="Y151" s="46"/>
      <c r="Z151" s="31"/>
      <c r="AA151" s="110"/>
      <c r="AB151" s="32"/>
      <c r="AC151" s="6"/>
      <c r="AD151" s="6"/>
      <c r="AE151" s="152"/>
      <c r="AF151" s="32"/>
      <c r="AG151" s="49"/>
    </row>
    <row r="152" spans="1:33" s="74" customFormat="1" ht="13.5" customHeight="1">
      <c r="A152" s="158" t="s">
        <v>176</v>
      </c>
      <c r="B152" s="159" t="s">
        <v>234</v>
      </c>
      <c r="C152" s="114"/>
      <c r="D152" s="160">
        <v>138682</v>
      </c>
      <c r="E152" s="160">
        <v>12</v>
      </c>
      <c r="F152" s="81">
        <f t="shared" si="8"/>
        <v>97288</v>
      </c>
      <c r="G152" s="82">
        <f t="shared" ref="G152:G215" si="10">SUM(I152,K152,O152,P152,Q152,S152)</f>
        <v>85229</v>
      </c>
      <c r="H152" s="32">
        <v>55357</v>
      </c>
      <c r="I152" s="161">
        <v>46914</v>
      </c>
      <c r="J152" s="32"/>
      <c r="K152" s="162"/>
      <c r="L152" s="31">
        <v>41931</v>
      </c>
      <c r="M152" s="110">
        <v>0</v>
      </c>
      <c r="N152" s="110"/>
      <c r="O152" s="111">
        <v>38315</v>
      </c>
      <c r="P152" s="47">
        <v>0</v>
      </c>
      <c r="Q152" s="55">
        <v>0</v>
      </c>
      <c r="R152" s="32"/>
      <c r="S152" s="46"/>
      <c r="T152" s="83">
        <f t="shared" si="9"/>
        <v>0</v>
      </c>
      <c r="U152" s="84">
        <f t="shared" ref="U152:U215" si="11">SUM(W152,Y152,AC152,AD152,AE152,AG152)</f>
        <v>0</v>
      </c>
      <c r="V152" s="32"/>
      <c r="W152" s="162"/>
      <c r="X152" s="32"/>
      <c r="Y152" s="162"/>
      <c r="Z152" s="31"/>
      <c r="AA152" s="110"/>
      <c r="AB152" s="110"/>
      <c r="AC152" s="47"/>
      <c r="AD152" s="47"/>
      <c r="AE152" s="55"/>
      <c r="AF152" s="32"/>
      <c r="AG152" s="49"/>
    </row>
    <row r="153" spans="1:33">
      <c r="A153" s="158" t="s">
        <v>176</v>
      </c>
      <c r="B153" s="159" t="s">
        <v>235</v>
      </c>
      <c r="C153" s="114"/>
      <c r="D153" s="160">
        <v>246813</v>
      </c>
      <c r="E153" s="160">
        <v>12</v>
      </c>
      <c r="F153" s="81">
        <f t="shared" si="8"/>
        <v>80027</v>
      </c>
      <c r="G153" s="82">
        <f t="shared" si="10"/>
        <v>78469</v>
      </c>
      <c r="H153" s="32">
        <v>64359</v>
      </c>
      <c r="I153" s="163">
        <v>63470</v>
      </c>
      <c r="J153" s="32"/>
      <c r="K153" s="163"/>
      <c r="L153" s="31">
        <v>14760</v>
      </c>
      <c r="M153" s="110">
        <v>908</v>
      </c>
      <c r="N153" s="110"/>
      <c r="O153" s="47">
        <v>14651</v>
      </c>
      <c r="P153" s="111">
        <v>348</v>
      </c>
      <c r="Q153" s="55">
        <v>0</v>
      </c>
      <c r="R153" s="32"/>
      <c r="S153" s="46"/>
      <c r="T153" s="83">
        <f t="shared" si="9"/>
        <v>0</v>
      </c>
      <c r="U153" s="84">
        <f t="shared" si="11"/>
        <v>0</v>
      </c>
      <c r="V153" s="32"/>
      <c r="W153" s="163"/>
      <c r="X153" s="32"/>
      <c r="Y153" s="163"/>
      <c r="Z153" s="31"/>
      <c r="AA153" s="110"/>
      <c r="AB153" s="110"/>
      <c r="AC153" s="47"/>
      <c r="AD153" s="47"/>
      <c r="AE153" s="55"/>
      <c r="AF153" s="32"/>
      <c r="AG153" s="49"/>
    </row>
    <row r="154" spans="1:33">
      <c r="A154" s="158" t="s">
        <v>176</v>
      </c>
      <c r="B154" s="159" t="s">
        <v>236</v>
      </c>
      <c r="C154" s="114"/>
      <c r="D154" s="160">
        <v>138840</v>
      </c>
      <c r="E154" s="160">
        <v>12</v>
      </c>
      <c r="F154" s="81">
        <f t="shared" si="8"/>
        <v>104951</v>
      </c>
      <c r="G154" s="82">
        <f t="shared" si="10"/>
        <v>96519</v>
      </c>
      <c r="H154" s="32">
        <v>74886</v>
      </c>
      <c r="I154" s="14">
        <v>63442</v>
      </c>
      <c r="J154" s="32"/>
      <c r="K154" s="163"/>
      <c r="L154" s="31">
        <v>30065</v>
      </c>
      <c r="M154" s="110">
        <v>0</v>
      </c>
      <c r="N154" s="110"/>
      <c r="O154" s="111">
        <v>33077</v>
      </c>
      <c r="P154" s="47">
        <v>0</v>
      </c>
      <c r="Q154" s="55">
        <v>0</v>
      </c>
      <c r="R154" s="32"/>
      <c r="S154" s="46"/>
      <c r="T154" s="83">
        <f t="shared" si="9"/>
        <v>0</v>
      </c>
      <c r="U154" s="84">
        <f t="shared" si="11"/>
        <v>0</v>
      </c>
      <c r="V154" s="32"/>
      <c r="W154" s="163"/>
      <c r="X154" s="32"/>
      <c r="Y154" s="163"/>
      <c r="Z154" s="31"/>
      <c r="AA154" s="110"/>
      <c r="AB154" s="110"/>
      <c r="AC154" s="47"/>
      <c r="AD154" s="47"/>
      <c r="AE154" s="55"/>
      <c r="AF154" s="32"/>
      <c r="AG154" s="49"/>
    </row>
    <row r="155" spans="1:33">
      <c r="A155" s="158" t="s">
        <v>176</v>
      </c>
      <c r="B155" s="159" t="s">
        <v>237</v>
      </c>
      <c r="C155" s="114"/>
      <c r="D155" s="160">
        <v>138956</v>
      </c>
      <c r="E155" s="160">
        <v>12</v>
      </c>
      <c r="F155" s="81">
        <f t="shared" si="8"/>
        <v>100410</v>
      </c>
      <c r="G155" s="82">
        <f t="shared" si="10"/>
        <v>97912</v>
      </c>
      <c r="H155" s="32">
        <v>88042</v>
      </c>
      <c r="I155" s="163">
        <v>88138</v>
      </c>
      <c r="J155" s="32"/>
      <c r="K155" s="163"/>
      <c r="L155" s="31">
        <v>12368</v>
      </c>
      <c r="M155" s="110">
        <v>0</v>
      </c>
      <c r="N155" s="110"/>
      <c r="O155" s="111">
        <v>9774</v>
      </c>
      <c r="P155" s="47">
        <v>0</v>
      </c>
      <c r="Q155" s="55">
        <v>0</v>
      </c>
      <c r="R155" s="32"/>
      <c r="S155" s="46"/>
      <c r="T155" s="83">
        <f t="shared" si="9"/>
        <v>0</v>
      </c>
      <c r="U155" s="84">
        <f t="shared" si="11"/>
        <v>0</v>
      </c>
      <c r="V155" s="32"/>
      <c r="W155" s="163"/>
      <c r="X155" s="32"/>
      <c r="Y155" s="163"/>
      <c r="Z155" s="31"/>
      <c r="AA155" s="110"/>
      <c r="AB155" s="110"/>
      <c r="AC155" s="47"/>
      <c r="AD155" s="47"/>
      <c r="AE155" s="55"/>
      <c r="AF155" s="32"/>
      <c r="AG155" s="49"/>
    </row>
    <row r="156" spans="1:33">
      <c r="A156" s="158" t="s">
        <v>176</v>
      </c>
      <c r="B156" s="159" t="s">
        <v>238</v>
      </c>
      <c r="C156" s="114"/>
      <c r="D156" s="160">
        <v>483045</v>
      </c>
      <c r="E156" s="160">
        <v>12</v>
      </c>
      <c r="F156" s="81">
        <f t="shared" si="8"/>
        <v>184002</v>
      </c>
      <c r="G156" s="82">
        <f t="shared" si="10"/>
        <v>171355</v>
      </c>
      <c r="H156" s="32">
        <v>105244</v>
      </c>
      <c r="I156" s="14">
        <v>98491</v>
      </c>
      <c r="J156" s="32"/>
      <c r="K156" s="163"/>
      <c r="L156" s="31">
        <v>69106</v>
      </c>
      <c r="M156" s="110">
        <v>9652</v>
      </c>
      <c r="N156" s="110"/>
      <c r="O156" s="111">
        <v>61616</v>
      </c>
      <c r="P156" s="111">
        <v>11248</v>
      </c>
      <c r="Q156" s="55">
        <v>0</v>
      </c>
      <c r="R156" s="32"/>
      <c r="S156" s="46"/>
      <c r="T156" s="83">
        <f t="shared" si="9"/>
        <v>0</v>
      </c>
      <c r="U156" s="84">
        <f t="shared" si="11"/>
        <v>0</v>
      </c>
      <c r="V156" s="32"/>
      <c r="W156" s="163"/>
      <c r="X156" s="32"/>
      <c r="Y156" s="163"/>
      <c r="Z156" s="31"/>
      <c r="AA156" s="110"/>
      <c r="AB156" s="110"/>
      <c r="AC156" s="47"/>
      <c r="AD156" s="47"/>
      <c r="AE156" s="55"/>
      <c r="AF156" s="32"/>
      <c r="AG156" s="49"/>
    </row>
    <row r="157" spans="1:33">
      <c r="A157" s="158" t="s">
        <v>176</v>
      </c>
      <c r="B157" s="159" t="s">
        <v>239</v>
      </c>
      <c r="C157" s="114"/>
      <c r="D157" s="160">
        <v>140331</v>
      </c>
      <c r="E157" s="160">
        <v>12</v>
      </c>
      <c r="F157" s="81">
        <f t="shared" si="8"/>
        <v>199940</v>
      </c>
      <c r="G157" s="82">
        <f t="shared" si="10"/>
        <v>192914</v>
      </c>
      <c r="H157" s="32">
        <v>100597</v>
      </c>
      <c r="I157" s="163">
        <v>102589</v>
      </c>
      <c r="J157" s="32"/>
      <c r="K157" s="163"/>
      <c r="L157" s="31">
        <v>99343</v>
      </c>
      <c r="M157" s="110">
        <v>0</v>
      </c>
      <c r="N157" s="110"/>
      <c r="O157" s="111">
        <v>90325</v>
      </c>
      <c r="P157" s="47">
        <v>0</v>
      </c>
      <c r="Q157" s="55">
        <v>0</v>
      </c>
      <c r="R157" s="32"/>
      <c r="S157" s="46"/>
      <c r="T157" s="83">
        <f t="shared" si="9"/>
        <v>0</v>
      </c>
      <c r="U157" s="84">
        <f t="shared" si="11"/>
        <v>0</v>
      </c>
      <c r="V157" s="32"/>
      <c r="W157" s="163"/>
      <c r="X157" s="32"/>
      <c r="Y157" s="163"/>
      <c r="Z157" s="31"/>
      <c r="AA157" s="110"/>
      <c r="AB157" s="110"/>
      <c r="AC157" s="47"/>
      <c r="AD157" s="47"/>
      <c r="AE157" s="55"/>
      <c r="AF157" s="32"/>
      <c r="AG157" s="49"/>
    </row>
    <row r="158" spans="1:33">
      <c r="A158" s="158" t="s">
        <v>176</v>
      </c>
      <c r="B158" s="164" t="s">
        <v>240</v>
      </c>
      <c r="C158" s="114"/>
      <c r="D158" s="165">
        <v>485458</v>
      </c>
      <c r="E158" s="160">
        <v>12</v>
      </c>
      <c r="F158" s="81">
        <f t="shared" si="8"/>
        <v>49910</v>
      </c>
      <c r="G158" s="82">
        <f t="shared" si="10"/>
        <v>49591</v>
      </c>
      <c r="H158" s="32">
        <v>41213</v>
      </c>
      <c r="I158" s="166">
        <v>40116</v>
      </c>
      <c r="J158" s="32"/>
      <c r="K158" s="166"/>
      <c r="L158" s="31">
        <v>8697</v>
      </c>
      <c r="M158" s="110">
        <v>0</v>
      </c>
      <c r="N158" s="110"/>
      <c r="O158" s="111">
        <v>9475</v>
      </c>
      <c r="P158" s="47">
        <v>0</v>
      </c>
      <c r="Q158" s="55">
        <v>0</v>
      </c>
      <c r="R158" s="32"/>
      <c r="S158" s="46"/>
      <c r="T158" s="83">
        <f t="shared" si="9"/>
        <v>0</v>
      </c>
      <c r="U158" s="84">
        <f t="shared" si="11"/>
        <v>0</v>
      </c>
      <c r="V158" s="32"/>
      <c r="W158" s="166"/>
      <c r="X158" s="32"/>
      <c r="Y158" s="166"/>
      <c r="Z158" s="31"/>
      <c r="AA158" s="110"/>
      <c r="AB158" s="110"/>
      <c r="AC158" s="47"/>
      <c r="AD158" s="47"/>
      <c r="AE158" s="55"/>
      <c r="AF158" s="32"/>
      <c r="AG158" s="49"/>
    </row>
    <row r="159" spans="1:33">
      <c r="A159" s="158" t="s">
        <v>176</v>
      </c>
      <c r="B159" s="159" t="s">
        <v>241</v>
      </c>
      <c r="C159" s="114"/>
      <c r="D159" s="160">
        <v>139357</v>
      </c>
      <c r="E159" s="160">
        <v>12</v>
      </c>
      <c r="F159" s="81">
        <f t="shared" si="8"/>
        <v>75520</v>
      </c>
      <c r="G159" s="82">
        <f t="shared" si="10"/>
        <v>68745.3</v>
      </c>
      <c r="H159" s="32">
        <v>47168</v>
      </c>
      <c r="I159" s="163">
        <v>48350.3</v>
      </c>
      <c r="J159" s="32"/>
      <c r="K159" s="163"/>
      <c r="L159" s="31">
        <v>28352</v>
      </c>
      <c r="M159" s="110">
        <v>0</v>
      </c>
      <c r="N159" s="110"/>
      <c r="O159" s="111">
        <v>20395</v>
      </c>
      <c r="P159" s="47">
        <v>0</v>
      </c>
      <c r="Q159" s="55">
        <v>0</v>
      </c>
      <c r="R159" s="32"/>
      <c r="S159" s="46"/>
      <c r="T159" s="83">
        <f t="shared" si="9"/>
        <v>0</v>
      </c>
      <c r="U159" s="84">
        <f t="shared" si="11"/>
        <v>0</v>
      </c>
      <c r="V159" s="32"/>
      <c r="W159" s="163"/>
      <c r="X159" s="32"/>
      <c r="Y159" s="163"/>
      <c r="Z159" s="31"/>
      <c r="AA159" s="110"/>
      <c r="AB159" s="110"/>
      <c r="AC159" s="47"/>
      <c r="AD159" s="47"/>
      <c r="AE159" s="55"/>
      <c r="AF159" s="32"/>
      <c r="AG159" s="49"/>
    </row>
    <row r="160" spans="1:33">
      <c r="A160" s="158" t="s">
        <v>176</v>
      </c>
      <c r="B160" s="159" t="s">
        <v>242</v>
      </c>
      <c r="C160" s="114"/>
      <c r="D160" s="160">
        <v>139384</v>
      </c>
      <c r="E160" s="160">
        <v>12</v>
      </c>
      <c r="F160" s="81">
        <f t="shared" si="8"/>
        <v>121287</v>
      </c>
      <c r="G160" s="82">
        <f t="shared" si="10"/>
        <v>119170</v>
      </c>
      <c r="H160" s="32">
        <v>83117</v>
      </c>
      <c r="I160" s="163">
        <v>80566</v>
      </c>
      <c r="J160" s="32"/>
      <c r="K160" s="163"/>
      <c r="L160" s="31">
        <v>38170</v>
      </c>
      <c r="M160" s="110">
        <v>0</v>
      </c>
      <c r="N160" s="110"/>
      <c r="O160" s="47">
        <v>38604</v>
      </c>
      <c r="P160" s="47">
        <v>0</v>
      </c>
      <c r="Q160" s="55">
        <v>0</v>
      </c>
      <c r="R160" s="32"/>
      <c r="S160" s="46"/>
      <c r="T160" s="83">
        <f t="shared" si="9"/>
        <v>0</v>
      </c>
      <c r="U160" s="84">
        <f t="shared" si="11"/>
        <v>0</v>
      </c>
      <c r="V160" s="32"/>
      <c r="W160" s="163"/>
      <c r="X160" s="32"/>
      <c r="Y160" s="163"/>
      <c r="Z160" s="31"/>
      <c r="AA160" s="110"/>
      <c r="AB160" s="110"/>
      <c r="AC160" s="47"/>
      <c r="AD160" s="47"/>
      <c r="AE160" s="55"/>
      <c r="AF160" s="32"/>
      <c r="AG160" s="49"/>
    </row>
    <row r="161" spans="1:33">
      <c r="A161" s="158" t="s">
        <v>176</v>
      </c>
      <c r="B161" s="159" t="s">
        <v>243</v>
      </c>
      <c r="C161" s="119"/>
      <c r="D161" s="160">
        <v>244446</v>
      </c>
      <c r="E161" s="160">
        <v>12</v>
      </c>
      <c r="F161" s="81">
        <f t="shared" si="8"/>
        <v>88447</v>
      </c>
      <c r="G161" s="82">
        <f t="shared" si="10"/>
        <v>86333</v>
      </c>
      <c r="H161" s="32">
        <v>42202</v>
      </c>
      <c r="I161" s="163">
        <v>41716</v>
      </c>
      <c r="J161" s="32"/>
      <c r="K161" s="163"/>
      <c r="L161" s="31">
        <v>46131</v>
      </c>
      <c r="M161" s="110">
        <v>114</v>
      </c>
      <c r="N161" s="110"/>
      <c r="O161" s="47">
        <v>44617</v>
      </c>
      <c r="P161" s="111">
        <v>0</v>
      </c>
      <c r="Q161" s="55">
        <v>0</v>
      </c>
      <c r="R161" s="32"/>
      <c r="S161" s="46"/>
      <c r="T161" s="83">
        <f t="shared" si="9"/>
        <v>0</v>
      </c>
      <c r="U161" s="84">
        <f t="shared" si="11"/>
        <v>0</v>
      </c>
      <c r="V161" s="32"/>
      <c r="W161" s="163"/>
      <c r="X161" s="32"/>
      <c r="Y161" s="163"/>
      <c r="Z161" s="31"/>
      <c r="AA161" s="110"/>
      <c r="AB161" s="110"/>
      <c r="AC161" s="47"/>
      <c r="AD161" s="47"/>
      <c r="AE161" s="55"/>
      <c r="AF161" s="32"/>
      <c r="AG161" s="49"/>
    </row>
    <row r="162" spans="1:33">
      <c r="A162" s="158" t="s">
        <v>176</v>
      </c>
      <c r="B162" s="159" t="s">
        <v>244</v>
      </c>
      <c r="C162" s="114"/>
      <c r="D162" s="160">
        <v>140012</v>
      </c>
      <c r="E162" s="160">
        <v>12</v>
      </c>
      <c r="F162" s="81">
        <f t="shared" si="8"/>
        <v>141665</v>
      </c>
      <c r="G162" s="82">
        <f t="shared" si="10"/>
        <v>141261</v>
      </c>
      <c r="H162" s="32">
        <v>85269</v>
      </c>
      <c r="I162" s="163">
        <v>86586</v>
      </c>
      <c r="J162" s="32"/>
      <c r="K162" s="163"/>
      <c r="L162" s="31">
        <v>56396</v>
      </c>
      <c r="M162" s="110">
        <v>0</v>
      </c>
      <c r="N162" s="110"/>
      <c r="O162" s="47">
        <v>54675</v>
      </c>
      <c r="P162" s="47">
        <v>0</v>
      </c>
      <c r="Q162" s="55">
        <v>0</v>
      </c>
      <c r="R162" s="32"/>
      <c r="S162" s="46"/>
      <c r="T162" s="83">
        <f t="shared" si="9"/>
        <v>0</v>
      </c>
      <c r="U162" s="84">
        <f t="shared" si="11"/>
        <v>0</v>
      </c>
      <c r="V162" s="32"/>
      <c r="W162" s="163"/>
      <c r="X162" s="32"/>
      <c r="Y162" s="163"/>
      <c r="Z162" s="31"/>
      <c r="AA162" s="110"/>
      <c r="AB162" s="110"/>
      <c r="AC162" s="47"/>
      <c r="AD162" s="47"/>
      <c r="AE162" s="55"/>
      <c r="AF162" s="32"/>
      <c r="AG162" s="49"/>
    </row>
    <row r="163" spans="1:33">
      <c r="A163" s="158" t="s">
        <v>176</v>
      </c>
      <c r="B163" s="159" t="s">
        <v>245</v>
      </c>
      <c r="C163" s="114"/>
      <c r="D163" s="160">
        <v>140243</v>
      </c>
      <c r="E163" s="160">
        <v>12</v>
      </c>
      <c r="F163" s="81">
        <f t="shared" si="8"/>
        <v>74461</v>
      </c>
      <c r="G163" s="82">
        <f t="shared" si="10"/>
        <v>72584</v>
      </c>
      <c r="H163" s="32">
        <v>49925</v>
      </c>
      <c r="I163" s="163">
        <v>48463</v>
      </c>
      <c r="J163" s="32"/>
      <c r="K163" s="163"/>
      <c r="L163" s="31">
        <v>24536</v>
      </c>
      <c r="M163" s="110">
        <v>0</v>
      </c>
      <c r="N163" s="110"/>
      <c r="O163" s="47">
        <v>24121</v>
      </c>
      <c r="P163" s="47">
        <v>0</v>
      </c>
      <c r="Q163" s="55">
        <v>0</v>
      </c>
      <c r="R163" s="32"/>
      <c r="S163" s="46"/>
      <c r="T163" s="83">
        <f t="shared" si="9"/>
        <v>0</v>
      </c>
      <c r="U163" s="84">
        <f t="shared" si="11"/>
        <v>0</v>
      </c>
      <c r="V163" s="32"/>
      <c r="W163" s="163"/>
      <c r="X163" s="32"/>
      <c r="Y163" s="163"/>
      <c r="Z163" s="31"/>
      <c r="AA163" s="110"/>
      <c r="AB163" s="110"/>
      <c r="AC163" s="47"/>
      <c r="AD163" s="47"/>
      <c r="AE163" s="55"/>
      <c r="AF163" s="32"/>
      <c r="AG163" s="49"/>
    </row>
    <row r="164" spans="1:33">
      <c r="A164" s="158" t="s">
        <v>176</v>
      </c>
      <c r="B164" s="159" t="s">
        <v>246</v>
      </c>
      <c r="C164" s="114"/>
      <c r="D164" s="160">
        <v>140678</v>
      </c>
      <c r="E164" s="160">
        <v>12</v>
      </c>
      <c r="F164" s="81">
        <f t="shared" si="8"/>
        <v>57769</v>
      </c>
      <c r="G164" s="82">
        <f t="shared" si="10"/>
        <v>58671</v>
      </c>
      <c r="H164" s="32">
        <v>39503</v>
      </c>
      <c r="I164" s="163">
        <v>40416</v>
      </c>
      <c r="J164" s="32"/>
      <c r="K164" s="163"/>
      <c r="L164" s="31">
        <v>18266</v>
      </c>
      <c r="M164" s="110">
        <v>0</v>
      </c>
      <c r="N164" s="110"/>
      <c r="O164" s="47">
        <v>18255</v>
      </c>
      <c r="P164" s="47">
        <v>0</v>
      </c>
      <c r="Q164" s="55">
        <v>0</v>
      </c>
      <c r="R164" s="32"/>
      <c r="S164" s="46"/>
      <c r="T164" s="83">
        <f t="shared" si="9"/>
        <v>0</v>
      </c>
      <c r="U164" s="84">
        <f t="shared" si="11"/>
        <v>0</v>
      </c>
      <c r="V164" s="32"/>
      <c r="W164" s="163"/>
      <c r="X164" s="32"/>
      <c r="Y164" s="163"/>
      <c r="Z164" s="31"/>
      <c r="AA164" s="110"/>
      <c r="AB164" s="110"/>
      <c r="AC164" s="47"/>
      <c r="AD164" s="47"/>
      <c r="AE164" s="55"/>
      <c r="AF164" s="32"/>
      <c r="AG164" s="49"/>
    </row>
    <row r="165" spans="1:33">
      <c r="A165" s="158" t="s">
        <v>176</v>
      </c>
      <c r="B165" s="159" t="s">
        <v>247</v>
      </c>
      <c r="C165" s="119"/>
      <c r="D165" s="160">
        <v>420431</v>
      </c>
      <c r="E165" s="160">
        <v>12</v>
      </c>
      <c r="F165" s="81">
        <f t="shared" si="8"/>
        <v>35721</v>
      </c>
      <c r="G165" s="82">
        <f t="shared" si="10"/>
        <v>31309</v>
      </c>
      <c r="H165" s="32">
        <v>23843</v>
      </c>
      <c r="I165" s="14">
        <v>21123</v>
      </c>
      <c r="J165" s="32"/>
      <c r="K165" s="163"/>
      <c r="L165" s="31">
        <v>11878</v>
      </c>
      <c r="M165" s="110">
        <v>0</v>
      </c>
      <c r="N165" s="110"/>
      <c r="O165" s="111">
        <v>10186</v>
      </c>
      <c r="P165" s="47">
        <v>0</v>
      </c>
      <c r="Q165" s="55">
        <v>0</v>
      </c>
      <c r="R165" s="32"/>
      <c r="S165" s="46"/>
      <c r="T165" s="83">
        <f t="shared" si="9"/>
        <v>0</v>
      </c>
      <c r="U165" s="84">
        <f t="shared" si="11"/>
        <v>0</v>
      </c>
      <c r="V165" s="32"/>
      <c r="W165" s="163"/>
      <c r="X165" s="32"/>
      <c r="Y165" s="163"/>
      <c r="Z165" s="31"/>
      <c r="AA165" s="110"/>
      <c r="AB165" s="110"/>
      <c r="AC165" s="47"/>
      <c r="AD165" s="47"/>
      <c r="AE165" s="55"/>
      <c r="AF165" s="32"/>
      <c r="AG165" s="49"/>
    </row>
    <row r="166" spans="1:33">
      <c r="A166" s="167" t="s">
        <v>176</v>
      </c>
      <c r="B166" s="159" t="s">
        <v>248</v>
      </c>
      <c r="C166" s="114"/>
      <c r="D166" s="160">
        <v>366465</v>
      </c>
      <c r="E166" s="160">
        <v>12</v>
      </c>
      <c r="F166" s="81">
        <f t="shared" si="8"/>
        <v>55250</v>
      </c>
      <c r="G166" s="82">
        <f t="shared" si="10"/>
        <v>48844</v>
      </c>
      <c r="H166" s="32">
        <v>38907</v>
      </c>
      <c r="I166" s="14">
        <v>34951</v>
      </c>
      <c r="J166" s="32"/>
      <c r="K166" s="163"/>
      <c r="L166" s="31">
        <v>16343</v>
      </c>
      <c r="M166" s="110">
        <v>0</v>
      </c>
      <c r="N166" s="110"/>
      <c r="O166" s="111">
        <v>13893</v>
      </c>
      <c r="P166" s="47">
        <v>0</v>
      </c>
      <c r="Q166" s="55">
        <v>0</v>
      </c>
      <c r="R166" s="32"/>
      <c r="S166" s="46"/>
      <c r="T166" s="83">
        <f t="shared" si="9"/>
        <v>0</v>
      </c>
      <c r="U166" s="84">
        <f t="shared" si="11"/>
        <v>0</v>
      </c>
      <c r="V166" s="32"/>
      <c r="W166" s="163"/>
      <c r="X166" s="32"/>
      <c r="Y166" s="163"/>
      <c r="Z166" s="31"/>
      <c r="AA166" s="110"/>
      <c r="AB166" s="110"/>
      <c r="AC166" s="47"/>
      <c r="AD166" s="47"/>
      <c r="AE166" s="55"/>
      <c r="AF166" s="32"/>
      <c r="AG166" s="49"/>
    </row>
    <row r="167" spans="1:33">
      <c r="A167" s="167" t="s">
        <v>176</v>
      </c>
      <c r="B167" s="159" t="s">
        <v>249</v>
      </c>
      <c r="C167" s="114"/>
      <c r="D167" s="160">
        <v>140942</v>
      </c>
      <c r="E167" s="160">
        <v>12</v>
      </c>
      <c r="F167" s="81">
        <f t="shared" si="8"/>
        <v>95273</v>
      </c>
      <c r="G167" s="82">
        <f t="shared" si="10"/>
        <v>91358</v>
      </c>
      <c r="H167" s="32">
        <v>69904</v>
      </c>
      <c r="I167" s="163">
        <v>67460</v>
      </c>
      <c r="J167" s="32"/>
      <c r="K167" s="163"/>
      <c r="L167" s="31">
        <v>25097</v>
      </c>
      <c r="M167" s="110">
        <v>272</v>
      </c>
      <c r="N167" s="110"/>
      <c r="O167" s="111">
        <v>23834</v>
      </c>
      <c r="P167" s="111">
        <v>64</v>
      </c>
      <c r="Q167" s="55">
        <v>0</v>
      </c>
      <c r="R167" s="32"/>
      <c r="S167" s="46"/>
      <c r="T167" s="83">
        <f t="shared" si="9"/>
        <v>0</v>
      </c>
      <c r="U167" s="84">
        <f t="shared" si="11"/>
        <v>0</v>
      </c>
      <c r="V167" s="32"/>
      <c r="W167" s="163"/>
      <c r="X167" s="32"/>
      <c r="Y167" s="163"/>
      <c r="Z167" s="31"/>
      <c r="AA167" s="110"/>
      <c r="AB167" s="110"/>
      <c r="AC167" s="47"/>
      <c r="AD167" s="47"/>
      <c r="AE167" s="55"/>
      <c r="AF167" s="32"/>
      <c r="AG167" s="49"/>
    </row>
    <row r="168" spans="1:33">
      <c r="A168" s="167" t="s">
        <v>176</v>
      </c>
      <c r="B168" s="159" t="s">
        <v>250</v>
      </c>
      <c r="C168" s="114"/>
      <c r="D168" s="160">
        <v>141006</v>
      </c>
      <c r="E168" s="160">
        <v>12</v>
      </c>
      <c r="F168" s="81">
        <f t="shared" si="8"/>
        <v>43330</v>
      </c>
      <c r="G168" s="82">
        <f t="shared" si="10"/>
        <v>44867</v>
      </c>
      <c r="H168" s="32">
        <v>41209</v>
      </c>
      <c r="I168" s="163">
        <v>42008</v>
      </c>
      <c r="J168" s="32"/>
      <c r="K168" s="163"/>
      <c r="L168" s="31">
        <v>2121</v>
      </c>
      <c r="M168" s="110">
        <v>0</v>
      </c>
      <c r="N168" s="110"/>
      <c r="O168" s="111">
        <v>2859</v>
      </c>
      <c r="P168" s="47">
        <v>0</v>
      </c>
      <c r="Q168" s="55">
        <v>0</v>
      </c>
      <c r="R168" s="32"/>
      <c r="S168" s="46"/>
      <c r="T168" s="83">
        <f t="shared" si="9"/>
        <v>0</v>
      </c>
      <c r="U168" s="84">
        <f t="shared" si="11"/>
        <v>0</v>
      </c>
      <c r="V168" s="32"/>
      <c r="W168" s="163"/>
      <c r="X168" s="32"/>
      <c r="Y168" s="163"/>
      <c r="Z168" s="31"/>
      <c r="AA168" s="110"/>
      <c r="AB168" s="110"/>
      <c r="AC168" s="47"/>
      <c r="AD168" s="47"/>
      <c r="AE168" s="55"/>
      <c r="AF168" s="32"/>
      <c r="AG168" s="49"/>
    </row>
    <row r="169" spans="1:33">
      <c r="A169" s="167" t="s">
        <v>176</v>
      </c>
      <c r="B169" s="159" t="s">
        <v>251</v>
      </c>
      <c r="C169" s="114"/>
      <c r="D169" s="160">
        <v>368911</v>
      </c>
      <c r="E169" s="160">
        <v>12</v>
      </c>
      <c r="F169" s="81">
        <f t="shared" si="8"/>
        <v>34443</v>
      </c>
      <c r="G169" s="82">
        <f t="shared" si="10"/>
        <v>34559</v>
      </c>
      <c r="H169" s="32">
        <v>28764</v>
      </c>
      <c r="I169" s="163">
        <v>27633</v>
      </c>
      <c r="J169" s="32"/>
      <c r="K169" s="163"/>
      <c r="L169" s="31">
        <v>5679</v>
      </c>
      <c r="M169" s="110">
        <v>0</v>
      </c>
      <c r="N169" s="110"/>
      <c r="O169" s="111">
        <v>6926</v>
      </c>
      <c r="P169" s="47">
        <v>0</v>
      </c>
      <c r="Q169" s="55">
        <v>0</v>
      </c>
      <c r="R169" s="32"/>
      <c r="S169" s="46"/>
      <c r="T169" s="83">
        <f t="shared" si="9"/>
        <v>0</v>
      </c>
      <c r="U169" s="84">
        <f t="shared" si="11"/>
        <v>0</v>
      </c>
      <c r="V169" s="32"/>
      <c r="W169" s="163"/>
      <c r="X169" s="32"/>
      <c r="Y169" s="163"/>
      <c r="Z169" s="31"/>
      <c r="AA169" s="110"/>
      <c r="AB169" s="110"/>
      <c r="AC169" s="47"/>
      <c r="AD169" s="47"/>
      <c r="AE169" s="55"/>
      <c r="AF169" s="32"/>
      <c r="AG169" s="49"/>
    </row>
    <row r="170" spans="1:33">
      <c r="A170" s="167" t="s">
        <v>176</v>
      </c>
      <c r="B170" s="168" t="s">
        <v>252</v>
      </c>
      <c r="C170" s="114"/>
      <c r="D170" s="160">
        <v>139986</v>
      </c>
      <c r="E170" s="160">
        <v>12</v>
      </c>
      <c r="F170" s="81">
        <f t="shared" si="8"/>
        <v>101196</v>
      </c>
      <c r="G170" s="82">
        <f t="shared" si="10"/>
        <v>95562</v>
      </c>
      <c r="H170" s="32">
        <v>72628</v>
      </c>
      <c r="I170" s="14">
        <v>68316</v>
      </c>
      <c r="J170" s="32"/>
      <c r="K170" s="163"/>
      <c r="L170" s="31">
        <v>28568</v>
      </c>
      <c r="M170" s="110">
        <v>0</v>
      </c>
      <c r="N170" s="110"/>
      <c r="O170" s="47">
        <v>27246</v>
      </c>
      <c r="P170" s="47">
        <v>0</v>
      </c>
      <c r="Q170" s="55">
        <v>0</v>
      </c>
      <c r="R170" s="32"/>
      <c r="S170" s="46"/>
      <c r="T170" s="83">
        <f t="shared" si="9"/>
        <v>0</v>
      </c>
      <c r="U170" s="84">
        <f t="shared" si="11"/>
        <v>0</v>
      </c>
      <c r="V170" s="32"/>
      <c r="W170" s="163"/>
      <c r="X170" s="32"/>
      <c r="Y170" s="163"/>
      <c r="Z170" s="31"/>
      <c r="AA170" s="110"/>
      <c r="AB170" s="110"/>
      <c r="AC170" s="47"/>
      <c r="AD170" s="47"/>
      <c r="AE170" s="55"/>
      <c r="AF170" s="32"/>
      <c r="AG170" s="49"/>
    </row>
    <row r="171" spans="1:33">
      <c r="A171" s="167" t="s">
        <v>176</v>
      </c>
      <c r="B171" s="164" t="s">
        <v>253</v>
      </c>
      <c r="C171" s="114"/>
      <c r="D171" s="165">
        <v>487162</v>
      </c>
      <c r="E171" s="160">
        <v>12</v>
      </c>
      <c r="F171" s="81">
        <f t="shared" si="8"/>
        <v>75623</v>
      </c>
      <c r="G171" s="82">
        <f t="shared" si="10"/>
        <v>76052</v>
      </c>
      <c r="H171" s="169">
        <v>58690</v>
      </c>
      <c r="I171" s="166">
        <v>57023</v>
      </c>
      <c r="J171" s="32"/>
      <c r="K171" s="163"/>
      <c r="L171" s="170">
        <v>16933</v>
      </c>
      <c r="M171" s="170">
        <v>0</v>
      </c>
      <c r="N171" s="170"/>
      <c r="O171" s="111">
        <v>19029</v>
      </c>
      <c r="P171" s="171">
        <v>0</v>
      </c>
      <c r="Q171" s="55">
        <v>0</v>
      </c>
      <c r="R171" s="32"/>
      <c r="S171" s="46"/>
      <c r="T171" s="83">
        <f t="shared" si="9"/>
        <v>0</v>
      </c>
      <c r="U171" s="84">
        <f t="shared" si="11"/>
        <v>0</v>
      </c>
      <c r="V171" s="32"/>
      <c r="W171" s="163"/>
      <c r="X171" s="32"/>
      <c r="Y171" s="163"/>
      <c r="Z171" s="31"/>
      <c r="AA171" s="110"/>
      <c r="AB171" s="110"/>
      <c r="AC171" s="47"/>
      <c r="AD171" s="47"/>
      <c r="AE171" s="55"/>
      <c r="AF171" s="32"/>
      <c r="AG171" s="49"/>
    </row>
    <row r="172" spans="1:33">
      <c r="A172" s="167" t="s">
        <v>176</v>
      </c>
      <c r="B172" s="159" t="s">
        <v>254</v>
      </c>
      <c r="C172" s="114"/>
      <c r="D172" s="160">
        <v>139278</v>
      </c>
      <c r="E172" s="160">
        <v>12</v>
      </c>
      <c r="F172" s="81">
        <f t="shared" si="8"/>
        <v>132957</v>
      </c>
      <c r="G172" s="82">
        <f t="shared" si="10"/>
        <v>134840</v>
      </c>
      <c r="H172" s="32">
        <v>95951</v>
      </c>
      <c r="I172" s="163">
        <v>93873</v>
      </c>
      <c r="J172" s="32"/>
      <c r="K172" s="163"/>
      <c r="L172" s="31">
        <v>37006</v>
      </c>
      <c r="M172" s="110">
        <v>0</v>
      </c>
      <c r="N172" s="110"/>
      <c r="O172" s="111">
        <v>40967</v>
      </c>
      <c r="P172" s="47">
        <v>0</v>
      </c>
      <c r="Q172" s="55">
        <v>0</v>
      </c>
      <c r="R172" s="32"/>
      <c r="S172" s="46"/>
      <c r="T172" s="83">
        <f t="shared" si="9"/>
        <v>0</v>
      </c>
      <c r="U172" s="84">
        <f t="shared" si="11"/>
        <v>0</v>
      </c>
      <c r="V172" s="32"/>
      <c r="W172" s="163"/>
      <c r="X172" s="32"/>
      <c r="Y172" s="163"/>
      <c r="Z172" s="31"/>
      <c r="AA172" s="110"/>
      <c r="AB172" s="110"/>
      <c r="AC172" s="47"/>
      <c r="AD172" s="47"/>
      <c r="AE172" s="55"/>
      <c r="AF172" s="32"/>
      <c r="AG172" s="49"/>
    </row>
    <row r="173" spans="1:33">
      <c r="A173" s="167" t="s">
        <v>176</v>
      </c>
      <c r="B173" s="168" t="s">
        <v>255</v>
      </c>
      <c r="C173" s="114"/>
      <c r="D173" s="160">
        <v>141255</v>
      </c>
      <c r="E173" s="160">
        <v>12</v>
      </c>
      <c r="F173" s="81">
        <f t="shared" si="8"/>
        <v>75717</v>
      </c>
      <c r="G173" s="82">
        <f t="shared" si="10"/>
        <v>75341</v>
      </c>
      <c r="H173" s="32">
        <v>58172</v>
      </c>
      <c r="I173" s="163">
        <v>60043</v>
      </c>
      <c r="J173" s="32"/>
      <c r="K173" s="163"/>
      <c r="L173" s="31">
        <v>17545</v>
      </c>
      <c r="M173" s="110">
        <v>0</v>
      </c>
      <c r="N173" s="110"/>
      <c r="O173" s="111">
        <v>15298</v>
      </c>
      <c r="P173" s="47">
        <v>0</v>
      </c>
      <c r="Q173" s="55">
        <v>0</v>
      </c>
      <c r="R173" s="32"/>
      <c r="S173" s="46"/>
      <c r="T173" s="83">
        <f t="shared" si="9"/>
        <v>0</v>
      </c>
      <c r="U173" s="84">
        <f t="shared" si="11"/>
        <v>0</v>
      </c>
      <c r="V173" s="32"/>
      <c r="W173" s="163"/>
      <c r="X173" s="32"/>
      <c r="Y173" s="163"/>
      <c r="Z173" s="31"/>
      <c r="AA173" s="110"/>
      <c r="AB173" s="110"/>
      <c r="AC173" s="47"/>
      <c r="AD173" s="47"/>
      <c r="AE173" s="55"/>
      <c r="AF173" s="32"/>
      <c r="AG173" s="49"/>
    </row>
    <row r="174" spans="1:33" s="74" customFormat="1" ht="13.5" customHeight="1">
      <c r="A174" s="172" t="s">
        <v>256</v>
      </c>
      <c r="B174" s="35" t="s">
        <v>257</v>
      </c>
      <c r="C174" s="34"/>
      <c r="D174" s="33">
        <v>157085</v>
      </c>
      <c r="E174" s="33">
        <v>1</v>
      </c>
      <c r="F174" s="81">
        <f t="shared" si="8"/>
        <v>697979</v>
      </c>
      <c r="G174" s="82">
        <f t="shared" si="10"/>
        <v>687956</v>
      </c>
      <c r="H174" s="32">
        <v>642626</v>
      </c>
      <c r="I174" s="56">
        <v>634640</v>
      </c>
      <c r="J174" s="32">
        <v>6430</v>
      </c>
      <c r="K174" s="115">
        <v>7513</v>
      </c>
      <c r="L174" s="31">
        <v>46133</v>
      </c>
      <c r="M174" s="110">
        <v>2730</v>
      </c>
      <c r="N174" s="110">
        <v>60</v>
      </c>
      <c r="O174" s="47">
        <v>44291</v>
      </c>
      <c r="P174" s="68">
        <v>946</v>
      </c>
      <c r="Q174" s="73">
        <v>566</v>
      </c>
      <c r="R174" s="32"/>
      <c r="S174" s="46"/>
      <c r="T174" s="83">
        <f t="shared" si="9"/>
        <v>82764</v>
      </c>
      <c r="U174" s="84">
        <f t="shared" si="11"/>
        <v>80001</v>
      </c>
      <c r="V174" s="32">
        <v>65909</v>
      </c>
      <c r="W174" s="56">
        <v>63229</v>
      </c>
      <c r="X174" s="32">
        <v>2299</v>
      </c>
      <c r="Y174" s="115">
        <v>1587</v>
      </c>
      <c r="Z174" s="31">
        <v>13960</v>
      </c>
      <c r="AA174" s="110">
        <v>596</v>
      </c>
      <c r="AB174" s="110"/>
      <c r="AC174" s="47">
        <v>14591</v>
      </c>
      <c r="AD174" s="111">
        <v>456</v>
      </c>
      <c r="AE174" s="73">
        <v>138</v>
      </c>
      <c r="AF174" s="32"/>
      <c r="AG174" s="49"/>
    </row>
    <row r="175" spans="1:33">
      <c r="A175" s="172" t="s">
        <v>256</v>
      </c>
      <c r="B175" s="35" t="s">
        <v>258</v>
      </c>
      <c r="C175" s="34"/>
      <c r="D175" s="33">
        <v>157289</v>
      </c>
      <c r="E175" s="33">
        <v>1</v>
      </c>
      <c r="F175" s="81">
        <f t="shared" si="8"/>
        <v>407968</v>
      </c>
      <c r="G175" s="82">
        <f t="shared" si="10"/>
        <v>408801</v>
      </c>
      <c r="H175" s="32">
        <v>353446</v>
      </c>
      <c r="I175" s="56">
        <v>349707</v>
      </c>
      <c r="J175" s="32">
        <v>13610</v>
      </c>
      <c r="K175" s="115">
        <v>15186</v>
      </c>
      <c r="L175" s="31">
        <v>40912</v>
      </c>
      <c r="M175" s="110"/>
      <c r="N175" s="110"/>
      <c r="O175" s="111">
        <v>43908</v>
      </c>
      <c r="P175" s="47"/>
      <c r="Q175" s="55"/>
      <c r="R175" s="32"/>
      <c r="S175" s="46"/>
      <c r="T175" s="83">
        <f t="shared" si="9"/>
        <v>77737</v>
      </c>
      <c r="U175" s="84">
        <f t="shared" si="11"/>
        <v>78494</v>
      </c>
      <c r="V175" s="32">
        <v>57991</v>
      </c>
      <c r="W175" s="115">
        <v>54520</v>
      </c>
      <c r="X175" s="32">
        <v>7132</v>
      </c>
      <c r="Y175" s="115">
        <v>10598</v>
      </c>
      <c r="Z175" s="31">
        <v>12614</v>
      </c>
      <c r="AA175" s="110"/>
      <c r="AB175" s="110"/>
      <c r="AC175" s="111">
        <v>13376</v>
      </c>
      <c r="AD175" s="47"/>
      <c r="AE175" s="55"/>
      <c r="AF175" s="32"/>
      <c r="AG175" s="49"/>
    </row>
    <row r="176" spans="1:33">
      <c r="A176" s="172" t="s">
        <v>256</v>
      </c>
      <c r="B176" s="35" t="s">
        <v>259</v>
      </c>
      <c r="C176" s="34"/>
      <c r="D176" s="33">
        <v>156620</v>
      </c>
      <c r="E176" s="33">
        <v>3</v>
      </c>
      <c r="F176" s="81">
        <f t="shared" si="8"/>
        <v>402899</v>
      </c>
      <c r="G176" s="82">
        <f t="shared" si="10"/>
        <v>399992</v>
      </c>
      <c r="H176" s="32">
        <v>310571</v>
      </c>
      <c r="I176" s="56">
        <v>304647</v>
      </c>
      <c r="J176" s="32">
        <v>15251</v>
      </c>
      <c r="K176" s="56">
        <v>14590</v>
      </c>
      <c r="L176" s="31">
        <v>68253</v>
      </c>
      <c r="M176" s="110">
        <v>7146</v>
      </c>
      <c r="N176" s="110">
        <v>1678</v>
      </c>
      <c r="O176" s="47">
        <v>71040</v>
      </c>
      <c r="P176" s="111">
        <v>7528</v>
      </c>
      <c r="Q176" s="117">
        <v>2187</v>
      </c>
      <c r="R176" s="32"/>
      <c r="S176" s="46"/>
      <c r="T176" s="83">
        <f t="shared" si="9"/>
        <v>42908</v>
      </c>
      <c r="U176" s="84">
        <f t="shared" si="11"/>
        <v>44682</v>
      </c>
      <c r="V176" s="32">
        <v>16716</v>
      </c>
      <c r="W176" s="56">
        <v>16003</v>
      </c>
      <c r="X176" s="32">
        <v>563</v>
      </c>
      <c r="Y176" s="69">
        <v>953</v>
      </c>
      <c r="Z176" s="31">
        <v>25055</v>
      </c>
      <c r="AA176" s="110"/>
      <c r="AB176" s="110">
        <v>574</v>
      </c>
      <c r="AC176" s="111">
        <v>27223</v>
      </c>
      <c r="AD176" s="72">
        <v>3</v>
      </c>
      <c r="AE176" s="117">
        <v>500</v>
      </c>
      <c r="AF176" s="32"/>
      <c r="AG176" s="49"/>
    </row>
    <row r="177" spans="1:33">
      <c r="A177" s="172" t="s">
        <v>256</v>
      </c>
      <c r="B177" s="35" t="s">
        <v>260</v>
      </c>
      <c r="C177" s="34"/>
      <c r="D177" s="33">
        <v>157386</v>
      </c>
      <c r="E177" s="33">
        <v>3</v>
      </c>
      <c r="F177" s="81">
        <f t="shared" si="8"/>
        <v>210661</v>
      </c>
      <c r="G177" s="82">
        <f t="shared" si="10"/>
        <v>205440</v>
      </c>
      <c r="H177" s="32">
        <v>137947</v>
      </c>
      <c r="I177" s="56">
        <v>131975</v>
      </c>
      <c r="J177" s="32">
        <v>21069</v>
      </c>
      <c r="K177" s="56">
        <v>21141</v>
      </c>
      <c r="L177" s="31">
        <v>44070</v>
      </c>
      <c r="M177" s="110">
        <v>7575</v>
      </c>
      <c r="N177" s="110"/>
      <c r="O177" s="111">
        <v>47136</v>
      </c>
      <c r="P177" s="111">
        <v>5188</v>
      </c>
      <c r="Q177" s="55"/>
      <c r="R177" s="32"/>
      <c r="S177" s="46"/>
      <c r="T177" s="83">
        <f t="shared" si="9"/>
        <v>15991</v>
      </c>
      <c r="U177" s="84">
        <f t="shared" si="11"/>
        <v>15485</v>
      </c>
      <c r="V177" s="32">
        <v>2475</v>
      </c>
      <c r="W177" s="56">
        <v>2500</v>
      </c>
      <c r="X177" s="32">
        <v>501</v>
      </c>
      <c r="Y177" s="115">
        <v>576</v>
      </c>
      <c r="Z177" s="31">
        <v>12982</v>
      </c>
      <c r="AA177" s="110">
        <v>33</v>
      </c>
      <c r="AB177" s="110"/>
      <c r="AC177" s="47">
        <v>12406</v>
      </c>
      <c r="AD177" s="68">
        <v>3</v>
      </c>
      <c r="AE177" s="55"/>
      <c r="AF177" s="32"/>
      <c r="AG177" s="49"/>
    </row>
    <row r="178" spans="1:33">
      <c r="A178" s="172" t="s">
        <v>256</v>
      </c>
      <c r="B178" s="35" t="s">
        <v>261</v>
      </c>
      <c r="C178" s="34"/>
      <c r="D178" s="33">
        <v>157401</v>
      </c>
      <c r="E178" s="33">
        <v>3</v>
      </c>
      <c r="F178" s="81">
        <f t="shared" si="8"/>
        <v>243973</v>
      </c>
      <c r="G178" s="82">
        <f t="shared" si="10"/>
        <v>235157</v>
      </c>
      <c r="H178" s="32">
        <v>201972</v>
      </c>
      <c r="I178" s="56">
        <v>194523</v>
      </c>
      <c r="J178" s="32">
        <v>10804</v>
      </c>
      <c r="K178" s="56">
        <v>10331</v>
      </c>
      <c r="L178" s="31">
        <v>21669</v>
      </c>
      <c r="M178" s="110">
        <v>9528</v>
      </c>
      <c r="N178" s="110"/>
      <c r="O178" s="47">
        <v>21917</v>
      </c>
      <c r="P178" s="111">
        <v>8386</v>
      </c>
      <c r="Q178" s="55"/>
      <c r="R178" s="32"/>
      <c r="S178" s="46"/>
      <c r="T178" s="83">
        <f t="shared" si="9"/>
        <v>28476</v>
      </c>
      <c r="U178" s="84">
        <f t="shared" si="11"/>
        <v>26169</v>
      </c>
      <c r="V178" s="32">
        <v>14874</v>
      </c>
      <c r="W178" s="115">
        <v>12993</v>
      </c>
      <c r="X178" s="32">
        <v>1777</v>
      </c>
      <c r="Y178" s="56">
        <v>1729</v>
      </c>
      <c r="Z178" s="31">
        <v>10824</v>
      </c>
      <c r="AA178" s="110">
        <v>1001</v>
      </c>
      <c r="AB178" s="110"/>
      <c r="AC178" s="47">
        <v>10709</v>
      </c>
      <c r="AD178" s="111">
        <v>738</v>
      </c>
      <c r="AE178" s="55"/>
      <c r="AF178" s="32"/>
      <c r="AG178" s="49"/>
    </row>
    <row r="179" spans="1:33">
      <c r="A179" s="172" t="s">
        <v>256</v>
      </c>
      <c r="B179" s="35" t="s">
        <v>262</v>
      </c>
      <c r="C179" s="30"/>
      <c r="D179" s="33">
        <v>157447</v>
      </c>
      <c r="E179" s="29">
        <v>3</v>
      </c>
      <c r="F179" s="81">
        <f t="shared" si="8"/>
        <v>363252</v>
      </c>
      <c r="G179" s="82">
        <f t="shared" si="10"/>
        <v>358579</v>
      </c>
      <c r="H179" s="32">
        <v>292961</v>
      </c>
      <c r="I179" s="56">
        <v>280366</v>
      </c>
      <c r="J179" s="32">
        <v>11089</v>
      </c>
      <c r="K179" s="115">
        <v>13787</v>
      </c>
      <c r="L179" s="31">
        <v>58884</v>
      </c>
      <c r="M179" s="110">
        <v>318</v>
      </c>
      <c r="N179" s="110"/>
      <c r="O179" s="111">
        <v>64219</v>
      </c>
      <c r="P179" s="111">
        <v>207</v>
      </c>
      <c r="Q179" s="55"/>
      <c r="R179" s="32"/>
      <c r="S179" s="46"/>
      <c r="T179" s="83">
        <f t="shared" si="9"/>
        <v>36507</v>
      </c>
      <c r="U179" s="84">
        <f t="shared" si="11"/>
        <v>35501</v>
      </c>
      <c r="V179" s="32">
        <v>25893</v>
      </c>
      <c r="W179" s="56">
        <v>25286</v>
      </c>
      <c r="X179" s="32">
        <v>943</v>
      </c>
      <c r="Y179" s="56">
        <v>951</v>
      </c>
      <c r="Z179" s="31">
        <v>9671</v>
      </c>
      <c r="AA179" s="110"/>
      <c r="AB179" s="110"/>
      <c r="AC179" s="47">
        <v>9264</v>
      </c>
      <c r="AD179" s="47"/>
      <c r="AE179" s="55"/>
      <c r="AF179" s="32"/>
      <c r="AG179" s="49"/>
    </row>
    <row r="180" spans="1:33">
      <c r="A180" s="172" t="s">
        <v>256</v>
      </c>
      <c r="B180" s="35" t="s">
        <v>263</v>
      </c>
      <c r="C180" s="34"/>
      <c r="D180" s="33">
        <v>157951</v>
      </c>
      <c r="E180" s="33">
        <v>3</v>
      </c>
      <c r="F180" s="81">
        <f t="shared" si="8"/>
        <v>432977</v>
      </c>
      <c r="G180" s="82">
        <f t="shared" si="10"/>
        <v>433717</v>
      </c>
      <c r="H180" s="32">
        <v>329962</v>
      </c>
      <c r="I180" s="56">
        <v>323109</v>
      </c>
      <c r="J180" s="32">
        <v>29723</v>
      </c>
      <c r="K180" s="115">
        <v>27776</v>
      </c>
      <c r="L180" s="31">
        <v>66728</v>
      </c>
      <c r="M180" s="110">
        <v>5932</v>
      </c>
      <c r="N180" s="110">
        <v>632</v>
      </c>
      <c r="O180" s="111">
        <v>78060</v>
      </c>
      <c r="P180" s="111">
        <v>4678</v>
      </c>
      <c r="Q180" s="70">
        <v>94</v>
      </c>
      <c r="R180" s="32"/>
      <c r="S180" s="46"/>
      <c r="T180" s="83">
        <f t="shared" si="9"/>
        <v>42704</v>
      </c>
      <c r="U180" s="84">
        <f t="shared" si="11"/>
        <v>43294</v>
      </c>
      <c r="V180" s="32">
        <v>21074</v>
      </c>
      <c r="W180" s="56">
        <v>20706</v>
      </c>
      <c r="X180" s="32">
        <v>676</v>
      </c>
      <c r="Y180" s="115">
        <v>601</v>
      </c>
      <c r="Z180" s="31">
        <v>20744</v>
      </c>
      <c r="AA180" s="110">
        <v>192</v>
      </c>
      <c r="AB180" s="110">
        <v>18</v>
      </c>
      <c r="AC180" s="111">
        <v>21834</v>
      </c>
      <c r="AD180" s="111">
        <v>153</v>
      </c>
      <c r="AE180" s="70"/>
      <c r="AF180" s="32"/>
      <c r="AG180" s="49"/>
    </row>
    <row r="181" spans="1:33">
      <c r="A181" s="172" t="s">
        <v>256</v>
      </c>
      <c r="B181" s="35" t="s">
        <v>264</v>
      </c>
      <c r="C181" s="34"/>
      <c r="D181" s="33">
        <v>157058</v>
      </c>
      <c r="E181" s="33">
        <v>4</v>
      </c>
      <c r="F181" s="81">
        <f t="shared" si="8"/>
        <v>44123</v>
      </c>
      <c r="G181" s="82">
        <f t="shared" si="10"/>
        <v>40746</v>
      </c>
      <c r="H181" s="32">
        <v>33190</v>
      </c>
      <c r="I181" s="115">
        <v>30841</v>
      </c>
      <c r="J181" s="32"/>
      <c r="K181" s="56"/>
      <c r="L181" s="31">
        <v>10933</v>
      </c>
      <c r="M181" s="110"/>
      <c r="N181" s="110"/>
      <c r="O181" s="111">
        <v>9904</v>
      </c>
      <c r="P181" s="72">
        <v>1</v>
      </c>
      <c r="Q181" s="55"/>
      <c r="R181" s="32"/>
      <c r="S181" s="46"/>
      <c r="T181" s="83">
        <f t="shared" si="9"/>
        <v>2227</v>
      </c>
      <c r="U181" s="84">
        <f t="shared" si="11"/>
        <v>2304</v>
      </c>
      <c r="V181" s="32">
        <v>1654</v>
      </c>
      <c r="W181" s="115">
        <v>1873</v>
      </c>
      <c r="X181" s="32"/>
      <c r="Y181" s="71"/>
      <c r="Z181" s="31">
        <v>573</v>
      </c>
      <c r="AA181" s="110"/>
      <c r="AB181" s="110"/>
      <c r="AC181" s="111">
        <v>431</v>
      </c>
      <c r="AD181" s="47"/>
      <c r="AE181" s="55"/>
      <c r="AF181" s="32"/>
      <c r="AG181" s="49"/>
    </row>
    <row r="182" spans="1:33">
      <c r="A182" s="172" t="s">
        <v>256</v>
      </c>
      <c r="B182" s="35" t="s">
        <v>265</v>
      </c>
      <c r="C182" s="34"/>
      <c r="D182" s="33">
        <v>157173</v>
      </c>
      <c r="E182" s="33">
        <v>8</v>
      </c>
      <c r="F182" s="81">
        <f t="shared" si="8"/>
        <v>204085</v>
      </c>
      <c r="G182" s="82">
        <f t="shared" si="10"/>
        <v>196250</v>
      </c>
      <c r="H182" s="32">
        <v>106839</v>
      </c>
      <c r="I182" s="115">
        <v>89516</v>
      </c>
      <c r="J182" s="32">
        <v>36208</v>
      </c>
      <c r="K182" s="56">
        <v>36561</v>
      </c>
      <c r="L182" s="31">
        <v>61038</v>
      </c>
      <c r="M182" s="110"/>
      <c r="N182" s="110"/>
      <c r="O182" s="111">
        <v>70173</v>
      </c>
      <c r="P182" s="47"/>
      <c r="Q182" s="55"/>
      <c r="R182" s="32"/>
      <c r="S182" s="46"/>
      <c r="T182" s="83">
        <f t="shared" si="9"/>
        <v>0</v>
      </c>
      <c r="U182" s="84">
        <f t="shared" si="11"/>
        <v>0</v>
      </c>
      <c r="V182" s="32"/>
      <c r="W182" s="56"/>
      <c r="X182" s="32"/>
      <c r="Y182" s="56"/>
      <c r="Z182" s="31"/>
      <c r="AA182" s="110"/>
      <c r="AB182" s="110"/>
      <c r="AC182" s="47"/>
      <c r="AD182" s="47"/>
      <c r="AE182" s="55"/>
      <c r="AF182" s="32"/>
      <c r="AG182" s="49"/>
    </row>
    <row r="183" spans="1:33">
      <c r="A183" s="172" t="s">
        <v>256</v>
      </c>
      <c r="B183" s="35" t="s">
        <v>266</v>
      </c>
      <c r="C183" s="34"/>
      <c r="D183" s="33">
        <v>156921</v>
      </c>
      <c r="E183" s="33">
        <v>8</v>
      </c>
      <c r="F183" s="81">
        <f t="shared" si="8"/>
        <v>213720</v>
      </c>
      <c r="G183" s="82">
        <f t="shared" si="10"/>
        <v>193620</v>
      </c>
      <c r="H183" s="32">
        <v>158221</v>
      </c>
      <c r="I183" s="115">
        <v>132063</v>
      </c>
      <c r="J183" s="32">
        <v>9613</v>
      </c>
      <c r="K183" s="115">
        <v>8413</v>
      </c>
      <c r="L183" s="31">
        <v>45886</v>
      </c>
      <c r="M183" s="110"/>
      <c r="N183" s="110"/>
      <c r="O183" s="111">
        <v>53144</v>
      </c>
      <c r="P183" s="47"/>
      <c r="Q183" s="55"/>
      <c r="R183" s="32"/>
      <c r="S183" s="46"/>
      <c r="T183" s="83">
        <f t="shared" si="9"/>
        <v>0</v>
      </c>
      <c r="U183" s="84">
        <f t="shared" si="11"/>
        <v>0</v>
      </c>
      <c r="V183" s="32"/>
      <c r="W183" s="56"/>
      <c r="X183" s="32"/>
      <c r="Y183" s="56"/>
      <c r="Z183" s="31"/>
      <c r="AA183" s="110"/>
      <c r="AB183" s="110"/>
      <c r="AC183" s="47"/>
      <c r="AD183" s="47"/>
      <c r="AE183" s="55"/>
      <c r="AF183" s="32"/>
      <c r="AG183" s="49"/>
    </row>
    <row r="184" spans="1:33">
      <c r="A184" s="172" t="s">
        <v>256</v>
      </c>
      <c r="B184" s="35" t="s">
        <v>267</v>
      </c>
      <c r="C184" s="34"/>
      <c r="D184" s="33">
        <v>156231</v>
      </c>
      <c r="E184" s="33">
        <v>9</v>
      </c>
      <c r="F184" s="81">
        <f t="shared" si="8"/>
        <v>62315</v>
      </c>
      <c r="G184" s="82">
        <f t="shared" si="10"/>
        <v>60306</v>
      </c>
      <c r="H184" s="32">
        <v>36995</v>
      </c>
      <c r="I184" s="115">
        <v>32557</v>
      </c>
      <c r="J184" s="32">
        <v>3367</v>
      </c>
      <c r="K184" s="115">
        <v>2998</v>
      </c>
      <c r="L184" s="31">
        <v>21953</v>
      </c>
      <c r="M184" s="110"/>
      <c r="N184" s="110"/>
      <c r="O184" s="111">
        <v>24751</v>
      </c>
      <c r="P184" s="47"/>
      <c r="Q184" s="55"/>
      <c r="R184" s="32"/>
      <c r="S184" s="46"/>
      <c r="T184" s="83">
        <f t="shared" si="9"/>
        <v>0</v>
      </c>
      <c r="U184" s="84">
        <f t="shared" si="11"/>
        <v>0</v>
      </c>
      <c r="V184" s="32"/>
      <c r="W184" s="56"/>
      <c r="X184" s="32"/>
      <c r="Y184" s="56"/>
      <c r="Z184" s="31"/>
      <c r="AA184" s="110"/>
      <c r="AB184" s="110"/>
      <c r="AC184" s="47"/>
      <c r="AD184" s="47"/>
      <c r="AE184" s="55"/>
      <c r="AF184" s="32"/>
      <c r="AG184" s="49"/>
    </row>
    <row r="185" spans="1:33">
      <c r="A185" s="172" t="s">
        <v>256</v>
      </c>
      <c r="B185" s="35" t="s">
        <v>268</v>
      </c>
      <c r="C185" s="34"/>
      <c r="D185" s="33">
        <v>157553</v>
      </c>
      <c r="E185" s="33">
        <v>9</v>
      </c>
      <c r="F185" s="81">
        <f t="shared" si="8"/>
        <v>73968</v>
      </c>
      <c r="G185" s="82">
        <f t="shared" si="10"/>
        <v>73628</v>
      </c>
      <c r="H185" s="32">
        <v>42631</v>
      </c>
      <c r="I185" s="115">
        <v>38346</v>
      </c>
      <c r="J185" s="32">
        <v>376</v>
      </c>
      <c r="K185" s="71">
        <v>1210</v>
      </c>
      <c r="L185" s="31">
        <v>30961</v>
      </c>
      <c r="M185" s="110"/>
      <c r="N185" s="110"/>
      <c r="O185" s="111">
        <v>34072</v>
      </c>
      <c r="P185" s="47"/>
      <c r="Q185" s="55"/>
      <c r="R185" s="32"/>
      <c r="S185" s="46"/>
      <c r="T185" s="83">
        <f t="shared" si="9"/>
        <v>0</v>
      </c>
      <c r="U185" s="84">
        <f t="shared" si="11"/>
        <v>0</v>
      </c>
      <c r="V185" s="32"/>
      <c r="W185" s="56"/>
      <c r="X185" s="32"/>
      <c r="Y185" s="56"/>
      <c r="Z185" s="31"/>
      <c r="AA185" s="110"/>
      <c r="AB185" s="110"/>
      <c r="AC185" s="47"/>
      <c r="AD185" s="47"/>
      <c r="AE185" s="55"/>
      <c r="AF185" s="32"/>
      <c r="AG185" s="49"/>
    </row>
    <row r="186" spans="1:33">
      <c r="A186" s="172" t="s">
        <v>256</v>
      </c>
      <c r="B186" s="35" t="s">
        <v>269</v>
      </c>
      <c r="C186" s="34"/>
      <c r="D186" s="33">
        <v>156648</v>
      </c>
      <c r="E186" s="33">
        <v>9</v>
      </c>
      <c r="F186" s="81">
        <f t="shared" si="8"/>
        <v>105472</v>
      </c>
      <c r="G186" s="82">
        <f t="shared" si="10"/>
        <v>104845</v>
      </c>
      <c r="H186" s="32">
        <v>63151</v>
      </c>
      <c r="I186" s="115">
        <v>53123</v>
      </c>
      <c r="J186" s="32">
        <v>6017</v>
      </c>
      <c r="K186" s="115">
        <v>6776</v>
      </c>
      <c r="L186" s="31">
        <v>36304</v>
      </c>
      <c r="M186" s="110"/>
      <c r="N186" s="110"/>
      <c r="O186" s="111">
        <v>44946</v>
      </c>
      <c r="P186" s="47"/>
      <c r="Q186" s="55"/>
      <c r="R186" s="32"/>
      <c r="S186" s="46"/>
      <c r="T186" s="83">
        <f t="shared" si="9"/>
        <v>0</v>
      </c>
      <c r="U186" s="84">
        <f t="shared" si="11"/>
        <v>0</v>
      </c>
      <c r="V186" s="32"/>
      <c r="W186" s="56"/>
      <c r="X186" s="32"/>
      <c r="Y186" s="56"/>
      <c r="Z186" s="31"/>
      <c r="AA186" s="110"/>
      <c r="AB186" s="110"/>
      <c r="AC186" s="47"/>
      <c r="AD186" s="47"/>
      <c r="AE186" s="55"/>
      <c r="AF186" s="32"/>
      <c r="AG186" s="49"/>
    </row>
    <row r="187" spans="1:33" ht="15">
      <c r="A187" s="172" t="s">
        <v>256</v>
      </c>
      <c r="B187" s="35" t="s">
        <v>270</v>
      </c>
      <c r="C187" s="352" t="s">
        <v>845</v>
      </c>
      <c r="D187" s="33">
        <v>156790</v>
      </c>
      <c r="E187" s="353">
        <v>10</v>
      </c>
      <c r="F187" s="81">
        <f t="shared" si="8"/>
        <v>56382</v>
      </c>
      <c r="G187" s="82">
        <f t="shared" si="10"/>
        <v>56419</v>
      </c>
      <c r="H187" s="32">
        <v>25669</v>
      </c>
      <c r="I187" s="115">
        <v>21280</v>
      </c>
      <c r="J187" s="32">
        <v>1902</v>
      </c>
      <c r="K187" s="115">
        <v>1740</v>
      </c>
      <c r="L187" s="31">
        <v>28811</v>
      </c>
      <c r="M187" s="110"/>
      <c r="N187" s="110"/>
      <c r="O187" s="111">
        <v>33399</v>
      </c>
      <c r="P187" s="47"/>
      <c r="Q187" s="55"/>
      <c r="R187" s="32"/>
      <c r="S187" s="46"/>
      <c r="T187" s="83">
        <f t="shared" si="9"/>
        <v>0</v>
      </c>
      <c r="U187" s="84">
        <f t="shared" si="11"/>
        <v>0</v>
      </c>
      <c r="V187" s="32"/>
      <c r="W187" s="56"/>
      <c r="X187" s="32"/>
      <c r="Y187" s="56"/>
      <c r="Z187" s="31"/>
      <c r="AA187" s="110"/>
      <c r="AB187" s="110"/>
      <c r="AC187" s="47"/>
      <c r="AD187" s="47"/>
      <c r="AE187" s="55"/>
      <c r="AF187" s="32"/>
      <c r="AG187" s="49"/>
    </row>
    <row r="188" spans="1:33" ht="15">
      <c r="A188" s="172" t="s">
        <v>256</v>
      </c>
      <c r="B188" s="35" t="s">
        <v>271</v>
      </c>
      <c r="C188" s="344" t="s">
        <v>846</v>
      </c>
      <c r="D188" s="33">
        <v>156860</v>
      </c>
      <c r="E188" s="33">
        <v>9</v>
      </c>
      <c r="F188" s="81">
        <f t="shared" si="8"/>
        <v>59150</v>
      </c>
      <c r="G188" s="82">
        <f t="shared" si="10"/>
        <v>54173</v>
      </c>
      <c r="H188" s="32">
        <v>42046</v>
      </c>
      <c r="I188" s="115">
        <v>30494</v>
      </c>
      <c r="J188" s="32">
        <v>838</v>
      </c>
      <c r="K188" s="115">
        <v>1009</v>
      </c>
      <c r="L188" s="31">
        <v>16266</v>
      </c>
      <c r="M188" s="110"/>
      <c r="N188" s="110"/>
      <c r="O188" s="111">
        <v>22670</v>
      </c>
      <c r="P188" s="47"/>
      <c r="Q188" s="55"/>
      <c r="R188" s="32"/>
      <c r="S188" s="46"/>
      <c r="T188" s="83">
        <f t="shared" si="9"/>
        <v>0</v>
      </c>
      <c r="U188" s="84">
        <f t="shared" si="11"/>
        <v>0</v>
      </c>
      <c r="V188" s="32"/>
      <c r="W188" s="56"/>
      <c r="X188" s="32"/>
      <c r="Y188" s="56"/>
      <c r="Z188" s="31"/>
      <c r="AA188" s="110"/>
      <c r="AB188" s="110"/>
      <c r="AC188" s="47"/>
      <c r="AD188" s="47"/>
      <c r="AE188" s="55"/>
      <c r="AF188" s="32"/>
      <c r="AG188" s="49"/>
    </row>
    <row r="189" spans="1:33" ht="15">
      <c r="A189" s="172" t="s">
        <v>256</v>
      </c>
      <c r="B189" s="35" t="s">
        <v>272</v>
      </c>
      <c r="C189" s="344" t="s">
        <v>846</v>
      </c>
      <c r="D189" s="33">
        <v>157304</v>
      </c>
      <c r="E189" s="173">
        <v>9</v>
      </c>
      <c r="F189" s="81">
        <f t="shared" si="8"/>
        <v>56168</v>
      </c>
      <c r="G189" s="82">
        <f t="shared" si="10"/>
        <v>49567</v>
      </c>
      <c r="H189" s="32">
        <v>29223</v>
      </c>
      <c r="I189" s="115">
        <v>23231</v>
      </c>
      <c r="J189" s="32">
        <v>5196</v>
      </c>
      <c r="K189" s="115">
        <v>4299</v>
      </c>
      <c r="L189" s="31">
        <v>21749</v>
      </c>
      <c r="M189" s="110"/>
      <c r="N189" s="110"/>
      <c r="O189" s="47">
        <v>22037</v>
      </c>
      <c r="P189" s="47"/>
      <c r="Q189" s="55"/>
      <c r="R189" s="32"/>
      <c r="S189" s="46"/>
      <c r="T189" s="83">
        <f t="shared" si="9"/>
        <v>0</v>
      </c>
      <c r="U189" s="84">
        <f t="shared" si="11"/>
        <v>0</v>
      </c>
      <c r="V189" s="32"/>
      <c r="W189" s="56"/>
      <c r="X189" s="32"/>
      <c r="Y189" s="56"/>
      <c r="Z189" s="31"/>
      <c r="AA189" s="110"/>
      <c r="AB189" s="110"/>
      <c r="AC189" s="47"/>
      <c r="AD189" s="47"/>
      <c r="AE189" s="55"/>
      <c r="AF189" s="32"/>
      <c r="AG189" s="49"/>
    </row>
    <row r="190" spans="1:33" ht="15">
      <c r="A190" s="172" t="s">
        <v>256</v>
      </c>
      <c r="B190" s="35" t="s">
        <v>273</v>
      </c>
      <c r="C190" s="344"/>
      <c r="D190" s="33">
        <v>157331</v>
      </c>
      <c r="E190" s="173">
        <v>9</v>
      </c>
      <c r="F190" s="81">
        <f t="shared" si="8"/>
        <v>68130</v>
      </c>
      <c r="G190" s="82">
        <f t="shared" si="10"/>
        <v>68365</v>
      </c>
      <c r="H190" s="32">
        <v>33228</v>
      </c>
      <c r="I190" s="56">
        <v>31761</v>
      </c>
      <c r="J190" s="32">
        <v>6959</v>
      </c>
      <c r="K190" s="115">
        <v>5340</v>
      </c>
      <c r="L190" s="31">
        <v>27943</v>
      </c>
      <c r="M190" s="110"/>
      <c r="N190" s="110"/>
      <c r="O190" s="111">
        <v>31264</v>
      </c>
      <c r="P190" s="47"/>
      <c r="Q190" s="55"/>
      <c r="R190" s="32"/>
      <c r="S190" s="46"/>
      <c r="T190" s="83">
        <f t="shared" si="9"/>
        <v>0</v>
      </c>
      <c r="U190" s="84">
        <f t="shared" si="11"/>
        <v>0</v>
      </c>
      <c r="V190" s="32"/>
      <c r="W190" s="56"/>
      <c r="X190" s="32"/>
      <c r="Y190" s="56"/>
      <c r="Z190" s="31"/>
      <c r="AA190" s="110"/>
      <c r="AB190" s="110"/>
      <c r="AC190" s="47"/>
      <c r="AD190" s="47"/>
      <c r="AE190" s="55"/>
      <c r="AF190" s="32"/>
      <c r="AG190" s="49"/>
    </row>
    <row r="191" spans="1:33" ht="15">
      <c r="A191" s="172" t="s">
        <v>256</v>
      </c>
      <c r="B191" s="35" t="s">
        <v>274</v>
      </c>
      <c r="C191" s="344"/>
      <c r="D191" s="33">
        <v>247940</v>
      </c>
      <c r="E191" s="33">
        <v>9</v>
      </c>
      <c r="F191" s="81">
        <f t="shared" si="8"/>
        <v>65908</v>
      </c>
      <c r="G191" s="82">
        <f t="shared" si="10"/>
        <v>64294</v>
      </c>
      <c r="H191" s="32">
        <v>43866</v>
      </c>
      <c r="I191" s="115">
        <v>41629</v>
      </c>
      <c r="J191" s="32">
        <v>5058</v>
      </c>
      <c r="K191" s="115">
        <v>2953</v>
      </c>
      <c r="L191" s="31">
        <v>16984</v>
      </c>
      <c r="M191" s="110"/>
      <c r="N191" s="110"/>
      <c r="O191" s="111">
        <v>19712</v>
      </c>
      <c r="P191" s="47"/>
      <c r="Q191" s="55"/>
      <c r="R191" s="32"/>
      <c r="S191" s="46"/>
      <c r="T191" s="83">
        <f t="shared" si="9"/>
        <v>0</v>
      </c>
      <c r="U191" s="84">
        <f t="shared" si="11"/>
        <v>0</v>
      </c>
      <c r="V191" s="32"/>
      <c r="W191" s="56"/>
      <c r="X191" s="32"/>
      <c r="Y191" s="56"/>
      <c r="Z191" s="31"/>
      <c r="AA191" s="110"/>
      <c r="AB191" s="110"/>
      <c r="AC191" s="47"/>
      <c r="AD191" s="47"/>
      <c r="AE191" s="55"/>
      <c r="AF191" s="32"/>
      <c r="AG191" s="49"/>
    </row>
    <row r="192" spans="1:33" ht="15">
      <c r="A192" s="172" t="s">
        <v>256</v>
      </c>
      <c r="B192" s="35" t="s">
        <v>275</v>
      </c>
      <c r="C192" s="344"/>
      <c r="D192" s="33">
        <v>157711</v>
      </c>
      <c r="E192" s="33">
        <v>9</v>
      </c>
      <c r="F192" s="81">
        <f t="shared" si="8"/>
        <v>126936</v>
      </c>
      <c r="G192" s="82">
        <f t="shared" si="10"/>
        <v>120780</v>
      </c>
      <c r="H192" s="32">
        <v>59013</v>
      </c>
      <c r="I192" s="115">
        <v>42099</v>
      </c>
      <c r="J192" s="32">
        <v>10539</v>
      </c>
      <c r="K192" s="115">
        <v>14934</v>
      </c>
      <c r="L192" s="31">
        <v>57384</v>
      </c>
      <c r="M192" s="110"/>
      <c r="N192" s="110"/>
      <c r="O192" s="111">
        <v>63747</v>
      </c>
      <c r="P192" s="47"/>
      <c r="Q192" s="55"/>
      <c r="R192" s="32"/>
      <c r="S192" s="46"/>
      <c r="T192" s="83">
        <f t="shared" si="9"/>
        <v>0</v>
      </c>
      <c r="U192" s="84">
        <f t="shared" si="11"/>
        <v>0</v>
      </c>
      <c r="V192" s="32"/>
      <c r="W192" s="56"/>
      <c r="X192" s="32"/>
      <c r="Y192" s="56"/>
      <c r="Z192" s="31"/>
      <c r="AA192" s="110"/>
      <c r="AB192" s="110"/>
      <c r="AC192" s="47"/>
      <c r="AD192" s="47"/>
      <c r="AE192" s="55"/>
      <c r="AF192" s="32"/>
      <c r="AG192" s="49"/>
    </row>
    <row r="193" spans="1:33" ht="15">
      <c r="A193" s="172" t="s">
        <v>256</v>
      </c>
      <c r="B193" s="35" t="s">
        <v>276</v>
      </c>
      <c r="C193" s="344" t="s">
        <v>846</v>
      </c>
      <c r="D193" s="33">
        <v>157739</v>
      </c>
      <c r="E193" s="33">
        <v>9</v>
      </c>
      <c r="F193" s="81">
        <f t="shared" si="8"/>
        <v>55536</v>
      </c>
      <c r="G193" s="82">
        <f t="shared" si="10"/>
        <v>58969</v>
      </c>
      <c r="H193" s="32">
        <v>41560</v>
      </c>
      <c r="I193" s="115">
        <v>39407</v>
      </c>
      <c r="J193" s="32"/>
      <c r="K193" s="56"/>
      <c r="L193" s="31">
        <v>13976</v>
      </c>
      <c r="M193" s="110"/>
      <c r="N193" s="110"/>
      <c r="O193" s="111">
        <v>19562</v>
      </c>
      <c r="P193" s="47"/>
      <c r="Q193" s="55"/>
      <c r="R193" s="32"/>
      <c r="S193" s="46"/>
      <c r="T193" s="83">
        <f t="shared" si="9"/>
        <v>0</v>
      </c>
      <c r="U193" s="84">
        <f t="shared" si="11"/>
        <v>0</v>
      </c>
      <c r="V193" s="32"/>
      <c r="W193" s="56"/>
      <c r="X193" s="32"/>
      <c r="Y193" s="56"/>
      <c r="Z193" s="31"/>
      <c r="AA193" s="110"/>
      <c r="AB193" s="110"/>
      <c r="AC193" s="47"/>
      <c r="AD193" s="47"/>
      <c r="AE193" s="55"/>
      <c r="AF193" s="32"/>
      <c r="AG193" s="49"/>
    </row>
    <row r="194" spans="1:33">
      <c r="A194" s="172" t="s">
        <v>256</v>
      </c>
      <c r="B194" s="35" t="s">
        <v>277</v>
      </c>
      <c r="C194" s="34"/>
      <c r="D194" s="33">
        <v>157483</v>
      </c>
      <c r="E194" s="33">
        <v>9</v>
      </c>
      <c r="F194" s="81">
        <f t="shared" si="8"/>
        <v>106830</v>
      </c>
      <c r="G194" s="82">
        <f t="shared" si="10"/>
        <v>103111</v>
      </c>
      <c r="H194" s="32">
        <v>62552</v>
      </c>
      <c r="I194" s="115">
        <v>53446</v>
      </c>
      <c r="J194" s="32">
        <v>5705</v>
      </c>
      <c r="K194" s="56">
        <v>5434</v>
      </c>
      <c r="L194" s="31">
        <v>38573</v>
      </c>
      <c r="M194" s="110"/>
      <c r="N194" s="110"/>
      <c r="O194" s="111">
        <v>44231</v>
      </c>
      <c r="P194" s="47"/>
      <c r="Q194" s="55"/>
      <c r="R194" s="32"/>
      <c r="S194" s="46"/>
      <c r="T194" s="83">
        <f t="shared" si="9"/>
        <v>0</v>
      </c>
      <c r="U194" s="84">
        <f t="shared" si="11"/>
        <v>0</v>
      </c>
      <c r="V194" s="32"/>
      <c r="W194" s="56"/>
      <c r="X194" s="32"/>
      <c r="Y194" s="56"/>
      <c r="Z194" s="31"/>
      <c r="AA194" s="110"/>
      <c r="AB194" s="110"/>
      <c r="AC194" s="47"/>
      <c r="AD194" s="47"/>
      <c r="AE194" s="55"/>
      <c r="AF194" s="32"/>
      <c r="AG194" s="49"/>
    </row>
    <row r="195" spans="1:33">
      <c r="A195" s="172" t="s">
        <v>256</v>
      </c>
      <c r="B195" s="35" t="s">
        <v>278</v>
      </c>
      <c r="C195" s="34"/>
      <c r="D195" s="33">
        <v>156851</v>
      </c>
      <c r="E195" s="33">
        <v>10</v>
      </c>
      <c r="F195" s="81">
        <f t="shared" si="8"/>
        <v>29352</v>
      </c>
      <c r="G195" s="82">
        <f t="shared" si="10"/>
        <v>26616</v>
      </c>
      <c r="H195" s="32">
        <v>15854</v>
      </c>
      <c r="I195" s="115">
        <v>13348</v>
      </c>
      <c r="J195" s="32">
        <v>2547</v>
      </c>
      <c r="K195" s="69">
        <v>1174</v>
      </c>
      <c r="L195" s="31">
        <v>10951</v>
      </c>
      <c r="M195" s="110"/>
      <c r="N195" s="110"/>
      <c r="O195" s="111">
        <v>12094</v>
      </c>
      <c r="P195" s="47"/>
      <c r="Q195" s="55"/>
      <c r="R195" s="32"/>
      <c r="S195" s="46"/>
      <c r="T195" s="83">
        <f t="shared" si="9"/>
        <v>0</v>
      </c>
      <c r="U195" s="84">
        <f t="shared" si="11"/>
        <v>0</v>
      </c>
      <c r="V195" s="32"/>
      <c r="W195" s="56"/>
      <c r="X195" s="32"/>
      <c r="Y195" s="56"/>
      <c r="Z195" s="31"/>
      <c r="AA195" s="110"/>
      <c r="AB195" s="110"/>
      <c r="AC195" s="47"/>
      <c r="AD195" s="47"/>
      <c r="AE195" s="55"/>
      <c r="AF195" s="32"/>
      <c r="AG195" s="49"/>
    </row>
    <row r="196" spans="1:33">
      <c r="A196" s="172" t="s">
        <v>256</v>
      </c>
      <c r="B196" s="35" t="s">
        <v>279</v>
      </c>
      <c r="C196" s="34"/>
      <c r="D196" s="33">
        <v>157438</v>
      </c>
      <c r="E196" s="173">
        <v>12</v>
      </c>
      <c r="F196" s="81">
        <f t="shared" si="8"/>
        <v>71221</v>
      </c>
      <c r="G196" s="82">
        <f t="shared" si="10"/>
        <v>69392</v>
      </c>
      <c r="H196" s="32">
        <v>36606</v>
      </c>
      <c r="I196" s="115">
        <v>32873</v>
      </c>
      <c r="J196" s="32">
        <v>17823</v>
      </c>
      <c r="K196" s="115">
        <v>15393</v>
      </c>
      <c r="L196" s="31">
        <v>16792</v>
      </c>
      <c r="M196" s="110"/>
      <c r="N196" s="110"/>
      <c r="O196" s="111">
        <v>21126</v>
      </c>
      <c r="P196" s="47"/>
      <c r="Q196" s="55"/>
      <c r="R196" s="32"/>
      <c r="S196" s="46"/>
      <c r="T196" s="83">
        <f t="shared" si="9"/>
        <v>0</v>
      </c>
      <c r="U196" s="84">
        <f t="shared" si="11"/>
        <v>0</v>
      </c>
      <c r="V196" s="32"/>
      <c r="W196" s="56"/>
      <c r="X196" s="32"/>
      <c r="Y196" s="56"/>
      <c r="Z196" s="31"/>
      <c r="AA196" s="110"/>
      <c r="AB196" s="110"/>
      <c r="AC196" s="47"/>
      <c r="AD196" s="47"/>
      <c r="AE196" s="55"/>
      <c r="AF196" s="32"/>
      <c r="AG196" s="49"/>
    </row>
    <row r="197" spans="1:33">
      <c r="A197" s="172" t="s">
        <v>256</v>
      </c>
      <c r="B197" s="35" t="s">
        <v>280</v>
      </c>
      <c r="C197" s="34"/>
      <c r="D197" s="33">
        <v>156338</v>
      </c>
      <c r="E197" s="33">
        <v>12</v>
      </c>
      <c r="F197" s="81">
        <f t="shared" si="8"/>
        <v>75716</v>
      </c>
      <c r="G197" s="82">
        <f t="shared" si="10"/>
        <v>76774</v>
      </c>
      <c r="H197" s="32">
        <v>49962</v>
      </c>
      <c r="I197" s="115">
        <v>45447</v>
      </c>
      <c r="J197" s="32">
        <v>4618</v>
      </c>
      <c r="K197" s="115">
        <v>5504</v>
      </c>
      <c r="L197" s="31">
        <v>21136</v>
      </c>
      <c r="M197" s="110"/>
      <c r="N197" s="110"/>
      <c r="O197" s="111">
        <v>25823</v>
      </c>
      <c r="P197" s="47"/>
      <c r="Q197" s="55"/>
      <c r="R197" s="32"/>
      <c r="S197" s="46"/>
      <c r="T197" s="83">
        <f t="shared" si="9"/>
        <v>0</v>
      </c>
      <c r="U197" s="84">
        <f t="shared" si="11"/>
        <v>0</v>
      </c>
      <c r="V197" s="32"/>
      <c r="W197" s="56"/>
      <c r="X197" s="32"/>
      <c r="Y197" s="56"/>
      <c r="Z197" s="31"/>
      <c r="AA197" s="110"/>
      <c r="AB197" s="110"/>
      <c r="AC197" s="47"/>
      <c r="AD197" s="47"/>
      <c r="AE197" s="55"/>
      <c r="AF197" s="32"/>
      <c r="AG197" s="49"/>
    </row>
    <row r="198" spans="1:33" s="187" customFormat="1" ht="13.5" customHeight="1">
      <c r="A198" s="198" t="s">
        <v>281</v>
      </c>
      <c r="B198" s="199" t="s">
        <v>282</v>
      </c>
      <c r="C198" s="200"/>
      <c r="D198" s="201">
        <v>159391</v>
      </c>
      <c r="E198" s="201">
        <v>1</v>
      </c>
      <c r="F198" s="194">
        <f t="shared" si="8"/>
        <v>738491.99999999953</v>
      </c>
      <c r="G198" s="195">
        <f t="shared" si="10"/>
        <v>729887.99999999953</v>
      </c>
      <c r="H198" s="202">
        <v>728550.34591747099</v>
      </c>
      <c r="I198" s="190">
        <v>713010.13612565398</v>
      </c>
      <c r="J198" s="202"/>
      <c r="K198" s="188"/>
      <c r="L198" s="203">
        <v>9941.6540825285301</v>
      </c>
      <c r="M198" s="203"/>
      <c r="N198" s="203"/>
      <c r="O198" s="204">
        <v>16877.863874345599</v>
      </c>
      <c r="P198" s="189"/>
      <c r="Q198" s="188"/>
      <c r="R198" s="202"/>
      <c r="S198" s="188"/>
      <c r="T198" s="196">
        <f t="shared" si="9"/>
        <v>130715.2999999997</v>
      </c>
      <c r="U198" s="197">
        <f t="shared" si="11"/>
        <v>129253.00000000031</v>
      </c>
      <c r="V198" s="202">
        <v>127300.61809082</v>
      </c>
      <c r="W198" s="205">
        <v>123683.86032197</v>
      </c>
      <c r="X198" s="202"/>
      <c r="Y198" s="188"/>
      <c r="Z198" s="203">
        <v>3414.6819091796901</v>
      </c>
      <c r="AA198" s="203"/>
      <c r="AB198" s="203"/>
      <c r="AC198" s="206">
        <v>5569.1396780303003</v>
      </c>
      <c r="AD198" s="189"/>
      <c r="AE198" s="188"/>
      <c r="AF198" s="202"/>
      <c r="AG198" s="188"/>
    </row>
    <row r="199" spans="1:33" s="193" customFormat="1">
      <c r="A199" s="198" t="s">
        <v>281</v>
      </c>
      <c r="B199" s="199" t="s">
        <v>283</v>
      </c>
      <c r="C199" s="200"/>
      <c r="D199" s="201">
        <v>159647</v>
      </c>
      <c r="E199" s="201">
        <v>2</v>
      </c>
      <c r="F199" s="194">
        <f t="shared" si="8"/>
        <v>244493.9999999998</v>
      </c>
      <c r="G199" s="195">
        <f t="shared" si="10"/>
        <v>271398.00000000041</v>
      </c>
      <c r="H199" s="202">
        <v>220004.78013029299</v>
      </c>
      <c r="I199" s="207">
        <v>237323.023183121</v>
      </c>
      <c r="J199" s="202"/>
      <c r="K199" s="189"/>
      <c r="L199" s="203">
        <v>24489.219869706802</v>
      </c>
      <c r="M199" s="203"/>
      <c r="N199" s="203"/>
      <c r="O199" s="208">
        <v>34074.976816879403</v>
      </c>
      <c r="P199" s="189"/>
      <c r="Q199" s="188"/>
      <c r="R199" s="202"/>
      <c r="S199" s="189"/>
      <c r="T199" s="196">
        <f t="shared" si="9"/>
        <v>27086.999999999949</v>
      </c>
      <c r="U199" s="197">
        <f t="shared" si="11"/>
        <v>23923.999999999993</v>
      </c>
      <c r="V199" s="202">
        <v>22974.997590361399</v>
      </c>
      <c r="W199" s="209">
        <v>19014.223880597001</v>
      </c>
      <c r="X199" s="202"/>
      <c r="Y199" s="189"/>
      <c r="Z199" s="203">
        <v>4112.0024096385496</v>
      </c>
      <c r="AA199" s="203"/>
      <c r="AB199" s="203"/>
      <c r="AC199" s="209">
        <v>4909.7761194029899</v>
      </c>
      <c r="AD199" s="189"/>
      <c r="AE199" s="188"/>
      <c r="AF199" s="202"/>
      <c r="AG199" s="188"/>
    </row>
    <row r="200" spans="1:33" s="193" customFormat="1">
      <c r="A200" s="198" t="s">
        <v>281</v>
      </c>
      <c r="B200" s="199" t="s">
        <v>284</v>
      </c>
      <c r="C200" s="200"/>
      <c r="D200" s="201">
        <v>160658</v>
      </c>
      <c r="E200" s="201">
        <v>2</v>
      </c>
      <c r="F200" s="194">
        <f t="shared" si="8"/>
        <v>419507.99999999971</v>
      </c>
      <c r="G200" s="195">
        <f t="shared" si="10"/>
        <v>417134.99999999983</v>
      </c>
      <c r="H200" s="202">
        <v>385392.09422321903</v>
      </c>
      <c r="I200" s="190">
        <v>383342.97852298402</v>
      </c>
      <c r="J200" s="202"/>
      <c r="K200" s="189"/>
      <c r="L200" s="203">
        <v>34115.905776780703</v>
      </c>
      <c r="M200" s="203"/>
      <c r="N200" s="203"/>
      <c r="O200" s="191">
        <v>33792.021477015798</v>
      </c>
      <c r="P200" s="189"/>
      <c r="Q200" s="188"/>
      <c r="R200" s="202"/>
      <c r="S200" s="189"/>
      <c r="T200" s="196">
        <f t="shared" si="9"/>
        <v>29612.000000000007</v>
      </c>
      <c r="U200" s="197">
        <f t="shared" si="11"/>
        <v>27179.00000000004</v>
      </c>
      <c r="V200" s="202">
        <v>26048.077876106199</v>
      </c>
      <c r="W200" s="209">
        <v>23943.4047619048</v>
      </c>
      <c r="X200" s="202"/>
      <c r="Y200" s="189"/>
      <c r="Z200" s="203">
        <v>3563.9221238938098</v>
      </c>
      <c r="AA200" s="203"/>
      <c r="AB200" s="203"/>
      <c r="AC200" s="209">
        <v>3235.5952380952399</v>
      </c>
      <c r="AD200" s="189"/>
      <c r="AE200" s="188"/>
      <c r="AF200" s="202"/>
      <c r="AG200" s="188"/>
    </row>
    <row r="201" spans="1:33" s="193" customFormat="1">
      <c r="A201" s="198" t="s">
        <v>281</v>
      </c>
      <c r="B201" s="199" t="s">
        <v>285</v>
      </c>
      <c r="C201" s="200"/>
      <c r="D201" s="201">
        <v>159939</v>
      </c>
      <c r="E201" s="201">
        <v>2</v>
      </c>
      <c r="F201" s="194">
        <f t="shared" si="8"/>
        <v>174093.9999999998</v>
      </c>
      <c r="G201" s="195">
        <f t="shared" si="10"/>
        <v>163313.99999999971</v>
      </c>
      <c r="H201" s="202">
        <v>156893.09580838299</v>
      </c>
      <c r="I201" s="207">
        <v>145521.03501945501</v>
      </c>
      <c r="J201" s="202"/>
      <c r="K201" s="189"/>
      <c r="L201" s="203">
        <v>17200.904191616799</v>
      </c>
      <c r="M201" s="203"/>
      <c r="N201" s="203"/>
      <c r="O201" s="191">
        <v>17792.964980544701</v>
      </c>
      <c r="P201" s="189"/>
      <c r="Q201" s="188"/>
      <c r="R201" s="202"/>
      <c r="S201" s="189"/>
      <c r="T201" s="196">
        <f t="shared" si="9"/>
        <v>29940.000000000011</v>
      </c>
      <c r="U201" s="197">
        <f t="shared" si="11"/>
        <v>24158.999999999989</v>
      </c>
      <c r="V201" s="202">
        <v>26308.309455587401</v>
      </c>
      <c r="W201" s="209">
        <v>21068.895348837199</v>
      </c>
      <c r="X201" s="202"/>
      <c r="Y201" s="189"/>
      <c r="Z201" s="203">
        <v>3631.6905444126101</v>
      </c>
      <c r="AA201" s="203"/>
      <c r="AB201" s="203"/>
      <c r="AC201" s="209">
        <v>3090.1046511627901</v>
      </c>
      <c r="AD201" s="189"/>
      <c r="AE201" s="188"/>
      <c r="AF201" s="202"/>
      <c r="AG201" s="188"/>
    </row>
    <row r="202" spans="1:33" s="193" customFormat="1">
      <c r="A202" s="198" t="s">
        <v>281</v>
      </c>
      <c r="B202" s="199" t="s">
        <v>286</v>
      </c>
      <c r="C202" s="200"/>
      <c r="D202" s="201">
        <v>160612</v>
      </c>
      <c r="E202" s="201">
        <v>3</v>
      </c>
      <c r="F202" s="194">
        <f t="shared" ref="F202:F352" si="12">SUM(H202,J202,L202,M202,N202,R202)</f>
        <v>324115.99999999959</v>
      </c>
      <c r="G202" s="195">
        <f t="shared" si="10"/>
        <v>315803.99999999988</v>
      </c>
      <c r="H202" s="202">
        <v>278178.29921259801</v>
      </c>
      <c r="I202" s="190">
        <v>267954.909090909</v>
      </c>
      <c r="J202" s="202"/>
      <c r="K202" s="189"/>
      <c r="L202" s="203">
        <v>45937.700787401598</v>
      </c>
      <c r="M202" s="203"/>
      <c r="N202" s="203"/>
      <c r="O202" s="191">
        <v>47849.090909090897</v>
      </c>
      <c r="P202" s="189"/>
      <c r="Q202" s="188"/>
      <c r="R202" s="202"/>
      <c r="S202" s="189"/>
      <c r="T202" s="196">
        <f t="shared" ref="T202:T352" si="13">SUM(V202,X202,Z202,AA202,AB202,AF202)</f>
        <v>17647.000000000011</v>
      </c>
      <c r="U202" s="197">
        <f t="shared" si="11"/>
        <v>16044.999999999989</v>
      </c>
      <c r="V202" s="202">
        <v>12957.2493150685</v>
      </c>
      <c r="W202" s="209">
        <v>11178.7052932761</v>
      </c>
      <c r="X202" s="202"/>
      <c r="Y202" s="189"/>
      <c r="Z202" s="203">
        <v>4689.7506849315096</v>
      </c>
      <c r="AA202" s="203"/>
      <c r="AB202" s="203"/>
      <c r="AC202" s="205">
        <v>4866.2947067238902</v>
      </c>
      <c r="AD202" s="189"/>
      <c r="AE202" s="188"/>
      <c r="AF202" s="202"/>
      <c r="AG202" s="188"/>
    </row>
    <row r="203" spans="1:33" s="193" customFormat="1">
      <c r="A203" s="198" t="s">
        <v>281</v>
      </c>
      <c r="B203" s="199" t="s">
        <v>287</v>
      </c>
      <c r="C203" s="200"/>
      <c r="D203" s="201">
        <v>160621</v>
      </c>
      <c r="E203" s="201">
        <v>3</v>
      </c>
      <c r="F203" s="194">
        <f t="shared" si="12"/>
        <v>144832.99999999971</v>
      </c>
      <c r="G203" s="195">
        <f t="shared" si="10"/>
        <v>145458.00000000003</v>
      </c>
      <c r="H203" s="202">
        <v>134581.988824503</v>
      </c>
      <c r="I203" s="190">
        <v>138545.99243061399</v>
      </c>
      <c r="J203" s="202"/>
      <c r="K203" s="189"/>
      <c r="L203" s="203">
        <v>10251.0111754967</v>
      </c>
      <c r="M203" s="203"/>
      <c r="N203" s="203"/>
      <c r="O203" s="208">
        <v>6912.0075693860399</v>
      </c>
      <c r="P203" s="189"/>
      <c r="Q203" s="188"/>
      <c r="R203" s="202"/>
      <c r="S203" s="189"/>
      <c r="T203" s="196">
        <f t="shared" si="13"/>
        <v>36365.999999999956</v>
      </c>
      <c r="U203" s="197">
        <f t="shared" si="11"/>
        <v>33815.000000000022</v>
      </c>
      <c r="V203" s="202">
        <v>32779.733564013797</v>
      </c>
      <c r="W203" s="205">
        <v>31825.8823529412</v>
      </c>
      <c r="X203" s="202"/>
      <c r="Y203" s="189"/>
      <c r="Z203" s="203">
        <v>3586.2664359861601</v>
      </c>
      <c r="AA203" s="203"/>
      <c r="AB203" s="203"/>
      <c r="AC203" s="209">
        <v>1989.11764705882</v>
      </c>
      <c r="AD203" s="189"/>
      <c r="AE203" s="188"/>
      <c r="AF203" s="202"/>
      <c r="AG203" s="188"/>
    </row>
    <row r="204" spans="1:33" s="193" customFormat="1">
      <c r="A204" s="198" t="s">
        <v>281</v>
      </c>
      <c r="B204" s="199" t="s">
        <v>288</v>
      </c>
      <c r="C204" s="200"/>
      <c r="D204" s="201">
        <v>159993</v>
      </c>
      <c r="E204" s="201">
        <v>3</v>
      </c>
      <c r="F204" s="194">
        <f t="shared" si="12"/>
        <v>180126.00000000049</v>
      </c>
      <c r="G204" s="195">
        <f t="shared" si="10"/>
        <v>193312.99999999988</v>
      </c>
      <c r="H204" s="202">
        <v>157684.07213114799</v>
      </c>
      <c r="I204" s="207">
        <v>166875.728063241</v>
      </c>
      <c r="J204" s="202"/>
      <c r="K204" s="189"/>
      <c r="L204" s="203">
        <v>22441.927868852501</v>
      </c>
      <c r="M204" s="203"/>
      <c r="N204" s="203"/>
      <c r="O204" s="208">
        <v>26437.271936758902</v>
      </c>
      <c r="P204" s="189"/>
      <c r="Q204" s="188"/>
      <c r="R204" s="202"/>
      <c r="S204" s="189"/>
      <c r="T204" s="196">
        <f t="shared" si="13"/>
        <v>33422</v>
      </c>
      <c r="U204" s="197">
        <f t="shared" si="11"/>
        <v>33259</v>
      </c>
      <c r="V204" s="202">
        <v>19319.5463414634</v>
      </c>
      <c r="W204" s="209">
        <v>17800.591549295801</v>
      </c>
      <c r="X204" s="202"/>
      <c r="Y204" s="189"/>
      <c r="Z204" s="203">
        <v>14102.4536585366</v>
      </c>
      <c r="AA204" s="203"/>
      <c r="AB204" s="203"/>
      <c r="AC204" s="209">
        <v>15458.408450704201</v>
      </c>
      <c r="AD204" s="189"/>
      <c r="AE204" s="188"/>
      <c r="AF204" s="202"/>
      <c r="AG204" s="188"/>
    </row>
    <row r="205" spans="1:33" s="193" customFormat="1">
      <c r="A205" s="198" t="s">
        <v>281</v>
      </c>
      <c r="B205" s="199" t="s">
        <v>289</v>
      </c>
      <c r="C205" s="200"/>
      <c r="D205" s="201">
        <v>159009</v>
      </c>
      <c r="E205" s="201">
        <v>4</v>
      </c>
      <c r="F205" s="194">
        <f t="shared" si="12"/>
        <v>101626.99999999997</v>
      </c>
      <c r="G205" s="195">
        <f t="shared" si="10"/>
        <v>113092.0000000002</v>
      </c>
      <c r="H205" s="202">
        <v>96514.977867203197</v>
      </c>
      <c r="I205" s="190">
        <v>100670.169811321</v>
      </c>
      <c r="J205" s="202"/>
      <c r="K205" s="189"/>
      <c r="L205" s="203">
        <v>5112.0221327967802</v>
      </c>
      <c r="M205" s="203"/>
      <c r="N205" s="203"/>
      <c r="O205" s="210">
        <v>12421.8301886792</v>
      </c>
      <c r="P205" s="189"/>
      <c r="Q205" s="188"/>
      <c r="R205" s="202"/>
      <c r="S205" s="189"/>
      <c r="T205" s="196">
        <f t="shared" si="13"/>
        <v>17596.000000000022</v>
      </c>
      <c r="U205" s="197">
        <f t="shared" si="11"/>
        <v>17626</v>
      </c>
      <c r="V205" s="202">
        <v>12460.980544747101</v>
      </c>
      <c r="W205" s="209">
        <v>9638.1872659176006</v>
      </c>
      <c r="X205" s="202"/>
      <c r="Y205" s="189"/>
      <c r="Z205" s="203">
        <v>5135.0194552529201</v>
      </c>
      <c r="AA205" s="203"/>
      <c r="AB205" s="203"/>
      <c r="AC205" s="206">
        <v>7987.8127340824003</v>
      </c>
      <c r="AD205" s="189"/>
      <c r="AE205" s="188"/>
      <c r="AF205" s="202"/>
      <c r="AG205" s="188"/>
    </row>
    <row r="206" spans="1:33" s="193" customFormat="1">
      <c r="A206" s="198" t="s">
        <v>281</v>
      </c>
      <c r="B206" s="199" t="s">
        <v>290</v>
      </c>
      <c r="C206" s="200"/>
      <c r="D206" s="201">
        <v>159416</v>
      </c>
      <c r="E206" s="201">
        <v>4</v>
      </c>
      <c r="F206" s="194">
        <f t="shared" si="12"/>
        <v>66549</v>
      </c>
      <c r="G206" s="195">
        <f t="shared" si="10"/>
        <v>58792</v>
      </c>
      <c r="H206" s="202">
        <v>55593.472854640997</v>
      </c>
      <c r="I206" s="207">
        <v>47502.627087198503</v>
      </c>
      <c r="J206" s="202"/>
      <c r="K206" s="189"/>
      <c r="L206" s="203">
        <v>10955.527145358999</v>
      </c>
      <c r="M206" s="203"/>
      <c r="N206" s="203"/>
      <c r="O206" s="191">
        <v>11289.3729128015</v>
      </c>
      <c r="P206" s="189"/>
      <c r="Q206" s="188"/>
      <c r="R206" s="202"/>
      <c r="S206" s="189"/>
      <c r="T206" s="196">
        <f t="shared" si="13"/>
        <v>23436.000000000051</v>
      </c>
      <c r="U206" s="197">
        <f t="shared" si="11"/>
        <v>34492</v>
      </c>
      <c r="V206" s="202">
        <v>13896.3461538462</v>
      </c>
      <c r="W206" s="209">
        <v>16560.0795454545</v>
      </c>
      <c r="X206" s="202"/>
      <c r="Y206" s="189"/>
      <c r="Z206" s="203">
        <v>9539.6538461538494</v>
      </c>
      <c r="AA206" s="203"/>
      <c r="AB206" s="203"/>
      <c r="AC206" s="206">
        <v>17931.9204545455</v>
      </c>
      <c r="AD206" s="189"/>
      <c r="AE206" s="188"/>
      <c r="AF206" s="202"/>
      <c r="AG206" s="188"/>
    </row>
    <row r="207" spans="1:33" s="193" customFormat="1" ht="15">
      <c r="A207" s="198" t="s">
        <v>281</v>
      </c>
      <c r="B207" s="199" t="s">
        <v>291</v>
      </c>
      <c r="C207" s="354" t="s">
        <v>862</v>
      </c>
      <c r="D207" s="201">
        <v>159717</v>
      </c>
      <c r="E207" s="201">
        <v>4</v>
      </c>
      <c r="F207" s="194">
        <f t="shared" si="12"/>
        <v>194767.99999999991</v>
      </c>
      <c r="G207" s="195">
        <f t="shared" si="10"/>
        <v>182177.99999999959</v>
      </c>
      <c r="H207" s="202">
        <v>160687.070563079</v>
      </c>
      <c r="I207" s="207">
        <v>146988.288104765</v>
      </c>
      <c r="J207" s="202"/>
      <c r="K207" s="189"/>
      <c r="L207" s="203">
        <v>34080.929436920902</v>
      </c>
      <c r="M207" s="203"/>
      <c r="N207" s="203"/>
      <c r="O207" s="191">
        <v>35189.711895234599</v>
      </c>
      <c r="P207" s="189"/>
      <c r="Q207" s="188"/>
      <c r="R207" s="202"/>
      <c r="S207" s="189"/>
      <c r="T207" s="196">
        <f t="shared" si="13"/>
        <v>11742</v>
      </c>
      <c r="U207" s="197">
        <f t="shared" si="11"/>
        <v>11486</v>
      </c>
      <c r="V207" s="202">
        <v>7015.8450000000003</v>
      </c>
      <c r="W207" s="209">
        <v>6498.2828784119101</v>
      </c>
      <c r="X207" s="202"/>
      <c r="Y207" s="189"/>
      <c r="Z207" s="203">
        <v>4726.1549999999997</v>
      </c>
      <c r="AA207" s="203"/>
      <c r="AB207" s="203"/>
      <c r="AC207" s="209">
        <v>4987.7171215880899</v>
      </c>
      <c r="AD207" s="189"/>
      <c r="AE207" s="188"/>
      <c r="AF207" s="202"/>
      <c r="AG207" s="188"/>
    </row>
    <row r="208" spans="1:33" s="193" customFormat="1">
      <c r="A208" s="198" t="s">
        <v>281</v>
      </c>
      <c r="B208" s="199" t="s">
        <v>292</v>
      </c>
      <c r="C208" s="200"/>
      <c r="D208" s="201">
        <v>159966</v>
      </c>
      <c r="E208" s="201">
        <v>4</v>
      </c>
      <c r="F208" s="194">
        <f t="shared" si="12"/>
        <v>150602</v>
      </c>
      <c r="G208" s="195">
        <f t="shared" si="10"/>
        <v>149644</v>
      </c>
      <c r="H208" s="202">
        <v>107361.75</v>
      </c>
      <c r="I208" s="190">
        <v>106916.7</v>
      </c>
      <c r="J208" s="202"/>
      <c r="K208" s="189"/>
      <c r="L208" s="203">
        <v>43240.25</v>
      </c>
      <c r="M208" s="203"/>
      <c r="N208" s="203"/>
      <c r="O208" s="191">
        <v>42727.3</v>
      </c>
      <c r="P208" s="189"/>
      <c r="Q208" s="188"/>
      <c r="R208" s="202"/>
      <c r="S208" s="189"/>
      <c r="T208" s="196">
        <f t="shared" si="13"/>
        <v>11761</v>
      </c>
      <c r="U208" s="197">
        <f t="shared" si="11"/>
        <v>10735</v>
      </c>
      <c r="V208" s="202">
        <v>6661.50390625</v>
      </c>
      <c r="W208" s="209">
        <v>5428.2641509433997</v>
      </c>
      <c r="X208" s="202"/>
      <c r="Y208" s="189"/>
      <c r="Z208" s="203">
        <v>5099.49609375</v>
      </c>
      <c r="AA208" s="203"/>
      <c r="AB208" s="203"/>
      <c r="AC208" s="205">
        <v>5306.7358490566003</v>
      </c>
      <c r="AD208" s="189"/>
      <c r="AE208" s="188"/>
      <c r="AF208" s="202"/>
      <c r="AG208" s="188"/>
    </row>
    <row r="209" spans="1:33" s="193" customFormat="1">
      <c r="A209" s="198" t="s">
        <v>281</v>
      </c>
      <c r="B209" s="199" t="s">
        <v>293</v>
      </c>
      <c r="C209" s="200"/>
      <c r="D209" s="201">
        <v>160038</v>
      </c>
      <c r="E209" s="201">
        <v>4</v>
      </c>
      <c r="F209" s="194">
        <f t="shared" si="12"/>
        <v>198618.99999999951</v>
      </c>
      <c r="G209" s="195">
        <f t="shared" si="10"/>
        <v>216645.99999999988</v>
      </c>
      <c r="H209" s="202">
        <v>144284.28245406001</v>
      </c>
      <c r="I209" s="207">
        <v>156173.154567372</v>
      </c>
      <c r="J209" s="202"/>
      <c r="K209" s="189"/>
      <c r="L209" s="203">
        <v>54334.7175459395</v>
      </c>
      <c r="M209" s="203"/>
      <c r="N209" s="203"/>
      <c r="O209" s="208">
        <v>60472.845432627902</v>
      </c>
      <c r="P209" s="189"/>
      <c r="Q209" s="188"/>
      <c r="R209" s="202"/>
      <c r="S209" s="189"/>
      <c r="T209" s="196">
        <f t="shared" si="13"/>
        <v>17297.000000000018</v>
      </c>
      <c r="U209" s="197">
        <f t="shared" si="11"/>
        <v>17411.000000000007</v>
      </c>
      <c r="V209" s="202">
        <v>5822.0821917808198</v>
      </c>
      <c r="W209" s="209">
        <v>5327.9562841530096</v>
      </c>
      <c r="X209" s="202"/>
      <c r="Y209" s="189"/>
      <c r="Z209" s="203">
        <v>11474.917808219199</v>
      </c>
      <c r="AA209" s="203"/>
      <c r="AB209" s="203"/>
      <c r="AC209" s="209">
        <v>12083.043715846999</v>
      </c>
      <c r="AD209" s="189"/>
      <c r="AE209" s="188"/>
      <c r="AF209" s="202"/>
      <c r="AG209" s="188"/>
    </row>
    <row r="210" spans="1:33" s="193" customFormat="1">
      <c r="A210" s="211" t="s">
        <v>281</v>
      </c>
      <c r="B210" s="199" t="s">
        <v>294</v>
      </c>
      <c r="C210" s="212"/>
      <c r="D210" s="201">
        <v>160630</v>
      </c>
      <c r="E210" s="213">
        <v>5</v>
      </c>
      <c r="F210" s="194">
        <f t="shared" si="12"/>
        <v>57370</v>
      </c>
      <c r="G210" s="195">
        <f t="shared" si="10"/>
        <v>47287.999999999971</v>
      </c>
      <c r="H210" s="202">
        <v>50142.724609375</v>
      </c>
      <c r="I210" s="207">
        <v>41457.972602739697</v>
      </c>
      <c r="J210" s="202"/>
      <c r="K210" s="189"/>
      <c r="L210" s="203">
        <v>7227.275390625</v>
      </c>
      <c r="M210" s="203"/>
      <c r="N210" s="203"/>
      <c r="O210" s="208">
        <v>5830.0273972602699</v>
      </c>
      <c r="P210" s="189"/>
      <c r="Q210" s="188"/>
      <c r="R210" s="202"/>
      <c r="S210" s="189"/>
      <c r="T210" s="196">
        <f t="shared" si="13"/>
        <v>2114.9999999999991</v>
      </c>
      <c r="U210" s="197">
        <f t="shared" si="11"/>
        <v>9974</v>
      </c>
      <c r="V210" s="202">
        <v>1660.3738317757</v>
      </c>
      <c r="W210" s="214">
        <v>8216.9222797927505</v>
      </c>
      <c r="X210" s="202"/>
      <c r="Y210" s="189"/>
      <c r="Z210" s="203">
        <v>454.62616822429902</v>
      </c>
      <c r="AA210" s="203"/>
      <c r="AB210" s="203"/>
      <c r="AC210" s="214">
        <v>1757.07772020725</v>
      </c>
      <c r="AD210" s="189"/>
      <c r="AE210" s="188"/>
      <c r="AF210" s="202"/>
      <c r="AG210" s="188"/>
    </row>
    <row r="211" spans="1:33" s="193" customFormat="1">
      <c r="A211" s="198" t="s">
        <v>281</v>
      </c>
      <c r="B211" s="199" t="s">
        <v>295</v>
      </c>
      <c r="C211" s="212"/>
      <c r="D211" s="201">
        <v>159382</v>
      </c>
      <c r="E211" s="201">
        <v>6</v>
      </c>
      <c r="F211" s="194">
        <f t="shared" si="12"/>
        <v>60798</v>
      </c>
      <c r="G211" s="195">
        <f t="shared" si="10"/>
        <v>69103</v>
      </c>
      <c r="H211" s="202">
        <v>47031.300291545202</v>
      </c>
      <c r="I211" s="207">
        <v>51491.021316033402</v>
      </c>
      <c r="J211" s="202"/>
      <c r="K211" s="189"/>
      <c r="L211" s="203">
        <v>13766.6997084548</v>
      </c>
      <c r="M211" s="203"/>
      <c r="N211" s="203"/>
      <c r="O211" s="208">
        <v>17611.978683966601</v>
      </c>
      <c r="P211" s="189"/>
      <c r="Q211" s="188"/>
      <c r="R211" s="202"/>
      <c r="S211" s="189"/>
      <c r="T211" s="196">
        <f t="shared" si="13"/>
        <v>0</v>
      </c>
      <c r="U211" s="197">
        <f t="shared" si="11"/>
        <v>0</v>
      </c>
      <c r="V211" s="202"/>
      <c r="W211" s="189"/>
      <c r="X211" s="202"/>
      <c r="Y211" s="189"/>
      <c r="Z211" s="203"/>
      <c r="AA211" s="203"/>
      <c r="AB211" s="203"/>
      <c r="AC211" s="189"/>
      <c r="AD211" s="189"/>
      <c r="AE211" s="188"/>
      <c r="AF211" s="202"/>
      <c r="AG211" s="188"/>
    </row>
    <row r="212" spans="1:33" s="193" customFormat="1">
      <c r="A212" s="198" t="s">
        <v>281</v>
      </c>
      <c r="B212" s="215" t="s">
        <v>296</v>
      </c>
      <c r="C212" s="216"/>
      <c r="D212" s="201">
        <v>437103</v>
      </c>
      <c r="E212" s="217">
        <v>8</v>
      </c>
      <c r="F212" s="194">
        <f t="shared" si="12"/>
        <v>203054.9999999998</v>
      </c>
      <c r="G212" s="195">
        <f t="shared" si="10"/>
        <v>165845.00000000049</v>
      </c>
      <c r="H212" s="202">
        <v>192217.79494381999</v>
      </c>
      <c r="I212" s="207">
        <v>152579.480865747</v>
      </c>
      <c r="J212" s="202"/>
      <c r="K212" s="189"/>
      <c r="L212" s="203">
        <v>10837.205056179801</v>
      </c>
      <c r="M212" s="203"/>
      <c r="N212" s="203"/>
      <c r="O212" s="208">
        <v>13265.5191342535</v>
      </c>
      <c r="P212" s="189"/>
      <c r="Q212" s="188"/>
      <c r="R212" s="202"/>
      <c r="S212" s="189"/>
      <c r="T212" s="196">
        <f t="shared" si="13"/>
        <v>0</v>
      </c>
      <c r="U212" s="197">
        <f t="shared" si="11"/>
        <v>0</v>
      </c>
      <c r="V212" s="202"/>
      <c r="W212" s="189"/>
      <c r="X212" s="202"/>
      <c r="Y212" s="189"/>
      <c r="Z212" s="203"/>
      <c r="AA212" s="203"/>
      <c r="AB212" s="203"/>
      <c r="AC212" s="189"/>
      <c r="AD212" s="189"/>
      <c r="AE212" s="188"/>
      <c r="AF212" s="202"/>
      <c r="AG212" s="188"/>
    </row>
    <row r="213" spans="1:33" s="193" customFormat="1">
      <c r="A213" s="198" t="s">
        <v>281</v>
      </c>
      <c r="B213" s="199" t="s">
        <v>297</v>
      </c>
      <c r="C213" s="212"/>
      <c r="D213" s="201">
        <v>158431</v>
      </c>
      <c r="E213" s="201">
        <v>8</v>
      </c>
      <c r="F213" s="194">
        <f t="shared" si="12"/>
        <v>151679.99999999971</v>
      </c>
      <c r="G213" s="195">
        <f t="shared" si="10"/>
        <v>134689</v>
      </c>
      <c r="H213" s="202">
        <v>111469.530201342</v>
      </c>
      <c r="I213" s="207">
        <v>97227.361146769399</v>
      </c>
      <c r="J213" s="202"/>
      <c r="K213" s="189"/>
      <c r="L213" s="203">
        <v>40210.469798657701</v>
      </c>
      <c r="M213" s="203"/>
      <c r="N213" s="203"/>
      <c r="O213" s="208">
        <v>37461.638853230601</v>
      </c>
      <c r="P213" s="189"/>
      <c r="Q213" s="188"/>
      <c r="R213" s="202"/>
      <c r="S213" s="189"/>
      <c r="T213" s="196">
        <f t="shared" si="13"/>
        <v>0</v>
      </c>
      <c r="U213" s="197">
        <f t="shared" si="11"/>
        <v>0</v>
      </c>
      <c r="V213" s="202"/>
      <c r="W213" s="189"/>
      <c r="X213" s="202"/>
      <c r="Y213" s="189"/>
      <c r="Z213" s="203"/>
      <c r="AA213" s="203"/>
      <c r="AB213" s="203"/>
      <c r="AC213" s="189"/>
      <c r="AD213" s="189"/>
      <c r="AE213" s="188"/>
      <c r="AF213" s="202"/>
      <c r="AG213" s="188"/>
    </row>
    <row r="214" spans="1:33" s="193" customFormat="1">
      <c r="A214" s="198" t="s">
        <v>281</v>
      </c>
      <c r="B214" s="215" t="s">
        <v>298</v>
      </c>
      <c r="C214" s="216"/>
      <c r="D214" s="201">
        <v>158662</v>
      </c>
      <c r="E214" s="218">
        <v>8</v>
      </c>
      <c r="F214" s="194">
        <f t="shared" si="12"/>
        <v>333983.00000000023</v>
      </c>
      <c r="G214" s="195">
        <f t="shared" si="10"/>
        <v>288321.00000000012</v>
      </c>
      <c r="H214" s="202">
        <v>291595.17900115403</v>
      </c>
      <c r="I214" s="207">
        <v>247314.43994339299</v>
      </c>
      <c r="J214" s="202"/>
      <c r="K214" s="189"/>
      <c r="L214" s="203">
        <v>42387.820998846197</v>
      </c>
      <c r="M214" s="203"/>
      <c r="N214" s="203"/>
      <c r="O214" s="191">
        <v>41006.560056607101</v>
      </c>
      <c r="P214" s="189"/>
      <c r="Q214" s="188"/>
      <c r="R214" s="202"/>
      <c r="S214" s="189"/>
      <c r="T214" s="196">
        <f t="shared" si="13"/>
        <v>0</v>
      </c>
      <c r="U214" s="197">
        <f t="shared" si="11"/>
        <v>0</v>
      </c>
      <c r="V214" s="202"/>
      <c r="W214" s="189"/>
      <c r="X214" s="202"/>
      <c r="Y214" s="189"/>
      <c r="Z214" s="203"/>
      <c r="AA214" s="203"/>
      <c r="AB214" s="203"/>
      <c r="AC214" s="189"/>
      <c r="AD214" s="189"/>
      <c r="AE214" s="188"/>
      <c r="AF214" s="202"/>
      <c r="AG214" s="188"/>
    </row>
    <row r="215" spans="1:33" s="193" customFormat="1">
      <c r="A215" s="198" t="s">
        <v>281</v>
      </c>
      <c r="B215" s="199" t="s">
        <v>299</v>
      </c>
      <c r="C215" s="212"/>
      <c r="D215" s="201">
        <v>440624</v>
      </c>
      <c r="E215" s="201">
        <v>9</v>
      </c>
      <c r="F215" s="194">
        <f t="shared" si="12"/>
        <v>71570.999999999985</v>
      </c>
      <c r="G215" s="195">
        <f t="shared" si="10"/>
        <v>69170</v>
      </c>
      <c r="H215" s="202">
        <v>63001.675287356302</v>
      </c>
      <c r="I215" s="207">
        <v>57697.902439024401</v>
      </c>
      <c r="J215" s="202"/>
      <c r="K215" s="189"/>
      <c r="L215" s="203">
        <v>8569.32471264368</v>
      </c>
      <c r="M215" s="203"/>
      <c r="N215" s="203"/>
      <c r="O215" s="208">
        <v>11472.097560975601</v>
      </c>
      <c r="P215" s="189"/>
      <c r="Q215" s="188"/>
      <c r="R215" s="202"/>
      <c r="S215" s="189"/>
      <c r="T215" s="196">
        <f t="shared" si="13"/>
        <v>0</v>
      </c>
      <c r="U215" s="197">
        <f t="shared" si="11"/>
        <v>0</v>
      </c>
      <c r="V215" s="202"/>
      <c r="W215" s="189"/>
      <c r="X215" s="202"/>
      <c r="Y215" s="189"/>
      <c r="Z215" s="203"/>
      <c r="AA215" s="203"/>
      <c r="AB215" s="203"/>
      <c r="AC215" s="189"/>
      <c r="AD215" s="189"/>
      <c r="AE215" s="188"/>
      <c r="AF215" s="202"/>
      <c r="AG215" s="188"/>
    </row>
    <row r="216" spans="1:33" s="193" customFormat="1">
      <c r="A216" s="198" t="s">
        <v>281</v>
      </c>
      <c r="B216" s="199" t="s">
        <v>300</v>
      </c>
      <c r="C216" s="216"/>
      <c r="D216" s="201">
        <v>434061</v>
      </c>
      <c r="E216" s="217">
        <v>9</v>
      </c>
      <c r="F216" s="194">
        <f t="shared" si="12"/>
        <v>139615.99999999988</v>
      </c>
      <c r="G216" s="195">
        <f t="shared" ref="G216:G353" si="14">SUM(I216,K216,O216,P216,Q216,S216)</f>
        <v>134865.0000000002</v>
      </c>
      <c r="H216" s="202">
        <v>132304.009858287</v>
      </c>
      <c r="I216" s="207">
        <v>121743.55847803901</v>
      </c>
      <c r="J216" s="202"/>
      <c r="K216" s="189"/>
      <c r="L216" s="203">
        <v>7311.9901417128804</v>
      </c>
      <c r="M216" s="203"/>
      <c r="N216" s="203"/>
      <c r="O216" s="204">
        <v>13121.4415219612</v>
      </c>
      <c r="P216" s="189"/>
      <c r="Q216" s="188"/>
      <c r="R216" s="202"/>
      <c r="S216" s="189"/>
      <c r="T216" s="196">
        <f t="shared" si="13"/>
        <v>0</v>
      </c>
      <c r="U216" s="197">
        <f t="shared" ref="U216:U353" si="15">SUM(W216,Y216,AC216,AD216,AE216,AG216)</f>
        <v>0</v>
      </c>
      <c r="V216" s="202"/>
      <c r="W216" s="189"/>
      <c r="X216" s="202"/>
      <c r="Y216" s="189"/>
      <c r="Z216" s="203"/>
      <c r="AA216" s="203"/>
      <c r="AB216" s="203"/>
      <c r="AC216" s="189"/>
      <c r="AD216" s="189"/>
      <c r="AE216" s="188"/>
      <c r="AF216" s="202"/>
      <c r="AG216" s="188"/>
    </row>
    <row r="217" spans="1:33" s="193" customFormat="1">
      <c r="A217" s="198" t="s">
        <v>281</v>
      </c>
      <c r="B217" s="199" t="s">
        <v>301</v>
      </c>
      <c r="C217" s="212"/>
      <c r="D217" s="201">
        <v>160649</v>
      </c>
      <c r="E217" s="201">
        <v>9</v>
      </c>
      <c r="F217" s="194">
        <f t="shared" si="12"/>
        <v>65705.000000000029</v>
      </c>
      <c r="G217" s="195">
        <f t="shared" si="14"/>
        <v>66229.999999999971</v>
      </c>
      <c r="H217" s="202">
        <v>60875.503629764098</v>
      </c>
      <c r="I217" s="190">
        <v>59843.307618129198</v>
      </c>
      <c r="J217" s="202"/>
      <c r="K217" s="189"/>
      <c r="L217" s="203">
        <v>4829.49637023593</v>
      </c>
      <c r="M217" s="203"/>
      <c r="N217" s="203"/>
      <c r="O217" s="208">
        <v>6386.6923818707801</v>
      </c>
      <c r="P217" s="189"/>
      <c r="Q217" s="188"/>
      <c r="R217" s="202"/>
      <c r="S217" s="189"/>
      <c r="T217" s="196">
        <f t="shared" si="13"/>
        <v>0</v>
      </c>
      <c r="U217" s="197">
        <f t="shared" si="15"/>
        <v>0</v>
      </c>
      <c r="V217" s="202"/>
      <c r="W217" s="189"/>
      <c r="X217" s="202"/>
      <c r="Y217" s="189"/>
      <c r="Z217" s="203"/>
      <c r="AA217" s="203"/>
      <c r="AB217" s="203"/>
      <c r="AC217" s="189"/>
      <c r="AD217" s="189"/>
      <c r="AE217" s="188"/>
      <c r="AF217" s="202"/>
      <c r="AG217" s="188"/>
    </row>
    <row r="218" spans="1:33" s="193" customFormat="1">
      <c r="A218" s="198" t="s">
        <v>281</v>
      </c>
      <c r="B218" s="199" t="s">
        <v>302</v>
      </c>
      <c r="C218" s="212"/>
      <c r="D218" s="201">
        <v>159407</v>
      </c>
      <c r="E218" s="219">
        <v>10</v>
      </c>
      <c r="F218" s="194">
        <f t="shared" si="12"/>
        <v>51881</v>
      </c>
      <c r="G218" s="195">
        <f t="shared" si="14"/>
        <v>58029</v>
      </c>
      <c r="H218" s="202">
        <v>39444.634382566597</v>
      </c>
      <c r="I218" s="207">
        <v>42147.378947368401</v>
      </c>
      <c r="J218" s="202"/>
      <c r="K218" s="189"/>
      <c r="L218" s="203">
        <v>12436.365617433399</v>
      </c>
      <c r="M218" s="203"/>
      <c r="N218" s="203"/>
      <c r="O218" s="208">
        <v>15881.621052631601</v>
      </c>
      <c r="P218" s="189"/>
      <c r="Q218" s="188"/>
      <c r="R218" s="202"/>
      <c r="S218" s="189"/>
      <c r="T218" s="196">
        <f t="shared" si="13"/>
        <v>0</v>
      </c>
      <c r="U218" s="197">
        <f t="shared" si="15"/>
        <v>0</v>
      </c>
      <c r="V218" s="202"/>
      <c r="W218" s="189"/>
      <c r="X218" s="202"/>
      <c r="Y218" s="189"/>
      <c r="Z218" s="203"/>
      <c r="AA218" s="203"/>
      <c r="AB218" s="203"/>
      <c r="AC218" s="189"/>
      <c r="AD218" s="189"/>
      <c r="AE218" s="188"/>
      <c r="AF218" s="202"/>
      <c r="AG218" s="188"/>
    </row>
    <row r="219" spans="1:33" s="193" customFormat="1">
      <c r="A219" s="198" t="s">
        <v>281</v>
      </c>
      <c r="B219" s="199" t="s">
        <v>303</v>
      </c>
      <c r="C219" s="200"/>
      <c r="D219" s="201">
        <v>158884</v>
      </c>
      <c r="E219" s="201">
        <v>10</v>
      </c>
      <c r="F219" s="194">
        <f t="shared" si="12"/>
        <v>45426</v>
      </c>
      <c r="G219" s="195">
        <f t="shared" si="14"/>
        <v>41122</v>
      </c>
      <c r="H219" s="202">
        <v>34688.045751634003</v>
      </c>
      <c r="I219" s="207">
        <v>29616.828415300501</v>
      </c>
      <c r="J219" s="202"/>
      <c r="K219" s="189"/>
      <c r="L219" s="203">
        <v>10737.954248366001</v>
      </c>
      <c r="M219" s="203"/>
      <c r="N219" s="203"/>
      <c r="O219" s="208">
        <v>11505.171584699499</v>
      </c>
      <c r="P219" s="189"/>
      <c r="Q219" s="188"/>
      <c r="R219" s="202"/>
      <c r="S219" s="189"/>
      <c r="T219" s="196">
        <f t="shared" si="13"/>
        <v>0</v>
      </c>
      <c r="U219" s="197">
        <f t="shared" si="15"/>
        <v>0</v>
      </c>
      <c r="V219" s="202"/>
      <c r="W219" s="189"/>
      <c r="X219" s="202"/>
      <c r="Y219" s="189"/>
      <c r="Z219" s="203"/>
      <c r="AA219" s="203"/>
      <c r="AB219" s="203"/>
      <c r="AC219" s="189"/>
      <c r="AD219" s="189"/>
      <c r="AE219" s="188"/>
      <c r="AF219" s="202"/>
      <c r="AG219" s="188"/>
    </row>
    <row r="220" spans="1:33" s="193" customFormat="1">
      <c r="A220" s="211" t="s">
        <v>281</v>
      </c>
      <c r="B220" s="215" t="s">
        <v>304</v>
      </c>
      <c r="C220" s="216"/>
      <c r="D220" s="201">
        <v>436304</v>
      </c>
      <c r="E220" s="201">
        <v>10</v>
      </c>
      <c r="F220" s="194">
        <f t="shared" si="12"/>
        <v>36848.999999999985</v>
      </c>
      <c r="G220" s="195">
        <f t="shared" si="14"/>
        <v>36616.500000000022</v>
      </c>
      <c r="H220" s="202">
        <v>31882.395652173898</v>
      </c>
      <c r="I220" s="190">
        <v>31171.2541729894</v>
      </c>
      <c r="J220" s="202"/>
      <c r="K220" s="189"/>
      <c r="L220" s="203">
        <v>4966.6043478260899</v>
      </c>
      <c r="M220" s="203"/>
      <c r="N220" s="203"/>
      <c r="O220" s="208">
        <v>5445.2458270106199</v>
      </c>
      <c r="P220" s="189"/>
      <c r="Q220" s="188"/>
      <c r="R220" s="202"/>
      <c r="S220" s="189"/>
      <c r="T220" s="196">
        <f t="shared" si="13"/>
        <v>0</v>
      </c>
      <c r="U220" s="197">
        <f t="shared" si="15"/>
        <v>0</v>
      </c>
      <c r="V220" s="202"/>
      <c r="W220" s="189"/>
      <c r="X220" s="202"/>
      <c r="Y220" s="189"/>
      <c r="Z220" s="203"/>
      <c r="AA220" s="203"/>
      <c r="AB220" s="203"/>
      <c r="AC220" s="189"/>
      <c r="AD220" s="189"/>
      <c r="AE220" s="188"/>
      <c r="AF220" s="202"/>
      <c r="AG220" s="188"/>
    </row>
    <row r="221" spans="1:33" s="193" customFormat="1">
      <c r="A221" s="211" t="s">
        <v>281</v>
      </c>
      <c r="B221" s="220" t="s">
        <v>305</v>
      </c>
      <c r="C221" s="221"/>
      <c r="D221" s="201">
        <v>158088</v>
      </c>
      <c r="E221" s="201">
        <v>12</v>
      </c>
      <c r="F221" s="194">
        <f t="shared" si="12"/>
        <v>40840.000000000015</v>
      </c>
      <c r="G221" s="195">
        <f t="shared" si="14"/>
        <v>36649.000000000029</v>
      </c>
      <c r="H221" s="202">
        <v>36525.355404089598</v>
      </c>
      <c r="I221" s="207">
        <v>33082.187347931897</v>
      </c>
      <c r="J221" s="202"/>
      <c r="K221" s="189"/>
      <c r="L221" s="203">
        <v>4314.6445959104203</v>
      </c>
      <c r="M221" s="203"/>
      <c r="N221" s="203"/>
      <c r="O221" s="208">
        <v>3566.8126520681299</v>
      </c>
      <c r="P221" s="189"/>
      <c r="Q221" s="188"/>
      <c r="R221" s="202"/>
      <c r="S221" s="189"/>
      <c r="T221" s="196">
        <f t="shared" si="13"/>
        <v>0</v>
      </c>
      <c r="U221" s="197">
        <f t="shared" si="15"/>
        <v>0</v>
      </c>
      <c r="V221" s="202"/>
      <c r="W221" s="189"/>
      <c r="X221" s="202"/>
      <c r="Y221" s="189"/>
      <c r="Z221" s="203"/>
      <c r="AA221" s="203"/>
      <c r="AB221" s="203"/>
      <c r="AC221" s="189"/>
      <c r="AD221" s="189"/>
      <c r="AE221" s="188"/>
      <c r="AF221" s="202"/>
      <c r="AG221" s="188"/>
    </row>
    <row r="222" spans="1:33" s="193" customFormat="1">
      <c r="A222" s="211" t="s">
        <v>281</v>
      </c>
      <c r="B222" s="199" t="s">
        <v>306</v>
      </c>
      <c r="C222" s="212"/>
      <c r="D222" s="201">
        <v>160481</v>
      </c>
      <c r="E222" s="201">
        <v>12</v>
      </c>
      <c r="F222" s="194">
        <f t="shared" si="12"/>
        <v>76790.500000000044</v>
      </c>
      <c r="G222" s="195">
        <f t="shared" si="14"/>
        <v>50565.999999999971</v>
      </c>
      <c r="H222" s="202">
        <v>70766.051933701703</v>
      </c>
      <c r="I222" s="207">
        <v>45023.667487684703</v>
      </c>
      <c r="J222" s="202"/>
      <c r="K222" s="189"/>
      <c r="L222" s="203">
        <v>6024.4480662983397</v>
      </c>
      <c r="M222" s="203"/>
      <c r="N222" s="203"/>
      <c r="O222" s="208">
        <v>5542.3325123152699</v>
      </c>
      <c r="P222" s="189"/>
      <c r="Q222" s="188"/>
      <c r="R222" s="202"/>
      <c r="S222" s="189"/>
      <c r="T222" s="196">
        <f t="shared" si="13"/>
        <v>0</v>
      </c>
      <c r="U222" s="197">
        <f t="shared" si="15"/>
        <v>0</v>
      </c>
      <c r="V222" s="202"/>
      <c r="W222" s="189"/>
      <c r="X222" s="202"/>
      <c r="Y222" s="189"/>
      <c r="Z222" s="203"/>
      <c r="AA222" s="203"/>
      <c r="AB222" s="203"/>
      <c r="AC222" s="189"/>
      <c r="AD222" s="189"/>
      <c r="AE222" s="188"/>
      <c r="AF222" s="202"/>
      <c r="AG222" s="188"/>
    </row>
    <row r="223" spans="1:33" s="193" customFormat="1">
      <c r="A223" s="211" t="s">
        <v>281</v>
      </c>
      <c r="B223" s="220" t="s">
        <v>307</v>
      </c>
      <c r="C223" s="221"/>
      <c r="D223" s="201">
        <v>160667</v>
      </c>
      <c r="E223" s="201">
        <v>12</v>
      </c>
      <c r="F223" s="194">
        <f t="shared" si="12"/>
        <v>47039</v>
      </c>
      <c r="G223" s="195">
        <f t="shared" si="14"/>
        <v>58160.000000000044</v>
      </c>
      <c r="H223" s="202">
        <v>43314.328224776502</v>
      </c>
      <c r="I223" s="207">
        <v>52118.347934918696</v>
      </c>
      <c r="J223" s="202"/>
      <c r="K223" s="189"/>
      <c r="L223" s="203">
        <v>3724.6717752234999</v>
      </c>
      <c r="M223" s="203"/>
      <c r="N223" s="203"/>
      <c r="O223" s="204">
        <v>6041.65206508135</v>
      </c>
      <c r="P223" s="189"/>
      <c r="Q223" s="188"/>
      <c r="R223" s="202"/>
      <c r="S223" s="189"/>
      <c r="T223" s="196">
        <f t="shared" si="13"/>
        <v>0</v>
      </c>
      <c r="U223" s="197">
        <f t="shared" si="15"/>
        <v>0</v>
      </c>
      <c r="V223" s="202"/>
      <c r="W223" s="189"/>
      <c r="X223" s="202"/>
      <c r="Y223" s="189"/>
      <c r="Z223" s="203"/>
      <c r="AA223" s="203"/>
      <c r="AB223" s="203"/>
      <c r="AC223" s="189"/>
      <c r="AD223" s="189"/>
      <c r="AE223" s="188"/>
      <c r="AF223" s="202"/>
      <c r="AG223" s="188"/>
    </row>
    <row r="224" spans="1:33" s="193" customFormat="1">
      <c r="A224" s="211" t="s">
        <v>281</v>
      </c>
      <c r="B224" s="220" t="s">
        <v>308</v>
      </c>
      <c r="C224" s="221"/>
      <c r="D224" s="201">
        <v>160010</v>
      </c>
      <c r="E224" s="201">
        <v>12</v>
      </c>
      <c r="F224" s="194">
        <f t="shared" si="12"/>
        <v>53021</v>
      </c>
      <c r="G224" s="195">
        <f t="shared" si="14"/>
        <v>36094</v>
      </c>
      <c r="H224" s="202">
        <v>53021</v>
      </c>
      <c r="I224" s="207">
        <v>36094</v>
      </c>
      <c r="J224" s="202"/>
      <c r="K224" s="189"/>
      <c r="L224" s="203">
        <v>0</v>
      </c>
      <c r="M224" s="203"/>
      <c r="N224" s="203"/>
      <c r="O224" s="191">
        <v>0</v>
      </c>
      <c r="P224" s="189"/>
      <c r="Q224" s="188"/>
      <c r="R224" s="202"/>
      <c r="S224" s="189"/>
      <c r="T224" s="196">
        <f t="shared" si="13"/>
        <v>0</v>
      </c>
      <c r="U224" s="197">
        <f t="shared" si="15"/>
        <v>0</v>
      </c>
      <c r="V224" s="202"/>
      <c r="W224" s="189"/>
      <c r="X224" s="202"/>
      <c r="Y224" s="189"/>
      <c r="Z224" s="203"/>
      <c r="AA224" s="203"/>
      <c r="AB224" s="203"/>
      <c r="AC224" s="189"/>
      <c r="AD224" s="189"/>
      <c r="AE224" s="188"/>
      <c r="AF224" s="202"/>
      <c r="AG224" s="188"/>
    </row>
    <row r="225" spans="1:33" s="193" customFormat="1">
      <c r="A225" s="211" t="s">
        <v>281</v>
      </c>
      <c r="B225" s="220" t="s">
        <v>309</v>
      </c>
      <c r="C225" s="221"/>
      <c r="D225" s="201">
        <v>160913</v>
      </c>
      <c r="E225" s="201">
        <v>12</v>
      </c>
      <c r="F225" s="194">
        <f t="shared" si="12"/>
        <v>61401.999999999993</v>
      </c>
      <c r="G225" s="195">
        <f t="shared" si="14"/>
        <v>49776.000000000022</v>
      </c>
      <c r="H225" s="202">
        <v>57010.958628841603</v>
      </c>
      <c r="I225" s="207">
        <v>44841.453093812401</v>
      </c>
      <c r="J225" s="202"/>
      <c r="K225" s="189"/>
      <c r="L225" s="203">
        <v>4391.0413711583897</v>
      </c>
      <c r="M225" s="203"/>
      <c r="N225" s="203"/>
      <c r="O225" s="208">
        <v>4934.5469061876202</v>
      </c>
      <c r="P225" s="189"/>
      <c r="Q225" s="188"/>
      <c r="R225" s="202"/>
      <c r="S225" s="189"/>
      <c r="T225" s="196">
        <f t="shared" si="13"/>
        <v>0</v>
      </c>
      <c r="U225" s="197">
        <f t="shared" si="15"/>
        <v>0</v>
      </c>
      <c r="V225" s="202"/>
      <c r="W225" s="189"/>
      <c r="X225" s="202"/>
      <c r="Y225" s="189"/>
      <c r="Z225" s="203"/>
      <c r="AA225" s="203"/>
      <c r="AB225" s="203"/>
      <c r="AC225" s="189"/>
      <c r="AD225" s="189"/>
      <c r="AE225" s="188"/>
      <c r="AF225" s="202"/>
      <c r="AG225" s="188"/>
    </row>
    <row r="226" spans="1:33" s="193" customFormat="1">
      <c r="A226" s="211" t="s">
        <v>281</v>
      </c>
      <c r="B226" s="199" t="s">
        <v>310</v>
      </c>
      <c r="C226" s="200"/>
      <c r="D226" s="201">
        <v>160579</v>
      </c>
      <c r="E226" s="201">
        <v>12</v>
      </c>
      <c r="F226" s="194">
        <f t="shared" si="12"/>
        <v>71206.500000000015</v>
      </c>
      <c r="G226" s="195">
        <f t="shared" si="14"/>
        <v>67383.000000000044</v>
      </c>
      <c r="H226" s="202">
        <v>62856.179518072298</v>
      </c>
      <c r="I226" s="207">
        <v>57502.948021722303</v>
      </c>
      <c r="J226" s="202"/>
      <c r="K226" s="189"/>
      <c r="L226" s="203">
        <v>8350.3204819277107</v>
      </c>
      <c r="M226" s="203"/>
      <c r="N226" s="203"/>
      <c r="O226" s="208">
        <v>9880.0519782777392</v>
      </c>
      <c r="P226" s="189"/>
      <c r="Q226" s="188"/>
      <c r="R226" s="202"/>
      <c r="S226" s="189"/>
      <c r="T226" s="196">
        <f t="shared" si="13"/>
        <v>0</v>
      </c>
      <c r="U226" s="197">
        <f t="shared" si="15"/>
        <v>0</v>
      </c>
      <c r="V226" s="202"/>
      <c r="W226" s="189"/>
      <c r="X226" s="202"/>
      <c r="Y226" s="189"/>
      <c r="Z226" s="203"/>
      <c r="AA226" s="203"/>
      <c r="AB226" s="203"/>
      <c r="AC226" s="189"/>
      <c r="AD226" s="189"/>
      <c r="AE226" s="188"/>
      <c r="AF226" s="202"/>
      <c r="AG226" s="188"/>
    </row>
    <row r="227" spans="1:33" s="193" customFormat="1">
      <c r="A227" s="211" t="s">
        <v>281</v>
      </c>
      <c r="B227" s="199" t="s">
        <v>311</v>
      </c>
      <c r="C227" s="200"/>
      <c r="D227" s="201">
        <v>159373</v>
      </c>
      <c r="E227" s="201">
        <v>15</v>
      </c>
      <c r="F227" s="194">
        <f t="shared" si="12"/>
        <v>0</v>
      </c>
      <c r="G227" s="195">
        <f t="shared" si="14"/>
        <v>0</v>
      </c>
      <c r="H227" s="202"/>
      <c r="I227" s="188"/>
      <c r="J227" s="202"/>
      <c r="K227" s="189"/>
      <c r="L227" s="203"/>
      <c r="M227" s="203"/>
      <c r="N227" s="203"/>
      <c r="O227" s="188"/>
      <c r="P227" s="189"/>
      <c r="Q227" s="188"/>
      <c r="R227" s="202"/>
      <c r="S227" s="189"/>
      <c r="T227" s="196">
        <f t="shared" si="13"/>
        <v>0</v>
      </c>
      <c r="U227" s="197">
        <f t="shared" si="15"/>
        <v>0</v>
      </c>
      <c r="V227" s="202"/>
      <c r="W227" s="189"/>
      <c r="X227" s="202"/>
      <c r="Y227" s="189"/>
      <c r="Z227" s="203"/>
      <c r="AA227" s="203"/>
      <c r="AB227" s="203"/>
      <c r="AC227" s="189"/>
      <c r="AD227" s="189"/>
      <c r="AE227" s="188"/>
      <c r="AF227" s="202"/>
      <c r="AG227" s="188"/>
    </row>
    <row r="228" spans="1:33" s="193" customFormat="1">
      <c r="A228" s="211" t="s">
        <v>281</v>
      </c>
      <c r="B228" s="199" t="s">
        <v>312</v>
      </c>
      <c r="C228" s="200"/>
      <c r="D228" s="201">
        <v>435000</v>
      </c>
      <c r="E228" s="201">
        <v>15</v>
      </c>
      <c r="F228" s="194">
        <f t="shared" si="12"/>
        <v>0</v>
      </c>
      <c r="G228" s="195">
        <f t="shared" si="14"/>
        <v>0</v>
      </c>
      <c r="H228" s="202"/>
      <c r="I228" s="189"/>
      <c r="J228" s="202"/>
      <c r="K228" s="189"/>
      <c r="L228" s="203"/>
      <c r="M228" s="203"/>
      <c r="N228" s="203"/>
      <c r="O228" s="188"/>
      <c r="P228" s="189"/>
      <c r="Q228" s="188"/>
      <c r="R228" s="202"/>
      <c r="S228" s="189"/>
      <c r="T228" s="196">
        <f t="shared" si="13"/>
        <v>0</v>
      </c>
      <c r="U228" s="197">
        <f t="shared" si="15"/>
        <v>0</v>
      </c>
      <c r="V228" s="202"/>
      <c r="W228" s="189"/>
      <c r="X228" s="202"/>
      <c r="Y228" s="189"/>
      <c r="Z228" s="203"/>
      <c r="AA228" s="203"/>
      <c r="AB228" s="203"/>
      <c r="AC228" s="189"/>
      <c r="AD228" s="189"/>
      <c r="AE228" s="188"/>
      <c r="AF228" s="202"/>
      <c r="AG228" s="188"/>
    </row>
    <row r="229" spans="1:33" s="192" customFormat="1" ht="13.9" customHeight="1">
      <c r="A229" s="238" t="s">
        <v>528</v>
      </c>
      <c r="B229" s="230" t="s">
        <v>529</v>
      </c>
      <c r="C229" s="231"/>
      <c r="D229" s="232">
        <v>163286</v>
      </c>
      <c r="E229" s="232">
        <v>1</v>
      </c>
      <c r="F229" s="194">
        <f t="shared" si="12"/>
        <v>814544</v>
      </c>
      <c r="G229" s="195">
        <f t="shared" si="14"/>
        <v>830277</v>
      </c>
      <c r="H229" s="202">
        <v>769226</v>
      </c>
      <c r="I229" s="250">
        <v>777707</v>
      </c>
      <c r="J229" s="202">
        <v>19943</v>
      </c>
      <c r="K229" s="250">
        <v>19984</v>
      </c>
      <c r="L229" s="203">
        <v>24491</v>
      </c>
      <c r="M229" s="110">
        <v>884</v>
      </c>
      <c r="N229" s="110">
        <v>0</v>
      </c>
      <c r="O229" s="113">
        <v>31895</v>
      </c>
      <c r="P229" s="113">
        <v>691</v>
      </c>
      <c r="Q229" s="250">
        <v>0</v>
      </c>
      <c r="R229" s="202">
        <v>0</v>
      </c>
      <c r="S229" s="250">
        <v>0</v>
      </c>
      <c r="T229" s="196">
        <f t="shared" si="13"/>
        <v>157472.16999999998</v>
      </c>
      <c r="U229" s="197">
        <f t="shared" si="15"/>
        <v>157557</v>
      </c>
      <c r="V229" s="202">
        <v>118548.17</v>
      </c>
      <c r="W229" s="250">
        <v>120972</v>
      </c>
      <c r="X229" s="202">
        <v>29067</v>
      </c>
      <c r="Y229" s="113">
        <v>24700</v>
      </c>
      <c r="Z229" s="203">
        <v>9103</v>
      </c>
      <c r="AA229" s="110">
        <v>754</v>
      </c>
      <c r="AB229" s="110">
        <v>0</v>
      </c>
      <c r="AC229" s="113">
        <v>11294</v>
      </c>
      <c r="AD229" s="113">
        <v>591</v>
      </c>
      <c r="AE229" s="250">
        <v>0</v>
      </c>
      <c r="AF229" s="202">
        <v>0</v>
      </c>
      <c r="AG229" s="250">
        <v>0</v>
      </c>
    </row>
    <row r="230" spans="1:33" s="222" customFormat="1">
      <c r="A230" s="238" t="s">
        <v>528</v>
      </c>
      <c r="B230" s="230" t="s">
        <v>530</v>
      </c>
      <c r="C230" s="251"/>
      <c r="D230" s="232">
        <v>163453</v>
      </c>
      <c r="E230" s="232">
        <v>2</v>
      </c>
      <c r="F230" s="194">
        <f t="shared" si="12"/>
        <v>183399</v>
      </c>
      <c r="G230" s="195">
        <f t="shared" si="14"/>
        <v>184300</v>
      </c>
      <c r="H230" s="202">
        <v>175260</v>
      </c>
      <c r="I230" s="250">
        <v>171998</v>
      </c>
      <c r="J230" s="202">
        <v>87</v>
      </c>
      <c r="K230" s="113">
        <v>54</v>
      </c>
      <c r="L230" s="203">
        <v>8052</v>
      </c>
      <c r="M230" s="110">
        <v>0</v>
      </c>
      <c r="N230" s="110">
        <v>0</v>
      </c>
      <c r="O230" s="113">
        <v>12248</v>
      </c>
      <c r="P230" s="250">
        <v>0</v>
      </c>
      <c r="Q230" s="250">
        <v>0</v>
      </c>
      <c r="R230" s="202">
        <v>0</v>
      </c>
      <c r="S230" s="250">
        <v>0</v>
      </c>
      <c r="T230" s="196">
        <f t="shared" si="13"/>
        <v>25573</v>
      </c>
      <c r="U230" s="197">
        <f t="shared" si="15"/>
        <v>24369</v>
      </c>
      <c r="V230" s="202">
        <v>22119</v>
      </c>
      <c r="W230" s="113">
        <v>19577</v>
      </c>
      <c r="X230" s="202">
        <v>39</v>
      </c>
      <c r="Y230" s="113">
        <v>48</v>
      </c>
      <c r="Z230" s="203">
        <v>3415</v>
      </c>
      <c r="AA230" s="110">
        <v>0</v>
      </c>
      <c r="AB230" s="110">
        <v>0</v>
      </c>
      <c r="AC230" s="113">
        <v>4744</v>
      </c>
      <c r="AD230" s="250">
        <v>0</v>
      </c>
      <c r="AE230" s="250">
        <v>0</v>
      </c>
      <c r="AF230" s="202">
        <v>0</v>
      </c>
      <c r="AG230" s="250">
        <v>0</v>
      </c>
    </row>
    <row r="231" spans="1:33" s="222" customFormat="1">
      <c r="A231" s="238" t="s">
        <v>528</v>
      </c>
      <c r="B231" s="230" t="s">
        <v>531</v>
      </c>
      <c r="C231" s="231"/>
      <c r="D231" s="232">
        <v>163268</v>
      </c>
      <c r="E231" s="232">
        <v>2</v>
      </c>
      <c r="F231" s="194">
        <f t="shared" si="12"/>
        <v>319948.5</v>
      </c>
      <c r="G231" s="195">
        <f t="shared" si="14"/>
        <v>317866</v>
      </c>
      <c r="H231" s="202">
        <v>271106.5</v>
      </c>
      <c r="I231" s="250">
        <v>268240</v>
      </c>
      <c r="J231" s="202">
        <v>7598</v>
      </c>
      <c r="K231" s="250">
        <v>7312</v>
      </c>
      <c r="L231" s="203">
        <v>41244</v>
      </c>
      <c r="M231" s="110">
        <v>0</v>
      </c>
      <c r="N231" s="110">
        <v>0</v>
      </c>
      <c r="O231" s="250">
        <v>42314</v>
      </c>
      <c r="P231" s="250">
        <v>0</v>
      </c>
      <c r="Q231" s="250">
        <v>0</v>
      </c>
      <c r="R231" s="202">
        <v>0</v>
      </c>
      <c r="S231" s="250">
        <v>0</v>
      </c>
      <c r="T231" s="196">
        <f t="shared" si="13"/>
        <v>35116</v>
      </c>
      <c r="U231" s="197">
        <f t="shared" si="15"/>
        <v>34462</v>
      </c>
      <c r="V231" s="202">
        <v>24457</v>
      </c>
      <c r="W231" s="250">
        <v>23451</v>
      </c>
      <c r="X231" s="202">
        <v>3006</v>
      </c>
      <c r="Y231" s="113">
        <v>3401</v>
      </c>
      <c r="Z231" s="203">
        <v>7653</v>
      </c>
      <c r="AA231" s="110">
        <v>0</v>
      </c>
      <c r="AB231" s="110">
        <v>0</v>
      </c>
      <c r="AC231" s="250">
        <v>7610</v>
      </c>
      <c r="AD231" s="250">
        <v>0</v>
      </c>
      <c r="AE231" s="250">
        <v>0</v>
      </c>
      <c r="AF231" s="202">
        <v>0</v>
      </c>
      <c r="AG231" s="250">
        <v>0</v>
      </c>
    </row>
    <row r="232" spans="1:33" s="222" customFormat="1">
      <c r="A232" s="238" t="s">
        <v>528</v>
      </c>
      <c r="B232" s="230" t="s">
        <v>532</v>
      </c>
      <c r="C232" s="231"/>
      <c r="D232" s="232">
        <v>164076</v>
      </c>
      <c r="E232" s="232">
        <v>3</v>
      </c>
      <c r="F232" s="194">
        <f t="shared" si="12"/>
        <v>541795.5</v>
      </c>
      <c r="G232" s="195">
        <f t="shared" si="14"/>
        <v>541918</v>
      </c>
      <c r="H232" s="202">
        <v>475513.5</v>
      </c>
      <c r="I232" s="250">
        <v>471126</v>
      </c>
      <c r="J232" s="202">
        <v>13430</v>
      </c>
      <c r="K232" s="250">
        <v>12791</v>
      </c>
      <c r="L232" s="203">
        <v>52852</v>
      </c>
      <c r="M232" s="110">
        <v>0</v>
      </c>
      <c r="N232" s="110">
        <v>0</v>
      </c>
      <c r="O232" s="113">
        <v>58001</v>
      </c>
      <c r="P232" s="250">
        <v>0</v>
      </c>
      <c r="Q232" s="250">
        <v>0</v>
      </c>
      <c r="R232" s="202">
        <v>0</v>
      </c>
      <c r="S232" s="250">
        <v>0</v>
      </c>
      <c r="T232" s="196">
        <f t="shared" si="13"/>
        <v>46102.5</v>
      </c>
      <c r="U232" s="197">
        <f t="shared" si="15"/>
        <v>45421</v>
      </c>
      <c r="V232" s="202">
        <v>28286.5</v>
      </c>
      <c r="W232" s="250">
        <v>28474</v>
      </c>
      <c r="X232" s="202">
        <v>6072.5</v>
      </c>
      <c r="Y232" s="250">
        <v>6050</v>
      </c>
      <c r="Z232" s="203">
        <v>11710.5</v>
      </c>
      <c r="AA232" s="110">
        <v>33</v>
      </c>
      <c r="AB232" s="110">
        <v>0</v>
      </c>
      <c r="AC232" s="113">
        <v>10876</v>
      </c>
      <c r="AD232" s="113">
        <v>21</v>
      </c>
      <c r="AE232" s="250">
        <v>0</v>
      </c>
      <c r="AF232" s="202">
        <v>0</v>
      </c>
      <c r="AG232" s="250">
        <v>0</v>
      </c>
    </row>
    <row r="233" spans="1:33" s="222" customFormat="1">
      <c r="A233" s="238" t="s">
        <v>528</v>
      </c>
      <c r="B233" s="230" t="s">
        <v>533</v>
      </c>
      <c r="C233" s="231"/>
      <c r="D233" s="232">
        <v>162007</v>
      </c>
      <c r="E233" s="232">
        <v>4</v>
      </c>
      <c r="F233" s="194">
        <f t="shared" si="12"/>
        <v>119475</v>
      </c>
      <c r="G233" s="195">
        <f t="shared" si="14"/>
        <v>125437</v>
      </c>
      <c r="H233" s="202">
        <v>102264</v>
      </c>
      <c r="I233" s="250">
        <v>103591</v>
      </c>
      <c r="J233" s="202">
        <v>114</v>
      </c>
      <c r="K233" s="113">
        <v>231</v>
      </c>
      <c r="L233" s="203">
        <v>17097</v>
      </c>
      <c r="M233" s="110">
        <v>0</v>
      </c>
      <c r="N233" s="110">
        <v>0</v>
      </c>
      <c r="O233" s="113">
        <v>21615</v>
      </c>
      <c r="P233" s="250">
        <v>0</v>
      </c>
      <c r="Q233" s="250">
        <v>0</v>
      </c>
      <c r="R233" s="202">
        <v>0</v>
      </c>
      <c r="S233" s="250">
        <v>0</v>
      </c>
      <c r="T233" s="196">
        <f t="shared" si="13"/>
        <v>17562</v>
      </c>
      <c r="U233" s="197">
        <f t="shared" si="15"/>
        <v>14769</v>
      </c>
      <c r="V233" s="202">
        <v>16028</v>
      </c>
      <c r="W233" s="113">
        <v>12730</v>
      </c>
      <c r="X233" s="202">
        <v>465</v>
      </c>
      <c r="Y233" s="113">
        <v>511</v>
      </c>
      <c r="Z233" s="203">
        <v>1069</v>
      </c>
      <c r="AA233" s="110">
        <v>0</v>
      </c>
      <c r="AB233" s="110">
        <v>0</v>
      </c>
      <c r="AC233" s="113">
        <v>1528</v>
      </c>
      <c r="AD233" s="250">
        <v>0</v>
      </c>
      <c r="AE233" s="250">
        <v>0</v>
      </c>
      <c r="AF233" s="202">
        <v>0</v>
      </c>
      <c r="AG233" s="250">
        <v>0</v>
      </c>
    </row>
    <row r="234" spans="1:33" s="222" customFormat="1">
      <c r="A234" s="238" t="s">
        <v>528</v>
      </c>
      <c r="B234" s="230" t="s">
        <v>534</v>
      </c>
      <c r="C234" s="231"/>
      <c r="D234" s="232">
        <v>162584</v>
      </c>
      <c r="E234" s="232">
        <v>4</v>
      </c>
      <c r="F234" s="194">
        <f t="shared" si="12"/>
        <v>136045</v>
      </c>
      <c r="G234" s="195">
        <f t="shared" si="14"/>
        <v>135376</v>
      </c>
      <c r="H234" s="202">
        <v>107959</v>
      </c>
      <c r="I234" s="250">
        <v>107454</v>
      </c>
      <c r="J234" s="202">
        <v>3374</v>
      </c>
      <c r="K234" s="250">
        <v>3506</v>
      </c>
      <c r="L234" s="203">
        <v>24712</v>
      </c>
      <c r="M234" s="110">
        <v>0</v>
      </c>
      <c r="N234" s="110">
        <v>0</v>
      </c>
      <c r="O234" s="250">
        <v>24416</v>
      </c>
      <c r="P234" s="250">
        <v>0</v>
      </c>
      <c r="Q234" s="250">
        <v>0</v>
      </c>
      <c r="R234" s="202">
        <v>0</v>
      </c>
      <c r="S234" s="250">
        <v>0</v>
      </c>
      <c r="T234" s="196">
        <f t="shared" si="13"/>
        <v>12153</v>
      </c>
      <c r="U234" s="197">
        <f t="shared" si="15"/>
        <v>12584</v>
      </c>
      <c r="V234" s="202">
        <v>2813</v>
      </c>
      <c r="W234" s="113">
        <v>3477</v>
      </c>
      <c r="X234" s="202">
        <v>588</v>
      </c>
      <c r="Y234" s="113">
        <v>487</v>
      </c>
      <c r="Z234" s="203">
        <v>8752</v>
      </c>
      <c r="AA234" s="110">
        <v>0</v>
      </c>
      <c r="AB234" s="110">
        <v>0</v>
      </c>
      <c r="AC234" s="250">
        <v>8620</v>
      </c>
      <c r="AD234" s="250">
        <v>0</v>
      </c>
      <c r="AE234" s="250">
        <v>0</v>
      </c>
      <c r="AF234" s="202">
        <v>0</v>
      </c>
      <c r="AG234" s="250">
        <v>0</v>
      </c>
    </row>
    <row r="235" spans="1:33" s="222" customFormat="1">
      <c r="A235" s="238" t="s">
        <v>528</v>
      </c>
      <c r="B235" s="230" t="s">
        <v>535</v>
      </c>
      <c r="C235" s="231"/>
      <c r="D235" s="232">
        <v>163851</v>
      </c>
      <c r="E235" s="232">
        <v>4</v>
      </c>
      <c r="F235" s="194">
        <f t="shared" si="12"/>
        <v>232633</v>
      </c>
      <c r="G235" s="195">
        <f t="shared" si="14"/>
        <v>232536</v>
      </c>
      <c r="H235" s="202">
        <v>203061</v>
      </c>
      <c r="I235" s="250">
        <v>203203</v>
      </c>
      <c r="J235" s="202">
        <v>3909</v>
      </c>
      <c r="K235" s="113">
        <v>3025</v>
      </c>
      <c r="L235" s="203">
        <v>25080</v>
      </c>
      <c r="M235" s="110">
        <v>583</v>
      </c>
      <c r="N235" s="110">
        <v>0</v>
      </c>
      <c r="O235" s="113">
        <v>18815</v>
      </c>
      <c r="P235" s="113">
        <v>7493</v>
      </c>
      <c r="Q235" s="250">
        <v>0</v>
      </c>
      <c r="R235" s="202">
        <v>0</v>
      </c>
      <c r="S235" s="250">
        <v>0</v>
      </c>
      <c r="T235" s="196">
        <f t="shared" si="13"/>
        <v>13534</v>
      </c>
      <c r="U235" s="197">
        <f t="shared" si="15"/>
        <v>14499</v>
      </c>
      <c r="V235" s="202">
        <v>3851</v>
      </c>
      <c r="W235" s="113">
        <v>3395</v>
      </c>
      <c r="X235" s="202">
        <v>201</v>
      </c>
      <c r="Y235" s="113">
        <v>97</v>
      </c>
      <c r="Z235" s="203">
        <v>8279</v>
      </c>
      <c r="AA235" s="110">
        <v>1203</v>
      </c>
      <c r="AB235" s="110">
        <v>0</v>
      </c>
      <c r="AC235" s="113">
        <v>7697</v>
      </c>
      <c r="AD235" s="113">
        <v>3310</v>
      </c>
      <c r="AE235" s="250">
        <v>0</v>
      </c>
      <c r="AF235" s="202">
        <v>0</v>
      </c>
      <c r="AG235" s="250">
        <v>0</v>
      </c>
    </row>
    <row r="236" spans="1:33" s="222" customFormat="1" ht="15">
      <c r="A236" s="238" t="s">
        <v>528</v>
      </c>
      <c r="B236" s="230" t="s">
        <v>536</v>
      </c>
      <c r="C236" s="355" t="s">
        <v>844</v>
      </c>
      <c r="D236" s="232">
        <v>161873</v>
      </c>
      <c r="E236" s="235">
        <v>3</v>
      </c>
      <c r="F236" s="194">
        <f t="shared" si="12"/>
        <v>75021</v>
      </c>
      <c r="G236" s="195">
        <f t="shared" si="14"/>
        <v>73582</v>
      </c>
      <c r="H236" s="202">
        <v>57733</v>
      </c>
      <c r="I236" s="113">
        <v>53986</v>
      </c>
      <c r="J236" s="202">
        <v>1353</v>
      </c>
      <c r="K236" s="250">
        <v>1355</v>
      </c>
      <c r="L236" s="203">
        <v>15935</v>
      </c>
      <c r="M236" s="110">
        <v>0</v>
      </c>
      <c r="N236" s="110">
        <v>0</v>
      </c>
      <c r="O236" s="113">
        <v>18241</v>
      </c>
      <c r="P236" s="250">
        <v>0</v>
      </c>
      <c r="Q236" s="250">
        <v>0</v>
      </c>
      <c r="R236" s="202">
        <v>0</v>
      </c>
      <c r="S236" s="250">
        <v>0</v>
      </c>
      <c r="T236" s="196">
        <f t="shared" si="13"/>
        <v>49544.5</v>
      </c>
      <c r="U236" s="197">
        <f t="shared" si="15"/>
        <v>46975</v>
      </c>
      <c r="V236" s="202">
        <v>39061.5</v>
      </c>
      <c r="W236" s="113">
        <v>35847</v>
      </c>
      <c r="X236" s="202">
        <v>2213.5</v>
      </c>
      <c r="Y236" s="250">
        <v>2186</v>
      </c>
      <c r="Z236" s="203">
        <v>8269.5</v>
      </c>
      <c r="AA236" s="110">
        <v>0</v>
      </c>
      <c r="AB236" s="110">
        <v>0</v>
      </c>
      <c r="AC236" s="113">
        <v>8942</v>
      </c>
      <c r="AD236" s="250">
        <v>0</v>
      </c>
      <c r="AE236" s="250">
        <v>0</v>
      </c>
      <c r="AF236" s="202">
        <v>0</v>
      </c>
      <c r="AG236" s="250">
        <v>0</v>
      </c>
    </row>
    <row r="237" spans="1:33" s="222" customFormat="1" ht="15">
      <c r="A237" s="238" t="s">
        <v>528</v>
      </c>
      <c r="B237" s="230" t="s">
        <v>537</v>
      </c>
      <c r="C237" s="345"/>
      <c r="D237" s="232">
        <v>163338</v>
      </c>
      <c r="E237" s="232">
        <v>4</v>
      </c>
      <c r="F237" s="194">
        <f t="shared" si="12"/>
        <v>104551.5</v>
      </c>
      <c r="G237" s="195">
        <f t="shared" si="14"/>
        <v>97253</v>
      </c>
      <c r="H237" s="202">
        <v>88992.5</v>
      </c>
      <c r="I237" s="113">
        <v>80274</v>
      </c>
      <c r="J237" s="202">
        <v>2683</v>
      </c>
      <c r="K237" s="113">
        <v>3173</v>
      </c>
      <c r="L237" s="203">
        <v>12876</v>
      </c>
      <c r="M237" s="110">
        <v>0</v>
      </c>
      <c r="N237" s="110">
        <v>0</v>
      </c>
      <c r="O237" s="113">
        <v>13806</v>
      </c>
      <c r="P237" s="250">
        <v>0</v>
      </c>
      <c r="Q237" s="250">
        <v>0</v>
      </c>
      <c r="R237" s="202">
        <v>0</v>
      </c>
      <c r="S237" s="250">
        <v>0</v>
      </c>
      <c r="T237" s="196">
        <f t="shared" si="13"/>
        <v>21823</v>
      </c>
      <c r="U237" s="197">
        <f t="shared" si="15"/>
        <v>18016</v>
      </c>
      <c r="V237" s="202">
        <v>21271</v>
      </c>
      <c r="W237" s="113">
        <v>17476</v>
      </c>
      <c r="X237" s="202">
        <v>273</v>
      </c>
      <c r="Y237" s="113">
        <v>222</v>
      </c>
      <c r="Z237" s="203">
        <v>279</v>
      </c>
      <c r="AA237" s="110">
        <v>0</v>
      </c>
      <c r="AB237" s="110">
        <v>0</v>
      </c>
      <c r="AC237" s="113">
        <v>318</v>
      </c>
      <c r="AD237" s="250">
        <v>0</v>
      </c>
      <c r="AE237" s="250">
        <v>0</v>
      </c>
      <c r="AF237" s="202">
        <v>0</v>
      </c>
      <c r="AG237" s="250">
        <v>0</v>
      </c>
    </row>
    <row r="238" spans="1:33" s="222" customFormat="1" ht="15">
      <c r="A238" s="238" t="s">
        <v>528</v>
      </c>
      <c r="B238" s="230" t="s">
        <v>538</v>
      </c>
      <c r="C238" s="345"/>
      <c r="D238" s="232">
        <v>162283</v>
      </c>
      <c r="E238" s="232">
        <v>5</v>
      </c>
      <c r="F238" s="194">
        <f t="shared" si="12"/>
        <v>70100</v>
      </c>
      <c r="G238" s="195">
        <f t="shared" si="14"/>
        <v>66610</v>
      </c>
      <c r="H238" s="202">
        <v>57033</v>
      </c>
      <c r="I238" s="113">
        <v>50909</v>
      </c>
      <c r="J238" s="202">
        <v>123</v>
      </c>
      <c r="K238" s="113">
        <v>1785</v>
      </c>
      <c r="L238" s="203">
        <v>12944</v>
      </c>
      <c r="M238" s="110">
        <v>0</v>
      </c>
      <c r="N238" s="110">
        <v>0</v>
      </c>
      <c r="O238" s="113">
        <v>13916</v>
      </c>
      <c r="P238" s="250">
        <v>0</v>
      </c>
      <c r="Q238" s="250">
        <v>0</v>
      </c>
      <c r="R238" s="202">
        <v>0</v>
      </c>
      <c r="S238" s="250">
        <v>0</v>
      </c>
      <c r="T238" s="196">
        <f t="shared" si="13"/>
        <v>5952</v>
      </c>
      <c r="U238" s="197">
        <f t="shared" si="15"/>
        <v>5570</v>
      </c>
      <c r="V238" s="202">
        <v>4986</v>
      </c>
      <c r="W238" s="113">
        <v>4055</v>
      </c>
      <c r="X238" s="202">
        <v>366</v>
      </c>
      <c r="Y238" s="113">
        <v>717</v>
      </c>
      <c r="Z238" s="203">
        <v>600</v>
      </c>
      <c r="AA238" s="110">
        <v>0</v>
      </c>
      <c r="AB238" s="110">
        <v>0</v>
      </c>
      <c r="AC238" s="113">
        <v>798</v>
      </c>
      <c r="AD238" s="250">
        <v>0</v>
      </c>
      <c r="AE238" s="250">
        <v>0</v>
      </c>
      <c r="AF238" s="202">
        <v>0</v>
      </c>
      <c r="AG238" s="250">
        <v>0</v>
      </c>
    </row>
    <row r="239" spans="1:33" s="222" customFormat="1" ht="15">
      <c r="A239" s="238" t="s">
        <v>528</v>
      </c>
      <c r="B239" s="230" t="s">
        <v>539</v>
      </c>
      <c r="C239" s="345"/>
      <c r="D239" s="232">
        <v>163912</v>
      </c>
      <c r="E239" s="232">
        <v>6</v>
      </c>
      <c r="F239" s="194">
        <f t="shared" si="12"/>
        <v>53584.5</v>
      </c>
      <c r="G239" s="195">
        <f t="shared" si="14"/>
        <v>51243</v>
      </c>
      <c r="H239" s="202">
        <v>53584.5</v>
      </c>
      <c r="I239" s="250">
        <v>51243</v>
      </c>
      <c r="J239" s="202">
        <v>0</v>
      </c>
      <c r="K239" s="250">
        <v>0</v>
      </c>
      <c r="L239" s="203">
        <v>0</v>
      </c>
      <c r="M239" s="110">
        <v>0</v>
      </c>
      <c r="N239" s="110">
        <v>0</v>
      </c>
      <c r="O239" s="250">
        <v>0</v>
      </c>
      <c r="P239" s="250">
        <v>0</v>
      </c>
      <c r="Q239" s="250">
        <v>0</v>
      </c>
      <c r="R239" s="202">
        <v>0</v>
      </c>
      <c r="S239" s="250">
        <v>0</v>
      </c>
      <c r="T239" s="196">
        <f t="shared" si="13"/>
        <v>1340</v>
      </c>
      <c r="U239" s="197">
        <f t="shared" si="15"/>
        <v>1356</v>
      </c>
      <c r="V239" s="202">
        <v>1340</v>
      </c>
      <c r="W239" s="250">
        <v>1356</v>
      </c>
      <c r="X239" s="202">
        <v>0</v>
      </c>
      <c r="Y239" s="250">
        <v>0</v>
      </c>
      <c r="Z239" s="203">
        <v>0</v>
      </c>
      <c r="AA239" s="110">
        <v>0</v>
      </c>
      <c r="AB239" s="110">
        <v>0</v>
      </c>
      <c r="AC239" s="250">
        <v>0</v>
      </c>
      <c r="AD239" s="250">
        <v>0</v>
      </c>
      <c r="AE239" s="250">
        <v>0</v>
      </c>
      <c r="AF239" s="202">
        <v>0</v>
      </c>
      <c r="AG239" s="250">
        <v>0</v>
      </c>
    </row>
    <row r="240" spans="1:33" s="222" customFormat="1" ht="15">
      <c r="A240" s="238" t="s">
        <v>528</v>
      </c>
      <c r="B240" s="230" t="s">
        <v>540</v>
      </c>
      <c r="C240" s="345"/>
      <c r="D240" s="232">
        <v>161767</v>
      </c>
      <c r="E240" s="232">
        <v>8</v>
      </c>
      <c r="F240" s="194">
        <f t="shared" si="12"/>
        <v>266608</v>
      </c>
      <c r="G240" s="195">
        <f t="shared" si="14"/>
        <v>250158</v>
      </c>
      <c r="H240" s="202">
        <v>184102</v>
      </c>
      <c r="I240" s="113">
        <v>172500</v>
      </c>
      <c r="J240" s="202">
        <v>3814</v>
      </c>
      <c r="K240" s="113">
        <v>4483</v>
      </c>
      <c r="L240" s="203">
        <v>78406</v>
      </c>
      <c r="M240" s="110">
        <v>286</v>
      </c>
      <c r="N240" s="110">
        <v>0</v>
      </c>
      <c r="O240" s="113">
        <v>72877</v>
      </c>
      <c r="P240" s="250">
        <v>298</v>
      </c>
      <c r="Q240" s="250">
        <v>0</v>
      </c>
      <c r="R240" s="202">
        <v>0</v>
      </c>
      <c r="S240" s="250">
        <v>0</v>
      </c>
      <c r="T240" s="196">
        <f t="shared" si="13"/>
        <v>0</v>
      </c>
      <c r="U240" s="197">
        <f t="shared" si="15"/>
        <v>0</v>
      </c>
      <c r="V240" s="202">
        <v>0</v>
      </c>
      <c r="W240" s="250"/>
      <c r="X240" s="202">
        <v>0</v>
      </c>
      <c r="Y240" s="250"/>
      <c r="Z240" s="203">
        <v>0</v>
      </c>
      <c r="AA240" s="110">
        <v>0</v>
      </c>
      <c r="AB240" s="110">
        <v>0</v>
      </c>
      <c r="AC240" s="250"/>
      <c r="AD240" s="250">
        <v>0</v>
      </c>
      <c r="AE240" s="250">
        <v>0</v>
      </c>
      <c r="AF240" s="202">
        <v>0</v>
      </c>
      <c r="AG240" s="250">
        <v>0</v>
      </c>
    </row>
    <row r="241" spans="1:33" s="222" customFormat="1" ht="15">
      <c r="A241" s="238" t="s">
        <v>528</v>
      </c>
      <c r="B241" s="230" t="s">
        <v>541</v>
      </c>
      <c r="C241" s="345"/>
      <c r="D241" s="232">
        <v>162122</v>
      </c>
      <c r="E241" s="232">
        <v>8</v>
      </c>
      <c r="F241" s="194">
        <f t="shared" si="12"/>
        <v>155426</v>
      </c>
      <c r="G241" s="195">
        <f t="shared" si="14"/>
        <v>150284</v>
      </c>
      <c r="H241" s="202">
        <v>95884</v>
      </c>
      <c r="I241" s="250">
        <v>91477</v>
      </c>
      <c r="J241" s="202">
        <v>4927</v>
      </c>
      <c r="K241" s="113">
        <v>5192</v>
      </c>
      <c r="L241" s="203">
        <v>54192</v>
      </c>
      <c r="M241" s="110">
        <v>423</v>
      </c>
      <c r="N241" s="110">
        <v>0</v>
      </c>
      <c r="O241" s="250">
        <v>53321</v>
      </c>
      <c r="P241" s="113">
        <v>294</v>
      </c>
      <c r="Q241" s="250">
        <v>0</v>
      </c>
      <c r="R241" s="202">
        <v>0</v>
      </c>
      <c r="S241" s="250">
        <v>0</v>
      </c>
      <c r="T241" s="196">
        <f t="shared" si="13"/>
        <v>0</v>
      </c>
      <c r="U241" s="197">
        <f t="shared" si="15"/>
        <v>0</v>
      </c>
      <c r="V241" s="202">
        <v>0</v>
      </c>
      <c r="W241" s="250"/>
      <c r="X241" s="202">
        <v>0</v>
      </c>
      <c r="Y241" s="250"/>
      <c r="Z241" s="203">
        <v>0</v>
      </c>
      <c r="AA241" s="110">
        <v>0</v>
      </c>
      <c r="AB241" s="110">
        <v>0</v>
      </c>
      <c r="AC241" s="250"/>
      <c r="AD241" s="250">
        <v>0</v>
      </c>
      <c r="AE241" s="250">
        <v>0</v>
      </c>
      <c r="AF241" s="202">
        <v>0</v>
      </c>
      <c r="AG241" s="250">
        <v>0</v>
      </c>
    </row>
    <row r="242" spans="1:33" s="222" customFormat="1" ht="15">
      <c r="A242" s="238" t="s">
        <v>528</v>
      </c>
      <c r="B242" s="230" t="s">
        <v>542</v>
      </c>
      <c r="C242" s="345"/>
      <c r="D242" s="232">
        <v>434672</v>
      </c>
      <c r="E242" s="232">
        <v>8</v>
      </c>
      <c r="F242" s="194">
        <f t="shared" si="12"/>
        <v>403396</v>
      </c>
      <c r="G242" s="195">
        <f t="shared" si="14"/>
        <v>379712</v>
      </c>
      <c r="H242" s="202">
        <v>299622</v>
      </c>
      <c r="I242" s="113">
        <v>272603</v>
      </c>
      <c r="J242" s="202">
        <v>45630</v>
      </c>
      <c r="K242" s="250">
        <v>43599</v>
      </c>
      <c r="L242" s="203">
        <v>58144</v>
      </c>
      <c r="M242" s="110">
        <v>0</v>
      </c>
      <c r="N242" s="110">
        <v>0</v>
      </c>
      <c r="O242" s="113">
        <v>63510</v>
      </c>
      <c r="P242" s="250">
        <v>0</v>
      </c>
      <c r="Q242" s="250">
        <v>0</v>
      </c>
      <c r="R242" s="202">
        <v>0</v>
      </c>
      <c r="S242" s="250">
        <v>0</v>
      </c>
      <c r="T242" s="196">
        <f t="shared" si="13"/>
        <v>0</v>
      </c>
      <c r="U242" s="197">
        <f t="shared" si="15"/>
        <v>0</v>
      </c>
      <c r="V242" s="202">
        <v>0</v>
      </c>
      <c r="W242" s="250"/>
      <c r="X242" s="202">
        <v>0</v>
      </c>
      <c r="Y242" s="250"/>
      <c r="Z242" s="203">
        <v>0</v>
      </c>
      <c r="AA242" s="110">
        <v>0</v>
      </c>
      <c r="AB242" s="110">
        <v>0</v>
      </c>
      <c r="AC242" s="250"/>
      <c r="AD242" s="250">
        <v>0</v>
      </c>
      <c r="AE242" s="250">
        <v>0</v>
      </c>
      <c r="AF242" s="202">
        <v>0</v>
      </c>
      <c r="AG242" s="250">
        <v>0</v>
      </c>
    </row>
    <row r="243" spans="1:33" s="222" customFormat="1" ht="15">
      <c r="A243" s="238" t="s">
        <v>528</v>
      </c>
      <c r="B243" s="230" t="s">
        <v>543</v>
      </c>
      <c r="C243" s="345"/>
      <c r="D243" s="232">
        <v>162779</v>
      </c>
      <c r="E243" s="232">
        <v>8</v>
      </c>
      <c r="F243" s="194">
        <f t="shared" si="12"/>
        <v>193798</v>
      </c>
      <c r="G243" s="195">
        <f t="shared" si="14"/>
        <v>189160</v>
      </c>
      <c r="H243" s="202">
        <v>157874</v>
      </c>
      <c r="I243" s="250">
        <v>151586</v>
      </c>
      <c r="J243" s="202">
        <v>7334</v>
      </c>
      <c r="K243" s="113">
        <v>6889</v>
      </c>
      <c r="L243" s="203">
        <v>28590</v>
      </c>
      <c r="M243" s="110">
        <v>0</v>
      </c>
      <c r="N243" s="110">
        <v>0</v>
      </c>
      <c r="O243" s="113">
        <v>30685</v>
      </c>
      <c r="P243" s="250">
        <v>0</v>
      </c>
      <c r="Q243" s="250">
        <v>0</v>
      </c>
      <c r="R243" s="202">
        <v>0</v>
      </c>
      <c r="S243" s="250">
        <v>0</v>
      </c>
      <c r="T243" s="196">
        <f t="shared" si="13"/>
        <v>0</v>
      </c>
      <c r="U243" s="197">
        <f t="shared" si="15"/>
        <v>0</v>
      </c>
      <c r="V243" s="202">
        <v>0</v>
      </c>
      <c r="W243" s="250"/>
      <c r="X243" s="202">
        <v>0</v>
      </c>
      <c r="Y243" s="250"/>
      <c r="Z243" s="203">
        <v>0</v>
      </c>
      <c r="AA243" s="110">
        <v>0</v>
      </c>
      <c r="AB243" s="110">
        <v>0</v>
      </c>
      <c r="AC243" s="250"/>
      <c r="AD243" s="250">
        <v>0</v>
      </c>
      <c r="AE243" s="250">
        <v>0</v>
      </c>
      <c r="AF243" s="202">
        <v>0</v>
      </c>
      <c r="AG243" s="250">
        <v>0</v>
      </c>
    </row>
    <row r="244" spans="1:33" s="222" customFormat="1" ht="15">
      <c r="A244" s="238" t="s">
        <v>528</v>
      </c>
      <c r="B244" s="230" t="s">
        <v>544</v>
      </c>
      <c r="C244" s="345"/>
      <c r="D244" s="232">
        <v>163426</v>
      </c>
      <c r="E244" s="232">
        <v>8</v>
      </c>
      <c r="F244" s="194">
        <f t="shared" si="12"/>
        <v>697499</v>
      </c>
      <c r="G244" s="195">
        <f t="shared" si="14"/>
        <v>691916</v>
      </c>
      <c r="H244" s="202">
        <v>551636</v>
      </c>
      <c r="I244" s="250">
        <v>533371</v>
      </c>
      <c r="J244" s="202">
        <v>79367</v>
      </c>
      <c r="K244" s="113">
        <v>88948</v>
      </c>
      <c r="L244" s="203">
        <v>66496</v>
      </c>
      <c r="M244" s="110">
        <v>0</v>
      </c>
      <c r="N244" s="110">
        <v>0</v>
      </c>
      <c r="O244" s="250">
        <v>69597</v>
      </c>
      <c r="P244" s="250">
        <v>0</v>
      </c>
      <c r="Q244" s="250">
        <v>0</v>
      </c>
      <c r="R244" s="202">
        <v>0</v>
      </c>
      <c r="S244" s="250">
        <v>0</v>
      </c>
      <c r="T244" s="196">
        <f t="shared" si="13"/>
        <v>0</v>
      </c>
      <c r="U244" s="197">
        <f t="shared" si="15"/>
        <v>0</v>
      </c>
      <c r="V244" s="202">
        <v>0</v>
      </c>
      <c r="W244" s="250"/>
      <c r="X244" s="202">
        <v>0</v>
      </c>
      <c r="Y244" s="250"/>
      <c r="Z244" s="203">
        <v>0</v>
      </c>
      <c r="AA244" s="110">
        <v>0</v>
      </c>
      <c r="AB244" s="110">
        <v>0</v>
      </c>
      <c r="AC244" s="250"/>
      <c r="AD244" s="250">
        <v>0</v>
      </c>
      <c r="AE244" s="250">
        <v>0</v>
      </c>
      <c r="AF244" s="202">
        <v>0</v>
      </c>
      <c r="AG244" s="250">
        <v>0</v>
      </c>
    </row>
    <row r="245" spans="1:33" s="222" customFormat="1" ht="15">
      <c r="A245" s="238" t="s">
        <v>528</v>
      </c>
      <c r="B245" s="230" t="s">
        <v>545</v>
      </c>
      <c r="C245" s="345"/>
      <c r="D245" s="232">
        <v>163657</v>
      </c>
      <c r="E245" s="232">
        <v>8</v>
      </c>
      <c r="F245" s="194">
        <f t="shared" si="12"/>
        <v>295647</v>
      </c>
      <c r="G245" s="195">
        <f t="shared" si="14"/>
        <v>284405</v>
      </c>
      <c r="H245" s="202">
        <v>179139</v>
      </c>
      <c r="I245" s="113">
        <v>110473</v>
      </c>
      <c r="J245" s="202">
        <v>70305</v>
      </c>
      <c r="K245" s="113">
        <v>141724</v>
      </c>
      <c r="L245" s="203">
        <v>46203</v>
      </c>
      <c r="M245" s="110">
        <v>0</v>
      </c>
      <c r="N245" s="110">
        <v>0</v>
      </c>
      <c r="O245" s="113">
        <v>32208</v>
      </c>
      <c r="P245" s="250">
        <v>0</v>
      </c>
      <c r="Q245" s="250">
        <v>0</v>
      </c>
      <c r="R245" s="202">
        <v>0</v>
      </c>
      <c r="S245" s="250">
        <v>0</v>
      </c>
      <c r="T245" s="196">
        <f t="shared" si="13"/>
        <v>0</v>
      </c>
      <c r="U245" s="197">
        <f t="shared" si="15"/>
        <v>0</v>
      </c>
      <c r="V245" s="202">
        <v>0</v>
      </c>
      <c r="W245" s="250"/>
      <c r="X245" s="202">
        <v>0</v>
      </c>
      <c r="Y245" s="250"/>
      <c r="Z245" s="203">
        <v>0</v>
      </c>
      <c r="AA245" s="110">
        <v>0</v>
      </c>
      <c r="AB245" s="110">
        <v>0</v>
      </c>
      <c r="AC245" s="250"/>
      <c r="AD245" s="250">
        <v>0</v>
      </c>
      <c r="AE245" s="250">
        <v>0</v>
      </c>
      <c r="AF245" s="202">
        <v>0</v>
      </c>
      <c r="AG245" s="250">
        <v>0</v>
      </c>
    </row>
    <row r="246" spans="1:33" s="222" customFormat="1" ht="15">
      <c r="A246" s="238" t="s">
        <v>528</v>
      </c>
      <c r="B246" s="230" t="s">
        <v>546</v>
      </c>
      <c r="C246" s="345" t="s">
        <v>863</v>
      </c>
      <c r="D246" s="232">
        <v>161688</v>
      </c>
      <c r="E246" s="252">
        <v>9</v>
      </c>
      <c r="F246" s="194">
        <f t="shared" si="12"/>
        <v>64346</v>
      </c>
      <c r="G246" s="195">
        <f t="shared" si="14"/>
        <v>58826</v>
      </c>
      <c r="H246" s="202">
        <v>39560</v>
      </c>
      <c r="I246" s="113">
        <v>36359</v>
      </c>
      <c r="J246" s="202">
        <v>11253</v>
      </c>
      <c r="K246" s="113">
        <v>9454</v>
      </c>
      <c r="L246" s="203">
        <v>11037</v>
      </c>
      <c r="M246" s="110">
        <v>2496</v>
      </c>
      <c r="N246" s="110">
        <v>0</v>
      </c>
      <c r="O246" s="113">
        <v>10376</v>
      </c>
      <c r="P246" s="113">
        <v>2637</v>
      </c>
      <c r="Q246" s="250">
        <v>0</v>
      </c>
      <c r="R246" s="202">
        <v>0</v>
      </c>
      <c r="S246" s="250">
        <v>0</v>
      </c>
      <c r="T246" s="196">
        <f t="shared" si="13"/>
        <v>0</v>
      </c>
      <c r="U246" s="197">
        <f t="shared" si="15"/>
        <v>0</v>
      </c>
      <c r="V246" s="202">
        <v>0</v>
      </c>
      <c r="W246" s="250"/>
      <c r="X246" s="202">
        <v>0</v>
      </c>
      <c r="Y246" s="250"/>
      <c r="Z246" s="203">
        <v>0</v>
      </c>
      <c r="AA246" s="110">
        <v>0</v>
      </c>
      <c r="AB246" s="110">
        <v>0</v>
      </c>
      <c r="AC246" s="250"/>
      <c r="AD246" s="250">
        <v>0</v>
      </c>
      <c r="AE246" s="250">
        <v>0</v>
      </c>
      <c r="AF246" s="202">
        <v>0</v>
      </c>
      <c r="AG246" s="250">
        <v>0</v>
      </c>
    </row>
    <row r="247" spans="1:33" s="222" customFormat="1" ht="15">
      <c r="A247" s="238" t="s">
        <v>528</v>
      </c>
      <c r="B247" s="230" t="s">
        <v>547</v>
      </c>
      <c r="C247" s="345"/>
      <c r="D247" s="232">
        <v>161864</v>
      </c>
      <c r="E247" s="232">
        <v>9</v>
      </c>
      <c r="F247" s="194">
        <f t="shared" si="12"/>
        <v>85551</v>
      </c>
      <c r="G247" s="195">
        <f t="shared" si="14"/>
        <v>80456</v>
      </c>
      <c r="H247" s="202">
        <v>63595</v>
      </c>
      <c r="I247" s="113">
        <v>55683</v>
      </c>
      <c r="J247" s="202">
        <v>564</v>
      </c>
      <c r="K247" s="113">
        <v>7543</v>
      </c>
      <c r="L247" s="203">
        <v>21392</v>
      </c>
      <c r="M247" s="110">
        <v>0</v>
      </c>
      <c r="N247" s="110">
        <v>0</v>
      </c>
      <c r="O247" s="113">
        <v>17230</v>
      </c>
      <c r="P247" s="250">
        <v>0</v>
      </c>
      <c r="Q247" s="250">
        <v>0</v>
      </c>
      <c r="R247" s="202">
        <v>0</v>
      </c>
      <c r="S247" s="250">
        <v>0</v>
      </c>
      <c r="T247" s="196">
        <f t="shared" si="13"/>
        <v>0</v>
      </c>
      <c r="U247" s="197">
        <f t="shared" si="15"/>
        <v>0</v>
      </c>
      <c r="V247" s="202">
        <v>0</v>
      </c>
      <c r="W247" s="250"/>
      <c r="X247" s="202">
        <v>0</v>
      </c>
      <c r="Y247" s="250"/>
      <c r="Z247" s="203">
        <v>0</v>
      </c>
      <c r="AA247" s="110">
        <v>0</v>
      </c>
      <c r="AB247" s="110">
        <v>0</v>
      </c>
      <c r="AC247" s="250"/>
      <c r="AD247" s="250">
        <v>0</v>
      </c>
      <c r="AE247" s="250">
        <v>0</v>
      </c>
      <c r="AF247" s="202">
        <v>0</v>
      </c>
      <c r="AG247" s="250">
        <v>0</v>
      </c>
    </row>
    <row r="248" spans="1:33" s="222" customFormat="1" ht="15">
      <c r="A248" s="238" t="s">
        <v>528</v>
      </c>
      <c r="B248" s="253" t="s">
        <v>548</v>
      </c>
      <c r="C248" s="345"/>
      <c r="D248" s="232">
        <v>405872</v>
      </c>
      <c r="E248" s="232">
        <v>9</v>
      </c>
      <c r="F248" s="194">
        <f t="shared" si="12"/>
        <v>68987</v>
      </c>
      <c r="G248" s="195">
        <f t="shared" si="14"/>
        <v>65758</v>
      </c>
      <c r="H248" s="202">
        <v>54406</v>
      </c>
      <c r="I248" s="113">
        <v>50625</v>
      </c>
      <c r="J248" s="202">
        <v>782</v>
      </c>
      <c r="K248" s="113">
        <v>317</v>
      </c>
      <c r="L248" s="203">
        <v>13742</v>
      </c>
      <c r="M248" s="110">
        <v>57</v>
      </c>
      <c r="N248" s="110">
        <v>0</v>
      </c>
      <c r="O248" s="113">
        <v>14738</v>
      </c>
      <c r="P248" s="113">
        <v>78</v>
      </c>
      <c r="Q248" s="250">
        <v>0</v>
      </c>
      <c r="R248" s="202">
        <v>0</v>
      </c>
      <c r="S248" s="250">
        <v>0</v>
      </c>
      <c r="T248" s="196">
        <f t="shared" si="13"/>
        <v>0</v>
      </c>
      <c r="U248" s="197">
        <f t="shared" si="15"/>
        <v>0</v>
      </c>
      <c r="V248" s="202">
        <v>0</v>
      </c>
      <c r="W248" s="250"/>
      <c r="X248" s="202">
        <v>0</v>
      </c>
      <c r="Y248" s="250"/>
      <c r="Z248" s="203">
        <v>0</v>
      </c>
      <c r="AA248" s="110">
        <v>0</v>
      </c>
      <c r="AB248" s="110">
        <v>0</v>
      </c>
      <c r="AC248" s="250"/>
      <c r="AD248" s="250">
        <v>0</v>
      </c>
      <c r="AE248" s="250">
        <v>0</v>
      </c>
      <c r="AF248" s="202">
        <v>0</v>
      </c>
      <c r="AG248" s="250">
        <v>0</v>
      </c>
    </row>
    <row r="249" spans="1:33" s="222" customFormat="1" ht="15">
      <c r="A249" s="238" t="s">
        <v>528</v>
      </c>
      <c r="B249" s="230" t="s">
        <v>549</v>
      </c>
      <c r="C249" s="345"/>
      <c r="D249" s="232">
        <v>162557</v>
      </c>
      <c r="E249" s="232">
        <v>9</v>
      </c>
      <c r="F249" s="194">
        <f t="shared" si="12"/>
        <v>112672</v>
      </c>
      <c r="G249" s="195">
        <f t="shared" si="14"/>
        <v>112300</v>
      </c>
      <c r="H249" s="202">
        <v>86769</v>
      </c>
      <c r="I249" s="113">
        <v>80899</v>
      </c>
      <c r="J249" s="202">
        <v>6614</v>
      </c>
      <c r="K249" s="113">
        <v>8219</v>
      </c>
      <c r="L249" s="203">
        <v>19289</v>
      </c>
      <c r="M249" s="110">
        <v>0</v>
      </c>
      <c r="N249" s="110">
        <v>0</v>
      </c>
      <c r="O249" s="113">
        <v>23182</v>
      </c>
      <c r="P249" s="250">
        <v>0</v>
      </c>
      <c r="Q249" s="250">
        <v>0</v>
      </c>
      <c r="R249" s="202">
        <v>0</v>
      </c>
      <c r="S249" s="250">
        <v>0</v>
      </c>
      <c r="T249" s="196">
        <f t="shared" si="13"/>
        <v>0</v>
      </c>
      <c r="U249" s="197">
        <f t="shared" si="15"/>
        <v>0</v>
      </c>
      <c r="V249" s="202">
        <v>0</v>
      </c>
      <c r="W249" s="250"/>
      <c r="X249" s="202">
        <v>0</v>
      </c>
      <c r="Y249" s="250"/>
      <c r="Z249" s="203">
        <v>0</v>
      </c>
      <c r="AA249" s="110">
        <v>0</v>
      </c>
      <c r="AB249" s="110">
        <v>0</v>
      </c>
      <c r="AC249" s="250"/>
      <c r="AD249" s="250">
        <v>0</v>
      </c>
      <c r="AE249" s="250">
        <v>0</v>
      </c>
      <c r="AF249" s="202">
        <v>0</v>
      </c>
      <c r="AG249" s="250">
        <v>0</v>
      </c>
    </row>
    <row r="250" spans="1:33" s="222" customFormat="1" ht="15">
      <c r="A250" s="238" t="s">
        <v>528</v>
      </c>
      <c r="B250" s="230" t="s">
        <v>550</v>
      </c>
      <c r="C250" s="345"/>
      <c r="D250" s="232">
        <v>162690</v>
      </c>
      <c r="E250" s="232">
        <v>9</v>
      </c>
      <c r="F250" s="194">
        <f t="shared" si="12"/>
        <v>85575</v>
      </c>
      <c r="G250" s="195">
        <f t="shared" si="14"/>
        <v>80049</v>
      </c>
      <c r="H250" s="202">
        <v>57822</v>
      </c>
      <c r="I250" s="113">
        <v>52238</v>
      </c>
      <c r="J250" s="202">
        <v>5004</v>
      </c>
      <c r="K250" s="250">
        <v>4931</v>
      </c>
      <c r="L250" s="203">
        <v>22749</v>
      </c>
      <c r="M250" s="110">
        <v>0</v>
      </c>
      <c r="N250" s="110">
        <v>0</v>
      </c>
      <c r="O250" s="250">
        <v>22831</v>
      </c>
      <c r="P250" s="250">
        <v>0</v>
      </c>
      <c r="Q250" s="250">
        <v>0</v>
      </c>
      <c r="R250" s="202">
        <v>0</v>
      </c>
      <c r="S250" s="113">
        <v>49</v>
      </c>
      <c r="T250" s="196">
        <f t="shared" si="13"/>
        <v>0</v>
      </c>
      <c r="U250" s="197">
        <f t="shared" si="15"/>
        <v>0</v>
      </c>
      <c r="V250" s="202">
        <v>0</v>
      </c>
      <c r="W250" s="250"/>
      <c r="X250" s="202">
        <v>0</v>
      </c>
      <c r="Y250" s="250"/>
      <c r="Z250" s="203">
        <v>0</v>
      </c>
      <c r="AA250" s="110">
        <v>0</v>
      </c>
      <c r="AB250" s="110">
        <v>0</v>
      </c>
      <c r="AC250" s="250"/>
      <c r="AD250" s="250">
        <v>0</v>
      </c>
      <c r="AE250" s="250">
        <v>0</v>
      </c>
      <c r="AF250" s="202">
        <v>0</v>
      </c>
      <c r="AG250" s="250">
        <v>0</v>
      </c>
    </row>
    <row r="251" spans="1:33" s="222" customFormat="1" ht="15">
      <c r="A251" s="238" t="s">
        <v>528</v>
      </c>
      <c r="B251" s="230" t="s">
        <v>551</v>
      </c>
      <c r="C251" s="345"/>
      <c r="D251" s="232">
        <v>162706</v>
      </c>
      <c r="E251" s="232">
        <v>9</v>
      </c>
      <c r="F251" s="194">
        <f t="shared" si="12"/>
        <v>122329</v>
      </c>
      <c r="G251" s="195">
        <f t="shared" si="14"/>
        <v>114204</v>
      </c>
      <c r="H251" s="202">
        <v>86971</v>
      </c>
      <c r="I251" s="113">
        <v>77924</v>
      </c>
      <c r="J251" s="202">
        <v>1827</v>
      </c>
      <c r="K251" s="113">
        <v>1698</v>
      </c>
      <c r="L251" s="203">
        <v>33531</v>
      </c>
      <c r="M251" s="110">
        <v>0</v>
      </c>
      <c r="N251" s="110">
        <v>0</v>
      </c>
      <c r="O251" s="250">
        <v>34582</v>
      </c>
      <c r="P251" s="250">
        <v>0</v>
      </c>
      <c r="Q251" s="250">
        <v>0</v>
      </c>
      <c r="R251" s="202">
        <v>0</v>
      </c>
      <c r="S251" s="250">
        <v>0</v>
      </c>
      <c r="T251" s="196">
        <f t="shared" si="13"/>
        <v>0</v>
      </c>
      <c r="U251" s="197">
        <f t="shared" si="15"/>
        <v>0</v>
      </c>
      <c r="V251" s="202">
        <v>0</v>
      </c>
      <c r="W251" s="250"/>
      <c r="X251" s="202">
        <v>0</v>
      </c>
      <c r="Y251" s="250"/>
      <c r="Z251" s="203">
        <v>0</v>
      </c>
      <c r="AA251" s="110">
        <v>0</v>
      </c>
      <c r="AB251" s="110">
        <v>0</v>
      </c>
      <c r="AC251" s="250"/>
      <c r="AD251" s="250">
        <v>0</v>
      </c>
      <c r="AE251" s="250">
        <v>0</v>
      </c>
      <c r="AF251" s="202">
        <v>0</v>
      </c>
      <c r="AG251" s="250">
        <v>0</v>
      </c>
    </row>
    <row r="252" spans="1:33" s="222" customFormat="1" ht="15">
      <c r="A252" s="238" t="s">
        <v>528</v>
      </c>
      <c r="B252" s="253" t="s">
        <v>552</v>
      </c>
      <c r="C252" s="355" t="s">
        <v>861</v>
      </c>
      <c r="D252" s="232">
        <v>164313</v>
      </c>
      <c r="E252" s="235">
        <v>10</v>
      </c>
      <c r="F252" s="194">
        <f t="shared" si="12"/>
        <v>57494</v>
      </c>
      <c r="G252" s="195">
        <f t="shared" si="14"/>
        <v>54688</v>
      </c>
      <c r="H252" s="202">
        <v>47892</v>
      </c>
      <c r="I252" s="113">
        <v>44647</v>
      </c>
      <c r="J252" s="202">
        <v>1495</v>
      </c>
      <c r="K252" s="113">
        <v>1797</v>
      </c>
      <c r="L252" s="203">
        <v>8080</v>
      </c>
      <c r="M252" s="110">
        <v>27</v>
      </c>
      <c r="N252" s="110">
        <v>0</v>
      </c>
      <c r="O252" s="250">
        <v>8211</v>
      </c>
      <c r="P252" s="113">
        <v>33</v>
      </c>
      <c r="Q252" s="250">
        <v>0</v>
      </c>
      <c r="R252" s="202">
        <v>0</v>
      </c>
      <c r="S252" s="250">
        <v>0</v>
      </c>
      <c r="T252" s="196">
        <f t="shared" si="13"/>
        <v>0</v>
      </c>
      <c r="U252" s="197">
        <f t="shared" si="15"/>
        <v>0</v>
      </c>
      <c r="V252" s="202">
        <v>0</v>
      </c>
      <c r="W252" s="250"/>
      <c r="X252" s="202">
        <v>0</v>
      </c>
      <c r="Y252" s="250"/>
      <c r="Z252" s="203">
        <v>0</v>
      </c>
      <c r="AA252" s="110">
        <v>0</v>
      </c>
      <c r="AB252" s="110">
        <v>0</v>
      </c>
      <c r="AC252" s="250"/>
      <c r="AD252" s="250">
        <v>0</v>
      </c>
      <c r="AE252" s="250">
        <v>0</v>
      </c>
      <c r="AF252" s="202">
        <v>0</v>
      </c>
      <c r="AG252" s="250">
        <v>0</v>
      </c>
    </row>
    <row r="253" spans="1:33" s="222" customFormat="1">
      <c r="A253" s="238" t="s">
        <v>528</v>
      </c>
      <c r="B253" s="230" t="s">
        <v>553</v>
      </c>
      <c r="C253" s="231"/>
      <c r="D253" s="232">
        <v>162104</v>
      </c>
      <c r="E253" s="232">
        <v>10</v>
      </c>
      <c r="F253" s="194">
        <f t="shared" si="12"/>
        <v>47648</v>
      </c>
      <c r="G253" s="195">
        <f t="shared" si="14"/>
        <v>47713</v>
      </c>
      <c r="H253" s="202">
        <v>35085</v>
      </c>
      <c r="I253" s="250">
        <v>34813</v>
      </c>
      <c r="J253" s="202">
        <v>1667</v>
      </c>
      <c r="K253" s="113">
        <v>1791</v>
      </c>
      <c r="L253" s="203">
        <v>10896</v>
      </c>
      <c r="M253" s="110">
        <v>0</v>
      </c>
      <c r="N253" s="110">
        <v>0</v>
      </c>
      <c r="O253" s="250">
        <v>11109</v>
      </c>
      <c r="P253" s="250">
        <v>0</v>
      </c>
      <c r="Q253" s="250">
        <v>0</v>
      </c>
      <c r="R253" s="202">
        <v>0</v>
      </c>
      <c r="S253" s="250">
        <v>0</v>
      </c>
      <c r="T253" s="196">
        <f t="shared" si="13"/>
        <v>0</v>
      </c>
      <c r="U253" s="197">
        <f t="shared" si="15"/>
        <v>0</v>
      </c>
      <c r="V253" s="202">
        <v>0</v>
      </c>
      <c r="W253" s="250"/>
      <c r="X253" s="202">
        <v>0</v>
      </c>
      <c r="Y253" s="250"/>
      <c r="Z253" s="203">
        <v>0</v>
      </c>
      <c r="AA253" s="110">
        <v>0</v>
      </c>
      <c r="AB253" s="110">
        <v>0</v>
      </c>
      <c r="AC253" s="250"/>
      <c r="AD253" s="250">
        <v>0</v>
      </c>
      <c r="AE253" s="250">
        <v>0</v>
      </c>
      <c r="AF253" s="202">
        <v>0</v>
      </c>
      <c r="AG253" s="250">
        <v>0</v>
      </c>
    </row>
    <row r="254" spans="1:33" s="222" customFormat="1">
      <c r="A254" s="238" t="s">
        <v>528</v>
      </c>
      <c r="B254" s="230" t="s">
        <v>554</v>
      </c>
      <c r="C254" s="231"/>
      <c r="D254" s="232">
        <v>162168</v>
      </c>
      <c r="E254" s="232">
        <v>10</v>
      </c>
      <c r="F254" s="194">
        <f t="shared" si="12"/>
        <v>39769</v>
      </c>
      <c r="G254" s="195">
        <f t="shared" si="14"/>
        <v>37712</v>
      </c>
      <c r="H254" s="202">
        <v>24386</v>
      </c>
      <c r="I254" s="250">
        <v>24108</v>
      </c>
      <c r="J254" s="202">
        <v>5528</v>
      </c>
      <c r="K254" s="113">
        <v>4101</v>
      </c>
      <c r="L254" s="203">
        <v>8434</v>
      </c>
      <c r="M254" s="110">
        <v>1421</v>
      </c>
      <c r="N254" s="110">
        <v>0</v>
      </c>
      <c r="O254" s="250">
        <v>8495</v>
      </c>
      <c r="P254" s="113">
        <v>1008</v>
      </c>
      <c r="Q254" s="250">
        <v>0</v>
      </c>
      <c r="R254" s="202">
        <v>0</v>
      </c>
      <c r="S254" s="250">
        <v>0</v>
      </c>
      <c r="T254" s="196">
        <f t="shared" si="13"/>
        <v>0</v>
      </c>
      <c r="U254" s="197">
        <f t="shared" si="15"/>
        <v>0</v>
      </c>
      <c r="V254" s="202">
        <v>0</v>
      </c>
      <c r="W254" s="250"/>
      <c r="X254" s="202">
        <v>0</v>
      </c>
      <c r="Y254" s="250"/>
      <c r="Z254" s="203">
        <v>0</v>
      </c>
      <c r="AA254" s="110">
        <v>0</v>
      </c>
      <c r="AB254" s="110">
        <v>0</v>
      </c>
      <c r="AC254" s="250"/>
      <c r="AD254" s="250">
        <v>0</v>
      </c>
      <c r="AE254" s="250">
        <v>0</v>
      </c>
      <c r="AF254" s="202">
        <v>0</v>
      </c>
      <c r="AG254" s="250">
        <v>0</v>
      </c>
    </row>
    <row r="255" spans="1:33" s="222" customFormat="1">
      <c r="A255" s="238" t="s">
        <v>528</v>
      </c>
      <c r="B255" s="230" t="s">
        <v>555</v>
      </c>
      <c r="C255" s="231"/>
      <c r="D255" s="232">
        <v>162609</v>
      </c>
      <c r="E255" s="232">
        <v>10</v>
      </c>
      <c r="F255" s="194">
        <f t="shared" si="12"/>
        <v>17553.75</v>
      </c>
      <c r="G255" s="195">
        <f t="shared" si="14"/>
        <v>17465</v>
      </c>
      <c r="H255" s="202">
        <v>12903.75</v>
      </c>
      <c r="I255" s="113">
        <v>13827</v>
      </c>
      <c r="J255" s="202">
        <v>637</v>
      </c>
      <c r="K255" s="113">
        <v>146</v>
      </c>
      <c r="L255" s="203">
        <v>3563</v>
      </c>
      <c r="M255" s="110">
        <v>450</v>
      </c>
      <c r="N255" s="110">
        <v>0</v>
      </c>
      <c r="O255" s="113">
        <v>2910</v>
      </c>
      <c r="P255" s="113">
        <v>582</v>
      </c>
      <c r="Q255" s="250">
        <v>0</v>
      </c>
      <c r="R255" s="202">
        <v>0</v>
      </c>
      <c r="S255" s="250">
        <v>0</v>
      </c>
      <c r="T255" s="196">
        <f t="shared" si="13"/>
        <v>0</v>
      </c>
      <c r="U255" s="197">
        <f t="shared" si="15"/>
        <v>0</v>
      </c>
      <c r="V255" s="202">
        <v>0</v>
      </c>
      <c r="W255" s="250"/>
      <c r="X255" s="202">
        <v>0</v>
      </c>
      <c r="Y255" s="250"/>
      <c r="Z255" s="203">
        <v>0</v>
      </c>
      <c r="AA255" s="110">
        <v>0</v>
      </c>
      <c r="AB255" s="110">
        <v>0</v>
      </c>
      <c r="AC255" s="250"/>
      <c r="AD255" s="250">
        <v>0</v>
      </c>
      <c r="AE255" s="250">
        <v>0</v>
      </c>
      <c r="AF255" s="202">
        <v>0</v>
      </c>
      <c r="AG255" s="250">
        <v>0</v>
      </c>
    </row>
    <row r="256" spans="1:33" s="222" customFormat="1">
      <c r="A256" s="238" t="s">
        <v>528</v>
      </c>
      <c r="B256" s="230" t="s">
        <v>556</v>
      </c>
      <c r="C256" s="231"/>
      <c r="D256" s="232">
        <v>163204</v>
      </c>
      <c r="E256" s="232">
        <v>15</v>
      </c>
      <c r="F256" s="194">
        <f t="shared" si="12"/>
        <v>648980</v>
      </c>
      <c r="G256" s="195">
        <f t="shared" si="14"/>
        <v>775760</v>
      </c>
      <c r="H256" s="202">
        <v>0</v>
      </c>
      <c r="I256" s="250">
        <v>0</v>
      </c>
      <c r="J256" s="202">
        <v>39</v>
      </c>
      <c r="K256" s="113">
        <v>50588</v>
      </c>
      <c r="L256" s="203">
        <v>648941</v>
      </c>
      <c r="M256" s="110">
        <v>0</v>
      </c>
      <c r="N256" s="110">
        <v>0</v>
      </c>
      <c r="O256" s="113">
        <v>725172</v>
      </c>
      <c r="P256" s="250">
        <v>0</v>
      </c>
      <c r="Q256" s="250">
        <v>0</v>
      </c>
      <c r="R256" s="202">
        <v>0</v>
      </c>
      <c r="S256" s="250">
        <v>0</v>
      </c>
      <c r="T256" s="196">
        <f t="shared" si="13"/>
        <v>176989</v>
      </c>
      <c r="U256" s="197">
        <f t="shared" si="15"/>
        <v>186055</v>
      </c>
      <c r="V256" s="202">
        <v>0</v>
      </c>
      <c r="W256" s="250">
        <v>0</v>
      </c>
      <c r="X256" s="202">
        <v>810</v>
      </c>
      <c r="Y256" s="113">
        <v>105</v>
      </c>
      <c r="Z256" s="203">
        <v>176179</v>
      </c>
      <c r="AA256" s="110">
        <v>0</v>
      </c>
      <c r="AB256" s="110">
        <v>0</v>
      </c>
      <c r="AC256" s="113">
        <v>185950</v>
      </c>
      <c r="AD256" s="250">
        <v>0</v>
      </c>
      <c r="AE256" s="250">
        <v>0</v>
      </c>
      <c r="AF256" s="202">
        <v>0</v>
      </c>
      <c r="AG256" s="250">
        <v>0</v>
      </c>
    </row>
    <row r="257" spans="1:33" s="222" customFormat="1">
      <c r="A257" s="229" t="s">
        <v>528</v>
      </c>
      <c r="B257" s="230" t="s">
        <v>557</v>
      </c>
      <c r="C257" s="231"/>
      <c r="D257" s="232">
        <v>163259</v>
      </c>
      <c r="E257" s="232">
        <v>15</v>
      </c>
      <c r="F257" s="194">
        <f t="shared" si="12"/>
        <v>19984</v>
      </c>
      <c r="G257" s="195">
        <f t="shared" si="14"/>
        <v>21443</v>
      </c>
      <c r="H257" s="202">
        <v>10095</v>
      </c>
      <c r="I257" s="113">
        <v>10931</v>
      </c>
      <c r="J257" s="202">
        <v>6312</v>
      </c>
      <c r="K257" s="113">
        <v>7116</v>
      </c>
      <c r="L257" s="203">
        <v>3577</v>
      </c>
      <c r="M257" s="110">
        <v>0</v>
      </c>
      <c r="N257" s="110">
        <v>0</v>
      </c>
      <c r="O257" s="113">
        <v>3306</v>
      </c>
      <c r="P257" s="113">
        <v>90</v>
      </c>
      <c r="Q257" s="250">
        <v>0</v>
      </c>
      <c r="R257" s="202">
        <v>0</v>
      </c>
      <c r="S257" s="250">
        <v>0</v>
      </c>
      <c r="T257" s="196">
        <f t="shared" si="13"/>
        <v>43475</v>
      </c>
      <c r="U257" s="197">
        <f t="shared" si="15"/>
        <v>47155</v>
      </c>
      <c r="V257" s="202">
        <v>24462.5</v>
      </c>
      <c r="W257" s="250">
        <v>23792</v>
      </c>
      <c r="X257" s="202">
        <v>6705.5</v>
      </c>
      <c r="Y257" s="250">
        <v>7020</v>
      </c>
      <c r="Z257" s="203">
        <v>12082</v>
      </c>
      <c r="AA257" s="110">
        <v>225</v>
      </c>
      <c r="AB257" s="110">
        <v>0</v>
      </c>
      <c r="AC257" s="113">
        <v>16158</v>
      </c>
      <c r="AD257" s="113">
        <v>185</v>
      </c>
      <c r="AE257" s="250">
        <v>0</v>
      </c>
      <c r="AF257" s="202">
        <v>0</v>
      </c>
      <c r="AG257" s="250">
        <v>0</v>
      </c>
    </row>
    <row r="258" spans="1:33" s="192" customFormat="1" ht="13.5" customHeight="1">
      <c r="A258" s="21" t="s">
        <v>313</v>
      </c>
      <c r="B258" s="20" t="s">
        <v>314</v>
      </c>
      <c r="C258" s="12"/>
      <c r="D258" s="18">
        <v>176080</v>
      </c>
      <c r="E258" s="18">
        <v>1</v>
      </c>
      <c r="F258" s="194">
        <f t="shared" si="12"/>
        <v>468622</v>
      </c>
      <c r="G258" s="195">
        <f t="shared" si="14"/>
        <v>496999</v>
      </c>
      <c r="H258" s="202">
        <v>428990</v>
      </c>
      <c r="I258" s="115">
        <v>455685</v>
      </c>
      <c r="J258" s="202">
        <v>10104</v>
      </c>
      <c r="K258" s="115">
        <v>10776</v>
      </c>
      <c r="L258" s="203">
        <v>29279</v>
      </c>
      <c r="M258" s="110">
        <v>249</v>
      </c>
      <c r="N258" s="110"/>
      <c r="O258" s="47">
        <v>30358</v>
      </c>
      <c r="P258" s="111">
        <v>180</v>
      </c>
      <c r="Q258" s="55"/>
      <c r="R258" s="202"/>
      <c r="S258" s="46"/>
      <c r="T258" s="196">
        <f t="shared" si="13"/>
        <v>53740</v>
      </c>
      <c r="U258" s="197">
        <f t="shared" si="15"/>
        <v>55118</v>
      </c>
      <c r="V258" s="202">
        <v>38629</v>
      </c>
      <c r="W258" s="56">
        <v>39765</v>
      </c>
      <c r="X258" s="202">
        <v>1391</v>
      </c>
      <c r="Y258" s="115">
        <v>1507</v>
      </c>
      <c r="Z258" s="203">
        <v>13169</v>
      </c>
      <c r="AA258" s="110">
        <v>551</v>
      </c>
      <c r="AB258" s="110"/>
      <c r="AC258" s="185">
        <v>13311</v>
      </c>
      <c r="AD258" s="47">
        <v>535</v>
      </c>
      <c r="AE258" s="55"/>
      <c r="AF258" s="202"/>
      <c r="AG258" s="10">
        <v>0</v>
      </c>
    </row>
    <row r="259" spans="1:33" s="193" customFormat="1">
      <c r="A259" s="21" t="s">
        <v>313</v>
      </c>
      <c r="B259" s="20" t="s">
        <v>315</v>
      </c>
      <c r="C259" s="12"/>
      <c r="D259" s="18">
        <v>176372</v>
      </c>
      <c r="E259" s="18">
        <v>1</v>
      </c>
      <c r="F259" s="194">
        <f t="shared" si="12"/>
        <v>325762</v>
      </c>
      <c r="G259" s="195">
        <f t="shared" si="14"/>
        <v>323011</v>
      </c>
      <c r="H259" s="202">
        <v>228502</v>
      </c>
      <c r="I259" s="56">
        <v>217621</v>
      </c>
      <c r="J259" s="202">
        <v>35544</v>
      </c>
      <c r="K259" s="115">
        <v>33058</v>
      </c>
      <c r="L259" s="203">
        <v>56068</v>
      </c>
      <c r="M259" s="110">
        <v>5648</v>
      </c>
      <c r="N259" s="110"/>
      <c r="O259" s="111">
        <v>66688</v>
      </c>
      <c r="P259" s="47">
        <v>5644</v>
      </c>
      <c r="Q259" s="55"/>
      <c r="R259" s="202"/>
      <c r="S259" s="46"/>
      <c r="T259" s="196">
        <f t="shared" si="13"/>
        <v>51603</v>
      </c>
      <c r="U259" s="197">
        <f t="shared" si="15"/>
        <v>52989</v>
      </c>
      <c r="V259" s="202">
        <v>31431</v>
      </c>
      <c r="W259" s="56">
        <v>31781</v>
      </c>
      <c r="X259" s="202">
        <v>4273</v>
      </c>
      <c r="Y259" s="115">
        <v>4618</v>
      </c>
      <c r="Z259" s="203">
        <v>14582</v>
      </c>
      <c r="AA259" s="110">
        <v>860</v>
      </c>
      <c r="AB259" s="110"/>
      <c r="AC259" s="111">
        <v>15795</v>
      </c>
      <c r="AD259" s="111">
        <v>641</v>
      </c>
      <c r="AE259" s="55"/>
      <c r="AF259" s="202">
        <v>457</v>
      </c>
      <c r="AG259" s="10">
        <v>154</v>
      </c>
    </row>
    <row r="260" spans="1:33" s="193" customFormat="1">
      <c r="A260" s="21" t="s">
        <v>313</v>
      </c>
      <c r="B260" s="20" t="s">
        <v>316</v>
      </c>
      <c r="C260" s="12"/>
      <c r="D260" s="18">
        <v>175856</v>
      </c>
      <c r="E260" s="18">
        <v>2</v>
      </c>
      <c r="F260" s="194">
        <f t="shared" si="12"/>
        <v>165701</v>
      </c>
      <c r="G260" s="195">
        <f t="shared" si="14"/>
        <v>170044</v>
      </c>
      <c r="H260" s="202">
        <v>124551</v>
      </c>
      <c r="I260" s="56">
        <v>122687</v>
      </c>
      <c r="J260" s="202">
        <v>7504</v>
      </c>
      <c r="K260" s="115">
        <v>5119</v>
      </c>
      <c r="L260" s="203">
        <v>33646</v>
      </c>
      <c r="M260" s="110"/>
      <c r="N260" s="110"/>
      <c r="O260" s="111">
        <v>42238</v>
      </c>
      <c r="P260" s="47"/>
      <c r="Q260" s="55"/>
      <c r="R260" s="202"/>
      <c r="S260" s="46"/>
      <c r="T260" s="196">
        <f t="shared" si="13"/>
        <v>34068</v>
      </c>
      <c r="U260" s="197">
        <f t="shared" si="15"/>
        <v>34076</v>
      </c>
      <c r="V260" s="202">
        <v>13388</v>
      </c>
      <c r="W260" s="115">
        <v>11837</v>
      </c>
      <c r="X260" s="202">
        <v>9848</v>
      </c>
      <c r="Y260" s="115">
        <v>8720</v>
      </c>
      <c r="Z260" s="203">
        <v>10832</v>
      </c>
      <c r="AA260" s="110"/>
      <c r="AB260" s="110"/>
      <c r="AC260" s="111">
        <v>13519</v>
      </c>
      <c r="AD260" s="47"/>
      <c r="AE260" s="55"/>
      <c r="AF260" s="202"/>
      <c r="AG260" s="49"/>
    </row>
    <row r="261" spans="1:33" s="193" customFormat="1" ht="15">
      <c r="A261" s="21" t="s">
        <v>313</v>
      </c>
      <c r="B261" s="20" t="s">
        <v>317</v>
      </c>
      <c r="C261" s="348" t="s">
        <v>864</v>
      </c>
      <c r="D261" s="18">
        <v>176017</v>
      </c>
      <c r="E261" s="18">
        <v>2</v>
      </c>
      <c r="F261" s="194">
        <f t="shared" si="12"/>
        <v>534899</v>
      </c>
      <c r="G261" s="195">
        <f t="shared" si="14"/>
        <v>559059</v>
      </c>
      <c r="H261" s="202">
        <v>456585</v>
      </c>
      <c r="I261" s="56">
        <v>471885</v>
      </c>
      <c r="J261" s="202">
        <v>40767</v>
      </c>
      <c r="K261" s="56">
        <v>40657</v>
      </c>
      <c r="L261" s="203">
        <v>26066</v>
      </c>
      <c r="M261" s="110">
        <v>10590</v>
      </c>
      <c r="N261" s="110"/>
      <c r="O261" s="111">
        <v>33593</v>
      </c>
      <c r="P261" s="111">
        <v>11736</v>
      </c>
      <c r="Q261" s="55"/>
      <c r="R261" s="202">
        <v>891</v>
      </c>
      <c r="S261" s="112">
        <v>1188</v>
      </c>
      <c r="T261" s="196">
        <f t="shared" si="13"/>
        <v>65555</v>
      </c>
      <c r="U261" s="197">
        <f t="shared" si="15"/>
        <v>65669</v>
      </c>
      <c r="V261" s="202">
        <v>57719</v>
      </c>
      <c r="W261" s="56">
        <v>58244</v>
      </c>
      <c r="X261" s="202">
        <v>606</v>
      </c>
      <c r="Y261" s="115">
        <v>492</v>
      </c>
      <c r="Z261" s="203">
        <v>5907</v>
      </c>
      <c r="AA261" s="110">
        <v>1311</v>
      </c>
      <c r="AB261" s="110"/>
      <c r="AC261" s="47">
        <v>6141</v>
      </c>
      <c r="AD261" s="111">
        <v>771</v>
      </c>
      <c r="AE261" s="55"/>
      <c r="AF261" s="202">
        <v>12</v>
      </c>
      <c r="AG261" s="10">
        <v>21</v>
      </c>
    </row>
    <row r="262" spans="1:33" s="193" customFormat="1">
      <c r="A262" s="21" t="s">
        <v>313</v>
      </c>
      <c r="B262" s="20" t="s">
        <v>318</v>
      </c>
      <c r="C262" s="12"/>
      <c r="D262" s="18">
        <v>175342</v>
      </c>
      <c r="E262" s="18">
        <v>4</v>
      </c>
      <c r="F262" s="194">
        <f t="shared" si="12"/>
        <v>80937</v>
      </c>
      <c r="G262" s="195">
        <f t="shared" si="14"/>
        <v>80850</v>
      </c>
      <c r="H262" s="202">
        <v>62098</v>
      </c>
      <c r="I262" s="186">
        <v>59867</v>
      </c>
      <c r="J262" s="202">
        <v>4265</v>
      </c>
      <c r="K262" s="112">
        <v>2845</v>
      </c>
      <c r="L262" s="203">
        <v>14574</v>
      </c>
      <c r="M262" s="110"/>
      <c r="N262" s="110"/>
      <c r="O262" s="111">
        <v>18138</v>
      </c>
      <c r="P262" s="47"/>
      <c r="Q262" s="55"/>
      <c r="R262" s="202"/>
      <c r="S262" s="46"/>
      <c r="T262" s="196">
        <f t="shared" si="13"/>
        <v>9679</v>
      </c>
      <c r="U262" s="197">
        <f t="shared" si="15"/>
        <v>10251</v>
      </c>
      <c r="V262" s="202">
        <v>3384</v>
      </c>
      <c r="W262" s="112">
        <v>2341</v>
      </c>
      <c r="X262" s="202">
        <v>253</v>
      </c>
      <c r="Y262" s="112">
        <v>240</v>
      </c>
      <c r="Z262" s="203">
        <v>6042</v>
      </c>
      <c r="AA262" s="110"/>
      <c r="AB262" s="110"/>
      <c r="AC262" s="111">
        <v>7670</v>
      </c>
      <c r="AD262" s="47"/>
      <c r="AE262" s="117">
        <v>0</v>
      </c>
      <c r="AF262" s="202"/>
      <c r="AG262" s="49"/>
    </row>
    <row r="263" spans="1:33" s="193" customFormat="1">
      <c r="A263" s="21" t="s">
        <v>313</v>
      </c>
      <c r="B263" s="20" t="s">
        <v>319</v>
      </c>
      <c r="C263" s="12"/>
      <c r="D263" s="18">
        <v>175616</v>
      </c>
      <c r="E263" s="18">
        <v>4</v>
      </c>
      <c r="F263" s="194">
        <f t="shared" si="12"/>
        <v>71515</v>
      </c>
      <c r="G263" s="195">
        <f t="shared" si="14"/>
        <v>73173</v>
      </c>
      <c r="H263" s="202">
        <v>55705</v>
      </c>
      <c r="I263" s="186">
        <v>56141</v>
      </c>
      <c r="J263" s="202">
        <v>1462</v>
      </c>
      <c r="K263" s="112">
        <v>1872</v>
      </c>
      <c r="L263" s="203">
        <v>14228</v>
      </c>
      <c r="M263" s="110"/>
      <c r="N263" s="110">
        <v>120</v>
      </c>
      <c r="O263" s="111">
        <v>15055</v>
      </c>
      <c r="P263" s="47"/>
      <c r="Q263" s="117">
        <v>105</v>
      </c>
      <c r="R263" s="202"/>
      <c r="S263" s="46"/>
      <c r="T263" s="196">
        <f t="shared" si="13"/>
        <v>25028</v>
      </c>
      <c r="U263" s="197">
        <f t="shared" si="15"/>
        <v>24754</v>
      </c>
      <c r="V263" s="202">
        <v>2854</v>
      </c>
      <c r="W263" s="112">
        <v>3102</v>
      </c>
      <c r="X263" s="202">
        <v>480</v>
      </c>
      <c r="Y263" s="112">
        <v>231</v>
      </c>
      <c r="Z263" s="203">
        <v>21607</v>
      </c>
      <c r="AA263" s="110" t="s">
        <v>320</v>
      </c>
      <c r="AB263" s="110">
        <v>87</v>
      </c>
      <c r="AC263" s="47">
        <v>21367</v>
      </c>
      <c r="AD263" s="47"/>
      <c r="AE263" s="117">
        <v>54</v>
      </c>
      <c r="AF263" s="202"/>
      <c r="AG263" s="49"/>
    </row>
    <row r="264" spans="1:33" s="193" customFormat="1">
      <c r="A264" s="21" t="s">
        <v>313</v>
      </c>
      <c r="B264" s="20" t="s">
        <v>321</v>
      </c>
      <c r="C264" s="12"/>
      <c r="D264" s="18">
        <v>176044</v>
      </c>
      <c r="E264" s="18">
        <v>4</v>
      </c>
      <c r="F264" s="194">
        <f t="shared" si="12"/>
        <v>51850</v>
      </c>
      <c r="G264" s="195">
        <f t="shared" si="14"/>
        <v>53785</v>
      </c>
      <c r="H264" s="202">
        <v>45957</v>
      </c>
      <c r="I264" s="186">
        <v>45169</v>
      </c>
      <c r="J264" s="202">
        <v>820</v>
      </c>
      <c r="K264" s="112">
        <v>1674</v>
      </c>
      <c r="L264" s="203">
        <v>3909</v>
      </c>
      <c r="M264" s="110"/>
      <c r="N264" s="110"/>
      <c r="O264" s="111">
        <v>6081</v>
      </c>
      <c r="P264" s="47"/>
      <c r="Q264" s="55"/>
      <c r="R264" s="202">
        <v>1164</v>
      </c>
      <c r="S264" s="112">
        <v>861</v>
      </c>
      <c r="T264" s="196">
        <f t="shared" si="13"/>
        <v>5801</v>
      </c>
      <c r="U264" s="197">
        <f t="shared" si="15"/>
        <v>5814</v>
      </c>
      <c r="V264" s="202">
        <v>4184</v>
      </c>
      <c r="W264" s="186">
        <v>4014</v>
      </c>
      <c r="X264" s="202">
        <v>102</v>
      </c>
      <c r="Y264" s="112">
        <v>87</v>
      </c>
      <c r="Z264" s="203">
        <v>1431</v>
      </c>
      <c r="AA264" s="110"/>
      <c r="AB264" s="110"/>
      <c r="AC264" s="111">
        <v>1608</v>
      </c>
      <c r="AD264" s="47"/>
      <c r="AE264" s="55"/>
      <c r="AF264" s="202">
        <v>84</v>
      </c>
      <c r="AG264" s="10">
        <v>105</v>
      </c>
    </row>
    <row r="265" spans="1:33" s="193" customFormat="1">
      <c r="A265" s="183" t="s">
        <v>313</v>
      </c>
      <c r="B265" s="20" t="s">
        <v>322</v>
      </c>
      <c r="C265" s="12"/>
      <c r="D265" s="18">
        <v>176035</v>
      </c>
      <c r="E265" s="18">
        <v>5</v>
      </c>
      <c r="F265" s="194">
        <f t="shared" si="12"/>
        <v>69665</v>
      </c>
      <c r="G265" s="195">
        <f t="shared" si="14"/>
        <v>71262</v>
      </c>
      <c r="H265" s="202">
        <v>34357</v>
      </c>
      <c r="I265" s="56">
        <v>35589</v>
      </c>
      <c r="J265" s="202">
        <v>229</v>
      </c>
      <c r="K265" s="115">
        <v>152</v>
      </c>
      <c r="L265" s="203">
        <v>35079</v>
      </c>
      <c r="M265" s="110"/>
      <c r="N265" s="110"/>
      <c r="O265" s="47">
        <v>35521</v>
      </c>
      <c r="P265" s="47"/>
      <c r="Q265" s="55"/>
      <c r="R265" s="202"/>
      <c r="S265" s="46"/>
      <c r="T265" s="196">
        <f t="shared" si="13"/>
        <v>4154</v>
      </c>
      <c r="U265" s="197">
        <f t="shared" si="15"/>
        <v>4839</v>
      </c>
      <c r="V265" s="202">
        <v>2363</v>
      </c>
      <c r="W265" s="115">
        <v>2561</v>
      </c>
      <c r="X265" s="202">
        <v>428</v>
      </c>
      <c r="Y265" s="115">
        <v>464</v>
      </c>
      <c r="Z265" s="203">
        <v>1363</v>
      </c>
      <c r="AA265" s="110"/>
      <c r="AB265" s="110"/>
      <c r="AC265" s="111">
        <v>1814</v>
      </c>
      <c r="AD265" s="47"/>
      <c r="AE265" s="55"/>
      <c r="AF265" s="202"/>
      <c r="AG265" s="49"/>
    </row>
    <row r="266" spans="1:33" s="192" customFormat="1" ht="13.5" customHeight="1">
      <c r="A266" s="181" t="s">
        <v>313</v>
      </c>
      <c r="B266" s="4" t="s">
        <v>323</v>
      </c>
      <c r="C266" s="3"/>
      <c r="D266" s="178">
        <v>175786</v>
      </c>
      <c r="E266" s="180">
        <v>8</v>
      </c>
      <c r="F266" s="194">
        <f t="shared" si="12"/>
        <v>301302</v>
      </c>
      <c r="G266" s="195">
        <f t="shared" si="14"/>
        <v>295516</v>
      </c>
      <c r="H266" s="177">
        <v>243211</v>
      </c>
      <c r="I266" s="56">
        <v>237147</v>
      </c>
      <c r="J266" s="202"/>
      <c r="K266" s="56"/>
      <c r="L266" s="202">
        <v>58091</v>
      </c>
      <c r="M266" s="110"/>
      <c r="N266" s="110"/>
      <c r="O266" s="47">
        <v>58369</v>
      </c>
      <c r="P266" s="47"/>
      <c r="Q266" s="55"/>
      <c r="R266" s="202"/>
      <c r="S266" s="46"/>
      <c r="T266" s="196">
        <f t="shared" si="13"/>
        <v>0</v>
      </c>
      <c r="U266" s="197">
        <f t="shared" si="15"/>
        <v>0</v>
      </c>
      <c r="V266" s="202"/>
      <c r="W266" s="56"/>
      <c r="X266" s="202"/>
      <c r="Y266" s="56"/>
      <c r="Z266" s="203"/>
      <c r="AA266" s="110"/>
      <c r="AB266" s="110"/>
      <c r="AC266" s="47"/>
      <c r="AD266" s="47"/>
      <c r="AE266" s="55"/>
      <c r="AF266" s="202"/>
      <c r="AG266" s="49"/>
    </row>
    <row r="267" spans="1:33" s="193" customFormat="1">
      <c r="A267" s="181" t="s">
        <v>313</v>
      </c>
      <c r="B267" s="4" t="s">
        <v>324</v>
      </c>
      <c r="C267" s="3"/>
      <c r="D267" s="178">
        <v>175829</v>
      </c>
      <c r="E267" s="178">
        <v>8</v>
      </c>
      <c r="F267" s="194">
        <f t="shared" si="12"/>
        <v>152489</v>
      </c>
      <c r="G267" s="195">
        <f t="shared" si="14"/>
        <v>151176</v>
      </c>
      <c r="H267" s="177">
        <v>97442</v>
      </c>
      <c r="I267" s="56">
        <v>96613</v>
      </c>
      <c r="J267" s="202"/>
      <c r="K267" s="56"/>
      <c r="L267" s="202">
        <v>55047</v>
      </c>
      <c r="M267" s="110"/>
      <c r="N267" s="110"/>
      <c r="O267" s="47">
        <v>54563</v>
      </c>
      <c r="P267" s="47"/>
      <c r="Q267" s="55"/>
      <c r="R267" s="202"/>
      <c r="S267" s="46"/>
      <c r="T267" s="196">
        <f t="shared" si="13"/>
        <v>0</v>
      </c>
      <c r="U267" s="197">
        <f t="shared" si="15"/>
        <v>0</v>
      </c>
      <c r="V267" s="202"/>
      <c r="W267" s="56"/>
      <c r="X267" s="202"/>
      <c r="Y267" s="56"/>
      <c r="Z267" s="203"/>
      <c r="AA267" s="110"/>
      <c r="AB267" s="110"/>
      <c r="AC267" s="47"/>
      <c r="AD267" s="47"/>
      <c r="AE267" s="55"/>
      <c r="AF267" s="202"/>
      <c r="AG267" s="49"/>
    </row>
    <row r="268" spans="1:33" s="193" customFormat="1">
      <c r="A268" s="181" t="s">
        <v>313</v>
      </c>
      <c r="B268" s="4" t="s">
        <v>325</v>
      </c>
      <c r="C268" s="3"/>
      <c r="D268" s="178">
        <v>176071</v>
      </c>
      <c r="E268" s="2">
        <v>8</v>
      </c>
      <c r="F268" s="194">
        <f t="shared" si="12"/>
        <v>244485</v>
      </c>
      <c r="G268" s="195">
        <f t="shared" si="14"/>
        <v>233664</v>
      </c>
      <c r="H268" s="177">
        <v>181298</v>
      </c>
      <c r="I268" s="115">
        <v>167093</v>
      </c>
      <c r="J268" s="202"/>
      <c r="K268" s="56"/>
      <c r="L268" s="202">
        <v>63187</v>
      </c>
      <c r="M268" s="110"/>
      <c r="N268" s="110"/>
      <c r="O268" s="111">
        <v>66571</v>
      </c>
      <c r="P268" s="47"/>
      <c r="Q268" s="55"/>
      <c r="R268" s="202"/>
      <c r="S268" s="46"/>
      <c r="T268" s="196">
        <f t="shared" si="13"/>
        <v>0</v>
      </c>
      <c r="U268" s="197">
        <f t="shared" si="15"/>
        <v>0</v>
      </c>
      <c r="V268" s="202"/>
      <c r="W268" s="56"/>
      <c r="X268" s="202"/>
      <c r="Y268" s="56"/>
      <c r="Z268" s="203"/>
      <c r="AA268" s="110"/>
      <c r="AB268" s="110"/>
      <c r="AC268" s="47"/>
      <c r="AD268" s="47"/>
      <c r="AE268" s="55"/>
      <c r="AF268" s="202"/>
      <c r="AG268" s="49"/>
    </row>
    <row r="269" spans="1:33" s="193" customFormat="1">
      <c r="A269" s="181" t="s">
        <v>313</v>
      </c>
      <c r="B269" s="4" t="s">
        <v>326</v>
      </c>
      <c r="C269" s="3"/>
      <c r="D269" s="178">
        <v>176178</v>
      </c>
      <c r="E269" s="2">
        <v>8</v>
      </c>
      <c r="F269" s="194">
        <f t="shared" si="12"/>
        <v>201452</v>
      </c>
      <c r="G269" s="195">
        <f t="shared" si="14"/>
        <v>198297</v>
      </c>
      <c r="H269" s="177">
        <v>161697</v>
      </c>
      <c r="I269" s="56">
        <v>155314</v>
      </c>
      <c r="J269" s="202"/>
      <c r="K269" s="56"/>
      <c r="L269" s="202">
        <v>39755</v>
      </c>
      <c r="M269" s="110"/>
      <c r="N269" s="110"/>
      <c r="O269" s="111">
        <v>42983</v>
      </c>
      <c r="P269" s="47"/>
      <c r="Q269" s="55"/>
      <c r="R269" s="202"/>
      <c r="S269" s="46"/>
      <c r="T269" s="196">
        <f t="shared" si="13"/>
        <v>0</v>
      </c>
      <c r="U269" s="197">
        <f t="shared" si="15"/>
        <v>0</v>
      </c>
      <c r="V269" s="202"/>
      <c r="W269" s="56"/>
      <c r="X269" s="202"/>
      <c r="Y269" s="56"/>
      <c r="Z269" s="203"/>
      <c r="AA269" s="110"/>
      <c r="AB269" s="110"/>
      <c r="AC269" s="47"/>
      <c r="AD269" s="47"/>
      <c r="AE269" s="55"/>
      <c r="AF269" s="202"/>
      <c r="AG269" s="49"/>
    </row>
    <row r="270" spans="1:33" s="193" customFormat="1">
      <c r="A270" s="181" t="s">
        <v>313</v>
      </c>
      <c r="B270" s="4" t="s">
        <v>327</v>
      </c>
      <c r="C270" s="3"/>
      <c r="D270" s="178">
        <v>175573</v>
      </c>
      <c r="E270" s="180">
        <v>9</v>
      </c>
      <c r="F270" s="194">
        <f t="shared" si="12"/>
        <v>81654</v>
      </c>
      <c r="G270" s="195">
        <f t="shared" si="14"/>
        <v>81798</v>
      </c>
      <c r="H270" s="177">
        <v>61300</v>
      </c>
      <c r="I270" s="56">
        <v>58281</v>
      </c>
      <c r="J270" s="202"/>
      <c r="K270" s="56"/>
      <c r="L270" s="202">
        <v>20354</v>
      </c>
      <c r="M270" s="110"/>
      <c r="N270" s="110"/>
      <c r="O270" s="115">
        <v>23517</v>
      </c>
      <c r="P270" s="47"/>
      <c r="Q270" s="55"/>
      <c r="R270" s="202"/>
      <c r="S270" s="46"/>
      <c r="T270" s="196">
        <f t="shared" si="13"/>
        <v>0</v>
      </c>
      <c r="U270" s="197">
        <f t="shared" si="15"/>
        <v>0</v>
      </c>
      <c r="V270" s="202"/>
      <c r="W270" s="56"/>
      <c r="X270" s="202"/>
      <c r="Y270" s="56"/>
      <c r="Z270" s="203"/>
      <c r="AA270" s="110"/>
      <c r="AB270" s="110"/>
      <c r="AC270" s="47"/>
      <c r="AD270" s="47"/>
      <c r="AE270" s="55"/>
      <c r="AF270" s="202"/>
      <c r="AG270" s="49"/>
    </row>
    <row r="271" spans="1:33" s="193" customFormat="1">
      <c r="A271" s="181" t="s">
        <v>313</v>
      </c>
      <c r="B271" s="4" t="s">
        <v>328</v>
      </c>
      <c r="C271" s="3"/>
      <c r="D271" s="178">
        <v>175643</v>
      </c>
      <c r="E271" s="2">
        <v>9</v>
      </c>
      <c r="F271" s="194">
        <f t="shared" si="12"/>
        <v>73113</v>
      </c>
      <c r="G271" s="195">
        <f t="shared" si="14"/>
        <v>69193</v>
      </c>
      <c r="H271" s="177">
        <v>53784</v>
      </c>
      <c r="I271" s="115">
        <v>50754</v>
      </c>
      <c r="J271" s="202"/>
      <c r="K271" s="56"/>
      <c r="L271" s="202">
        <v>19329</v>
      </c>
      <c r="M271" s="110"/>
      <c r="N271" s="110"/>
      <c r="O271" s="56">
        <v>18439</v>
      </c>
      <c r="P271" s="47"/>
      <c r="Q271" s="55"/>
      <c r="R271" s="202"/>
      <c r="S271" s="46"/>
      <c r="T271" s="196">
        <f t="shared" si="13"/>
        <v>0</v>
      </c>
      <c r="U271" s="197">
        <f t="shared" si="15"/>
        <v>0</v>
      </c>
      <c r="V271" s="202"/>
      <c r="W271" s="56"/>
      <c r="X271" s="202"/>
      <c r="Y271" s="56"/>
      <c r="Z271" s="203"/>
      <c r="AA271" s="110"/>
      <c r="AB271" s="110"/>
      <c r="AC271" s="47"/>
      <c r="AD271" s="47"/>
      <c r="AE271" s="55"/>
      <c r="AF271" s="202"/>
      <c r="AG271" s="49"/>
    </row>
    <row r="272" spans="1:33" s="193" customFormat="1">
      <c r="A272" s="181" t="s">
        <v>313</v>
      </c>
      <c r="B272" s="4" t="s">
        <v>329</v>
      </c>
      <c r="C272" s="3"/>
      <c r="D272" s="178">
        <v>175652</v>
      </c>
      <c r="E272" s="2">
        <v>9</v>
      </c>
      <c r="F272" s="194">
        <f t="shared" si="12"/>
        <v>118031</v>
      </c>
      <c r="G272" s="195">
        <f t="shared" si="14"/>
        <v>114128</v>
      </c>
      <c r="H272" s="177">
        <v>79232</v>
      </c>
      <c r="I272" s="115">
        <v>75213</v>
      </c>
      <c r="J272" s="202"/>
      <c r="K272" s="56"/>
      <c r="L272" s="202">
        <v>38799</v>
      </c>
      <c r="M272" s="110"/>
      <c r="N272" s="110"/>
      <c r="O272" s="56">
        <v>38915</v>
      </c>
      <c r="P272" s="47"/>
      <c r="Q272" s="55"/>
      <c r="R272" s="202"/>
      <c r="S272" s="46"/>
      <c r="T272" s="196">
        <f t="shared" si="13"/>
        <v>0</v>
      </c>
      <c r="U272" s="197">
        <f t="shared" si="15"/>
        <v>0</v>
      </c>
      <c r="V272" s="202"/>
      <c r="W272" s="56"/>
      <c r="X272" s="202"/>
      <c r="Y272" s="56"/>
      <c r="Z272" s="203"/>
      <c r="AA272" s="110"/>
      <c r="AB272" s="110"/>
      <c r="AC272" s="47"/>
      <c r="AD272" s="47"/>
      <c r="AE272" s="55"/>
      <c r="AF272" s="202"/>
      <c r="AG272" s="49"/>
    </row>
    <row r="273" spans="1:33" s="193" customFormat="1" ht="15">
      <c r="A273" s="181" t="s">
        <v>313</v>
      </c>
      <c r="B273" s="4" t="s">
        <v>330</v>
      </c>
      <c r="C273" s="346" t="s">
        <v>865</v>
      </c>
      <c r="D273" s="178">
        <v>175810</v>
      </c>
      <c r="E273" s="2">
        <v>9</v>
      </c>
      <c r="F273" s="194">
        <f t="shared" si="12"/>
        <v>160109</v>
      </c>
      <c r="G273" s="195">
        <f t="shared" si="14"/>
        <v>159839</v>
      </c>
      <c r="H273" s="177">
        <v>103948</v>
      </c>
      <c r="I273" s="56">
        <v>99900</v>
      </c>
      <c r="J273" s="202"/>
      <c r="K273" s="56"/>
      <c r="L273" s="202">
        <v>56161</v>
      </c>
      <c r="M273" s="110"/>
      <c r="N273" s="110"/>
      <c r="O273" s="115">
        <v>59939</v>
      </c>
      <c r="P273" s="47"/>
      <c r="Q273" s="55"/>
      <c r="R273" s="202"/>
      <c r="S273" s="46"/>
      <c r="T273" s="196">
        <f t="shared" si="13"/>
        <v>0</v>
      </c>
      <c r="U273" s="197">
        <f t="shared" si="15"/>
        <v>0</v>
      </c>
      <c r="V273" s="202"/>
      <c r="W273" s="56"/>
      <c r="X273" s="202"/>
      <c r="Y273" s="56"/>
      <c r="Z273" s="203"/>
      <c r="AA273" s="110"/>
      <c r="AB273" s="110"/>
      <c r="AC273" s="47"/>
      <c r="AD273" s="47"/>
      <c r="AE273" s="55"/>
      <c r="AF273" s="202"/>
      <c r="AG273" s="49"/>
    </row>
    <row r="274" spans="1:33" s="193" customFormat="1">
      <c r="A274" s="181" t="s">
        <v>313</v>
      </c>
      <c r="B274" s="4" t="s">
        <v>331</v>
      </c>
      <c r="C274" s="3"/>
      <c r="D274" s="178">
        <v>175883</v>
      </c>
      <c r="E274" s="2">
        <v>9</v>
      </c>
      <c r="F274" s="194">
        <f t="shared" si="12"/>
        <v>135923</v>
      </c>
      <c r="G274" s="195">
        <f t="shared" si="14"/>
        <v>138228</v>
      </c>
      <c r="H274" s="177">
        <v>110270</v>
      </c>
      <c r="I274" s="56">
        <v>109055</v>
      </c>
      <c r="J274" s="202"/>
      <c r="K274" s="56"/>
      <c r="L274" s="202">
        <v>25653</v>
      </c>
      <c r="M274" s="110"/>
      <c r="N274" s="110"/>
      <c r="O274" s="115">
        <v>29173</v>
      </c>
      <c r="P274" s="47"/>
      <c r="Q274" s="55"/>
      <c r="R274" s="202"/>
      <c r="S274" s="46"/>
      <c r="T274" s="196">
        <f t="shared" si="13"/>
        <v>0</v>
      </c>
      <c r="U274" s="197">
        <f t="shared" si="15"/>
        <v>0</v>
      </c>
      <c r="V274" s="202"/>
      <c r="W274" s="56"/>
      <c r="X274" s="202"/>
      <c r="Y274" s="56"/>
      <c r="Z274" s="203"/>
      <c r="AA274" s="110"/>
      <c r="AB274" s="110"/>
      <c r="AC274" s="47"/>
      <c r="AD274" s="47"/>
      <c r="AE274" s="55"/>
      <c r="AF274" s="202"/>
      <c r="AG274" s="49"/>
    </row>
    <row r="275" spans="1:33" s="193" customFormat="1">
      <c r="A275" s="181" t="s">
        <v>313</v>
      </c>
      <c r="B275" s="4" t="s">
        <v>332</v>
      </c>
      <c r="C275" s="3"/>
      <c r="D275" s="178">
        <v>175935</v>
      </c>
      <c r="E275" s="2">
        <v>9</v>
      </c>
      <c r="F275" s="194">
        <f t="shared" si="12"/>
        <v>90248</v>
      </c>
      <c r="G275" s="195">
        <f t="shared" si="14"/>
        <v>91889.5</v>
      </c>
      <c r="H275" s="177">
        <v>73448</v>
      </c>
      <c r="I275" s="56">
        <v>73008.5</v>
      </c>
      <c r="J275" s="202"/>
      <c r="K275" s="56"/>
      <c r="L275" s="202">
        <v>16800</v>
      </c>
      <c r="M275" s="110"/>
      <c r="N275" s="110"/>
      <c r="O275" s="115">
        <v>18881</v>
      </c>
      <c r="P275" s="47"/>
      <c r="Q275" s="55"/>
      <c r="R275" s="202"/>
      <c r="S275" s="46"/>
      <c r="T275" s="196">
        <f t="shared" si="13"/>
        <v>0</v>
      </c>
      <c r="U275" s="197">
        <f t="shared" si="15"/>
        <v>0</v>
      </c>
      <c r="V275" s="202"/>
      <c r="W275" s="56"/>
      <c r="X275" s="202"/>
      <c r="Y275" s="56"/>
      <c r="Z275" s="203"/>
      <c r="AA275" s="110"/>
      <c r="AB275" s="110"/>
      <c r="AC275" s="47"/>
      <c r="AD275" s="47"/>
      <c r="AE275" s="55"/>
      <c r="AF275" s="202"/>
      <c r="AG275" s="49"/>
    </row>
    <row r="276" spans="1:33" s="193" customFormat="1">
      <c r="A276" s="181" t="s">
        <v>313</v>
      </c>
      <c r="B276" s="4" t="s">
        <v>333</v>
      </c>
      <c r="C276" s="3"/>
      <c r="D276" s="178">
        <v>176008</v>
      </c>
      <c r="E276" s="2">
        <v>9</v>
      </c>
      <c r="F276" s="194">
        <f t="shared" si="12"/>
        <v>67392</v>
      </c>
      <c r="G276" s="195">
        <f t="shared" si="14"/>
        <v>64414</v>
      </c>
      <c r="H276" s="177">
        <v>58599</v>
      </c>
      <c r="I276" s="115">
        <v>55144</v>
      </c>
      <c r="J276" s="202"/>
      <c r="K276" s="56"/>
      <c r="L276" s="202">
        <v>8793</v>
      </c>
      <c r="M276" s="110"/>
      <c r="N276" s="110"/>
      <c r="O276" s="111">
        <v>9270</v>
      </c>
      <c r="P276" s="47"/>
      <c r="Q276" s="55"/>
      <c r="R276" s="202"/>
      <c r="S276" s="46"/>
      <c r="T276" s="196">
        <f t="shared" si="13"/>
        <v>0</v>
      </c>
      <c r="U276" s="197">
        <f t="shared" si="15"/>
        <v>0</v>
      </c>
      <c r="V276" s="202"/>
      <c r="W276" s="56"/>
      <c r="X276" s="202"/>
      <c r="Y276" s="56"/>
      <c r="Z276" s="203"/>
      <c r="AA276" s="110"/>
      <c r="AB276" s="110"/>
      <c r="AC276" s="47"/>
      <c r="AD276" s="47"/>
      <c r="AE276" s="55"/>
      <c r="AF276" s="202"/>
      <c r="AG276" s="49"/>
    </row>
    <row r="277" spans="1:33" s="193" customFormat="1">
      <c r="A277" s="181" t="s">
        <v>313</v>
      </c>
      <c r="B277" s="4" t="s">
        <v>334</v>
      </c>
      <c r="C277" s="3"/>
      <c r="D277" s="178">
        <v>176169</v>
      </c>
      <c r="E277" s="2">
        <v>9</v>
      </c>
      <c r="F277" s="194">
        <f t="shared" si="12"/>
        <v>94950</v>
      </c>
      <c r="G277" s="195">
        <f t="shared" si="14"/>
        <v>92221</v>
      </c>
      <c r="H277" s="177">
        <v>74241</v>
      </c>
      <c r="I277" s="56">
        <v>72145</v>
      </c>
      <c r="J277" s="202"/>
      <c r="K277" s="56"/>
      <c r="L277" s="202">
        <v>20709</v>
      </c>
      <c r="M277" s="110"/>
      <c r="N277" s="110"/>
      <c r="O277" s="47">
        <v>20076</v>
      </c>
      <c r="P277" s="47"/>
      <c r="Q277" s="55"/>
      <c r="R277" s="202"/>
      <c r="S277" s="46"/>
      <c r="T277" s="196">
        <f t="shared" si="13"/>
        <v>0</v>
      </c>
      <c r="U277" s="197">
        <f t="shared" si="15"/>
        <v>0</v>
      </c>
      <c r="V277" s="202"/>
      <c r="W277" s="56"/>
      <c r="X277" s="202"/>
      <c r="Y277" s="56"/>
      <c r="Z277" s="203"/>
      <c r="AA277" s="110"/>
      <c r="AB277" s="110"/>
      <c r="AC277" s="47"/>
      <c r="AD277" s="47"/>
      <c r="AE277" s="55"/>
      <c r="AF277" s="202"/>
      <c r="AG277" s="49"/>
    </row>
    <row r="278" spans="1:33" s="193" customFormat="1">
      <c r="A278" s="181" t="s">
        <v>313</v>
      </c>
      <c r="B278" s="4" t="s">
        <v>335</v>
      </c>
      <c r="C278" s="3"/>
      <c r="D278" s="178">
        <v>176239</v>
      </c>
      <c r="E278" s="180">
        <v>9</v>
      </c>
      <c r="F278" s="194">
        <f t="shared" si="12"/>
        <v>115539</v>
      </c>
      <c r="G278" s="195">
        <f t="shared" si="14"/>
        <v>114853</v>
      </c>
      <c r="H278" s="177">
        <v>93245</v>
      </c>
      <c r="I278" s="56">
        <v>92162</v>
      </c>
      <c r="J278" s="202"/>
      <c r="K278" s="56"/>
      <c r="L278" s="202">
        <v>22294</v>
      </c>
      <c r="M278" s="110"/>
      <c r="N278" s="110"/>
      <c r="O278" s="47">
        <v>22691</v>
      </c>
      <c r="P278" s="47"/>
      <c r="Q278" s="55"/>
      <c r="R278" s="202"/>
      <c r="S278" s="46"/>
      <c r="T278" s="196">
        <f t="shared" si="13"/>
        <v>0</v>
      </c>
      <c r="U278" s="197">
        <f t="shared" si="15"/>
        <v>0</v>
      </c>
      <c r="V278" s="202"/>
      <c r="W278" s="56"/>
      <c r="X278" s="202"/>
      <c r="Y278" s="56"/>
      <c r="Z278" s="203"/>
      <c r="AA278" s="110"/>
      <c r="AB278" s="110"/>
      <c r="AC278" s="47"/>
      <c r="AD278" s="47"/>
      <c r="AE278" s="55"/>
      <c r="AF278" s="202"/>
      <c r="AG278" s="49"/>
    </row>
    <row r="279" spans="1:33" s="193" customFormat="1">
      <c r="A279" s="181" t="s">
        <v>313</v>
      </c>
      <c r="B279" s="4" t="s">
        <v>336</v>
      </c>
      <c r="C279" s="3"/>
      <c r="D279" s="178">
        <v>175519</v>
      </c>
      <c r="E279" s="2">
        <v>10</v>
      </c>
      <c r="F279" s="194">
        <f t="shared" si="12"/>
        <v>53437</v>
      </c>
      <c r="G279" s="195">
        <f t="shared" si="14"/>
        <v>50162</v>
      </c>
      <c r="H279" s="177">
        <v>46261</v>
      </c>
      <c r="I279" s="56">
        <v>44541</v>
      </c>
      <c r="J279" s="202"/>
      <c r="K279" s="56"/>
      <c r="L279" s="202">
        <v>7176</v>
      </c>
      <c r="M279" s="110"/>
      <c r="N279" s="110"/>
      <c r="O279" s="111">
        <v>5621</v>
      </c>
      <c r="P279" s="47"/>
      <c r="Q279" s="55"/>
      <c r="R279" s="202"/>
      <c r="S279" s="46"/>
      <c r="T279" s="196">
        <f t="shared" si="13"/>
        <v>0</v>
      </c>
      <c r="U279" s="197">
        <f t="shared" si="15"/>
        <v>0</v>
      </c>
      <c r="V279" s="202"/>
      <c r="W279" s="56"/>
      <c r="X279" s="202"/>
      <c r="Y279" s="56"/>
      <c r="Z279" s="203"/>
      <c r="AA279" s="110"/>
      <c r="AB279" s="110"/>
      <c r="AC279" s="47"/>
      <c r="AD279" s="47"/>
      <c r="AE279" s="55"/>
      <c r="AF279" s="202"/>
      <c r="AG279" s="49"/>
    </row>
    <row r="280" spans="1:33" s="193" customFormat="1">
      <c r="A280" s="181" t="s">
        <v>313</v>
      </c>
      <c r="B280" s="4" t="s">
        <v>337</v>
      </c>
      <c r="C280" s="3"/>
      <c r="D280" s="178">
        <v>176354</v>
      </c>
      <c r="E280" s="2">
        <v>10</v>
      </c>
      <c r="F280" s="194">
        <f t="shared" si="12"/>
        <v>54313</v>
      </c>
      <c r="G280" s="195">
        <f t="shared" si="14"/>
        <v>53844</v>
      </c>
      <c r="H280" s="177">
        <v>43254</v>
      </c>
      <c r="I280" s="56">
        <v>43078</v>
      </c>
      <c r="J280" s="202"/>
      <c r="K280" s="56"/>
      <c r="L280" s="202">
        <v>11059</v>
      </c>
      <c r="M280" s="110"/>
      <c r="N280" s="110"/>
      <c r="O280" s="47">
        <v>10766</v>
      </c>
      <c r="P280" s="47"/>
      <c r="Q280" s="55"/>
      <c r="R280" s="202"/>
      <c r="S280" s="46"/>
      <c r="T280" s="196">
        <f t="shared" si="13"/>
        <v>0</v>
      </c>
      <c r="U280" s="197">
        <f t="shared" si="15"/>
        <v>0</v>
      </c>
      <c r="V280" s="202"/>
      <c r="W280" s="56"/>
      <c r="X280" s="202"/>
      <c r="Y280" s="56"/>
      <c r="Z280" s="203"/>
      <c r="AA280" s="110"/>
      <c r="AB280" s="110"/>
      <c r="AC280" s="47"/>
      <c r="AD280" s="47"/>
      <c r="AE280" s="55"/>
      <c r="AF280" s="202"/>
      <c r="AG280" s="49"/>
    </row>
    <row r="281" spans="1:33" s="192" customFormat="1" ht="13.5" customHeight="1">
      <c r="A281" s="135" t="s">
        <v>338</v>
      </c>
      <c r="B281" s="143" t="s">
        <v>354</v>
      </c>
      <c r="C281" s="137"/>
      <c r="D281" s="139">
        <v>197887</v>
      </c>
      <c r="E281" s="139">
        <v>8</v>
      </c>
      <c r="F281" s="194">
        <f t="shared" si="12"/>
        <v>195148</v>
      </c>
      <c r="G281" s="195">
        <f t="shared" si="14"/>
        <v>179349</v>
      </c>
      <c r="H281" s="223">
        <v>99652</v>
      </c>
      <c r="I281" s="224">
        <v>98601</v>
      </c>
      <c r="J281" s="223">
        <v>41921</v>
      </c>
      <c r="K281" s="117">
        <v>29318</v>
      </c>
      <c r="L281" s="223">
        <v>52452</v>
      </c>
      <c r="M281" s="223">
        <v>1123</v>
      </c>
      <c r="N281" s="223">
        <v>0</v>
      </c>
      <c r="O281" s="117">
        <v>49827</v>
      </c>
      <c r="P281" s="117">
        <v>1603</v>
      </c>
      <c r="Q281" s="224">
        <v>0</v>
      </c>
      <c r="R281" s="202"/>
      <c r="S281" s="225"/>
      <c r="T281" s="196">
        <f t="shared" si="13"/>
        <v>0</v>
      </c>
      <c r="U281" s="197">
        <f t="shared" si="15"/>
        <v>0</v>
      </c>
      <c r="V281" s="202"/>
      <c r="W281" s="225"/>
      <c r="X281" s="202"/>
      <c r="Y281" s="225"/>
      <c r="Z281" s="203"/>
      <c r="AA281" s="110"/>
      <c r="AB281" s="110"/>
      <c r="AC281" s="226"/>
      <c r="AD281" s="226"/>
      <c r="AE281" s="55"/>
      <c r="AF281" s="202"/>
      <c r="AG281" s="227"/>
    </row>
    <row r="282" spans="1:33" s="222" customFormat="1">
      <c r="A282" s="135" t="s">
        <v>338</v>
      </c>
      <c r="B282" s="143" t="s">
        <v>355</v>
      </c>
      <c r="C282" s="137"/>
      <c r="D282" s="139">
        <v>198154</v>
      </c>
      <c r="E282" s="139">
        <v>8</v>
      </c>
      <c r="F282" s="194">
        <f t="shared" si="12"/>
        <v>319233</v>
      </c>
      <c r="G282" s="195">
        <f t="shared" si="14"/>
        <v>313689</v>
      </c>
      <c r="H282" s="223">
        <v>119189</v>
      </c>
      <c r="I282" s="224">
        <v>115069</v>
      </c>
      <c r="J282" s="223">
        <v>57340</v>
      </c>
      <c r="K282" s="224">
        <v>55399</v>
      </c>
      <c r="L282" s="223">
        <v>142704</v>
      </c>
      <c r="M282" s="223">
        <v>0</v>
      </c>
      <c r="N282" s="223">
        <v>0</v>
      </c>
      <c r="O282" s="224">
        <v>143221</v>
      </c>
      <c r="P282" s="224">
        <v>0</v>
      </c>
      <c r="Q282" s="224">
        <v>0</v>
      </c>
      <c r="R282" s="202"/>
      <c r="S282" s="225"/>
      <c r="T282" s="196">
        <f t="shared" si="13"/>
        <v>0</v>
      </c>
      <c r="U282" s="197">
        <f t="shared" si="15"/>
        <v>0</v>
      </c>
      <c r="V282" s="202"/>
      <c r="W282" s="56"/>
      <c r="X282" s="202"/>
      <c r="Y282" s="56"/>
      <c r="Z282" s="203"/>
      <c r="AA282" s="110"/>
      <c r="AB282" s="110"/>
      <c r="AC282" s="226"/>
      <c r="AD282" s="226"/>
      <c r="AE282" s="55"/>
      <c r="AF282" s="202"/>
      <c r="AG282" s="227"/>
    </row>
    <row r="283" spans="1:33" s="222" customFormat="1">
      <c r="A283" s="135" t="s">
        <v>338</v>
      </c>
      <c r="B283" s="143" t="s">
        <v>356</v>
      </c>
      <c r="C283" s="137"/>
      <c r="D283" s="139">
        <v>198260</v>
      </c>
      <c r="E283" s="139">
        <v>8</v>
      </c>
      <c r="F283" s="194">
        <f t="shared" si="12"/>
        <v>674927</v>
      </c>
      <c r="G283" s="195">
        <f t="shared" si="14"/>
        <v>695122.5</v>
      </c>
      <c r="H283" s="223">
        <v>256713</v>
      </c>
      <c r="I283" s="224">
        <v>255983.5</v>
      </c>
      <c r="J283" s="223">
        <v>182071</v>
      </c>
      <c r="K283" s="224">
        <v>185974</v>
      </c>
      <c r="L283" s="223">
        <v>234233</v>
      </c>
      <c r="M283" s="223">
        <v>0</v>
      </c>
      <c r="N283" s="223">
        <v>1910</v>
      </c>
      <c r="O283" s="117">
        <v>252103</v>
      </c>
      <c r="P283" s="224">
        <v>0</v>
      </c>
      <c r="Q283" s="117">
        <v>1062</v>
      </c>
      <c r="R283" s="202"/>
      <c r="S283" s="225"/>
      <c r="T283" s="196">
        <f t="shared" si="13"/>
        <v>0</v>
      </c>
      <c r="U283" s="197">
        <f t="shared" si="15"/>
        <v>0</v>
      </c>
      <c r="V283" s="202"/>
      <c r="W283" s="56"/>
      <c r="X283" s="202"/>
      <c r="Y283" s="56"/>
      <c r="Z283" s="203"/>
      <c r="AA283" s="110"/>
      <c r="AB283" s="110"/>
      <c r="AC283" s="226"/>
      <c r="AD283" s="226"/>
      <c r="AE283" s="55"/>
      <c r="AF283" s="202"/>
      <c r="AG283" s="227"/>
    </row>
    <row r="284" spans="1:33" s="222" customFormat="1">
      <c r="A284" s="135" t="s">
        <v>338</v>
      </c>
      <c r="B284" s="143" t="s">
        <v>357</v>
      </c>
      <c r="C284" s="137"/>
      <c r="D284" s="139">
        <v>198534</v>
      </c>
      <c r="E284" s="139">
        <v>8</v>
      </c>
      <c r="F284" s="194">
        <f t="shared" si="12"/>
        <v>328107</v>
      </c>
      <c r="G284" s="195">
        <f t="shared" si="14"/>
        <v>329193</v>
      </c>
      <c r="H284" s="223">
        <v>117792</v>
      </c>
      <c r="I284" s="117">
        <v>110342</v>
      </c>
      <c r="J284" s="223">
        <v>32725</v>
      </c>
      <c r="K284" s="117">
        <v>34955</v>
      </c>
      <c r="L284" s="223">
        <v>177163</v>
      </c>
      <c r="M284" s="223">
        <v>427</v>
      </c>
      <c r="N284" s="223">
        <v>0</v>
      </c>
      <c r="O284" s="224">
        <v>183678</v>
      </c>
      <c r="P284" s="117">
        <v>218</v>
      </c>
      <c r="Q284" s="224">
        <v>0</v>
      </c>
      <c r="R284" s="202"/>
      <c r="S284" s="225"/>
      <c r="T284" s="196">
        <f t="shared" si="13"/>
        <v>0</v>
      </c>
      <c r="U284" s="197">
        <f t="shared" si="15"/>
        <v>0</v>
      </c>
      <c r="V284" s="202"/>
      <c r="W284" s="56"/>
      <c r="X284" s="202"/>
      <c r="Y284" s="56"/>
      <c r="Z284" s="203"/>
      <c r="AA284" s="110"/>
      <c r="AB284" s="110"/>
      <c r="AC284" s="226"/>
      <c r="AD284" s="226"/>
      <c r="AE284" s="55"/>
      <c r="AF284" s="202"/>
      <c r="AG284" s="227"/>
    </row>
    <row r="285" spans="1:33" s="222" customFormat="1">
      <c r="A285" s="135" t="s">
        <v>338</v>
      </c>
      <c r="B285" s="143" t="s">
        <v>358</v>
      </c>
      <c r="C285" s="137"/>
      <c r="D285" s="139">
        <v>198552</v>
      </c>
      <c r="E285" s="139">
        <v>8</v>
      </c>
      <c r="F285" s="194">
        <f t="shared" si="12"/>
        <v>257546</v>
      </c>
      <c r="G285" s="195">
        <f t="shared" si="14"/>
        <v>227701</v>
      </c>
      <c r="H285" s="223">
        <v>110364</v>
      </c>
      <c r="I285" s="224">
        <v>109009</v>
      </c>
      <c r="J285" s="223">
        <v>57644</v>
      </c>
      <c r="K285" s="117">
        <v>44431</v>
      </c>
      <c r="L285" s="223">
        <v>88602</v>
      </c>
      <c r="M285" s="223">
        <v>936</v>
      </c>
      <c r="N285" s="223">
        <v>0</v>
      </c>
      <c r="O285" s="117">
        <v>73200</v>
      </c>
      <c r="P285" s="117">
        <v>1061</v>
      </c>
      <c r="Q285" s="224">
        <v>0</v>
      </c>
      <c r="R285" s="202"/>
      <c r="S285" s="225"/>
      <c r="T285" s="196">
        <f t="shared" si="13"/>
        <v>0</v>
      </c>
      <c r="U285" s="197">
        <f t="shared" si="15"/>
        <v>0</v>
      </c>
      <c r="V285" s="202"/>
      <c r="W285" s="56"/>
      <c r="X285" s="202"/>
      <c r="Y285" s="56"/>
      <c r="Z285" s="203"/>
      <c r="AA285" s="110"/>
      <c r="AB285" s="110"/>
      <c r="AC285" s="226"/>
      <c r="AD285" s="226"/>
      <c r="AE285" s="55"/>
      <c r="AF285" s="202"/>
      <c r="AG285" s="227"/>
    </row>
    <row r="286" spans="1:33" s="222" customFormat="1">
      <c r="A286" s="135" t="s">
        <v>338</v>
      </c>
      <c r="B286" s="143" t="s">
        <v>359</v>
      </c>
      <c r="C286" s="137"/>
      <c r="D286" s="139">
        <v>198622</v>
      </c>
      <c r="E286" s="139">
        <v>8</v>
      </c>
      <c r="F286" s="194">
        <f t="shared" si="12"/>
        <v>407841</v>
      </c>
      <c r="G286" s="195">
        <f t="shared" si="14"/>
        <v>400423</v>
      </c>
      <c r="H286" s="223">
        <v>118975</v>
      </c>
      <c r="I286" s="117">
        <v>155518</v>
      </c>
      <c r="J286" s="223">
        <v>59275</v>
      </c>
      <c r="K286" s="117">
        <v>91295</v>
      </c>
      <c r="L286" s="223">
        <v>229591</v>
      </c>
      <c r="M286" s="223">
        <v>0</v>
      </c>
      <c r="N286" s="223">
        <v>0</v>
      </c>
      <c r="O286" s="117">
        <v>153610</v>
      </c>
      <c r="P286" s="224">
        <v>0</v>
      </c>
      <c r="Q286" s="224">
        <v>0</v>
      </c>
      <c r="R286" s="202"/>
      <c r="S286" s="225"/>
      <c r="T286" s="196">
        <f t="shared" si="13"/>
        <v>0</v>
      </c>
      <c r="U286" s="197">
        <f t="shared" si="15"/>
        <v>0</v>
      </c>
      <c r="V286" s="202"/>
      <c r="W286" s="56"/>
      <c r="X286" s="202"/>
      <c r="Y286" s="56"/>
      <c r="Z286" s="203"/>
      <c r="AA286" s="110"/>
      <c r="AB286" s="110"/>
      <c r="AC286" s="226"/>
      <c r="AD286" s="226"/>
      <c r="AE286" s="55"/>
      <c r="AF286" s="202"/>
      <c r="AG286" s="227"/>
    </row>
    <row r="287" spans="1:33" s="222" customFormat="1">
      <c r="A287" s="135" t="s">
        <v>338</v>
      </c>
      <c r="B287" s="143" t="s">
        <v>360</v>
      </c>
      <c r="C287" s="137"/>
      <c r="D287" s="139">
        <v>199333</v>
      </c>
      <c r="E287" s="139">
        <v>8</v>
      </c>
      <c r="F287" s="194">
        <f t="shared" si="12"/>
        <v>216984.1</v>
      </c>
      <c r="G287" s="195">
        <f t="shared" si="14"/>
        <v>220594</v>
      </c>
      <c r="H287" s="223">
        <v>89824.6</v>
      </c>
      <c r="I287" s="224">
        <v>85877</v>
      </c>
      <c r="J287" s="223">
        <v>15272</v>
      </c>
      <c r="K287" s="117">
        <v>20508</v>
      </c>
      <c r="L287" s="223">
        <v>111887.5</v>
      </c>
      <c r="M287" s="223">
        <v>0</v>
      </c>
      <c r="N287" s="223">
        <v>0</v>
      </c>
      <c r="O287" s="224">
        <v>114209</v>
      </c>
      <c r="P287" s="224">
        <v>0</v>
      </c>
      <c r="Q287" s="224">
        <v>0</v>
      </c>
      <c r="R287" s="202"/>
      <c r="S287" s="225"/>
      <c r="T287" s="196">
        <f t="shared" si="13"/>
        <v>0</v>
      </c>
      <c r="U287" s="197">
        <f t="shared" si="15"/>
        <v>0</v>
      </c>
      <c r="V287" s="202"/>
      <c r="W287" s="56"/>
      <c r="X287" s="202"/>
      <c r="Y287" s="56"/>
      <c r="Z287" s="203"/>
      <c r="AA287" s="110"/>
      <c r="AB287" s="110"/>
      <c r="AC287" s="226"/>
      <c r="AD287" s="226"/>
      <c r="AE287" s="55"/>
      <c r="AF287" s="202"/>
      <c r="AG287" s="227"/>
    </row>
    <row r="288" spans="1:33" s="222" customFormat="1" ht="15">
      <c r="A288" s="135" t="s">
        <v>338</v>
      </c>
      <c r="B288" s="143" t="s">
        <v>361</v>
      </c>
      <c r="C288" s="349" t="s">
        <v>866</v>
      </c>
      <c r="D288" s="139">
        <v>199494</v>
      </c>
      <c r="E288" s="157">
        <v>8</v>
      </c>
      <c r="F288" s="194">
        <f t="shared" si="12"/>
        <v>221896</v>
      </c>
      <c r="G288" s="195">
        <f t="shared" si="14"/>
        <v>200229.5</v>
      </c>
      <c r="H288" s="223">
        <v>71557</v>
      </c>
      <c r="I288" s="117">
        <v>60178.5</v>
      </c>
      <c r="J288" s="223">
        <v>53585</v>
      </c>
      <c r="K288" s="117">
        <v>46567</v>
      </c>
      <c r="L288" s="223">
        <v>96754</v>
      </c>
      <c r="M288" s="223">
        <v>0</v>
      </c>
      <c r="N288" s="223">
        <v>0</v>
      </c>
      <c r="O288" s="224">
        <v>93484</v>
      </c>
      <c r="P288" s="224">
        <v>0</v>
      </c>
      <c r="Q288" s="224">
        <v>0</v>
      </c>
      <c r="R288" s="202"/>
      <c r="S288" s="225"/>
      <c r="T288" s="196">
        <f t="shared" si="13"/>
        <v>0</v>
      </c>
      <c r="U288" s="197">
        <f t="shared" si="15"/>
        <v>0</v>
      </c>
      <c r="V288" s="202"/>
      <c r="W288" s="56"/>
      <c r="X288" s="202"/>
      <c r="Y288" s="56"/>
      <c r="Z288" s="203"/>
      <c r="AA288" s="110"/>
      <c r="AB288" s="110"/>
      <c r="AC288" s="226"/>
      <c r="AD288" s="226"/>
      <c r="AE288" s="55"/>
      <c r="AF288" s="202"/>
      <c r="AG288" s="227"/>
    </row>
    <row r="289" spans="1:33" s="222" customFormat="1">
      <c r="A289" s="135" t="s">
        <v>338</v>
      </c>
      <c r="B289" s="143" t="s">
        <v>362</v>
      </c>
      <c r="C289" s="137"/>
      <c r="D289" s="139">
        <v>199856</v>
      </c>
      <c r="E289" s="139">
        <v>8</v>
      </c>
      <c r="F289" s="194">
        <f t="shared" si="12"/>
        <v>760196</v>
      </c>
      <c r="G289" s="195">
        <f t="shared" si="14"/>
        <v>785311</v>
      </c>
      <c r="H289" s="223">
        <v>281348</v>
      </c>
      <c r="I289" s="224">
        <v>277879</v>
      </c>
      <c r="J289" s="223">
        <v>185846</v>
      </c>
      <c r="K289" s="224">
        <v>189529</v>
      </c>
      <c r="L289" s="223">
        <v>293002</v>
      </c>
      <c r="M289" s="223">
        <v>0</v>
      </c>
      <c r="N289" s="223">
        <v>0</v>
      </c>
      <c r="O289" s="117">
        <v>317903</v>
      </c>
      <c r="P289" s="224">
        <v>0</v>
      </c>
      <c r="Q289" s="224">
        <v>0</v>
      </c>
      <c r="R289" s="202"/>
      <c r="S289" s="225"/>
      <c r="T289" s="196">
        <f t="shared" si="13"/>
        <v>0</v>
      </c>
      <c r="U289" s="197">
        <f t="shared" si="15"/>
        <v>0</v>
      </c>
      <c r="V289" s="202"/>
      <c r="W289" s="56"/>
      <c r="X289" s="202"/>
      <c r="Y289" s="56"/>
      <c r="Z289" s="203"/>
      <c r="AA289" s="110"/>
      <c r="AB289" s="110"/>
      <c r="AC289" s="226"/>
      <c r="AD289" s="226"/>
      <c r="AE289" s="55"/>
      <c r="AF289" s="202"/>
      <c r="AG289" s="227"/>
    </row>
    <row r="290" spans="1:33" s="222" customFormat="1">
      <c r="A290" s="135" t="s">
        <v>338</v>
      </c>
      <c r="B290" s="143" t="s">
        <v>363</v>
      </c>
      <c r="C290" s="137"/>
      <c r="D290" s="139">
        <v>199786</v>
      </c>
      <c r="E290" s="139">
        <v>9</v>
      </c>
      <c r="F290" s="194">
        <f t="shared" si="12"/>
        <v>116870.5</v>
      </c>
      <c r="G290" s="195">
        <f t="shared" si="14"/>
        <v>113902.5</v>
      </c>
      <c r="H290" s="223">
        <v>64833.5</v>
      </c>
      <c r="I290" s="117">
        <v>60314.5</v>
      </c>
      <c r="J290" s="223">
        <v>17485</v>
      </c>
      <c r="K290" s="224">
        <v>17295</v>
      </c>
      <c r="L290" s="223">
        <v>34552</v>
      </c>
      <c r="M290" s="223">
        <v>0</v>
      </c>
      <c r="N290" s="223">
        <v>0</v>
      </c>
      <c r="O290" s="117">
        <v>36293</v>
      </c>
      <c r="P290" s="224">
        <v>0</v>
      </c>
      <c r="Q290" s="224">
        <v>0</v>
      </c>
      <c r="R290" s="202"/>
      <c r="S290" s="225"/>
      <c r="T290" s="196">
        <f t="shared" si="13"/>
        <v>0</v>
      </c>
      <c r="U290" s="197">
        <f t="shared" si="15"/>
        <v>0</v>
      </c>
      <c r="V290" s="202"/>
      <c r="W290" s="56"/>
      <c r="X290" s="202"/>
      <c r="Y290" s="56"/>
      <c r="Z290" s="203"/>
      <c r="AA290" s="110"/>
      <c r="AB290" s="110"/>
      <c r="AC290" s="226"/>
      <c r="AD290" s="226"/>
      <c r="AE290" s="55"/>
      <c r="AF290" s="202"/>
      <c r="AG290" s="227"/>
    </row>
    <row r="291" spans="1:33" s="222" customFormat="1">
      <c r="A291" s="135" t="s">
        <v>338</v>
      </c>
      <c r="B291" s="143" t="s">
        <v>364</v>
      </c>
      <c r="C291" s="137"/>
      <c r="D291" s="139">
        <v>198118</v>
      </c>
      <c r="E291" s="139">
        <v>9</v>
      </c>
      <c r="F291" s="194">
        <f t="shared" si="12"/>
        <v>118892</v>
      </c>
      <c r="G291" s="195">
        <f t="shared" si="14"/>
        <v>118517.5</v>
      </c>
      <c r="H291" s="223">
        <v>39311</v>
      </c>
      <c r="I291" s="117">
        <v>37161.5</v>
      </c>
      <c r="J291" s="223">
        <v>22217</v>
      </c>
      <c r="K291" s="224">
        <v>21837</v>
      </c>
      <c r="L291" s="223">
        <v>50778</v>
      </c>
      <c r="M291" s="223">
        <v>6586</v>
      </c>
      <c r="N291" s="223">
        <v>0</v>
      </c>
      <c r="O291" s="224">
        <v>53316</v>
      </c>
      <c r="P291" s="117">
        <v>6203</v>
      </c>
      <c r="Q291" s="224">
        <v>0</v>
      </c>
      <c r="R291" s="202"/>
      <c r="S291" s="225"/>
      <c r="T291" s="196">
        <f t="shared" si="13"/>
        <v>0</v>
      </c>
      <c r="U291" s="197">
        <f t="shared" si="15"/>
        <v>0</v>
      </c>
      <c r="V291" s="202"/>
      <c r="W291" s="56"/>
      <c r="X291" s="202"/>
      <c r="Y291" s="56"/>
      <c r="Z291" s="203"/>
      <c r="AA291" s="110"/>
      <c r="AB291" s="110"/>
      <c r="AC291" s="226"/>
      <c r="AD291" s="226"/>
      <c r="AE291" s="55"/>
      <c r="AF291" s="202"/>
      <c r="AG291" s="227"/>
    </row>
    <row r="292" spans="1:33" s="222" customFormat="1">
      <c r="A292" s="135" t="s">
        <v>338</v>
      </c>
      <c r="B292" s="143" t="s">
        <v>365</v>
      </c>
      <c r="C292" s="137"/>
      <c r="D292" s="139">
        <v>198233</v>
      </c>
      <c r="E292" s="139">
        <v>9</v>
      </c>
      <c r="F292" s="194">
        <f t="shared" si="12"/>
        <v>150186</v>
      </c>
      <c r="G292" s="195">
        <f t="shared" si="14"/>
        <v>122846</v>
      </c>
      <c r="H292" s="223">
        <v>45363</v>
      </c>
      <c r="I292" s="117">
        <v>42930</v>
      </c>
      <c r="J292" s="223">
        <v>25375</v>
      </c>
      <c r="K292" s="117">
        <v>17248</v>
      </c>
      <c r="L292" s="223">
        <v>79448</v>
      </c>
      <c r="M292" s="223">
        <v>0</v>
      </c>
      <c r="N292" s="223">
        <v>0</v>
      </c>
      <c r="O292" s="117">
        <v>62668</v>
      </c>
      <c r="P292" s="224">
        <v>0</v>
      </c>
      <c r="Q292" s="224">
        <v>0</v>
      </c>
      <c r="R292" s="202"/>
      <c r="S292" s="225"/>
      <c r="T292" s="196">
        <f t="shared" si="13"/>
        <v>0</v>
      </c>
      <c r="U292" s="197">
        <f t="shared" si="15"/>
        <v>0</v>
      </c>
      <c r="V292" s="202"/>
      <c r="W292" s="56"/>
      <c r="X292" s="202"/>
      <c r="Y292" s="56"/>
      <c r="Z292" s="203"/>
      <c r="AA292" s="110"/>
      <c r="AB292" s="110"/>
      <c r="AC292" s="226"/>
      <c r="AD292" s="226"/>
      <c r="AE292" s="55"/>
      <c r="AF292" s="202"/>
      <c r="AG292" s="227"/>
    </row>
    <row r="293" spans="1:33" s="222" customFormat="1">
      <c r="A293" s="135" t="s">
        <v>338</v>
      </c>
      <c r="B293" s="143" t="s">
        <v>366</v>
      </c>
      <c r="C293" s="137"/>
      <c r="D293" s="139">
        <v>198251</v>
      </c>
      <c r="E293" s="139">
        <v>9</v>
      </c>
      <c r="F293" s="194">
        <f t="shared" si="12"/>
        <v>119505</v>
      </c>
      <c r="G293" s="195">
        <f t="shared" si="14"/>
        <v>121004</v>
      </c>
      <c r="H293" s="223">
        <v>57953</v>
      </c>
      <c r="I293" s="117">
        <v>54470</v>
      </c>
      <c r="J293" s="223">
        <v>16395</v>
      </c>
      <c r="K293" s="224">
        <v>17151</v>
      </c>
      <c r="L293" s="223">
        <v>45157</v>
      </c>
      <c r="M293" s="223">
        <v>0</v>
      </c>
      <c r="N293" s="223">
        <v>0</v>
      </c>
      <c r="O293" s="117">
        <v>49383</v>
      </c>
      <c r="P293" s="224">
        <v>0</v>
      </c>
      <c r="Q293" s="224">
        <v>0</v>
      </c>
      <c r="R293" s="202"/>
      <c r="S293" s="225"/>
      <c r="T293" s="196">
        <f t="shared" si="13"/>
        <v>0</v>
      </c>
      <c r="U293" s="197">
        <f t="shared" si="15"/>
        <v>0</v>
      </c>
      <c r="V293" s="202"/>
      <c r="W293" s="56"/>
      <c r="X293" s="202"/>
      <c r="Y293" s="56"/>
      <c r="Z293" s="203"/>
      <c r="AA293" s="110"/>
      <c r="AB293" s="110"/>
      <c r="AC293" s="226"/>
      <c r="AD293" s="226"/>
      <c r="AE293" s="55"/>
      <c r="AF293" s="202"/>
      <c r="AG293" s="227"/>
    </row>
    <row r="294" spans="1:33" s="222" customFormat="1">
      <c r="A294" s="135" t="s">
        <v>338</v>
      </c>
      <c r="B294" s="143" t="s">
        <v>367</v>
      </c>
      <c r="C294" s="137"/>
      <c r="D294" s="139">
        <v>198321</v>
      </c>
      <c r="E294" s="139">
        <v>9</v>
      </c>
      <c r="F294" s="194">
        <f t="shared" si="12"/>
        <v>94419</v>
      </c>
      <c r="G294" s="195">
        <f t="shared" si="14"/>
        <v>98607</v>
      </c>
      <c r="H294" s="223">
        <v>29693.5</v>
      </c>
      <c r="I294" s="224">
        <v>28404.5</v>
      </c>
      <c r="J294" s="223">
        <v>19155.5</v>
      </c>
      <c r="K294" s="224">
        <v>19975.5</v>
      </c>
      <c r="L294" s="223">
        <v>45525</v>
      </c>
      <c r="M294" s="223">
        <v>45</v>
      </c>
      <c r="N294" s="223">
        <v>0</v>
      </c>
      <c r="O294" s="117">
        <v>50185</v>
      </c>
      <c r="P294" s="117">
        <v>42</v>
      </c>
      <c r="Q294" s="224">
        <v>0</v>
      </c>
      <c r="R294" s="202"/>
      <c r="S294" s="225"/>
      <c r="T294" s="196">
        <f t="shared" si="13"/>
        <v>0</v>
      </c>
      <c r="U294" s="197">
        <f t="shared" si="15"/>
        <v>0</v>
      </c>
      <c r="V294" s="202"/>
      <c r="W294" s="56"/>
      <c r="X294" s="202"/>
      <c r="Y294" s="56"/>
      <c r="Z294" s="203"/>
      <c r="AA294" s="110"/>
      <c r="AB294" s="110"/>
      <c r="AC294" s="226"/>
      <c r="AD294" s="226"/>
      <c r="AE294" s="55"/>
      <c r="AF294" s="202"/>
      <c r="AG294" s="227"/>
    </row>
    <row r="295" spans="1:33" s="222" customFormat="1">
      <c r="A295" s="135" t="s">
        <v>338</v>
      </c>
      <c r="B295" s="153" t="s">
        <v>368</v>
      </c>
      <c r="C295" s="228"/>
      <c r="D295" s="139">
        <v>198330</v>
      </c>
      <c r="E295" s="139">
        <v>9</v>
      </c>
      <c r="F295" s="194">
        <f t="shared" si="12"/>
        <v>167588</v>
      </c>
      <c r="G295" s="195">
        <f t="shared" si="14"/>
        <v>158802</v>
      </c>
      <c r="H295" s="223">
        <v>74483</v>
      </c>
      <c r="I295" s="117">
        <v>69291</v>
      </c>
      <c r="J295" s="223">
        <v>41803</v>
      </c>
      <c r="K295" s="224">
        <v>40168</v>
      </c>
      <c r="L295" s="223">
        <v>51302</v>
      </c>
      <c r="M295" s="223">
        <v>0</v>
      </c>
      <c r="N295" s="223">
        <v>0</v>
      </c>
      <c r="O295" s="224">
        <v>49343</v>
      </c>
      <c r="P295" s="224">
        <v>0</v>
      </c>
      <c r="Q295" s="224">
        <v>0</v>
      </c>
      <c r="R295" s="202"/>
      <c r="S295" s="225"/>
      <c r="T295" s="196">
        <f t="shared" si="13"/>
        <v>0</v>
      </c>
      <c r="U295" s="197">
        <f t="shared" si="15"/>
        <v>0</v>
      </c>
      <c r="V295" s="202"/>
      <c r="W295" s="56"/>
      <c r="X295" s="202"/>
      <c r="Y295" s="56"/>
      <c r="Z295" s="203"/>
      <c r="AA295" s="110"/>
      <c r="AB295" s="110"/>
      <c r="AC295" s="226"/>
      <c r="AD295" s="226"/>
      <c r="AE295" s="55"/>
      <c r="AF295" s="202"/>
      <c r="AG295" s="227"/>
    </row>
    <row r="296" spans="1:33" s="222" customFormat="1">
      <c r="A296" s="135" t="s">
        <v>338</v>
      </c>
      <c r="B296" s="143" t="s">
        <v>369</v>
      </c>
      <c r="C296" s="137"/>
      <c r="D296" s="139">
        <v>198367</v>
      </c>
      <c r="E296" s="139">
        <v>9</v>
      </c>
      <c r="F296" s="194">
        <f t="shared" si="12"/>
        <v>105383</v>
      </c>
      <c r="G296" s="195">
        <f t="shared" si="14"/>
        <v>101317</v>
      </c>
      <c r="H296" s="223">
        <v>29838</v>
      </c>
      <c r="I296" s="224">
        <v>30182</v>
      </c>
      <c r="J296" s="223">
        <v>15263</v>
      </c>
      <c r="K296" s="117">
        <v>16069</v>
      </c>
      <c r="L296" s="223">
        <v>60282</v>
      </c>
      <c r="M296" s="223">
        <v>0</v>
      </c>
      <c r="N296" s="223">
        <v>0</v>
      </c>
      <c r="O296" s="117">
        <v>55066</v>
      </c>
      <c r="P296" s="224">
        <v>0</v>
      </c>
      <c r="Q296" s="224">
        <v>0</v>
      </c>
      <c r="R296" s="202"/>
      <c r="S296" s="225"/>
      <c r="T296" s="196">
        <f t="shared" si="13"/>
        <v>0</v>
      </c>
      <c r="U296" s="197">
        <f t="shared" si="15"/>
        <v>0</v>
      </c>
      <c r="V296" s="202"/>
      <c r="W296" s="56"/>
      <c r="X296" s="202"/>
      <c r="Y296" s="56"/>
      <c r="Z296" s="203"/>
      <c r="AA296" s="110"/>
      <c r="AB296" s="110"/>
      <c r="AC296" s="226"/>
      <c r="AD296" s="226"/>
      <c r="AE296" s="55"/>
      <c r="AF296" s="202"/>
      <c r="AG296" s="227"/>
    </row>
    <row r="297" spans="1:33" s="222" customFormat="1">
      <c r="A297" s="135" t="s">
        <v>338</v>
      </c>
      <c r="B297" s="143" t="s">
        <v>370</v>
      </c>
      <c r="C297" s="137"/>
      <c r="D297" s="139">
        <v>198376</v>
      </c>
      <c r="E297" s="139">
        <v>9</v>
      </c>
      <c r="F297" s="194">
        <f t="shared" si="12"/>
        <v>78983.5</v>
      </c>
      <c r="G297" s="195">
        <f t="shared" si="14"/>
        <v>82506</v>
      </c>
      <c r="H297" s="223">
        <v>35118.5</v>
      </c>
      <c r="I297" s="117">
        <v>32278</v>
      </c>
      <c r="J297" s="223">
        <v>318</v>
      </c>
      <c r="K297" s="117">
        <v>1794</v>
      </c>
      <c r="L297" s="223">
        <v>43184</v>
      </c>
      <c r="M297" s="223">
        <v>363</v>
      </c>
      <c r="N297" s="223">
        <v>0</v>
      </c>
      <c r="O297" s="117">
        <v>48022</v>
      </c>
      <c r="P297" s="117">
        <v>412</v>
      </c>
      <c r="Q297" s="224">
        <v>0</v>
      </c>
      <c r="R297" s="202"/>
      <c r="S297" s="225"/>
      <c r="T297" s="196">
        <f t="shared" si="13"/>
        <v>0</v>
      </c>
      <c r="U297" s="197">
        <f t="shared" si="15"/>
        <v>0</v>
      </c>
      <c r="V297" s="202"/>
      <c r="W297" s="56"/>
      <c r="X297" s="202"/>
      <c r="Y297" s="56"/>
      <c r="Z297" s="203"/>
      <c r="AA297" s="110"/>
      <c r="AB297" s="110"/>
      <c r="AC297" s="226"/>
      <c r="AD297" s="226"/>
      <c r="AE297" s="55"/>
      <c r="AF297" s="202"/>
      <c r="AG297" s="227"/>
    </row>
    <row r="298" spans="1:33" s="222" customFormat="1">
      <c r="A298" s="135" t="s">
        <v>338</v>
      </c>
      <c r="B298" s="143" t="s">
        <v>371</v>
      </c>
      <c r="C298" s="137"/>
      <c r="D298" s="139">
        <v>198455</v>
      </c>
      <c r="E298" s="139">
        <v>9</v>
      </c>
      <c r="F298" s="194">
        <f t="shared" si="12"/>
        <v>146385</v>
      </c>
      <c r="G298" s="195">
        <f t="shared" si="14"/>
        <v>148002</v>
      </c>
      <c r="H298" s="223">
        <v>68084</v>
      </c>
      <c r="I298" s="224">
        <v>65281</v>
      </c>
      <c r="J298" s="223">
        <v>31325</v>
      </c>
      <c r="K298" s="117">
        <v>34483</v>
      </c>
      <c r="L298" s="223">
        <v>46976</v>
      </c>
      <c r="M298" s="223">
        <v>0</v>
      </c>
      <c r="N298" s="223">
        <v>0</v>
      </c>
      <c r="O298" s="224">
        <v>48238</v>
      </c>
      <c r="P298" s="224">
        <v>0</v>
      </c>
      <c r="Q298" s="224">
        <v>0</v>
      </c>
      <c r="R298" s="202"/>
      <c r="S298" s="225"/>
      <c r="T298" s="196">
        <f t="shared" si="13"/>
        <v>0</v>
      </c>
      <c r="U298" s="197">
        <f t="shared" si="15"/>
        <v>0</v>
      </c>
      <c r="V298" s="202"/>
      <c r="W298" s="56"/>
      <c r="X298" s="202"/>
      <c r="Y298" s="56"/>
      <c r="Z298" s="203"/>
      <c r="AA298" s="110"/>
      <c r="AB298" s="110"/>
      <c r="AC298" s="226"/>
      <c r="AD298" s="226"/>
      <c r="AE298" s="55"/>
      <c r="AF298" s="202"/>
      <c r="AG298" s="227"/>
    </row>
    <row r="299" spans="1:33" s="222" customFormat="1" ht="15">
      <c r="A299" s="135" t="s">
        <v>338</v>
      </c>
      <c r="B299" s="143" t="s">
        <v>372</v>
      </c>
      <c r="C299" s="349" t="s">
        <v>863</v>
      </c>
      <c r="D299" s="139">
        <v>198491</v>
      </c>
      <c r="E299" s="139">
        <v>9</v>
      </c>
      <c r="F299" s="194">
        <f t="shared" si="12"/>
        <v>86107</v>
      </c>
      <c r="G299" s="195">
        <f t="shared" si="14"/>
        <v>79830</v>
      </c>
      <c r="H299" s="223">
        <v>27538</v>
      </c>
      <c r="I299" s="117">
        <v>22150</v>
      </c>
      <c r="J299" s="223">
        <v>15759</v>
      </c>
      <c r="K299" s="117">
        <v>13086</v>
      </c>
      <c r="L299" s="223">
        <v>42810</v>
      </c>
      <c r="M299" s="223">
        <v>0</v>
      </c>
      <c r="N299" s="223">
        <v>0</v>
      </c>
      <c r="O299" s="224">
        <v>44594</v>
      </c>
      <c r="P299" s="224">
        <v>0</v>
      </c>
      <c r="Q299" s="224">
        <v>0</v>
      </c>
      <c r="R299" s="202"/>
      <c r="S299" s="225"/>
      <c r="T299" s="196">
        <f t="shared" si="13"/>
        <v>0</v>
      </c>
      <c r="U299" s="197">
        <f t="shared" si="15"/>
        <v>0</v>
      </c>
      <c r="V299" s="202"/>
      <c r="W299" s="56"/>
      <c r="X299" s="202"/>
      <c r="Y299" s="56"/>
      <c r="Z299" s="203"/>
      <c r="AA299" s="110"/>
      <c r="AB299" s="110"/>
      <c r="AC299" s="226"/>
      <c r="AD299" s="226"/>
      <c r="AE299" s="55"/>
      <c r="AF299" s="202"/>
      <c r="AG299" s="227"/>
    </row>
    <row r="300" spans="1:33" s="222" customFormat="1">
      <c r="A300" s="135" t="s">
        <v>338</v>
      </c>
      <c r="B300" s="143" t="s">
        <v>373</v>
      </c>
      <c r="C300" s="145"/>
      <c r="D300" s="139">
        <v>198570</v>
      </c>
      <c r="E300" s="139">
        <v>9</v>
      </c>
      <c r="F300" s="194">
        <f t="shared" si="12"/>
        <v>129233</v>
      </c>
      <c r="G300" s="195">
        <f t="shared" si="14"/>
        <v>132849</v>
      </c>
      <c r="H300" s="223">
        <v>66809</v>
      </c>
      <c r="I300" s="117">
        <v>61564</v>
      </c>
      <c r="J300" s="223">
        <v>7975</v>
      </c>
      <c r="K300" s="117">
        <v>8910</v>
      </c>
      <c r="L300" s="223">
        <v>53765</v>
      </c>
      <c r="M300" s="223">
        <v>684</v>
      </c>
      <c r="N300" s="223">
        <v>0</v>
      </c>
      <c r="O300" s="117">
        <v>61862</v>
      </c>
      <c r="P300" s="117">
        <v>513</v>
      </c>
      <c r="Q300" s="224">
        <v>0</v>
      </c>
      <c r="R300" s="202"/>
      <c r="S300" s="225"/>
      <c r="T300" s="196">
        <f t="shared" si="13"/>
        <v>0</v>
      </c>
      <c r="U300" s="197">
        <f t="shared" si="15"/>
        <v>0</v>
      </c>
      <c r="V300" s="202"/>
      <c r="W300" s="56"/>
      <c r="X300" s="202"/>
      <c r="Y300" s="56"/>
      <c r="Z300" s="203"/>
      <c r="AA300" s="110"/>
      <c r="AB300" s="110"/>
      <c r="AC300" s="226"/>
      <c r="AD300" s="226"/>
      <c r="AE300" s="55"/>
      <c r="AF300" s="202"/>
      <c r="AG300" s="227"/>
    </row>
    <row r="301" spans="1:33" s="222" customFormat="1">
      <c r="A301" s="135" t="s">
        <v>338</v>
      </c>
      <c r="B301" s="143" t="s">
        <v>374</v>
      </c>
      <c r="C301" s="137"/>
      <c r="D301" s="139">
        <v>198774</v>
      </c>
      <c r="E301" s="139">
        <v>9</v>
      </c>
      <c r="F301" s="194">
        <f t="shared" si="12"/>
        <v>135426</v>
      </c>
      <c r="G301" s="195">
        <f t="shared" si="14"/>
        <v>139176</v>
      </c>
      <c r="H301" s="223">
        <v>46952</v>
      </c>
      <c r="I301" s="224">
        <v>46893</v>
      </c>
      <c r="J301" s="223">
        <v>29751</v>
      </c>
      <c r="K301" s="224">
        <v>30893</v>
      </c>
      <c r="L301" s="223">
        <v>57499</v>
      </c>
      <c r="M301" s="223">
        <v>1224</v>
      </c>
      <c r="N301" s="223">
        <v>0</v>
      </c>
      <c r="O301" s="117">
        <v>60472</v>
      </c>
      <c r="P301" s="117">
        <v>918</v>
      </c>
      <c r="Q301" s="224">
        <v>0</v>
      </c>
      <c r="R301" s="202"/>
      <c r="S301" s="225"/>
      <c r="T301" s="196">
        <f t="shared" si="13"/>
        <v>0</v>
      </c>
      <c r="U301" s="197">
        <f t="shared" si="15"/>
        <v>0</v>
      </c>
      <c r="V301" s="202"/>
      <c r="W301" s="56"/>
      <c r="X301" s="202"/>
      <c r="Y301" s="56"/>
      <c r="Z301" s="203"/>
      <c r="AA301" s="110"/>
      <c r="AB301" s="110"/>
      <c r="AC301" s="226"/>
      <c r="AD301" s="226"/>
      <c r="AE301" s="55"/>
      <c r="AF301" s="202"/>
      <c r="AG301" s="227"/>
    </row>
    <row r="302" spans="1:33" s="222" customFormat="1">
      <c r="A302" s="135" t="s">
        <v>338</v>
      </c>
      <c r="B302" s="143" t="s">
        <v>375</v>
      </c>
      <c r="C302" s="137"/>
      <c r="D302" s="139">
        <v>198817</v>
      </c>
      <c r="E302" s="139">
        <v>9</v>
      </c>
      <c r="F302" s="194">
        <f t="shared" si="12"/>
        <v>70648</v>
      </c>
      <c r="G302" s="195">
        <f t="shared" si="14"/>
        <v>66844</v>
      </c>
      <c r="H302" s="223">
        <v>28044</v>
      </c>
      <c r="I302" s="117">
        <v>23596</v>
      </c>
      <c r="J302" s="223">
        <v>6318</v>
      </c>
      <c r="K302" s="117">
        <v>5568</v>
      </c>
      <c r="L302" s="223">
        <v>36109</v>
      </c>
      <c r="M302" s="223">
        <v>177</v>
      </c>
      <c r="N302" s="223">
        <v>0</v>
      </c>
      <c r="O302" s="224">
        <v>37680</v>
      </c>
      <c r="P302" s="117">
        <v>0</v>
      </c>
      <c r="Q302" s="224">
        <v>0</v>
      </c>
      <c r="R302" s="202"/>
      <c r="S302" s="225"/>
      <c r="T302" s="196">
        <f t="shared" si="13"/>
        <v>0</v>
      </c>
      <c r="U302" s="197">
        <f t="shared" si="15"/>
        <v>0</v>
      </c>
      <c r="V302" s="202"/>
      <c r="W302" s="56"/>
      <c r="X302" s="202"/>
      <c r="Y302" s="56"/>
      <c r="Z302" s="203"/>
      <c r="AA302" s="110"/>
      <c r="AB302" s="110"/>
      <c r="AC302" s="226"/>
      <c r="AD302" s="226"/>
      <c r="AE302" s="55"/>
      <c r="AF302" s="202"/>
      <c r="AG302" s="227"/>
    </row>
    <row r="303" spans="1:33" s="222" customFormat="1">
      <c r="A303" s="135" t="s">
        <v>338</v>
      </c>
      <c r="B303" s="143" t="s">
        <v>376</v>
      </c>
      <c r="C303" s="137"/>
      <c r="D303" s="139">
        <v>198987</v>
      </c>
      <c r="E303" s="139">
        <v>9</v>
      </c>
      <c r="F303" s="194">
        <f t="shared" si="12"/>
        <v>99640</v>
      </c>
      <c r="G303" s="195">
        <f t="shared" si="14"/>
        <v>101344</v>
      </c>
      <c r="H303" s="223">
        <v>27422</v>
      </c>
      <c r="I303" s="117">
        <v>25333.5</v>
      </c>
      <c r="J303" s="223">
        <v>16348</v>
      </c>
      <c r="K303" s="224">
        <v>16134.5</v>
      </c>
      <c r="L303" s="223">
        <v>55870</v>
      </c>
      <c r="M303" s="223">
        <v>0</v>
      </c>
      <c r="N303" s="223">
        <v>0</v>
      </c>
      <c r="O303" s="117">
        <v>59876</v>
      </c>
      <c r="P303" s="224">
        <v>0</v>
      </c>
      <c r="Q303" s="224">
        <v>0</v>
      </c>
      <c r="R303" s="202"/>
      <c r="S303" s="225"/>
      <c r="T303" s="196">
        <f t="shared" si="13"/>
        <v>0</v>
      </c>
      <c r="U303" s="197">
        <f t="shared" si="15"/>
        <v>0</v>
      </c>
      <c r="V303" s="202"/>
      <c r="W303" s="56"/>
      <c r="X303" s="202"/>
      <c r="Y303" s="56"/>
      <c r="Z303" s="203"/>
      <c r="AA303" s="110"/>
      <c r="AB303" s="110"/>
      <c r="AC303" s="226"/>
      <c r="AD303" s="226"/>
      <c r="AE303" s="55"/>
      <c r="AF303" s="202"/>
      <c r="AG303" s="227"/>
    </row>
    <row r="304" spans="1:33" s="222" customFormat="1">
      <c r="A304" s="135" t="s">
        <v>338</v>
      </c>
      <c r="B304" s="143" t="s">
        <v>377</v>
      </c>
      <c r="C304" s="137"/>
      <c r="D304" s="139">
        <v>199087</v>
      </c>
      <c r="E304" s="139">
        <v>9</v>
      </c>
      <c r="F304" s="194">
        <f t="shared" si="12"/>
        <v>103850</v>
      </c>
      <c r="G304" s="195">
        <f t="shared" si="14"/>
        <v>98931</v>
      </c>
      <c r="H304" s="223">
        <v>37987</v>
      </c>
      <c r="I304" s="117">
        <v>30743</v>
      </c>
      <c r="J304" s="223">
        <v>18118</v>
      </c>
      <c r="K304" s="117">
        <v>15803</v>
      </c>
      <c r="L304" s="223">
        <v>47688</v>
      </c>
      <c r="M304" s="223">
        <v>9</v>
      </c>
      <c r="N304" s="223">
        <v>48</v>
      </c>
      <c r="O304" s="117">
        <v>52085</v>
      </c>
      <c r="P304" s="117">
        <v>300</v>
      </c>
      <c r="Q304" s="117">
        <v>0</v>
      </c>
      <c r="R304" s="202"/>
      <c r="S304" s="225"/>
      <c r="T304" s="196">
        <f t="shared" si="13"/>
        <v>0</v>
      </c>
      <c r="U304" s="197">
        <f t="shared" si="15"/>
        <v>0</v>
      </c>
      <c r="V304" s="202"/>
      <c r="W304" s="56"/>
      <c r="X304" s="202"/>
      <c r="Y304" s="56"/>
      <c r="Z304" s="203"/>
      <c r="AA304" s="110"/>
      <c r="AB304" s="110"/>
      <c r="AC304" s="226"/>
      <c r="AD304" s="226"/>
      <c r="AE304" s="55"/>
      <c r="AF304" s="202"/>
      <c r="AG304" s="227"/>
    </row>
    <row r="305" spans="1:33" s="222" customFormat="1">
      <c r="A305" s="135" t="s">
        <v>338</v>
      </c>
      <c r="B305" s="143" t="s">
        <v>378</v>
      </c>
      <c r="C305" s="137"/>
      <c r="D305" s="139">
        <v>199421</v>
      </c>
      <c r="E305" s="139">
        <v>9</v>
      </c>
      <c r="F305" s="194">
        <f t="shared" si="12"/>
        <v>93117</v>
      </c>
      <c r="G305" s="195">
        <f t="shared" si="14"/>
        <v>88592</v>
      </c>
      <c r="H305" s="223">
        <v>31750</v>
      </c>
      <c r="I305" s="117">
        <v>27696</v>
      </c>
      <c r="J305" s="223">
        <v>18509</v>
      </c>
      <c r="K305" s="117">
        <v>16763</v>
      </c>
      <c r="L305" s="223">
        <v>27705</v>
      </c>
      <c r="M305" s="223">
        <v>432</v>
      </c>
      <c r="N305" s="223">
        <v>14721</v>
      </c>
      <c r="O305" s="117">
        <v>43292</v>
      </c>
      <c r="P305" s="117">
        <v>147</v>
      </c>
      <c r="Q305" s="117">
        <v>694</v>
      </c>
      <c r="R305" s="202"/>
      <c r="S305" s="225"/>
      <c r="T305" s="196">
        <f t="shared" si="13"/>
        <v>0</v>
      </c>
      <c r="U305" s="197">
        <f t="shared" si="15"/>
        <v>0</v>
      </c>
      <c r="V305" s="202"/>
      <c r="W305" s="56"/>
      <c r="X305" s="202"/>
      <c r="Y305" s="56"/>
      <c r="Z305" s="203"/>
      <c r="AA305" s="110"/>
      <c r="AB305" s="110"/>
      <c r="AC305" s="226"/>
      <c r="AD305" s="226"/>
      <c r="AE305" s="55"/>
      <c r="AF305" s="202"/>
      <c r="AG305" s="227"/>
    </row>
    <row r="306" spans="1:33" s="222" customFormat="1">
      <c r="A306" s="135" t="s">
        <v>338</v>
      </c>
      <c r="B306" s="143" t="s">
        <v>379</v>
      </c>
      <c r="C306" s="145"/>
      <c r="D306" s="139">
        <v>199449</v>
      </c>
      <c r="E306" s="146">
        <v>9</v>
      </c>
      <c r="F306" s="194">
        <f t="shared" si="12"/>
        <v>75938</v>
      </c>
      <c r="G306" s="195">
        <f t="shared" si="14"/>
        <v>78273</v>
      </c>
      <c r="H306" s="223">
        <v>29041</v>
      </c>
      <c r="I306" s="117">
        <v>23878</v>
      </c>
      <c r="J306" s="223">
        <v>12791</v>
      </c>
      <c r="K306" s="117">
        <v>8735</v>
      </c>
      <c r="L306" s="223">
        <v>33680</v>
      </c>
      <c r="M306" s="223">
        <v>426</v>
      </c>
      <c r="N306" s="223">
        <v>0</v>
      </c>
      <c r="O306" s="117">
        <v>45660</v>
      </c>
      <c r="P306" s="117">
        <v>0</v>
      </c>
      <c r="Q306" s="224">
        <v>0</v>
      </c>
      <c r="R306" s="202"/>
      <c r="S306" s="225"/>
      <c r="T306" s="196">
        <f t="shared" si="13"/>
        <v>0</v>
      </c>
      <c r="U306" s="197">
        <f t="shared" si="15"/>
        <v>0</v>
      </c>
      <c r="V306" s="202"/>
      <c r="W306" s="56"/>
      <c r="X306" s="202"/>
      <c r="Y306" s="56"/>
      <c r="Z306" s="203"/>
      <c r="AA306" s="110"/>
      <c r="AB306" s="110"/>
      <c r="AC306" s="226"/>
      <c r="AD306" s="226"/>
      <c r="AE306" s="55"/>
      <c r="AF306" s="202"/>
      <c r="AG306" s="227"/>
    </row>
    <row r="307" spans="1:33" s="222" customFormat="1">
      <c r="A307" s="135" t="s">
        <v>338</v>
      </c>
      <c r="B307" s="143" t="s">
        <v>380</v>
      </c>
      <c r="C307" s="137"/>
      <c r="D307" s="139">
        <v>199476</v>
      </c>
      <c r="E307" s="139">
        <v>9</v>
      </c>
      <c r="F307" s="194">
        <f t="shared" si="12"/>
        <v>45271</v>
      </c>
      <c r="G307" s="195">
        <f t="shared" si="14"/>
        <v>41829</v>
      </c>
      <c r="H307" s="223">
        <v>28744</v>
      </c>
      <c r="I307" s="117">
        <v>25855</v>
      </c>
      <c r="J307" s="223">
        <v>2156</v>
      </c>
      <c r="K307" s="117">
        <v>1728</v>
      </c>
      <c r="L307" s="223">
        <v>13875</v>
      </c>
      <c r="M307" s="223">
        <v>496</v>
      </c>
      <c r="N307" s="223">
        <v>0</v>
      </c>
      <c r="O307" s="224">
        <v>14246</v>
      </c>
      <c r="P307" s="117">
        <v>0</v>
      </c>
      <c r="Q307" s="224">
        <v>0</v>
      </c>
      <c r="R307" s="202"/>
      <c r="S307" s="225"/>
      <c r="T307" s="196">
        <f t="shared" si="13"/>
        <v>0</v>
      </c>
      <c r="U307" s="197">
        <f t="shared" si="15"/>
        <v>0</v>
      </c>
      <c r="V307" s="202"/>
      <c r="W307" s="56"/>
      <c r="X307" s="202"/>
      <c r="Y307" s="56"/>
      <c r="Z307" s="203"/>
      <c r="AA307" s="110"/>
      <c r="AB307" s="110"/>
      <c r="AC307" s="226"/>
      <c r="AD307" s="226"/>
      <c r="AE307" s="55"/>
      <c r="AF307" s="202"/>
      <c r="AG307" s="227"/>
    </row>
    <row r="308" spans="1:33" s="222" customFormat="1">
      <c r="A308" s="135" t="s">
        <v>338</v>
      </c>
      <c r="B308" s="143" t="s">
        <v>381</v>
      </c>
      <c r="C308" s="137"/>
      <c r="D308" s="139">
        <v>199634</v>
      </c>
      <c r="E308" s="139">
        <v>9</v>
      </c>
      <c r="F308" s="194">
        <f t="shared" si="12"/>
        <v>130709.5</v>
      </c>
      <c r="G308" s="195">
        <f t="shared" si="14"/>
        <v>119575.5</v>
      </c>
      <c r="H308" s="223">
        <v>41951.5</v>
      </c>
      <c r="I308" s="117">
        <v>37303.5</v>
      </c>
      <c r="J308" s="223">
        <v>22346</v>
      </c>
      <c r="K308" s="117">
        <v>17235</v>
      </c>
      <c r="L308" s="223">
        <v>66412</v>
      </c>
      <c r="M308" s="223">
        <v>0</v>
      </c>
      <c r="N308" s="223">
        <v>0</v>
      </c>
      <c r="O308" s="224">
        <v>65037</v>
      </c>
      <c r="P308" s="224">
        <v>0</v>
      </c>
      <c r="Q308" s="224">
        <v>0</v>
      </c>
      <c r="R308" s="202"/>
      <c r="S308" s="225"/>
      <c r="T308" s="196">
        <f t="shared" si="13"/>
        <v>0</v>
      </c>
      <c r="U308" s="197">
        <f t="shared" si="15"/>
        <v>0</v>
      </c>
      <c r="V308" s="202"/>
      <c r="W308" s="56"/>
      <c r="X308" s="202"/>
      <c r="Y308" s="56"/>
      <c r="Z308" s="203"/>
      <c r="AA308" s="110"/>
      <c r="AB308" s="110"/>
      <c r="AC308" s="226"/>
      <c r="AD308" s="226"/>
      <c r="AE308" s="55"/>
      <c r="AF308" s="202"/>
      <c r="AG308" s="227"/>
    </row>
    <row r="309" spans="1:33" s="222" customFormat="1">
      <c r="A309" s="135" t="s">
        <v>338</v>
      </c>
      <c r="B309" s="143" t="s">
        <v>382</v>
      </c>
      <c r="C309" s="137"/>
      <c r="D309" s="139">
        <v>199740</v>
      </c>
      <c r="E309" s="139">
        <v>9</v>
      </c>
      <c r="F309" s="194">
        <f t="shared" si="12"/>
        <v>64904</v>
      </c>
      <c r="G309" s="195">
        <f t="shared" si="14"/>
        <v>63440</v>
      </c>
      <c r="H309" s="223">
        <v>17411</v>
      </c>
      <c r="I309" s="224">
        <v>17091</v>
      </c>
      <c r="J309" s="223">
        <v>6070</v>
      </c>
      <c r="K309" s="224">
        <v>6062</v>
      </c>
      <c r="L309" s="223">
        <v>41423</v>
      </c>
      <c r="M309" s="223">
        <v>0</v>
      </c>
      <c r="N309" s="223">
        <v>0</v>
      </c>
      <c r="O309" s="224">
        <v>40287</v>
      </c>
      <c r="P309" s="224">
        <v>0</v>
      </c>
      <c r="Q309" s="224">
        <v>0</v>
      </c>
      <c r="R309" s="202"/>
      <c r="S309" s="225"/>
      <c r="T309" s="196">
        <f t="shared" si="13"/>
        <v>0</v>
      </c>
      <c r="U309" s="197">
        <f t="shared" si="15"/>
        <v>0</v>
      </c>
      <c r="V309" s="202"/>
      <c r="W309" s="56"/>
      <c r="X309" s="202"/>
      <c r="Y309" s="56"/>
      <c r="Z309" s="203"/>
      <c r="AA309" s="110"/>
      <c r="AB309" s="110"/>
      <c r="AC309" s="226"/>
      <c r="AD309" s="226"/>
      <c r="AE309" s="55"/>
      <c r="AF309" s="202"/>
      <c r="AG309" s="227"/>
    </row>
    <row r="310" spans="1:33" s="222" customFormat="1">
      <c r="A310" s="135" t="s">
        <v>338</v>
      </c>
      <c r="B310" s="143" t="s">
        <v>383</v>
      </c>
      <c r="C310" s="137"/>
      <c r="D310" s="139">
        <v>199768</v>
      </c>
      <c r="E310" s="139">
        <v>9</v>
      </c>
      <c r="F310" s="194">
        <f t="shared" si="12"/>
        <v>67833</v>
      </c>
      <c r="G310" s="195">
        <f t="shared" si="14"/>
        <v>57169</v>
      </c>
      <c r="H310" s="223">
        <v>37018</v>
      </c>
      <c r="I310" s="117">
        <v>29087</v>
      </c>
      <c r="J310" s="223">
        <v>5846</v>
      </c>
      <c r="K310" s="117">
        <v>5389</v>
      </c>
      <c r="L310" s="223">
        <v>24245</v>
      </c>
      <c r="M310" s="223">
        <v>724</v>
      </c>
      <c r="N310" s="223">
        <v>0</v>
      </c>
      <c r="O310" s="117">
        <v>21872</v>
      </c>
      <c r="P310" s="117">
        <v>821</v>
      </c>
      <c r="Q310" s="224">
        <v>0</v>
      </c>
      <c r="R310" s="202"/>
      <c r="S310" s="225"/>
      <c r="T310" s="196">
        <f t="shared" si="13"/>
        <v>0</v>
      </c>
      <c r="U310" s="197">
        <f t="shared" si="15"/>
        <v>0</v>
      </c>
      <c r="V310" s="202"/>
      <c r="W310" s="56"/>
      <c r="X310" s="202"/>
      <c r="Y310" s="56"/>
      <c r="Z310" s="203"/>
      <c r="AA310" s="110"/>
      <c r="AB310" s="110"/>
      <c r="AC310" s="226"/>
      <c r="AD310" s="226"/>
      <c r="AE310" s="55"/>
      <c r="AF310" s="202"/>
      <c r="AG310" s="227"/>
    </row>
    <row r="311" spans="1:33" s="222" customFormat="1">
      <c r="A311" s="135" t="s">
        <v>338</v>
      </c>
      <c r="B311" s="143" t="s">
        <v>384</v>
      </c>
      <c r="C311" s="137"/>
      <c r="D311" s="139">
        <v>199838</v>
      </c>
      <c r="E311" s="139">
        <v>9</v>
      </c>
      <c r="F311" s="194">
        <f t="shared" si="12"/>
        <v>63411.5</v>
      </c>
      <c r="G311" s="195">
        <f t="shared" si="14"/>
        <v>63239.5</v>
      </c>
      <c r="H311" s="223">
        <v>33062.5</v>
      </c>
      <c r="I311" s="117">
        <v>30190</v>
      </c>
      <c r="J311" s="223">
        <v>1367</v>
      </c>
      <c r="K311" s="117">
        <v>2742</v>
      </c>
      <c r="L311" s="223">
        <v>27453</v>
      </c>
      <c r="M311" s="223">
        <v>1529</v>
      </c>
      <c r="N311" s="223">
        <v>0</v>
      </c>
      <c r="O311" s="117">
        <v>29112.5</v>
      </c>
      <c r="P311" s="117">
        <v>1195</v>
      </c>
      <c r="Q311" s="224">
        <v>0</v>
      </c>
      <c r="R311" s="202"/>
      <c r="S311" s="225"/>
      <c r="T311" s="196">
        <f t="shared" si="13"/>
        <v>0</v>
      </c>
      <c r="U311" s="197">
        <f t="shared" si="15"/>
        <v>0</v>
      </c>
      <c r="V311" s="202"/>
      <c r="W311" s="56"/>
      <c r="X311" s="202"/>
      <c r="Y311" s="56"/>
      <c r="Z311" s="203"/>
      <c r="AA311" s="110"/>
      <c r="AB311" s="110"/>
      <c r="AC311" s="226"/>
      <c r="AD311" s="226"/>
      <c r="AE311" s="55"/>
      <c r="AF311" s="202"/>
      <c r="AG311" s="227"/>
    </row>
    <row r="312" spans="1:33" s="222" customFormat="1">
      <c r="A312" s="135" t="s">
        <v>338</v>
      </c>
      <c r="B312" s="143" t="s">
        <v>385</v>
      </c>
      <c r="C312" s="137"/>
      <c r="D312" s="139">
        <v>199892</v>
      </c>
      <c r="E312" s="139">
        <v>9</v>
      </c>
      <c r="F312" s="194">
        <f t="shared" si="12"/>
        <v>105475</v>
      </c>
      <c r="G312" s="195">
        <f t="shared" si="14"/>
        <v>115423</v>
      </c>
      <c r="H312" s="223">
        <v>38801</v>
      </c>
      <c r="I312" s="117">
        <v>34852</v>
      </c>
      <c r="J312" s="223">
        <v>13794</v>
      </c>
      <c r="K312" s="117">
        <v>15975</v>
      </c>
      <c r="L312" s="223">
        <v>52880</v>
      </c>
      <c r="M312" s="223">
        <v>0</v>
      </c>
      <c r="N312" s="223">
        <v>0</v>
      </c>
      <c r="O312" s="117">
        <v>64596</v>
      </c>
      <c r="P312" s="224">
        <v>0</v>
      </c>
      <c r="Q312" s="224">
        <v>0</v>
      </c>
      <c r="R312" s="202"/>
      <c r="S312" s="225"/>
      <c r="T312" s="196">
        <f t="shared" si="13"/>
        <v>0</v>
      </c>
      <c r="U312" s="197">
        <f t="shared" si="15"/>
        <v>0</v>
      </c>
      <c r="V312" s="202"/>
      <c r="W312" s="56"/>
      <c r="X312" s="202"/>
      <c r="Y312" s="56"/>
      <c r="Z312" s="203"/>
      <c r="AA312" s="110"/>
      <c r="AB312" s="110"/>
      <c r="AC312" s="226"/>
      <c r="AD312" s="226"/>
      <c r="AE312" s="55"/>
      <c r="AF312" s="202"/>
      <c r="AG312" s="227"/>
    </row>
    <row r="313" spans="1:33" s="222" customFormat="1" ht="15">
      <c r="A313" s="135" t="s">
        <v>338</v>
      </c>
      <c r="B313" s="143" t="s">
        <v>386</v>
      </c>
      <c r="C313" s="349" t="s">
        <v>846</v>
      </c>
      <c r="D313" s="139">
        <v>199908</v>
      </c>
      <c r="E313" s="139">
        <v>9</v>
      </c>
      <c r="F313" s="194">
        <f t="shared" si="12"/>
        <v>67498</v>
      </c>
      <c r="G313" s="195">
        <f t="shared" si="14"/>
        <v>58543</v>
      </c>
      <c r="H313" s="223">
        <v>20160</v>
      </c>
      <c r="I313" s="117">
        <v>21587</v>
      </c>
      <c r="J313" s="223">
        <v>8951</v>
      </c>
      <c r="K313" s="117">
        <v>7869</v>
      </c>
      <c r="L313" s="223">
        <v>38387</v>
      </c>
      <c r="M313" s="223">
        <v>0</v>
      </c>
      <c r="N313" s="223">
        <v>0</v>
      </c>
      <c r="O313" s="117">
        <v>29087</v>
      </c>
      <c r="P313" s="224">
        <v>0</v>
      </c>
      <c r="Q313" s="224">
        <v>0</v>
      </c>
      <c r="R313" s="202"/>
      <c r="S313" s="225"/>
      <c r="T313" s="196">
        <f t="shared" si="13"/>
        <v>0</v>
      </c>
      <c r="U313" s="197">
        <f t="shared" si="15"/>
        <v>0</v>
      </c>
      <c r="V313" s="202"/>
      <c r="W313" s="56"/>
      <c r="X313" s="202"/>
      <c r="Y313" s="56"/>
      <c r="Z313" s="203"/>
      <c r="AA313" s="110"/>
      <c r="AB313" s="110"/>
      <c r="AC313" s="226"/>
      <c r="AD313" s="226"/>
      <c r="AE313" s="55"/>
      <c r="AF313" s="202"/>
      <c r="AG313" s="227"/>
    </row>
    <row r="314" spans="1:33" s="222" customFormat="1">
      <c r="A314" s="135" t="s">
        <v>338</v>
      </c>
      <c r="B314" s="143" t="s">
        <v>387</v>
      </c>
      <c r="C314" s="137"/>
      <c r="D314" s="139">
        <v>199926</v>
      </c>
      <c r="E314" s="139">
        <v>9</v>
      </c>
      <c r="F314" s="194">
        <f t="shared" si="12"/>
        <v>88835</v>
      </c>
      <c r="G314" s="195">
        <f t="shared" si="14"/>
        <v>91452</v>
      </c>
      <c r="H314" s="223">
        <v>39548</v>
      </c>
      <c r="I314" s="117">
        <v>36413</v>
      </c>
      <c r="J314" s="223">
        <v>19789</v>
      </c>
      <c r="K314" s="117">
        <v>22708</v>
      </c>
      <c r="L314" s="223">
        <v>25323</v>
      </c>
      <c r="M314" s="223">
        <v>4037</v>
      </c>
      <c r="N314" s="223">
        <v>138</v>
      </c>
      <c r="O314" s="117">
        <v>29244</v>
      </c>
      <c r="P314" s="117">
        <v>3087</v>
      </c>
      <c r="Q314" s="117">
        <v>0</v>
      </c>
      <c r="R314" s="202"/>
      <c r="S314" s="225"/>
      <c r="T314" s="196">
        <f t="shared" si="13"/>
        <v>0</v>
      </c>
      <c r="U314" s="197">
        <f t="shared" si="15"/>
        <v>0</v>
      </c>
      <c r="V314" s="202"/>
      <c r="W314" s="56"/>
      <c r="X314" s="202"/>
      <c r="Y314" s="56"/>
      <c r="Z314" s="203"/>
      <c r="AA314" s="110"/>
      <c r="AB314" s="110"/>
      <c r="AC314" s="226"/>
      <c r="AD314" s="226"/>
      <c r="AE314" s="55"/>
      <c r="AF314" s="202"/>
      <c r="AG314" s="227"/>
    </row>
    <row r="315" spans="1:33" s="222" customFormat="1">
      <c r="A315" s="135" t="s">
        <v>338</v>
      </c>
      <c r="B315" s="143" t="s">
        <v>388</v>
      </c>
      <c r="C315" s="137"/>
      <c r="D315" s="139">
        <v>197966</v>
      </c>
      <c r="E315" s="139">
        <v>10</v>
      </c>
      <c r="F315" s="194">
        <f t="shared" si="12"/>
        <v>54703</v>
      </c>
      <c r="G315" s="195">
        <f t="shared" si="14"/>
        <v>46777</v>
      </c>
      <c r="H315" s="223">
        <v>11691</v>
      </c>
      <c r="I315" s="117">
        <v>8477</v>
      </c>
      <c r="J315" s="223">
        <v>5766</v>
      </c>
      <c r="K315" s="117">
        <v>4028</v>
      </c>
      <c r="L315" s="223">
        <v>35966</v>
      </c>
      <c r="M315" s="223">
        <v>0</v>
      </c>
      <c r="N315" s="223">
        <v>1280</v>
      </c>
      <c r="O315" s="117">
        <v>30457</v>
      </c>
      <c r="P315" s="224">
        <v>0</v>
      </c>
      <c r="Q315" s="117">
        <v>3815</v>
      </c>
      <c r="R315" s="202"/>
      <c r="S315" s="225"/>
      <c r="T315" s="196">
        <f t="shared" si="13"/>
        <v>0</v>
      </c>
      <c r="U315" s="197">
        <f t="shared" si="15"/>
        <v>0</v>
      </c>
      <c r="V315" s="202"/>
      <c r="W315" s="56"/>
      <c r="X315" s="202"/>
      <c r="Y315" s="56"/>
      <c r="Z315" s="203"/>
      <c r="AA315" s="110"/>
      <c r="AB315" s="110"/>
      <c r="AC315" s="226"/>
      <c r="AD315" s="226"/>
      <c r="AE315" s="55"/>
      <c r="AF315" s="202"/>
      <c r="AG315" s="227"/>
    </row>
    <row r="316" spans="1:33" s="222" customFormat="1">
      <c r="A316" s="135" t="s">
        <v>338</v>
      </c>
      <c r="B316" s="143" t="s">
        <v>389</v>
      </c>
      <c r="C316" s="137"/>
      <c r="D316" s="139">
        <v>198011</v>
      </c>
      <c r="E316" s="139">
        <v>10</v>
      </c>
      <c r="F316" s="194">
        <f t="shared" si="12"/>
        <v>29042</v>
      </c>
      <c r="G316" s="195">
        <f t="shared" si="14"/>
        <v>30381</v>
      </c>
      <c r="H316" s="223">
        <v>12629</v>
      </c>
      <c r="I316" s="117">
        <v>11812</v>
      </c>
      <c r="J316" s="223">
        <v>815</v>
      </c>
      <c r="K316" s="117">
        <v>1131</v>
      </c>
      <c r="L316" s="223">
        <v>14287</v>
      </c>
      <c r="M316" s="223">
        <v>1311</v>
      </c>
      <c r="N316" s="223">
        <v>0</v>
      </c>
      <c r="O316" s="117">
        <v>15859</v>
      </c>
      <c r="P316" s="117">
        <v>1579</v>
      </c>
      <c r="Q316" s="224">
        <v>0</v>
      </c>
      <c r="R316" s="202"/>
      <c r="S316" s="225"/>
      <c r="T316" s="196">
        <f t="shared" si="13"/>
        <v>0</v>
      </c>
      <c r="U316" s="197">
        <f t="shared" si="15"/>
        <v>0</v>
      </c>
      <c r="V316" s="202"/>
      <c r="W316" s="56"/>
      <c r="X316" s="202"/>
      <c r="Y316" s="56"/>
      <c r="Z316" s="203"/>
      <c r="AA316" s="110"/>
      <c r="AB316" s="110"/>
      <c r="AC316" s="226"/>
      <c r="AD316" s="226"/>
      <c r="AE316" s="55"/>
      <c r="AF316" s="202"/>
      <c r="AG316" s="227"/>
    </row>
    <row r="317" spans="1:33" s="222" customFormat="1">
      <c r="A317" s="135" t="s">
        <v>338</v>
      </c>
      <c r="B317" s="143" t="s">
        <v>390</v>
      </c>
      <c r="C317" s="137"/>
      <c r="D317" s="139">
        <v>198039</v>
      </c>
      <c r="E317" s="139">
        <v>10</v>
      </c>
      <c r="F317" s="194">
        <f t="shared" si="12"/>
        <v>63311</v>
      </c>
      <c r="G317" s="195">
        <f t="shared" si="14"/>
        <v>60380</v>
      </c>
      <c r="H317" s="223">
        <v>21419</v>
      </c>
      <c r="I317" s="117">
        <v>19251</v>
      </c>
      <c r="J317" s="223">
        <v>9026</v>
      </c>
      <c r="K317" s="117">
        <v>8527</v>
      </c>
      <c r="L317" s="223">
        <v>32866</v>
      </c>
      <c r="M317" s="223">
        <v>0</v>
      </c>
      <c r="N317" s="223">
        <v>0</v>
      </c>
      <c r="O317" s="224">
        <v>32602</v>
      </c>
      <c r="P317" s="224">
        <v>0</v>
      </c>
      <c r="Q317" s="224">
        <v>0</v>
      </c>
      <c r="R317" s="202"/>
      <c r="S317" s="225"/>
      <c r="T317" s="196">
        <f t="shared" si="13"/>
        <v>0</v>
      </c>
      <c r="U317" s="197">
        <f t="shared" si="15"/>
        <v>0</v>
      </c>
      <c r="V317" s="202"/>
      <c r="W317" s="56"/>
      <c r="X317" s="202"/>
      <c r="Y317" s="56"/>
      <c r="Z317" s="203"/>
      <c r="AA317" s="110"/>
      <c r="AB317" s="110"/>
      <c r="AC317" s="226"/>
      <c r="AD317" s="226"/>
      <c r="AE317" s="55"/>
      <c r="AF317" s="202"/>
      <c r="AG317" s="227"/>
    </row>
    <row r="318" spans="1:33" s="222" customFormat="1">
      <c r="A318" s="135" t="s">
        <v>338</v>
      </c>
      <c r="B318" s="143" t="s">
        <v>391</v>
      </c>
      <c r="C318" s="137"/>
      <c r="D318" s="139">
        <v>198084</v>
      </c>
      <c r="E318" s="139">
        <v>10</v>
      </c>
      <c r="F318" s="194">
        <f t="shared" si="12"/>
        <v>54241</v>
      </c>
      <c r="G318" s="195">
        <f t="shared" si="14"/>
        <v>52778</v>
      </c>
      <c r="H318" s="223">
        <v>18793</v>
      </c>
      <c r="I318" s="117">
        <v>16914</v>
      </c>
      <c r="J318" s="223">
        <v>12887</v>
      </c>
      <c r="K318" s="117">
        <v>11153</v>
      </c>
      <c r="L318" s="223">
        <v>22474</v>
      </c>
      <c r="M318" s="223">
        <v>87</v>
      </c>
      <c r="N318" s="223">
        <v>0</v>
      </c>
      <c r="O318" s="117">
        <v>24645</v>
      </c>
      <c r="P318" s="117">
        <v>66</v>
      </c>
      <c r="Q318" s="224">
        <v>0</v>
      </c>
      <c r="R318" s="202"/>
      <c r="S318" s="225"/>
      <c r="T318" s="196">
        <f t="shared" si="13"/>
        <v>0</v>
      </c>
      <c r="U318" s="197">
        <f t="shared" si="15"/>
        <v>0</v>
      </c>
      <c r="V318" s="202"/>
      <c r="W318" s="56"/>
      <c r="X318" s="202"/>
      <c r="Y318" s="56"/>
      <c r="Z318" s="203"/>
      <c r="AA318" s="110"/>
      <c r="AB318" s="110"/>
      <c r="AC318" s="226"/>
      <c r="AD318" s="226"/>
      <c r="AE318" s="55"/>
      <c r="AF318" s="202"/>
      <c r="AG318" s="227"/>
    </row>
    <row r="319" spans="1:33" s="222" customFormat="1">
      <c r="A319" s="135" t="s">
        <v>338</v>
      </c>
      <c r="B319" s="143" t="s">
        <v>392</v>
      </c>
      <c r="C319" s="137"/>
      <c r="D319" s="139">
        <v>198206</v>
      </c>
      <c r="E319" s="139">
        <v>10</v>
      </c>
      <c r="F319" s="194">
        <f t="shared" si="12"/>
        <v>46435</v>
      </c>
      <c r="G319" s="195">
        <f t="shared" si="14"/>
        <v>45980</v>
      </c>
      <c r="H319" s="223">
        <v>17752</v>
      </c>
      <c r="I319" s="224">
        <v>17588</v>
      </c>
      <c r="J319" s="223">
        <v>7805</v>
      </c>
      <c r="K319" s="117">
        <v>6804</v>
      </c>
      <c r="L319" s="223">
        <v>20878</v>
      </c>
      <c r="M319" s="223">
        <v>0</v>
      </c>
      <c r="N319" s="223">
        <v>0</v>
      </c>
      <c r="O319" s="224">
        <v>21588</v>
      </c>
      <c r="P319" s="224">
        <v>0</v>
      </c>
      <c r="Q319" s="224">
        <v>0</v>
      </c>
      <c r="R319" s="202"/>
      <c r="S319" s="225"/>
      <c r="T319" s="196">
        <f t="shared" si="13"/>
        <v>0</v>
      </c>
      <c r="U319" s="197">
        <f t="shared" si="15"/>
        <v>0</v>
      </c>
      <c r="V319" s="202"/>
      <c r="W319" s="56"/>
      <c r="X319" s="202"/>
      <c r="Y319" s="56"/>
      <c r="Z319" s="203"/>
      <c r="AA319" s="110"/>
      <c r="AB319" s="110"/>
      <c r="AC319" s="226"/>
      <c r="AD319" s="226"/>
      <c r="AE319" s="55"/>
      <c r="AF319" s="202"/>
      <c r="AG319" s="227"/>
    </row>
    <row r="320" spans="1:33" s="222" customFormat="1">
      <c r="A320" s="135" t="s">
        <v>338</v>
      </c>
      <c r="B320" s="143" t="s">
        <v>393</v>
      </c>
      <c r="C320" s="137"/>
      <c r="D320" s="139">
        <v>197814</v>
      </c>
      <c r="E320" s="139">
        <v>10</v>
      </c>
      <c r="F320" s="194">
        <f t="shared" si="12"/>
        <v>76330</v>
      </c>
      <c r="G320" s="195">
        <f t="shared" si="14"/>
        <v>78472</v>
      </c>
      <c r="H320" s="223">
        <v>21132</v>
      </c>
      <c r="I320" s="117">
        <v>19235</v>
      </c>
      <c r="J320" s="223">
        <v>11751</v>
      </c>
      <c r="K320" s="224">
        <v>11649</v>
      </c>
      <c r="L320" s="223">
        <v>43447</v>
      </c>
      <c r="M320" s="223">
        <v>0</v>
      </c>
      <c r="N320" s="223">
        <v>0</v>
      </c>
      <c r="O320" s="117">
        <v>47588</v>
      </c>
      <c r="P320" s="224">
        <v>0</v>
      </c>
      <c r="Q320" s="224">
        <v>0</v>
      </c>
      <c r="R320" s="202"/>
      <c r="S320" s="225"/>
      <c r="T320" s="196">
        <f t="shared" si="13"/>
        <v>0</v>
      </c>
      <c r="U320" s="197">
        <f t="shared" si="15"/>
        <v>0</v>
      </c>
      <c r="V320" s="202"/>
      <c r="W320" s="56"/>
      <c r="X320" s="202"/>
      <c r="Y320" s="56"/>
      <c r="Z320" s="203"/>
      <c r="AA320" s="110"/>
      <c r="AB320" s="110"/>
      <c r="AC320" s="226"/>
      <c r="AD320" s="226"/>
      <c r="AE320" s="55"/>
      <c r="AF320" s="202"/>
      <c r="AG320" s="227"/>
    </row>
    <row r="321" spans="1:33" s="222" customFormat="1">
      <c r="A321" s="135" t="s">
        <v>338</v>
      </c>
      <c r="B321" s="143" t="s">
        <v>394</v>
      </c>
      <c r="C321" s="137"/>
      <c r="D321" s="139">
        <v>198640</v>
      </c>
      <c r="E321" s="139">
        <v>10</v>
      </c>
      <c r="F321" s="194">
        <f t="shared" si="12"/>
        <v>33630</v>
      </c>
      <c r="G321" s="195">
        <f t="shared" si="14"/>
        <v>32622</v>
      </c>
      <c r="H321" s="223">
        <v>12127</v>
      </c>
      <c r="I321" s="117">
        <v>10407</v>
      </c>
      <c r="J321" s="223">
        <v>6158</v>
      </c>
      <c r="K321" s="117">
        <v>5414</v>
      </c>
      <c r="L321" s="223">
        <v>14985</v>
      </c>
      <c r="M321" s="223">
        <v>360</v>
      </c>
      <c r="N321" s="223">
        <v>0</v>
      </c>
      <c r="O321" s="117">
        <v>16399</v>
      </c>
      <c r="P321" s="117">
        <v>402</v>
      </c>
      <c r="Q321" s="224">
        <v>0</v>
      </c>
      <c r="R321" s="202"/>
      <c r="S321" s="225"/>
      <c r="T321" s="196">
        <f t="shared" si="13"/>
        <v>0</v>
      </c>
      <c r="U321" s="197">
        <f t="shared" si="15"/>
        <v>0</v>
      </c>
      <c r="V321" s="202"/>
      <c r="W321" s="56"/>
      <c r="X321" s="202"/>
      <c r="Y321" s="56"/>
      <c r="Z321" s="203"/>
      <c r="AA321" s="110"/>
      <c r="AB321" s="110"/>
      <c r="AC321" s="226"/>
      <c r="AD321" s="226"/>
      <c r="AE321" s="55"/>
      <c r="AF321" s="202"/>
      <c r="AG321" s="227"/>
    </row>
    <row r="322" spans="1:33" s="222" customFormat="1">
      <c r="A322" s="135" t="s">
        <v>338</v>
      </c>
      <c r="B322" s="143" t="s">
        <v>395</v>
      </c>
      <c r="C322" s="145"/>
      <c r="D322" s="139">
        <v>198668</v>
      </c>
      <c r="E322" s="139">
        <v>10</v>
      </c>
      <c r="F322" s="194">
        <f t="shared" si="12"/>
        <v>54868</v>
      </c>
      <c r="G322" s="195">
        <f t="shared" si="14"/>
        <v>53163</v>
      </c>
      <c r="H322" s="223">
        <v>18882</v>
      </c>
      <c r="I322" s="224">
        <v>18313</v>
      </c>
      <c r="J322" s="223">
        <v>9437</v>
      </c>
      <c r="K322" s="224">
        <v>9678</v>
      </c>
      <c r="L322" s="223">
        <v>26549</v>
      </c>
      <c r="M322" s="223">
        <v>0</v>
      </c>
      <c r="N322" s="223">
        <v>0</v>
      </c>
      <c r="O322" s="117">
        <v>25172</v>
      </c>
      <c r="P322" s="224">
        <v>0</v>
      </c>
      <c r="Q322" s="224">
        <v>0</v>
      </c>
      <c r="R322" s="202"/>
      <c r="S322" s="225"/>
      <c r="T322" s="196">
        <f t="shared" si="13"/>
        <v>0</v>
      </c>
      <c r="U322" s="197">
        <f t="shared" si="15"/>
        <v>0</v>
      </c>
      <c r="V322" s="202"/>
      <c r="W322" s="56"/>
      <c r="X322" s="202"/>
      <c r="Y322" s="56"/>
      <c r="Z322" s="203"/>
      <c r="AA322" s="110"/>
      <c r="AB322" s="110"/>
      <c r="AC322" s="226"/>
      <c r="AD322" s="226"/>
      <c r="AE322" s="55"/>
      <c r="AF322" s="202"/>
      <c r="AG322" s="227"/>
    </row>
    <row r="323" spans="1:33" s="222" customFormat="1">
      <c r="A323" s="135" t="s">
        <v>338</v>
      </c>
      <c r="B323" s="143" t="s">
        <v>396</v>
      </c>
      <c r="C323" s="145"/>
      <c r="D323" s="139">
        <v>198710</v>
      </c>
      <c r="E323" s="146">
        <v>10</v>
      </c>
      <c r="F323" s="194">
        <f t="shared" si="12"/>
        <v>68134</v>
      </c>
      <c r="G323" s="195">
        <f t="shared" si="14"/>
        <v>66812</v>
      </c>
      <c r="H323" s="223">
        <v>24517.5</v>
      </c>
      <c r="I323" s="117">
        <v>21817</v>
      </c>
      <c r="J323" s="223">
        <v>15839.5</v>
      </c>
      <c r="K323" s="117">
        <v>14412</v>
      </c>
      <c r="L323" s="223">
        <v>27777</v>
      </c>
      <c r="M323" s="223">
        <v>0</v>
      </c>
      <c r="N323" s="223">
        <v>0</v>
      </c>
      <c r="O323" s="117">
        <v>30583</v>
      </c>
      <c r="P323" s="224">
        <v>0</v>
      </c>
      <c r="Q323" s="224">
        <v>0</v>
      </c>
      <c r="R323" s="202"/>
      <c r="S323" s="225"/>
      <c r="T323" s="196">
        <f t="shared" si="13"/>
        <v>0</v>
      </c>
      <c r="U323" s="197">
        <f t="shared" si="15"/>
        <v>0</v>
      </c>
      <c r="V323" s="202"/>
      <c r="W323" s="56"/>
      <c r="X323" s="202"/>
      <c r="Y323" s="56"/>
      <c r="Z323" s="203"/>
      <c r="AA323" s="110"/>
      <c r="AB323" s="110"/>
      <c r="AC323" s="226"/>
      <c r="AD323" s="226"/>
      <c r="AE323" s="55"/>
      <c r="AF323" s="202"/>
      <c r="AG323" s="227"/>
    </row>
    <row r="324" spans="1:33" s="222" customFormat="1">
      <c r="A324" s="135" t="s">
        <v>338</v>
      </c>
      <c r="B324" s="143" t="s">
        <v>397</v>
      </c>
      <c r="C324" s="137"/>
      <c r="D324" s="139">
        <v>198729</v>
      </c>
      <c r="E324" s="139">
        <v>10</v>
      </c>
      <c r="F324" s="194">
        <f t="shared" si="12"/>
        <v>24546</v>
      </c>
      <c r="G324" s="195">
        <f t="shared" si="14"/>
        <v>25055</v>
      </c>
      <c r="H324" s="223">
        <v>13627</v>
      </c>
      <c r="I324" s="224">
        <v>13272</v>
      </c>
      <c r="J324" s="223">
        <v>888</v>
      </c>
      <c r="K324" s="117">
        <v>520</v>
      </c>
      <c r="L324" s="223">
        <v>9483</v>
      </c>
      <c r="M324" s="223">
        <v>548</v>
      </c>
      <c r="N324" s="223">
        <v>0</v>
      </c>
      <c r="O324" s="117">
        <v>10570</v>
      </c>
      <c r="P324" s="117">
        <v>693</v>
      </c>
      <c r="Q324" s="224">
        <v>0</v>
      </c>
      <c r="R324" s="202"/>
      <c r="S324" s="225"/>
      <c r="T324" s="196">
        <f t="shared" si="13"/>
        <v>0</v>
      </c>
      <c r="U324" s="197">
        <f t="shared" si="15"/>
        <v>0</v>
      </c>
      <c r="V324" s="202"/>
      <c r="W324" s="56"/>
      <c r="X324" s="202"/>
      <c r="Y324" s="56"/>
      <c r="Z324" s="203"/>
      <c r="AA324" s="110"/>
      <c r="AB324" s="110"/>
      <c r="AC324" s="226"/>
      <c r="AD324" s="226"/>
      <c r="AE324" s="55"/>
      <c r="AF324" s="202"/>
      <c r="AG324" s="227"/>
    </row>
    <row r="325" spans="1:33" s="222" customFormat="1">
      <c r="A325" s="135" t="s">
        <v>338</v>
      </c>
      <c r="B325" s="143" t="s">
        <v>398</v>
      </c>
      <c r="C325" s="137"/>
      <c r="D325" s="139">
        <v>198905</v>
      </c>
      <c r="E325" s="139">
        <v>10</v>
      </c>
      <c r="F325" s="194">
        <f t="shared" si="12"/>
        <v>18019</v>
      </c>
      <c r="G325" s="195">
        <f t="shared" si="14"/>
        <v>18119</v>
      </c>
      <c r="H325" s="223">
        <v>6496</v>
      </c>
      <c r="I325" s="224">
        <v>6715</v>
      </c>
      <c r="J325" s="223">
        <v>1901</v>
      </c>
      <c r="K325" s="117">
        <v>1202</v>
      </c>
      <c r="L325" s="223">
        <v>9247</v>
      </c>
      <c r="M325" s="223">
        <v>375</v>
      </c>
      <c r="N325" s="223">
        <v>0</v>
      </c>
      <c r="O325" s="117">
        <v>9915</v>
      </c>
      <c r="P325" s="117">
        <v>287</v>
      </c>
      <c r="Q325" s="224">
        <v>0</v>
      </c>
      <c r="R325" s="202"/>
      <c r="S325" s="225"/>
      <c r="T325" s="196">
        <f t="shared" si="13"/>
        <v>0</v>
      </c>
      <c r="U325" s="197">
        <f t="shared" si="15"/>
        <v>0</v>
      </c>
      <c r="V325" s="202"/>
      <c r="W325" s="56"/>
      <c r="X325" s="202"/>
      <c r="Y325" s="56"/>
      <c r="Z325" s="203"/>
      <c r="AA325" s="110"/>
      <c r="AB325" s="110"/>
      <c r="AC325" s="226"/>
      <c r="AD325" s="226"/>
      <c r="AE325" s="55"/>
      <c r="AF325" s="202"/>
      <c r="AG325" s="227"/>
    </row>
    <row r="326" spans="1:33" s="222" customFormat="1">
      <c r="A326" s="135" t="s">
        <v>338</v>
      </c>
      <c r="B326" s="143" t="s">
        <v>399</v>
      </c>
      <c r="C326" s="137"/>
      <c r="D326" s="139">
        <v>198914</v>
      </c>
      <c r="E326" s="139">
        <v>10</v>
      </c>
      <c r="F326" s="194">
        <f t="shared" si="12"/>
        <v>26932</v>
      </c>
      <c r="G326" s="195">
        <f t="shared" si="14"/>
        <v>28244.5</v>
      </c>
      <c r="H326" s="223">
        <v>13404</v>
      </c>
      <c r="I326" s="117">
        <v>12498.5</v>
      </c>
      <c r="J326" s="223">
        <v>6799</v>
      </c>
      <c r="K326" s="224">
        <v>6518</v>
      </c>
      <c r="L326" s="223">
        <v>6729</v>
      </c>
      <c r="M326" s="223">
        <v>0</v>
      </c>
      <c r="N326" s="223">
        <v>0</v>
      </c>
      <c r="O326" s="117">
        <v>9228</v>
      </c>
      <c r="P326" s="224">
        <v>0</v>
      </c>
      <c r="Q326" s="224">
        <v>0</v>
      </c>
      <c r="R326" s="202"/>
      <c r="S326" s="225"/>
      <c r="T326" s="196">
        <f t="shared" si="13"/>
        <v>0</v>
      </c>
      <c r="U326" s="197">
        <f t="shared" si="15"/>
        <v>0</v>
      </c>
      <c r="V326" s="202"/>
      <c r="W326" s="56"/>
      <c r="X326" s="202"/>
      <c r="Y326" s="56"/>
      <c r="Z326" s="203"/>
      <c r="AA326" s="110"/>
      <c r="AB326" s="110"/>
      <c r="AC326" s="226"/>
      <c r="AD326" s="226"/>
      <c r="AE326" s="55"/>
      <c r="AF326" s="202"/>
      <c r="AG326" s="227"/>
    </row>
    <row r="327" spans="1:33" s="222" customFormat="1">
      <c r="A327" s="135" t="s">
        <v>338</v>
      </c>
      <c r="B327" s="143" t="s">
        <v>400</v>
      </c>
      <c r="C327" s="137"/>
      <c r="D327" s="139">
        <v>198923</v>
      </c>
      <c r="E327" s="139">
        <v>10</v>
      </c>
      <c r="F327" s="194">
        <f t="shared" si="12"/>
        <v>22309</v>
      </c>
      <c r="G327" s="195">
        <f t="shared" si="14"/>
        <v>22626</v>
      </c>
      <c r="H327" s="223">
        <v>13633</v>
      </c>
      <c r="I327" s="117">
        <v>12821</v>
      </c>
      <c r="J327" s="223">
        <v>0</v>
      </c>
      <c r="K327" s="117">
        <v>526</v>
      </c>
      <c r="L327" s="223">
        <v>8610</v>
      </c>
      <c r="M327" s="223">
        <v>66</v>
      </c>
      <c r="N327" s="223">
        <v>0</v>
      </c>
      <c r="O327" s="117">
        <v>9231</v>
      </c>
      <c r="P327" s="117">
        <v>48</v>
      </c>
      <c r="Q327" s="224">
        <v>0</v>
      </c>
      <c r="R327" s="202"/>
      <c r="S327" s="225"/>
      <c r="T327" s="196">
        <f t="shared" si="13"/>
        <v>0</v>
      </c>
      <c r="U327" s="197">
        <f t="shared" si="15"/>
        <v>0</v>
      </c>
      <c r="V327" s="202"/>
      <c r="W327" s="56"/>
      <c r="X327" s="202"/>
      <c r="Y327" s="56"/>
      <c r="Z327" s="203"/>
      <c r="AA327" s="110"/>
      <c r="AB327" s="110"/>
      <c r="AC327" s="226"/>
      <c r="AD327" s="226"/>
      <c r="AE327" s="55"/>
      <c r="AF327" s="202"/>
      <c r="AG327" s="227"/>
    </row>
    <row r="328" spans="1:33" s="222" customFormat="1">
      <c r="A328" s="135" t="s">
        <v>338</v>
      </c>
      <c r="B328" s="143" t="s">
        <v>401</v>
      </c>
      <c r="C328" s="137"/>
      <c r="D328" s="139">
        <v>199023</v>
      </c>
      <c r="E328" s="139">
        <v>10</v>
      </c>
      <c r="F328" s="194">
        <f t="shared" si="12"/>
        <v>17590</v>
      </c>
      <c r="G328" s="195">
        <f t="shared" si="14"/>
        <v>17766</v>
      </c>
      <c r="H328" s="223">
        <v>7192</v>
      </c>
      <c r="I328" s="224">
        <v>7398</v>
      </c>
      <c r="J328" s="223">
        <v>1144</v>
      </c>
      <c r="K328" s="117">
        <v>1529</v>
      </c>
      <c r="L328" s="223">
        <v>9206</v>
      </c>
      <c r="M328" s="223">
        <v>48</v>
      </c>
      <c r="N328" s="223">
        <v>0</v>
      </c>
      <c r="O328" s="224">
        <v>8827</v>
      </c>
      <c r="P328" s="117">
        <v>12</v>
      </c>
      <c r="Q328" s="224">
        <v>0</v>
      </c>
      <c r="R328" s="202"/>
      <c r="S328" s="225"/>
      <c r="T328" s="196">
        <f t="shared" si="13"/>
        <v>0</v>
      </c>
      <c r="U328" s="197">
        <f t="shared" si="15"/>
        <v>0</v>
      </c>
      <c r="V328" s="202"/>
      <c r="W328" s="56"/>
      <c r="X328" s="202"/>
      <c r="Y328" s="56"/>
      <c r="Z328" s="203"/>
      <c r="AA328" s="110"/>
      <c r="AB328" s="110"/>
      <c r="AC328" s="226"/>
      <c r="AD328" s="226"/>
      <c r="AE328" s="55"/>
      <c r="AF328" s="202"/>
      <c r="AG328" s="227"/>
    </row>
    <row r="329" spans="1:33" s="222" customFormat="1">
      <c r="A329" s="135" t="s">
        <v>338</v>
      </c>
      <c r="B329" s="143" t="s">
        <v>402</v>
      </c>
      <c r="C329" s="137"/>
      <c r="D329" s="139">
        <v>199263</v>
      </c>
      <c r="E329" s="139">
        <v>10</v>
      </c>
      <c r="F329" s="194">
        <f t="shared" si="12"/>
        <v>11905</v>
      </c>
      <c r="G329" s="195">
        <f t="shared" si="14"/>
        <v>12700</v>
      </c>
      <c r="H329" s="223">
        <v>1765</v>
      </c>
      <c r="I329" s="117">
        <v>1353</v>
      </c>
      <c r="J329" s="223">
        <v>3870</v>
      </c>
      <c r="K329" s="117">
        <v>4329</v>
      </c>
      <c r="L329" s="223">
        <v>6261</v>
      </c>
      <c r="M329" s="223">
        <v>9</v>
      </c>
      <c r="N329" s="223">
        <v>0</v>
      </c>
      <c r="O329" s="117">
        <v>7018</v>
      </c>
      <c r="P329" s="117">
        <v>0</v>
      </c>
      <c r="Q329" s="224">
        <v>0</v>
      </c>
      <c r="R329" s="202"/>
      <c r="S329" s="225"/>
      <c r="T329" s="196">
        <f t="shared" si="13"/>
        <v>0</v>
      </c>
      <c r="U329" s="197">
        <f t="shared" si="15"/>
        <v>0</v>
      </c>
      <c r="V329" s="202"/>
      <c r="W329" s="56"/>
      <c r="X329" s="202"/>
      <c r="Y329" s="56"/>
      <c r="Z329" s="203"/>
      <c r="AA329" s="110"/>
      <c r="AB329" s="110"/>
      <c r="AC329" s="226"/>
      <c r="AD329" s="226"/>
      <c r="AE329" s="55"/>
      <c r="AF329" s="202"/>
      <c r="AG329" s="227"/>
    </row>
    <row r="330" spans="1:33" s="222" customFormat="1">
      <c r="A330" s="135" t="s">
        <v>338</v>
      </c>
      <c r="B330" s="143" t="s">
        <v>403</v>
      </c>
      <c r="C330" s="137"/>
      <c r="D330" s="139">
        <v>199324</v>
      </c>
      <c r="E330" s="139">
        <v>10</v>
      </c>
      <c r="F330" s="194">
        <f t="shared" si="12"/>
        <v>27632.5</v>
      </c>
      <c r="G330" s="195">
        <f t="shared" si="14"/>
        <v>24960.5</v>
      </c>
      <c r="H330" s="223">
        <v>16150.5</v>
      </c>
      <c r="I330" s="117">
        <v>12948.5</v>
      </c>
      <c r="J330" s="223">
        <v>1112</v>
      </c>
      <c r="K330" s="117">
        <v>1183</v>
      </c>
      <c r="L330" s="223">
        <v>8483</v>
      </c>
      <c r="M330" s="223">
        <v>1887</v>
      </c>
      <c r="N330" s="223">
        <v>0</v>
      </c>
      <c r="O330" s="117">
        <v>9186</v>
      </c>
      <c r="P330" s="117">
        <v>1625</v>
      </c>
      <c r="Q330" s="117">
        <v>18</v>
      </c>
      <c r="R330" s="202"/>
      <c r="S330" s="225"/>
      <c r="T330" s="196">
        <f t="shared" si="13"/>
        <v>0</v>
      </c>
      <c r="U330" s="197">
        <f t="shared" si="15"/>
        <v>0</v>
      </c>
      <c r="V330" s="202"/>
      <c r="W330" s="56"/>
      <c r="X330" s="202"/>
      <c r="Y330" s="56"/>
      <c r="Z330" s="203"/>
      <c r="AA330" s="110"/>
      <c r="AB330" s="110"/>
      <c r="AC330" s="226"/>
      <c r="AD330" s="226"/>
      <c r="AE330" s="55"/>
      <c r="AF330" s="202"/>
      <c r="AG330" s="227"/>
    </row>
    <row r="331" spans="1:33" s="222" customFormat="1">
      <c r="A331" s="135" t="s">
        <v>338</v>
      </c>
      <c r="B331" s="143" t="s">
        <v>404</v>
      </c>
      <c r="C331" s="137"/>
      <c r="D331" s="139">
        <v>199467</v>
      </c>
      <c r="E331" s="139">
        <v>10</v>
      </c>
      <c r="F331" s="194">
        <f t="shared" si="12"/>
        <v>22563</v>
      </c>
      <c r="G331" s="195">
        <f t="shared" si="14"/>
        <v>21531</v>
      </c>
      <c r="H331" s="223">
        <v>8843</v>
      </c>
      <c r="I331" s="117">
        <v>7694</v>
      </c>
      <c r="J331" s="223">
        <v>3062</v>
      </c>
      <c r="K331" s="117">
        <v>2693</v>
      </c>
      <c r="L331" s="223">
        <v>10419</v>
      </c>
      <c r="M331" s="223">
        <v>239</v>
      </c>
      <c r="N331" s="223">
        <v>0</v>
      </c>
      <c r="O331" s="117">
        <v>10998</v>
      </c>
      <c r="P331" s="117">
        <v>146</v>
      </c>
      <c r="Q331" s="224">
        <v>0</v>
      </c>
      <c r="R331" s="202"/>
      <c r="S331" s="225"/>
      <c r="T331" s="196">
        <f t="shared" si="13"/>
        <v>0</v>
      </c>
      <c r="U331" s="197">
        <f t="shared" si="15"/>
        <v>0</v>
      </c>
      <c r="V331" s="202"/>
      <c r="W331" s="56"/>
      <c r="X331" s="202"/>
      <c r="Y331" s="56"/>
      <c r="Z331" s="203"/>
      <c r="AA331" s="110"/>
      <c r="AB331" s="110"/>
      <c r="AC331" s="226"/>
      <c r="AD331" s="226"/>
      <c r="AE331" s="55"/>
      <c r="AF331" s="202"/>
      <c r="AG331" s="227"/>
    </row>
    <row r="332" spans="1:33" s="222" customFormat="1">
      <c r="A332" s="135" t="s">
        <v>338</v>
      </c>
      <c r="B332" s="143" t="s">
        <v>405</v>
      </c>
      <c r="C332" s="137"/>
      <c r="D332" s="139">
        <v>199485</v>
      </c>
      <c r="E332" s="139">
        <v>10</v>
      </c>
      <c r="F332" s="194">
        <f t="shared" si="12"/>
        <v>36444</v>
      </c>
      <c r="G332" s="195">
        <f t="shared" si="14"/>
        <v>35179</v>
      </c>
      <c r="H332" s="223">
        <v>27877</v>
      </c>
      <c r="I332" s="117">
        <v>22655</v>
      </c>
      <c r="J332" s="223">
        <v>12</v>
      </c>
      <c r="K332" s="117">
        <v>596</v>
      </c>
      <c r="L332" s="223">
        <v>8525</v>
      </c>
      <c r="M332" s="223">
        <v>30</v>
      </c>
      <c r="N332" s="223">
        <v>0</v>
      </c>
      <c r="O332" s="117">
        <v>11874</v>
      </c>
      <c r="P332" s="117">
        <v>54</v>
      </c>
      <c r="Q332" s="224">
        <v>0</v>
      </c>
      <c r="R332" s="202"/>
      <c r="S332" s="225"/>
      <c r="T332" s="196">
        <f t="shared" si="13"/>
        <v>0</v>
      </c>
      <c r="U332" s="197">
        <f t="shared" si="15"/>
        <v>0</v>
      </c>
      <c r="V332" s="202"/>
      <c r="W332" s="56"/>
      <c r="X332" s="202"/>
      <c r="Y332" s="56"/>
      <c r="Z332" s="203"/>
      <c r="AA332" s="110"/>
      <c r="AB332" s="110"/>
      <c r="AC332" s="226"/>
      <c r="AD332" s="226"/>
      <c r="AE332" s="55"/>
      <c r="AF332" s="202"/>
      <c r="AG332" s="227"/>
    </row>
    <row r="333" spans="1:33" s="222" customFormat="1">
      <c r="A333" s="135" t="s">
        <v>338</v>
      </c>
      <c r="B333" s="143" t="s">
        <v>406</v>
      </c>
      <c r="C333" s="137"/>
      <c r="D333" s="139">
        <v>199625</v>
      </c>
      <c r="E333" s="139">
        <v>10</v>
      </c>
      <c r="F333" s="194">
        <f t="shared" si="12"/>
        <v>37344</v>
      </c>
      <c r="G333" s="195">
        <f t="shared" si="14"/>
        <v>44285</v>
      </c>
      <c r="H333" s="223">
        <v>18473</v>
      </c>
      <c r="I333" s="117">
        <v>15970</v>
      </c>
      <c r="J333" s="223">
        <v>4894</v>
      </c>
      <c r="K333" s="117">
        <v>6082</v>
      </c>
      <c r="L333" s="223">
        <v>13423</v>
      </c>
      <c r="M333" s="223">
        <v>476</v>
      </c>
      <c r="N333" s="223">
        <v>78</v>
      </c>
      <c r="O333" s="117">
        <v>22119</v>
      </c>
      <c r="P333" s="117">
        <v>114</v>
      </c>
      <c r="Q333" s="117">
        <v>0</v>
      </c>
      <c r="R333" s="202"/>
      <c r="S333" s="225"/>
      <c r="T333" s="196">
        <f t="shared" si="13"/>
        <v>0</v>
      </c>
      <c r="U333" s="197">
        <f t="shared" si="15"/>
        <v>0</v>
      </c>
      <c r="V333" s="202"/>
      <c r="W333" s="56"/>
      <c r="X333" s="202"/>
      <c r="Y333" s="56"/>
      <c r="Z333" s="203"/>
      <c r="AA333" s="110"/>
      <c r="AB333" s="110"/>
      <c r="AC333" s="226"/>
      <c r="AD333" s="226"/>
      <c r="AE333" s="55"/>
      <c r="AF333" s="202"/>
      <c r="AG333" s="227"/>
    </row>
    <row r="334" spans="1:33" s="222" customFormat="1" ht="15">
      <c r="A334" s="135" t="s">
        <v>338</v>
      </c>
      <c r="B334" s="143" t="s">
        <v>407</v>
      </c>
      <c r="C334" s="349" t="s">
        <v>866</v>
      </c>
      <c r="D334" s="139">
        <v>197850</v>
      </c>
      <c r="E334" s="139">
        <v>10</v>
      </c>
      <c r="F334" s="194">
        <f t="shared" si="12"/>
        <v>75732</v>
      </c>
      <c r="G334" s="195">
        <f t="shared" si="14"/>
        <v>55539</v>
      </c>
      <c r="H334" s="223">
        <v>15456</v>
      </c>
      <c r="I334" s="224">
        <v>15891</v>
      </c>
      <c r="J334" s="223">
        <v>9228</v>
      </c>
      <c r="K334" s="117">
        <v>3494</v>
      </c>
      <c r="L334" s="223">
        <v>50093</v>
      </c>
      <c r="M334" s="223">
        <v>955</v>
      </c>
      <c r="N334" s="223">
        <v>0</v>
      </c>
      <c r="O334" s="117">
        <v>35448</v>
      </c>
      <c r="P334" s="117">
        <v>706</v>
      </c>
      <c r="Q334" s="224">
        <v>0</v>
      </c>
      <c r="R334" s="202"/>
      <c r="S334" s="225"/>
      <c r="T334" s="196">
        <f t="shared" si="13"/>
        <v>0</v>
      </c>
      <c r="U334" s="197">
        <f t="shared" si="15"/>
        <v>0</v>
      </c>
      <c r="V334" s="202"/>
      <c r="W334" s="56"/>
      <c r="X334" s="202"/>
      <c r="Y334" s="56"/>
      <c r="Z334" s="203"/>
      <c r="AA334" s="110"/>
      <c r="AB334" s="110"/>
      <c r="AC334" s="226"/>
      <c r="AD334" s="226"/>
      <c r="AE334" s="55"/>
      <c r="AF334" s="202"/>
      <c r="AG334" s="227"/>
    </row>
    <row r="335" spans="1:33" s="222" customFormat="1" ht="15">
      <c r="A335" s="135" t="s">
        <v>338</v>
      </c>
      <c r="B335" s="143" t="s">
        <v>408</v>
      </c>
      <c r="C335" s="349"/>
      <c r="D335" s="139">
        <v>199722</v>
      </c>
      <c r="E335" s="139">
        <v>10</v>
      </c>
      <c r="F335" s="194">
        <f t="shared" si="12"/>
        <v>44902</v>
      </c>
      <c r="G335" s="195">
        <f t="shared" si="14"/>
        <v>44241</v>
      </c>
      <c r="H335" s="223">
        <v>17487</v>
      </c>
      <c r="I335" s="117">
        <v>14340</v>
      </c>
      <c r="J335" s="223">
        <v>7290</v>
      </c>
      <c r="K335" s="117">
        <v>5972</v>
      </c>
      <c r="L335" s="223">
        <v>19591</v>
      </c>
      <c r="M335" s="223">
        <v>534</v>
      </c>
      <c r="N335" s="223">
        <v>0</v>
      </c>
      <c r="O335" s="117">
        <v>22915</v>
      </c>
      <c r="P335" s="117">
        <v>1014</v>
      </c>
      <c r="Q335" s="224">
        <v>0</v>
      </c>
      <c r="R335" s="202"/>
      <c r="S335" s="225"/>
      <c r="T335" s="196">
        <f t="shared" si="13"/>
        <v>0</v>
      </c>
      <c r="U335" s="197">
        <f t="shared" si="15"/>
        <v>0</v>
      </c>
      <c r="V335" s="202"/>
      <c r="W335" s="56"/>
      <c r="X335" s="202"/>
      <c r="Y335" s="56"/>
      <c r="Z335" s="203"/>
      <c r="AA335" s="110"/>
      <c r="AB335" s="110"/>
      <c r="AC335" s="226"/>
      <c r="AD335" s="226"/>
      <c r="AE335" s="55"/>
      <c r="AF335" s="202"/>
      <c r="AG335" s="227"/>
    </row>
    <row r="336" spans="1:33" s="222" customFormat="1" ht="15">
      <c r="A336" s="135" t="s">
        <v>338</v>
      </c>
      <c r="B336" s="143" t="s">
        <v>409</v>
      </c>
      <c r="C336" s="349" t="s">
        <v>866</v>
      </c>
      <c r="D336" s="139">
        <v>199731</v>
      </c>
      <c r="E336" s="139">
        <v>10</v>
      </c>
      <c r="F336" s="194">
        <f t="shared" si="12"/>
        <v>76586</v>
      </c>
      <c r="G336" s="195">
        <f t="shared" si="14"/>
        <v>76933</v>
      </c>
      <c r="H336" s="223">
        <v>28700</v>
      </c>
      <c r="I336" s="224">
        <v>28754</v>
      </c>
      <c r="J336" s="223">
        <v>15402</v>
      </c>
      <c r="K336" s="224">
        <v>15990</v>
      </c>
      <c r="L336" s="223">
        <v>32002</v>
      </c>
      <c r="M336" s="223">
        <v>482</v>
      </c>
      <c r="N336" s="223">
        <v>0</v>
      </c>
      <c r="O336" s="224">
        <v>31959</v>
      </c>
      <c r="P336" s="117">
        <v>230</v>
      </c>
      <c r="Q336" s="224">
        <v>0</v>
      </c>
      <c r="R336" s="202"/>
      <c r="S336" s="225"/>
      <c r="T336" s="196">
        <f t="shared" si="13"/>
        <v>0</v>
      </c>
      <c r="U336" s="197">
        <f t="shared" si="15"/>
        <v>0</v>
      </c>
      <c r="V336" s="202"/>
      <c r="W336" s="56"/>
      <c r="X336" s="202"/>
      <c r="Y336" s="56"/>
      <c r="Z336" s="203"/>
      <c r="AA336" s="110"/>
      <c r="AB336" s="110"/>
      <c r="AC336" s="226"/>
      <c r="AD336" s="226"/>
      <c r="AE336" s="55"/>
      <c r="AF336" s="202"/>
      <c r="AG336" s="227"/>
    </row>
    <row r="337" spans="1:33" s="222" customFormat="1">
      <c r="A337" s="135" t="s">
        <v>338</v>
      </c>
      <c r="B337" s="143" t="s">
        <v>410</v>
      </c>
      <c r="C337" s="137"/>
      <c r="D337" s="139">
        <v>199795</v>
      </c>
      <c r="E337" s="139">
        <v>10</v>
      </c>
      <c r="F337" s="194">
        <f t="shared" si="12"/>
        <v>39463</v>
      </c>
      <c r="G337" s="195">
        <f t="shared" si="14"/>
        <v>36035</v>
      </c>
      <c r="H337" s="223">
        <v>7850</v>
      </c>
      <c r="I337" s="117">
        <v>7155</v>
      </c>
      <c r="J337" s="223">
        <v>3558</v>
      </c>
      <c r="K337" s="224">
        <v>3510</v>
      </c>
      <c r="L337" s="223">
        <v>27851</v>
      </c>
      <c r="M337" s="223">
        <v>204</v>
      </c>
      <c r="N337" s="223">
        <v>0</v>
      </c>
      <c r="O337" s="117">
        <v>25132</v>
      </c>
      <c r="P337" s="117">
        <v>238</v>
      </c>
      <c r="Q337" s="224">
        <v>0</v>
      </c>
      <c r="R337" s="202"/>
      <c r="S337" s="225"/>
      <c r="T337" s="196">
        <f t="shared" si="13"/>
        <v>0</v>
      </c>
      <c r="U337" s="197">
        <f t="shared" si="15"/>
        <v>0</v>
      </c>
      <c r="V337" s="202"/>
      <c r="W337" s="56"/>
      <c r="X337" s="202"/>
      <c r="Y337" s="56"/>
      <c r="Z337" s="203"/>
      <c r="AA337" s="110"/>
      <c r="AB337" s="110"/>
      <c r="AC337" s="226"/>
      <c r="AD337" s="226"/>
      <c r="AE337" s="55"/>
      <c r="AF337" s="202"/>
      <c r="AG337" s="227"/>
    </row>
    <row r="338" spans="1:33" s="222" customFormat="1">
      <c r="A338" s="135" t="s">
        <v>338</v>
      </c>
      <c r="B338" s="143" t="s">
        <v>411</v>
      </c>
      <c r="C338" s="137"/>
      <c r="D338" s="139">
        <v>199953</v>
      </c>
      <c r="E338" s="139">
        <v>10</v>
      </c>
      <c r="F338" s="194">
        <f t="shared" si="12"/>
        <v>60522</v>
      </c>
      <c r="G338" s="195">
        <f t="shared" si="14"/>
        <v>62913.5</v>
      </c>
      <c r="H338" s="223">
        <v>15223</v>
      </c>
      <c r="I338" s="117">
        <v>14379.5</v>
      </c>
      <c r="J338" s="223">
        <v>8367</v>
      </c>
      <c r="K338" s="224">
        <v>8528</v>
      </c>
      <c r="L338" s="223">
        <v>36932</v>
      </c>
      <c r="M338" s="223">
        <v>0</v>
      </c>
      <c r="N338" s="223">
        <v>0</v>
      </c>
      <c r="O338" s="117">
        <v>40006</v>
      </c>
      <c r="P338" s="224">
        <v>0</v>
      </c>
      <c r="Q338" s="224">
        <v>0</v>
      </c>
      <c r="R338" s="202"/>
      <c r="S338" s="225"/>
      <c r="T338" s="196">
        <f t="shared" si="13"/>
        <v>0</v>
      </c>
      <c r="U338" s="197">
        <f t="shared" si="15"/>
        <v>0</v>
      </c>
      <c r="V338" s="202"/>
      <c r="W338" s="56"/>
      <c r="X338" s="202"/>
      <c r="Y338" s="56"/>
      <c r="Z338" s="203"/>
      <c r="AA338" s="110"/>
      <c r="AB338" s="110"/>
      <c r="AC338" s="226"/>
      <c r="AD338" s="226"/>
      <c r="AE338" s="55"/>
      <c r="AF338" s="202"/>
      <c r="AG338" s="227"/>
    </row>
    <row r="339" spans="1:33" s="192" customFormat="1" ht="13.9" customHeight="1">
      <c r="A339" s="182" t="s">
        <v>338</v>
      </c>
      <c r="B339" s="176" t="s">
        <v>339</v>
      </c>
      <c r="C339" s="179"/>
      <c r="D339" s="175">
        <v>199193</v>
      </c>
      <c r="E339" s="175">
        <v>1</v>
      </c>
      <c r="F339" s="194">
        <f t="shared" si="12"/>
        <v>691738</v>
      </c>
      <c r="G339" s="195">
        <f t="shared" si="14"/>
        <v>677964</v>
      </c>
      <c r="H339" s="202">
        <v>591971</v>
      </c>
      <c r="I339" s="56">
        <v>575959</v>
      </c>
      <c r="J339" s="202">
        <v>6181</v>
      </c>
      <c r="K339" s="115">
        <v>3644</v>
      </c>
      <c r="L339" s="203">
        <v>92867</v>
      </c>
      <c r="M339" s="110">
        <v>0</v>
      </c>
      <c r="N339" s="110">
        <v>719</v>
      </c>
      <c r="O339" s="47">
        <v>95614</v>
      </c>
      <c r="P339" s="47">
        <v>0</v>
      </c>
      <c r="Q339" s="117">
        <v>2747</v>
      </c>
      <c r="R339" s="202"/>
      <c r="S339" s="46"/>
      <c r="T339" s="196">
        <f t="shared" si="13"/>
        <v>149019</v>
      </c>
      <c r="U339" s="197">
        <f t="shared" si="15"/>
        <v>151973</v>
      </c>
      <c r="V339" s="202">
        <v>117008</v>
      </c>
      <c r="W339" s="56">
        <v>117347</v>
      </c>
      <c r="X339" s="202">
        <v>4556</v>
      </c>
      <c r="Y339" s="56">
        <v>4567</v>
      </c>
      <c r="Z339" s="203">
        <v>26165</v>
      </c>
      <c r="AA339" s="110">
        <v>0</v>
      </c>
      <c r="AB339" s="110">
        <v>1290</v>
      </c>
      <c r="AC339" s="111">
        <v>28562</v>
      </c>
      <c r="AD339" s="47">
        <v>0</v>
      </c>
      <c r="AE339" s="117">
        <v>1497</v>
      </c>
      <c r="AF339" s="202"/>
      <c r="AG339" s="49"/>
    </row>
    <row r="340" spans="1:33" s="193" customFormat="1">
      <c r="A340" s="182" t="s">
        <v>338</v>
      </c>
      <c r="B340" s="176" t="s">
        <v>340</v>
      </c>
      <c r="C340" s="179"/>
      <c r="D340" s="175">
        <v>199120</v>
      </c>
      <c r="E340" s="175">
        <v>1</v>
      </c>
      <c r="F340" s="194">
        <f t="shared" si="12"/>
        <v>503039</v>
      </c>
      <c r="G340" s="195">
        <f t="shared" si="14"/>
        <v>516898</v>
      </c>
      <c r="H340" s="202">
        <v>485287</v>
      </c>
      <c r="I340" s="56">
        <v>498909</v>
      </c>
      <c r="J340" s="202">
        <v>490</v>
      </c>
      <c r="K340" s="115">
        <v>20</v>
      </c>
      <c r="L340" s="203">
        <v>17262</v>
      </c>
      <c r="M340" s="110">
        <v>0</v>
      </c>
      <c r="N340" s="110">
        <v>0</v>
      </c>
      <c r="O340" s="47">
        <v>17951</v>
      </c>
      <c r="P340" s="111">
        <v>18</v>
      </c>
      <c r="Q340" s="55">
        <v>0</v>
      </c>
      <c r="R340" s="202"/>
      <c r="S340" s="46"/>
      <c r="T340" s="196">
        <f t="shared" si="13"/>
        <v>182911</v>
      </c>
      <c r="U340" s="197">
        <f t="shared" si="15"/>
        <v>179274</v>
      </c>
      <c r="V340" s="202">
        <v>149953</v>
      </c>
      <c r="W340" s="56">
        <v>147558</v>
      </c>
      <c r="X340" s="202">
        <v>13353</v>
      </c>
      <c r="Y340" s="115">
        <v>2308</v>
      </c>
      <c r="Z340" s="203">
        <v>19504</v>
      </c>
      <c r="AA340" s="110">
        <v>101</v>
      </c>
      <c r="AB340" s="110">
        <v>0</v>
      </c>
      <c r="AC340" s="111">
        <v>29302</v>
      </c>
      <c r="AD340" s="47">
        <v>106</v>
      </c>
      <c r="AE340" s="55">
        <v>0</v>
      </c>
      <c r="AF340" s="202"/>
      <c r="AG340" s="49"/>
    </row>
    <row r="341" spans="1:33" s="193" customFormat="1">
      <c r="A341" s="182" t="s">
        <v>338</v>
      </c>
      <c r="B341" s="176" t="s">
        <v>341</v>
      </c>
      <c r="C341" s="174"/>
      <c r="D341" s="175">
        <v>199139</v>
      </c>
      <c r="E341" s="184">
        <v>1</v>
      </c>
      <c r="F341" s="194">
        <f t="shared" si="12"/>
        <v>633827</v>
      </c>
      <c r="G341" s="195">
        <f t="shared" si="14"/>
        <v>656459</v>
      </c>
      <c r="H341" s="202">
        <v>571698</v>
      </c>
      <c r="I341" s="56">
        <v>569451</v>
      </c>
      <c r="J341" s="202">
        <v>0</v>
      </c>
      <c r="K341" s="56">
        <v>0</v>
      </c>
      <c r="L341" s="203">
        <v>61924</v>
      </c>
      <c r="M341" s="110">
        <v>205</v>
      </c>
      <c r="N341" s="110">
        <v>0</v>
      </c>
      <c r="O341" s="111">
        <v>86855</v>
      </c>
      <c r="P341" s="111">
        <v>153</v>
      </c>
      <c r="Q341" s="55">
        <v>0</v>
      </c>
      <c r="R341" s="202"/>
      <c r="S341" s="46"/>
      <c r="T341" s="196">
        <f t="shared" si="13"/>
        <v>81828</v>
      </c>
      <c r="U341" s="197">
        <f t="shared" si="15"/>
        <v>85738</v>
      </c>
      <c r="V341" s="202">
        <v>66567</v>
      </c>
      <c r="W341" s="56">
        <v>69129</v>
      </c>
      <c r="X341" s="202">
        <v>1757</v>
      </c>
      <c r="Y341" s="115">
        <v>0</v>
      </c>
      <c r="Z341" s="203">
        <v>13504</v>
      </c>
      <c r="AA341" s="110">
        <v>0</v>
      </c>
      <c r="AB341" s="110">
        <v>0</v>
      </c>
      <c r="AC341" s="111">
        <v>16609</v>
      </c>
      <c r="AD341" s="47">
        <v>0</v>
      </c>
      <c r="AE341" s="55">
        <v>0</v>
      </c>
      <c r="AF341" s="202"/>
      <c r="AG341" s="49"/>
    </row>
    <row r="342" spans="1:33" s="193" customFormat="1">
      <c r="A342" s="182" t="s">
        <v>338</v>
      </c>
      <c r="B342" s="176" t="s">
        <v>342</v>
      </c>
      <c r="C342" s="179"/>
      <c r="D342" s="175">
        <v>199148</v>
      </c>
      <c r="E342" s="175">
        <v>1</v>
      </c>
      <c r="F342" s="194">
        <f t="shared" si="12"/>
        <v>419735</v>
      </c>
      <c r="G342" s="195">
        <f t="shared" si="14"/>
        <v>443938</v>
      </c>
      <c r="H342" s="202">
        <v>329032</v>
      </c>
      <c r="I342" s="115">
        <v>346189</v>
      </c>
      <c r="J342" s="202">
        <v>2677</v>
      </c>
      <c r="K342" s="115">
        <v>0</v>
      </c>
      <c r="L342" s="203">
        <v>88026</v>
      </c>
      <c r="M342" s="110">
        <v>0</v>
      </c>
      <c r="N342" s="110">
        <v>0</v>
      </c>
      <c r="O342" s="111">
        <v>97749</v>
      </c>
      <c r="P342" s="47">
        <v>0</v>
      </c>
      <c r="Q342" s="55">
        <v>0</v>
      </c>
      <c r="R342" s="202"/>
      <c r="S342" s="46"/>
      <c r="T342" s="196">
        <f t="shared" si="13"/>
        <v>65262</v>
      </c>
      <c r="U342" s="197">
        <f t="shared" si="15"/>
        <v>56810</v>
      </c>
      <c r="V342" s="202">
        <v>49969</v>
      </c>
      <c r="W342" s="115">
        <v>41863</v>
      </c>
      <c r="X342" s="202">
        <v>1493</v>
      </c>
      <c r="Y342" s="115">
        <v>0</v>
      </c>
      <c r="Z342" s="203">
        <v>13764</v>
      </c>
      <c r="AA342" s="110">
        <v>36</v>
      </c>
      <c r="AB342" s="110">
        <v>0</v>
      </c>
      <c r="AC342" s="111">
        <v>14947</v>
      </c>
      <c r="AD342" s="111">
        <v>0</v>
      </c>
      <c r="AE342" s="55">
        <v>0</v>
      </c>
      <c r="AF342" s="202"/>
      <c r="AG342" s="49"/>
    </row>
    <row r="343" spans="1:33" s="193" customFormat="1">
      <c r="A343" s="182" t="s">
        <v>338</v>
      </c>
      <c r="B343" s="176" t="s">
        <v>343</v>
      </c>
      <c r="C343" s="174"/>
      <c r="D343" s="175">
        <v>198464</v>
      </c>
      <c r="E343" s="175">
        <v>2</v>
      </c>
      <c r="F343" s="194">
        <f t="shared" si="12"/>
        <v>615334</v>
      </c>
      <c r="G343" s="195">
        <f t="shared" si="14"/>
        <v>636002</v>
      </c>
      <c r="H343" s="202">
        <v>491385</v>
      </c>
      <c r="I343" s="56">
        <v>502213</v>
      </c>
      <c r="J343" s="202">
        <v>457</v>
      </c>
      <c r="K343" s="115">
        <v>2812</v>
      </c>
      <c r="L343" s="203">
        <v>123471</v>
      </c>
      <c r="M343" s="110">
        <v>21</v>
      </c>
      <c r="N343" s="110">
        <v>0</v>
      </c>
      <c r="O343" s="111">
        <v>130962</v>
      </c>
      <c r="P343" s="111">
        <v>15</v>
      </c>
      <c r="Q343" s="55">
        <v>0</v>
      </c>
      <c r="R343" s="202"/>
      <c r="S343" s="46"/>
      <c r="T343" s="196">
        <f t="shared" si="13"/>
        <v>80537</v>
      </c>
      <c r="U343" s="197">
        <f t="shared" si="15"/>
        <v>80701</v>
      </c>
      <c r="V343" s="202">
        <v>36882</v>
      </c>
      <c r="W343" s="115">
        <v>34350</v>
      </c>
      <c r="X343" s="202">
        <v>4759</v>
      </c>
      <c r="Y343" s="115">
        <v>4318</v>
      </c>
      <c r="Z343" s="203">
        <v>38896</v>
      </c>
      <c r="AA343" s="110">
        <v>0</v>
      </c>
      <c r="AB343" s="110">
        <v>0</v>
      </c>
      <c r="AC343" s="111">
        <v>42031</v>
      </c>
      <c r="AD343" s="111">
        <v>2</v>
      </c>
      <c r="AE343" s="55">
        <v>0</v>
      </c>
      <c r="AF343" s="202"/>
      <c r="AG343" s="49"/>
    </row>
    <row r="344" spans="1:33" s="193" customFormat="1">
      <c r="A344" s="182" t="s">
        <v>338</v>
      </c>
      <c r="B344" s="176" t="s">
        <v>344</v>
      </c>
      <c r="C344" s="179"/>
      <c r="D344" s="175">
        <v>197869</v>
      </c>
      <c r="E344" s="175">
        <v>3</v>
      </c>
      <c r="F344" s="194">
        <f t="shared" si="12"/>
        <v>489055</v>
      </c>
      <c r="G344" s="195">
        <f t="shared" si="14"/>
        <v>500723</v>
      </c>
      <c r="H344" s="202">
        <v>458494</v>
      </c>
      <c r="I344" s="56">
        <v>460590</v>
      </c>
      <c r="J344" s="202">
        <v>2441</v>
      </c>
      <c r="K344" s="115">
        <v>3152</v>
      </c>
      <c r="L344" s="203">
        <v>28039</v>
      </c>
      <c r="M344" s="110">
        <v>81</v>
      </c>
      <c r="N344" s="110">
        <v>0</v>
      </c>
      <c r="O344" s="111">
        <v>36981</v>
      </c>
      <c r="P344" s="111">
        <v>0</v>
      </c>
      <c r="Q344" s="55">
        <v>0</v>
      </c>
      <c r="R344" s="202"/>
      <c r="S344" s="46"/>
      <c r="T344" s="196">
        <f t="shared" si="13"/>
        <v>30550</v>
      </c>
      <c r="U344" s="197">
        <f t="shared" si="15"/>
        <v>33924</v>
      </c>
      <c r="V344" s="202">
        <v>23070</v>
      </c>
      <c r="W344" s="56">
        <v>24135</v>
      </c>
      <c r="X344" s="202">
        <v>1815</v>
      </c>
      <c r="Y344" s="115">
        <v>1391</v>
      </c>
      <c r="Z344" s="203">
        <v>5656</v>
      </c>
      <c r="AA344" s="110">
        <v>9</v>
      </c>
      <c r="AB344" s="110">
        <v>0</v>
      </c>
      <c r="AC344" s="111">
        <v>8398</v>
      </c>
      <c r="AD344" s="111">
        <v>0</v>
      </c>
      <c r="AE344" s="55">
        <v>0</v>
      </c>
      <c r="AF344" s="202"/>
      <c r="AG344" s="49"/>
    </row>
    <row r="345" spans="1:33" s="193" customFormat="1" ht="15">
      <c r="A345" s="182" t="s">
        <v>338</v>
      </c>
      <c r="B345" s="176" t="s">
        <v>345</v>
      </c>
      <c r="C345" s="356" t="s">
        <v>867</v>
      </c>
      <c r="D345" s="175">
        <v>199102</v>
      </c>
      <c r="E345" s="175">
        <v>3</v>
      </c>
      <c r="F345" s="194">
        <f t="shared" si="12"/>
        <v>258275</v>
      </c>
      <c r="G345" s="195">
        <f t="shared" si="14"/>
        <v>276698</v>
      </c>
      <c r="H345" s="202">
        <v>237592</v>
      </c>
      <c r="I345" s="56">
        <v>242895</v>
      </c>
      <c r="J345" s="202">
        <v>223</v>
      </c>
      <c r="K345" s="115">
        <v>0</v>
      </c>
      <c r="L345" s="203">
        <v>20460</v>
      </c>
      <c r="M345" s="110">
        <v>0</v>
      </c>
      <c r="N345" s="110">
        <v>0</v>
      </c>
      <c r="O345" s="111">
        <v>33782</v>
      </c>
      <c r="P345" s="111">
        <v>21</v>
      </c>
      <c r="Q345" s="55">
        <v>0</v>
      </c>
      <c r="R345" s="202"/>
      <c r="S345" s="46"/>
      <c r="T345" s="196">
        <f t="shared" si="13"/>
        <v>28465</v>
      </c>
      <c r="U345" s="197">
        <f t="shared" si="15"/>
        <v>25975</v>
      </c>
      <c r="V345" s="202">
        <v>21100</v>
      </c>
      <c r="W345" s="56">
        <v>20419</v>
      </c>
      <c r="X345" s="202">
        <v>1224</v>
      </c>
      <c r="Y345" s="115">
        <v>0</v>
      </c>
      <c r="Z345" s="203">
        <v>5863</v>
      </c>
      <c r="AA345" s="110">
        <v>278</v>
      </c>
      <c r="AB345" s="110">
        <v>0</v>
      </c>
      <c r="AC345" s="111">
        <v>5359</v>
      </c>
      <c r="AD345" s="111">
        <v>197</v>
      </c>
      <c r="AE345" s="55">
        <v>0</v>
      </c>
      <c r="AF345" s="202"/>
      <c r="AG345" s="49"/>
    </row>
    <row r="346" spans="1:33" s="193" customFormat="1">
      <c r="A346" s="182" t="s">
        <v>338</v>
      </c>
      <c r="B346" s="176" t="s">
        <v>346</v>
      </c>
      <c r="C346" s="179"/>
      <c r="D346" s="175">
        <v>199157</v>
      </c>
      <c r="E346" s="175">
        <v>3</v>
      </c>
      <c r="F346" s="194">
        <f t="shared" si="12"/>
        <v>177687</v>
      </c>
      <c r="G346" s="195">
        <f t="shared" si="14"/>
        <v>181656</v>
      </c>
      <c r="H346" s="202">
        <v>148705</v>
      </c>
      <c r="I346" s="56">
        <v>148706</v>
      </c>
      <c r="J346" s="202">
        <v>789</v>
      </c>
      <c r="K346" s="115">
        <v>287</v>
      </c>
      <c r="L346" s="203">
        <v>28193</v>
      </c>
      <c r="M346" s="110">
        <v>0</v>
      </c>
      <c r="N346" s="110">
        <v>0</v>
      </c>
      <c r="O346" s="111">
        <v>32663</v>
      </c>
      <c r="P346" s="47">
        <v>0</v>
      </c>
      <c r="Q346" s="55">
        <v>0</v>
      </c>
      <c r="R346" s="202"/>
      <c r="S346" s="46"/>
      <c r="T346" s="196">
        <f t="shared" si="13"/>
        <v>38936</v>
      </c>
      <c r="U346" s="197">
        <f t="shared" si="15"/>
        <v>39327</v>
      </c>
      <c r="V346" s="202">
        <v>30847</v>
      </c>
      <c r="W346" s="56">
        <v>31378</v>
      </c>
      <c r="X346" s="202">
        <v>548</v>
      </c>
      <c r="Y346" s="115">
        <v>29</v>
      </c>
      <c r="Z346" s="203">
        <v>7541</v>
      </c>
      <c r="AA346" s="110">
        <v>0</v>
      </c>
      <c r="AB346" s="110">
        <v>0</v>
      </c>
      <c r="AC346" s="111">
        <v>7920</v>
      </c>
      <c r="AD346" s="47">
        <v>0</v>
      </c>
      <c r="AE346" s="55">
        <v>0</v>
      </c>
      <c r="AF346" s="202"/>
      <c r="AG346" s="49"/>
    </row>
    <row r="347" spans="1:33" s="193" customFormat="1">
      <c r="A347" s="182" t="s">
        <v>338</v>
      </c>
      <c r="B347" s="176" t="s">
        <v>347</v>
      </c>
      <c r="C347" s="179"/>
      <c r="D347" s="175">
        <v>199218</v>
      </c>
      <c r="E347" s="175">
        <v>3</v>
      </c>
      <c r="F347" s="194">
        <f t="shared" si="12"/>
        <v>386233</v>
      </c>
      <c r="G347" s="195">
        <f t="shared" si="14"/>
        <v>398787</v>
      </c>
      <c r="H347" s="202">
        <v>321055</v>
      </c>
      <c r="I347" s="56">
        <v>314660</v>
      </c>
      <c r="J347" s="202">
        <v>2968</v>
      </c>
      <c r="K347" s="115">
        <v>6885</v>
      </c>
      <c r="L347" s="203">
        <v>61837</v>
      </c>
      <c r="M347" s="110">
        <v>373</v>
      </c>
      <c r="N347" s="110">
        <v>0</v>
      </c>
      <c r="O347" s="111">
        <v>77094</v>
      </c>
      <c r="P347" s="111">
        <v>148</v>
      </c>
      <c r="Q347" s="55">
        <v>0</v>
      </c>
      <c r="R347" s="202"/>
      <c r="S347" s="46"/>
      <c r="T347" s="196">
        <f t="shared" si="13"/>
        <v>28582</v>
      </c>
      <c r="U347" s="197">
        <f t="shared" si="15"/>
        <v>30063</v>
      </c>
      <c r="V347" s="202">
        <v>14770</v>
      </c>
      <c r="W347" s="56">
        <v>14666</v>
      </c>
      <c r="X347" s="202">
        <v>662</v>
      </c>
      <c r="Y347" s="115">
        <v>1112</v>
      </c>
      <c r="Z347" s="203">
        <v>12931</v>
      </c>
      <c r="AA347" s="110">
        <v>219</v>
      </c>
      <c r="AB347" s="110">
        <v>0</v>
      </c>
      <c r="AC347" s="111">
        <v>14177</v>
      </c>
      <c r="AD347" s="111">
        <v>108</v>
      </c>
      <c r="AE347" s="55">
        <v>0</v>
      </c>
      <c r="AF347" s="202"/>
      <c r="AG347" s="49"/>
    </row>
    <row r="348" spans="1:33" s="193" customFormat="1">
      <c r="A348" s="182" t="s">
        <v>338</v>
      </c>
      <c r="B348" s="176" t="s">
        <v>348</v>
      </c>
      <c r="C348" s="179"/>
      <c r="D348" s="175">
        <v>200004</v>
      </c>
      <c r="E348" s="175">
        <v>3</v>
      </c>
      <c r="F348" s="194">
        <f t="shared" si="12"/>
        <v>244595</v>
      </c>
      <c r="G348" s="195">
        <f t="shared" si="14"/>
        <v>252589</v>
      </c>
      <c r="H348" s="202">
        <v>210672</v>
      </c>
      <c r="I348" s="56">
        <v>212325</v>
      </c>
      <c r="J348" s="202">
        <v>3186</v>
      </c>
      <c r="K348" s="115">
        <v>3847</v>
      </c>
      <c r="L348" s="203">
        <v>30731</v>
      </c>
      <c r="M348" s="110">
        <v>6</v>
      </c>
      <c r="N348" s="110">
        <v>0</v>
      </c>
      <c r="O348" s="111">
        <v>36411</v>
      </c>
      <c r="P348" s="47">
        <v>6</v>
      </c>
      <c r="Q348" s="55">
        <v>0</v>
      </c>
      <c r="R348" s="202"/>
      <c r="S348" s="46"/>
      <c r="T348" s="196">
        <f t="shared" si="13"/>
        <v>29457</v>
      </c>
      <c r="U348" s="197">
        <f t="shared" si="15"/>
        <v>29249</v>
      </c>
      <c r="V348" s="202">
        <v>14205</v>
      </c>
      <c r="W348" s="115">
        <v>10318</v>
      </c>
      <c r="X348" s="202">
        <v>3892</v>
      </c>
      <c r="Y348" s="115">
        <v>7172</v>
      </c>
      <c r="Z348" s="203">
        <v>11360</v>
      </c>
      <c r="AA348" s="110">
        <v>0</v>
      </c>
      <c r="AB348" s="110">
        <v>0</v>
      </c>
      <c r="AC348" s="47">
        <v>11759</v>
      </c>
      <c r="AD348" s="47">
        <v>0</v>
      </c>
      <c r="AE348" s="55">
        <v>0</v>
      </c>
      <c r="AF348" s="202"/>
      <c r="AG348" s="49"/>
    </row>
    <row r="349" spans="1:33" s="193" customFormat="1">
      <c r="A349" s="182" t="s">
        <v>338</v>
      </c>
      <c r="B349" s="176" t="s">
        <v>349</v>
      </c>
      <c r="C349" s="179"/>
      <c r="D349" s="175">
        <v>198543</v>
      </c>
      <c r="E349" s="175">
        <v>4</v>
      </c>
      <c r="F349" s="194">
        <f t="shared" si="12"/>
        <v>151383</v>
      </c>
      <c r="G349" s="195">
        <f t="shared" si="14"/>
        <v>147968</v>
      </c>
      <c r="H349" s="202">
        <v>107586</v>
      </c>
      <c r="I349" s="115">
        <v>101903</v>
      </c>
      <c r="J349" s="202">
        <v>2243</v>
      </c>
      <c r="K349" s="115">
        <v>1547</v>
      </c>
      <c r="L349" s="203">
        <v>41554</v>
      </c>
      <c r="M349" s="110">
        <v>0</v>
      </c>
      <c r="N349" s="110">
        <v>0</v>
      </c>
      <c r="O349" s="111">
        <v>44518</v>
      </c>
      <c r="P349" s="47">
        <v>0</v>
      </c>
      <c r="Q349" s="55">
        <v>0</v>
      </c>
      <c r="R349" s="202"/>
      <c r="S349" s="46"/>
      <c r="T349" s="196">
        <f t="shared" si="13"/>
        <v>10098</v>
      </c>
      <c r="U349" s="197">
        <f t="shared" si="15"/>
        <v>12527</v>
      </c>
      <c r="V349" s="202">
        <v>5351</v>
      </c>
      <c r="W349" s="115">
        <v>5671</v>
      </c>
      <c r="X349" s="202">
        <v>1909</v>
      </c>
      <c r="Y349" s="115">
        <v>1518</v>
      </c>
      <c r="Z349" s="203">
        <v>2838</v>
      </c>
      <c r="AA349" s="110">
        <v>0</v>
      </c>
      <c r="AB349" s="110">
        <v>0</v>
      </c>
      <c r="AC349" s="111">
        <v>5338</v>
      </c>
      <c r="AD349" s="47">
        <v>0</v>
      </c>
      <c r="AE349" s="55">
        <v>0</v>
      </c>
      <c r="AF349" s="202"/>
      <c r="AG349" s="49"/>
    </row>
    <row r="350" spans="1:33" s="193" customFormat="1">
      <c r="A350" s="182" t="s">
        <v>338</v>
      </c>
      <c r="B350" s="176" t="s">
        <v>350</v>
      </c>
      <c r="C350" s="179"/>
      <c r="D350" s="175">
        <v>199281</v>
      </c>
      <c r="E350" s="175">
        <v>5</v>
      </c>
      <c r="F350" s="194">
        <f t="shared" si="12"/>
        <v>152009</v>
      </c>
      <c r="G350" s="195">
        <f t="shared" si="14"/>
        <v>152757</v>
      </c>
      <c r="H350" s="202">
        <v>115197</v>
      </c>
      <c r="I350" s="56">
        <v>112998</v>
      </c>
      <c r="J350" s="202">
        <v>1725</v>
      </c>
      <c r="K350" s="115">
        <v>1451</v>
      </c>
      <c r="L350" s="203">
        <v>34400</v>
      </c>
      <c r="M350" s="110">
        <v>687</v>
      </c>
      <c r="N350" s="110">
        <v>0</v>
      </c>
      <c r="O350" s="111">
        <v>37788</v>
      </c>
      <c r="P350" s="111">
        <v>520</v>
      </c>
      <c r="Q350" s="55">
        <v>0</v>
      </c>
      <c r="R350" s="202"/>
      <c r="S350" s="46"/>
      <c r="T350" s="196">
        <f t="shared" si="13"/>
        <v>12557</v>
      </c>
      <c r="U350" s="197">
        <f t="shared" si="15"/>
        <v>12414</v>
      </c>
      <c r="V350" s="202">
        <v>7270</v>
      </c>
      <c r="W350" s="115">
        <v>6177</v>
      </c>
      <c r="X350" s="202">
        <v>629</v>
      </c>
      <c r="Y350" s="115">
        <v>526</v>
      </c>
      <c r="Z350" s="203">
        <v>4397</v>
      </c>
      <c r="AA350" s="110">
        <v>261</v>
      </c>
      <c r="AB350" s="110">
        <v>0</v>
      </c>
      <c r="AC350" s="111">
        <v>5693</v>
      </c>
      <c r="AD350" s="111">
        <v>18</v>
      </c>
      <c r="AE350" s="55">
        <v>0</v>
      </c>
      <c r="AF350" s="202"/>
      <c r="AG350" s="49"/>
    </row>
    <row r="351" spans="1:33" s="193" customFormat="1">
      <c r="A351" s="182" t="s">
        <v>338</v>
      </c>
      <c r="B351" s="176" t="s">
        <v>351</v>
      </c>
      <c r="C351" s="179"/>
      <c r="D351" s="175">
        <v>199999</v>
      </c>
      <c r="E351" s="175">
        <v>5</v>
      </c>
      <c r="F351" s="194">
        <f t="shared" si="12"/>
        <v>129202</v>
      </c>
      <c r="G351" s="195">
        <f t="shared" si="14"/>
        <v>132984</v>
      </c>
      <c r="H351" s="202">
        <v>103990</v>
      </c>
      <c r="I351" s="56">
        <v>101839</v>
      </c>
      <c r="J351" s="202">
        <v>8606</v>
      </c>
      <c r="K351" s="115">
        <v>74</v>
      </c>
      <c r="L351" s="203">
        <v>16606</v>
      </c>
      <c r="M351" s="110">
        <v>0</v>
      </c>
      <c r="N351" s="110">
        <v>0</v>
      </c>
      <c r="O351" s="47">
        <v>16895</v>
      </c>
      <c r="P351" s="47">
        <v>0</v>
      </c>
      <c r="Q351" s="117">
        <v>14176</v>
      </c>
      <c r="R351" s="202"/>
      <c r="S351" s="46"/>
      <c r="T351" s="196">
        <f t="shared" si="13"/>
        <v>10162</v>
      </c>
      <c r="U351" s="197">
        <f t="shared" si="15"/>
        <v>10362</v>
      </c>
      <c r="V351" s="202">
        <v>8193</v>
      </c>
      <c r="W351" s="115">
        <v>6573</v>
      </c>
      <c r="X351" s="202">
        <v>59</v>
      </c>
      <c r="Y351" s="115">
        <v>56</v>
      </c>
      <c r="Z351" s="203">
        <v>1898</v>
      </c>
      <c r="AA351" s="110">
        <v>12</v>
      </c>
      <c r="AB351" s="110">
        <v>0</v>
      </c>
      <c r="AC351" s="111">
        <v>2157</v>
      </c>
      <c r="AD351" s="111">
        <v>0</v>
      </c>
      <c r="AE351" s="117">
        <v>1576</v>
      </c>
      <c r="AF351" s="202"/>
      <c r="AG351" s="49"/>
    </row>
    <row r="352" spans="1:33" s="193" customFormat="1">
      <c r="A352" s="182" t="s">
        <v>338</v>
      </c>
      <c r="B352" s="176" t="s">
        <v>352</v>
      </c>
      <c r="C352" s="179"/>
      <c r="D352" s="175">
        <v>198507</v>
      </c>
      <c r="E352" s="175">
        <v>6</v>
      </c>
      <c r="F352" s="194">
        <f t="shared" si="12"/>
        <v>49158</v>
      </c>
      <c r="G352" s="195">
        <f t="shared" si="14"/>
        <v>43335</v>
      </c>
      <c r="H352" s="202">
        <v>36323</v>
      </c>
      <c r="I352" s="115">
        <v>30816</v>
      </c>
      <c r="J352" s="202">
        <v>150</v>
      </c>
      <c r="K352" s="115">
        <v>36</v>
      </c>
      <c r="L352" s="203">
        <v>12567</v>
      </c>
      <c r="M352" s="110">
        <v>118</v>
      </c>
      <c r="N352" s="110">
        <v>0</v>
      </c>
      <c r="O352" s="47">
        <v>12363</v>
      </c>
      <c r="P352" s="47">
        <v>120</v>
      </c>
      <c r="Q352" s="55">
        <v>0</v>
      </c>
      <c r="R352" s="202"/>
      <c r="S352" s="46"/>
      <c r="T352" s="196">
        <f t="shared" si="13"/>
        <v>816</v>
      </c>
      <c r="U352" s="197">
        <f t="shared" si="15"/>
        <v>666</v>
      </c>
      <c r="V352" s="202">
        <v>564</v>
      </c>
      <c r="W352" s="56">
        <v>572</v>
      </c>
      <c r="X352" s="202">
        <v>3</v>
      </c>
      <c r="Y352" s="115">
        <v>0</v>
      </c>
      <c r="Z352" s="203">
        <v>249</v>
      </c>
      <c r="AA352" s="110">
        <v>0</v>
      </c>
      <c r="AB352" s="110">
        <v>0</v>
      </c>
      <c r="AC352" s="111">
        <v>94</v>
      </c>
      <c r="AD352" s="47">
        <v>0</v>
      </c>
      <c r="AE352" s="55">
        <v>0</v>
      </c>
      <c r="AF352" s="202"/>
      <c r="AG352" s="49"/>
    </row>
    <row r="353" spans="1:33" s="193" customFormat="1">
      <c r="A353" s="182" t="s">
        <v>338</v>
      </c>
      <c r="B353" s="176" t="s">
        <v>353</v>
      </c>
      <c r="C353" s="179"/>
      <c r="D353" s="175">
        <v>199111</v>
      </c>
      <c r="E353" s="175">
        <v>6</v>
      </c>
      <c r="F353" s="194">
        <f t="shared" ref="F353:F582" si="16">SUM(H353,J353,L353,M353,N353,R353)</f>
        <v>102872</v>
      </c>
      <c r="G353" s="195">
        <f t="shared" si="14"/>
        <v>103343</v>
      </c>
      <c r="H353" s="202">
        <v>100635</v>
      </c>
      <c r="I353" s="56">
        <v>99378</v>
      </c>
      <c r="J353" s="202">
        <v>570</v>
      </c>
      <c r="K353" s="115">
        <v>720</v>
      </c>
      <c r="L353" s="203">
        <v>756</v>
      </c>
      <c r="M353" s="110">
        <v>791</v>
      </c>
      <c r="N353" s="110">
        <v>120</v>
      </c>
      <c r="O353" s="111">
        <v>887</v>
      </c>
      <c r="P353" s="111">
        <v>2358</v>
      </c>
      <c r="Q353" s="117">
        <v>0</v>
      </c>
      <c r="R353" s="202"/>
      <c r="S353" s="46"/>
      <c r="T353" s="196">
        <f t="shared" ref="T353:T582" si="17">SUM(V353,X353,Z353,AA353,AB353,AF353)</f>
        <v>341</v>
      </c>
      <c r="U353" s="197">
        <f t="shared" si="15"/>
        <v>257</v>
      </c>
      <c r="V353" s="202">
        <v>341</v>
      </c>
      <c r="W353" s="115">
        <v>257</v>
      </c>
      <c r="X353" s="202">
        <v>0</v>
      </c>
      <c r="Y353" s="56">
        <v>0</v>
      </c>
      <c r="Z353" s="203">
        <v>0</v>
      </c>
      <c r="AA353" s="110">
        <v>0</v>
      </c>
      <c r="AB353" s="110">
        <v>0</v>
      </c>
      <c r="AC353" s="47">
        <v>0</v>
      </c>
      <c r="AD353" s="47">
        <v>0</v>
      </c>
      <c r="AE353" s="55">
        <v>0</v>
      </c>
      <c r="AF353" s="202"/>
      <c r="AG353" s="49"/>
    </row>
    <row r="354" spans="1:33" s="192" customFormat="1" ht="13.5" customHeight="1">
      <c r="A354" s="167" t="s">
        <v>558</v>
      </c>
      <c r="B354" s="159" t="s">
        <v>559</v>
      </c>
      <c r="C354" s="254"/>
      <c r="D354" s="160">
        <v>207388</v>
      </c>
      <c r="E354" s="160">
        <v>1</v>
      </c>
      <c r="F354" s="194">
        <f t="shared" si="16"/>
        <v>580436</v>
      </c>
      <c r="G354" s="195">
        <f t="shared" ref="G354:G412" si="18">SUM(I354,K354,O354,P354,Q354,S354)</f>
        <v>601245</v>
      </c>
      <c r="H354" s="16">
        <v>512026</v>
      </c>
      <c r="I354" s="56">
        <v>514350</v>
      </c>
      <c r="J354" s="16">
        <v>4996</v>
      </c>
      <c r="K354" s="115">
        <v>6288</v>
      </c>
      <c r="L354" s="203">
        <v>62425</v>
      </c>
      <c r="M354" s="110">
        <v>0</v>
      </c>
      <c r="N354" s="110">
        <v>0</v>
      </c>
      <c r="O354" s="111">
        <v>79398</v>
      </c>
      <c r="P354" s="47">
        <v>0</v>
      </c>
      <c r="Q354" s="117">
        <v>345</v>
      </c>
      <c r="R354" s="202">
        <v>989</v>
      </c>
      <c r="S354" s="112">
        <v>864</v>
      </c>
      <c r="T354" s="196">
        <f t="shared" si="17"/>
        <v>104112</v>
      </c>
      <c r="U354" s="197">
        <f t="shared" ref="U354:U412" si="19">SUM(W354,Y354,AC354,AD354,AE354,AG354)</f>
        <v>102754</v>
      </c>
      <c r="V354" s="16">
        <v>87991</v>
      </c>
      <c r="W354" s="56">
        <v>85372</v>
      </c>
      <c r="X354" s="16">
        <v>1762</v>
      </c>
      <c r="Y354" s="115">
        <v>1999</v>
      </c>
      <c r="Z354" s="203">
        <v>13978</v>
      </c>
      <c r="AA354" s="110"/>
      <c r="AB354" s="110"/>
      <c r="AC354" s="47">
        <v>14188</v>
      </c>
      <c r="AD354" s="47">
        <v>0</v>
      </c>
      <c r="AE354" s="117">
        <v>393</v>
      </c>
      <c r="AF354" s="202">
        <v>381</v>
      </c>
      <c r="AG354" s="10">
        <v>802</v>
      </c>
    </row>
    <row r="355" spans="1:33" s="222" customFormat="1">
      <c r="A355" s="167" t="s">
        <v>558</v>
      </c>
      <c r="B355" s="159" t="s">
        <v>560</v>
      </c>
      <c r="C355" s="254"/>
      <c r="D355" s="160">
        <v>207500</v>
      </c>
      <c r="E355" s="160">
        <v>1</v>
      </c>
      <c r="F355" s="194">
        <f t="shared" si="16"/>
        <v>612819</v>
      </c>
      <c r="G355" s="195">
        <f t="shared" si="18"/>
        <v>598013</v>
      </c>
      <c r="H355" s="16">
        <v>520071</v>
      </c>
      <c r="I355" s="56">
        <v>520604</v>
      </c>
      <c r="J355" s="16">
        <v>6195</v>
      </c>
      <c r="K355" s="115">
        <v>4573</v>
      </c>
      <c r="L355" s="203">
        <v>80857</v>
      </c>
      <c r="M355" s="110">
        <v>1542</v>
      </c>
      <c r="N355" s="110">
        <v>4154</v>
      </c>
      <c r="O355" s="111">
        <v>70223</v>
      </c>
      <c r="P355" s="111">
        <v>165</v>
      </c>
      <c r="Q355" s="117">
        <v>2448</v>
      </c>
      <c r="R355" s="202"/>
      <c r="S355" s="46">
        <v>0</v>
      </c>
      <c r="T355" s="196">
        <f t="shared" si="17"/>
        <v>191968</v>
      </c>
      <c r="U355" s="197">
        <f t="shared" si="19"/>
        <v>132854</v>
      </c>
      <c r="V355" s="16">
        <v>134920</v>
      </c>
      <c r="W355" s="115">
        <v>94034</v>
      </c>
      <c r="X355" s="16">
        <v>14964</v>
      </c>
      <c r="Y355" s="115">
        <v>15725</v>
      </c>
      <c r="Z355" s="203">
        <v>24596</v>
      </c>
      <c r="AA355" s="110">
        <v>7308</v>
      </c>
      <c r="AB355" s="110">
        <v>10180</v>
      </c>
      <c r="AC355" s="111">
        <v>18991</v>
      </c>
      <c r="AD355" s="111">
        <v>705</v>
      </c>
      <c r="AE355" s="117">
        <v>3399</v>
      </c>
      <c r="AF355" s="202"/>
      <c r="AG355" s="49">
        <v>0</v>
      </c>
    </row>
    <row r="356" spans="1:33" s="222" customFormat="1">
      <c r="A356" s="167" t="s">
        <v>558</v>
      </c>
      <c r="B356" s="159" t="s">
        <v>561</v>
      </c>
      <c r="C356" s="254"/>
      <c r="D356" s="160">
        <v>207263</v>
      </c>
      <c r="E356" s="160">
        <v>3</v>
      </c>
      <c r="F356" s="194">
        <f t="shared" si="16"/>
        <v>173467</v>
      </c>
      <c r="G356" s="195">
        <f t="shared" si="18"/>
        <v>168077</v>
      </c>
      <c r="H356" s="16">
        <v>126116</v>
      </c>
      <c r="I356" s="115">
        <v>116345</v>
      </c>
      <c r="J356" s="16">
        <v>147</v>
      </c>
      <c r="K356" s="115">
        <v>210</v>
      </c>
      <c r="L356" s="203">
        <v>46403</v>
      </c>
      <c r="M356" s="110">
        <v>801</v>
      </c>
      <c r="N356" s="110">
        <v>0</v>
      </c>
      <c r="O356" s="111">
        <v>50981</v>
      </c>
      <c r="P356" s="111">
        <v>541</v>
      </c>
      <c r="Q356" s="55">
        <v>0</v>
      </c>
      <c r="R356" s="202"/>
      <c r="S356" s="46">
        <v>0</v>
      </c>
      <c r="T356" s="196">
        <f t="shared" si="17"/>
        <v>21798</v>
      </c>
      <c r="U356" s="197">
        <f t="shared" si="19"/>
        <v>21406</v>
      </c>
      <c r="V356" s="16">
        <v>17510</v>
      </c>
      <c r="W356" s="115">
        <v>15938</v>
      </c>
      <c r="X356" s="16">
        <v>0</v>
      </c>
      <c r="Y356" s="56">
        <v>0</v>
      </c>
      <c r="Z356" s="203">
        <v>3696</v>
      </c>
      <c r="AA356" s="110">
        <v>592</v>
      </c>
      <c r="AB356" s="110"/>
      <c r="AC356" s="111">
        <v>4944</v>
      </c>
      <c r="AD356" s="111">
        <v>524</v>
      </c>
      <c r="AE356" s="55">
        <v>0</v>
      </c>
      <c r="AF356" s="202"/>
      <c r="AG356" s="49"/>
    </row>
    <row r="357" spans="1:33" s="222" customFormat="1">
      <c r="A357" s="167" t="s">
        <v>558</v>
      </c>
      <c r="B357" s="159" t="s">
        <v>562</v>
      </c>
      <c r="C357" s="254"/>
      <c r="D357" s="160">
        <v>206941</v>
      </c>
      <c r="E357" s="160">
        <v>3</v>
      </c>
      <c r="F357" s="194">
        <f t="shared" si="16"/>
        <v>366331</v>
      </c>
      <c r="G357" s="195">
        <f t="shared" si="18"/>
        <v>361562</v>
      </c>
      <c r="H357" s="16">
        <v>163672</v>
      </c>
      <c r="I357" s="115">
        <v>289794</v>
      </c>
      <c r="J357" s="16">
        <v>139280</v>
      </c>
      <c r="K357" s="115">
        <v>8471</v>
      </c>
      <c r="L357" s="203">
        <v>58430</v>
      </c>
      <c r="M357" s="110">
        <v>877</v>
      </c>
      <c r="N357" s="110">
        <v>4072</v>
      </c>
      <c r="O357" s="47">
        <v>58785</v>
      </c>
      <c r="P357" s="111">
        <v>400</v>
      </c>
      <c r="Q357" s="55">
        <v>4112</v>
      </c>
      <c r="R357" s="202"/>
      <c r="S357" s="46"/>
      <c r="T357" s="196">
        <f t="shared" si="17"/>
        <v>27370</v>
      </c>
      <c r="U357" s="197">
        <f t="shared" si="19"/>
        <v>25848</v>
      </c>
      <c r="V357" s="16">
        <v>13138</v>
      </c>
      <c r="W357" s="115">
        <v>22244</v>
      </c>
      <c r="X357" s="16">
        <v>10729</v>
      </c>
      <c r="Y357" s="115">
        <v>229</v>
      </c>
      <c r="Z357" s="203">
        <v>1923</v>
      </c>
      <c r="AA357" s="110">
        <v>27</v>
      </c>
      <c r="AB357" s="110">
        <v>1553</v>
      </c>
      <c r="AC357" s="111">
        <v>1758</v>
      </c>
      <c r="AD357" s="111">
        <v>3</v>
      </c>
      <c r="AE357" s="55">
        <v>1614</v>
      </c>
      <c r="AF357" s="202"/>
      <c r="AG357" s="49"/>
    </row>
    <row r="358" spans="1:33" s="222" customFormat="1">
      <c r="A358" s="167" t="s">
        <v>558</v>
      </c>
      <c r="B358" s="159" t="s">
        <v>563</v>
      </c>
      <c r="C358" s="255"/>
      <c r="D358" s="160">
        <v>207847</v>
      </c>
      <c r="E358" s="160">
        <v>4</v>
      </c>
      <c r="F358" s="194">
        <f t="shared" si="16"/>
        <v>83925</v>
      </c>
      <c r="G358" s="195">
        <f t="shared" si="18"/>
        <v>81161</v>
      </c>
      <c r="H358" s="16">
        <v>55216</v>
      </c>
      <c r="I358" s="115">
        <v>50118</v>
      </c>
      <c r="J358" s="16">
        <v>417</v>
      </c>
      <c r="K358" s="115">
        <v>772</v>
      </c>
      <c r="L358" s="203">
        <v>25345</v>
      </c>
      <c r="M358" s="110">
        <v>1896</v>
      </c>
      <c r="N358" s="110">
        <v>1051</v>
      </c>
      <c r="O358" s="111">
        <v>27812</v>
      </c>
      <c r="P358" s="111">
        <v>2459</v>
      </c>
      <c r="Q358" s="117">
        <v>0</v>
      </c>
      <c r="R358" s="202"/>
      <c r="S358" s="46"/>
      <c r="T358" s="196">
        <f t="shared" si="17"/>
        <v>7840</v>
      </c>
      <c r="U358" s="197">
        <f t="shared" si="19"/>
        <v>8588</v>
      </c>
      <c r="V358" s="16">
        <v>2536</v>
      </c>
      <c r="W358" s="115">
        <v>1697</v>
      </c>
      <c r="X358" s="16">
        <v>579</v>
      </c>
      <c r="Y358" s="115">
        <v>1245</v>
      </c>
      <c r="Z358" s="203">
        <v>4644</v>
      </c>
      <c r="AA358" s="110">
        <v>57</v>
      </c>
      <c r="AB358" s="110">
        <v>24</v>
      </c>
      <c r="AC358" s="111">
        <v>5427</v>
      </c>
      <c r="AD358" s="111">
        <v>219</v>
      </c>
      <c r="AE358" s="117">
        <v>0</v>
      </c>
      <c r="AF358" s="202"/>
      <c r="AG358" s="49"/>
    </row>
    <row r="359" spans="1:33" s="222" customFormat="1">
      <c r="A359" s="167" t="s">
        <v>558</v>
      </c>
      <c r="B359" s="159" t="s">
        <v>564</v>
      </c>
      <c r="C359" s="254"/>
      <c r="D359" s="160">
        <v>206914</v>
      </c>
      <c r="E359" s="160">
        <v>5</v>
      </c>
      <c r="F359" s="194">
        <f t="shared" si="16"/>
        <v>113769</v>
      </c>
      <c r="G359" s="195">
        <f t="shared" si="18"/>
        <v>108770</v>
      </c>
      <c r="H359" s="16">
        <v>84581</v>
      </c>
      <c r="I359" s="115">
        <v>78864</v>
      </c>
      <c r="J359" s="16">
        <v>1181</v>
      </c>
      <c r="K359" s="115">
        <v>942</v>
      </c>
      <c r="L359" s="203">
        <v>19595</v>
      </c>
      <c r="M359" s="110">
        <v>8412</v>
      </c>
      <c r="N359" s="110">
        <v>0</v>
      </c>
      <c r="O359" s="47">
        <v>19905</v>
      </c>
      <c r="P359" s="111">
        <v>9059</v>
      </c>
      <c r="Q359" s="55">
        <v>0</v>
      </c>
      <c r="R359" s="202"/>
      <c r="S359" s="46"/>
      <c r="T359" s="196">
        <f t="shared" si="17"/>
        <v>6665</v>
      </c>
      <c r="U359" s="197">
        <f t="shared" si="19"/>
        <v>6245</v>
      </c>
      <c r="V359" s="16">
        <v>3143</v>
      </c>
      <c r="W359" s="115">
        <v>2603</v>
      </c>
      <c r="X359" s="16"/>
      <c r="Y359" s="56"/>
      <c r="Z359" s="203">
        <v>2958</v>
      </c>
      <c r="AA359" s="110">
        <v>564</v>
      </c>
      <c r="AB359" s="110"/>
      <c r="AC359" s="111">
        <v>3246</v>
      </c>
      <c r="AD359" s="111">
        <v>396</v>
      </c>
      <c r="AE359" s="55">
        <v>0</v>
      </c>
      <c r="AF359" s="202"/>
      <c r="AG359" s="49"/>
    </row>
    <row r="360" spans="1:33" s="222" customFormat="1">
      <c r="A360" s="167" t="s">
        <v>558</v>
      </c>
      <c r="B360" s="159" t="s">
        <v>565</v>
      </c>
      <c r="C360" s="254"/>
      <c r="D360" s="160">
        <v>207041</v>
      </c>
      <c r="E360" s="160">
        <v>5</v>
      </c>
      <c r="F360" s="194">
        <f t="shared" si="16"/>
        <v>99205</v>
      </c>
      <c r="G360" s="195">
        <f t="shared" si="18"/>
        <v>109038</v>
      </c>
      <c r="H360" s="16">
        <v>82566</v>
      </c>
      <c r="I360" s="115">
        <v>89427</v>
      </c>
      <c r="J360" s="16">
        <v>865</v>
      </c>
      <c r="K360" s="115">
        <v>1952</v>
      </c>
      <c r="L360" s="203">
        <v>10105</v>
      </c>
      <c r="M360" s="110">
        <v>2367</v>
      </c>
      <c r="N360" s="110">
        <v>3302</v>
      </c>
      <c r="O360" s="111">
        <v>12578</v>
      </c>
      <c r="P360" s="111">
        <v>734</v>
      </c>
      <c r="Q360" s="117">
        <v>4347</v>
      </c>
      <c r="R360" s="202"/>
      <c r="S360" s="46"/>
      <c r="T360" s="196">
        <f t="shared" si="17"/>
        <v>12281</v>
      </c>
      <c r="U360" s="197">
        <f t="shared" si="19"/>
        <v>13511</v>
      </c>
      <c r="V360" s="16">
        <v>3759</v>
      </c>
      <c r="W360" s="56">
        <v>3679</v>
      </c>
      <c r="X360" s="16">
        <v>182</v>
      </c>
      <c r="Y360" s="115">
        <v>121</v>
      </c>
      <c r="Z360" s="203">
        <v>6482</v>
      </c>
      <c r="AA360" s="110">
        <v>999</v>
      </c>
      <c r="AB360" s="110">
        <v>859</v>
      </c>
      <c r="AC360" s="111">
        <v>8219</v>
      </c>
      <c r="AD360" s="111">
        <v>636</v>
      </c>
      <c r="AE360" s="55">
        <v>856</v>
      </c>
      <c r="AF360" s="202"/>
      <c r="AG360" s="49"/>
    </row>
    <row r="361" spans="1:33" s="222" customFormat="1">
      <c r="A361" s="158" t="s">
        <v>558</v>
      </c>
      <c r="B361" s="159" t="s">
        <v>566</v>
      </c>
      <c r="C361" s="254"/>
      <c r="D361" s="160">
        <v>207209</v>
      </c>
      <c r="E361" s="160">
        <v>5</v>
      </c>
      <c r="F361" s="194">
        <f t="shared" si="16"/>
        <v>56805</v>
      </c>
      <c r="G361" s="195">
        <f t="shared" si="18"/>
        <v>57164</v>
      </c>
      <c r="H361" s="16">
        <v>54822</v>
      </c>
      <c r="I361" s="56">
        <v>54113</v>
      </c>
      <c r="J361" s="16">
        <v>0</v>
      </c>
      <c r="K361" s="56">
        <v>0</v>
      </c>
      <c r="L361" s="203">
        <v>1721</v>
      </c>
      <c r="M361" s="110">
        <v>262</v>
      </c>
      <c r="N361" s="110">
        <v>0</v>
      </c>
      <c r="O361" s="111">
        <v>2999</v>
      </c>
      <c r="P361" s="111">
        <v>52</v>
      </c>
      <c r="Q361" s="55">
        <v>0</v>
      </c>
      <c r="R361" s="202"/>
      <c r="S361" s="46"/>
      <c r="T361" s="196">
        <f t="shared" si="17"/>
        <v>7133</v>
      </c>
      <c r="U361" s="197">
        <f t="shared" si="19"/>
        <v>6980</v>
      </c>
      <c r="V361" s="16">
        <v>5405</v>
      </c>
      <c r="W361" s="56">
        <v>5438</v>
      </c>
      <c r="X361" s="16">
        <v>0</v>
      </c>
      <c r="Y361" s="56"/>
      <c r="Z361" s="203">
        <v>1539</v>
      </c>
      <c r="AA361" s="110">
        <v>189</v>
      </c>
      <c r="AB361" s="110"/>
      <c r="AC361" s="111">
        <v>1437</v>
      </c>
      <c r="AD361" s="111">
        <v>105</v>
      </c>
      <c r="AE361" s="55">
        <v>0</v>
      </c>
      <c r="AF361" s="202"/>
      <c r="AG361" s="49"/>
    </row>
    <row r="362" spans="1:33" s="222" customFormat="1">
      <c r="A362" s="167" t="s">
        <v>558</v>
      </c>
      <c r="B362" s="159" t="s">
        <v>567</v>
      </c>
      <c r="C362" s="254"/>
      <c r="D362" s="160">
        <v>207306</v>
      </c>
      <c r="E362" s="160">
        <v>5</v>
      </c>
      <c r="F362" s="194">
        <f t="shared" si="16"/>
        <v>48214</v>
      </c>
      <c r="G362" s="195">
        <f t="shared" si="18"/>
        <v>50722</v>
      </c>
      <c r="H362" s="16">
        <v>34333</v>
      </c>
      <c r="I362" s="56">
        <v>34761</v>
      </c>
      <c r="J362" s="16">
        <v>48</v>
      </c>
      <c r="K362" s="115">
        <v>21</v>
      </c>
      <c r="L362" s="203">
        <v>6493</v>
      </c>
      <c r="M362" s="110">
        <v>6926</v>
      </c>
      <c r="N362" s="110">
        <v>414</v>
      </c>
      <c r="O362" s="111">
        <v>7852</v>
      </c>
      <c r="P362" s="111">
        <v>7353</v>
      </c>
      <c r="Q362" s="117">
        <v>735</v>
      </c>
      <c r="R362" s="202"/>
      <c r="S362" s="46"/>
      <c r="T362" s="196">
        <f t="shared" si="17"/>
        <v>2535</v>
      </c>
      <c r="U362" s="197">
        <f t="shared" si="19"/>
        <v>2909</v>
      </c>
      <c r="V362" s="16">
        <v>911</v>
      </c>
      <c r="W362" s="115">
        <v>1035</v>
      </c>
      <c r="X362" s="16">
        <v>3</v>
      </c>
      <c r="Y362" s="115">
        <v>0</v>
      </c>
      <c r="Z362" s="203">
        <v>388</v>
      </c>
      <c r="AA362" s="110">
        <v>1233</v>
      </c>
      <c r="AB362" s="110"/>
      <c r="AC362" s="111">
        <v>576</v>
      </c>
      <c r="AD362" s="111">
        <v>1103</v>
      </c>
      <c r="AE362" s="117">
        <v>195</v>
      </c>
      <c r="AF362" s="202"/>
      <c r="AG362" s="49"/>
    </row>
    <row r="363" spans="1:33" s="222" customFormat="1" ht="15">
      <c r="A363" s="167" t="s">
        <v>558</v>
      </c>
      <c r="B363" s="159" t="s">
        <v>568</v>
      </c>
      <c r="C363" s="342" t="s">
        <v>858</v>
      </c>
      <c r="D363" s="160">
        <v>207865</v>
      </c>
      <c r="E363" s="160">
        <v>5</v>
      </c>
      <c r="F363" s="194">
        <f t="shared" si="16"/>
        <v>118358</v>
      </c>
      <c r="G363" s="195">
        <f t="shared" si="18"/>
        <v>123835</v>
      </c>
      <c r="H363" s="16">
        <v>94407</v>
      </c>
      <c r="I363" s="56">
        <v>97998</v>
      </c>
      <c r="J363" s="16">
        <v>1562</v>
      </c>
      <c r="K363" s="115">
        <v>812</v>
      </c>
      <c r="L363" s="203">
        <v>21025</v>
      </c>
      <c r="M363" s="110">
        <v>1316</v>
      </c>
      <c r="N363" s="110">
        <v>48</v>
      </c>
      <c r="O363" s="111">
        <v>23072</v>
      </c>
      <c r="P363" s="111">
        <v>1953</v>
      </c>
      <c r="Q363" s="117">
        <v>0</v>
      </c>
      <c r="R363" s="202"/>
      <c r="S363" s="46"/>
      <c r="T363" s="196">
        <f t="shared" si="17"/>
        <v>12701</v>
      </c>
      <c r="U363" s="197">
        <f t="shared" si="19"/>
        <v>13697</v>
      </c>
      <c r="V363" s="16">
        <v>7558</v>
      </c>
      <c r="W363" s="56">
        <v>7429</v>
      </c>
      <c r="X363" s="16">
        <v>18</v>
      </c>
      <c r="Y363" s="115">
        <v>15</v>
      </c>
      <c r="Z363" s="203">
        <v>4423</v>
      </c>
      <c r="AA363" s="110">
        <v>702</v>
      </c>
      <c r="AB363" s="110"/>
      <c r="AC363" s="111">
        <v>5549</v>
      </c>
      <c r="AD363" s="47">
        <v>703</v>
      </c>
      <c r="AE363" s="117">
        <v>1</v>
      </c>
      <c r="AF363" s="202"/>
      <c r="AG363" s="49"/>
    </row>
    <row r="364" spans="1:33" s="222" customFormat="1">
      <c r="A364" s="158" t="s">
        <v>558</v>
      </c>
      <c r="B364" s="159" t="s">
        <v>569</v>
      </c>
      <c r="C364" s="254"/>
      <c r="D364" s="160">
        <v>207351</v>
      </c>
      <c r="E364" s="160">
        <v>6</v>
      </c>
      <c r="F364" s="194">
        <f t="shared" si="16"/>
        <v>33931</v>
      </c>
      <c r="G364" s="195">
        <f t="shared" si="18"/>
        <v>31044</v>
      </c>
      <c r="H364" s="16">
        <v>27219</v>
      </c>
      <c r="I364" s="115">
        <v>23743</v>
      </c>
      <c r="J364" s="16">
        <v>0</v>
      </c>
      <c r="K364" s="56">
        <v>0</v>
      </c>
      <c r="L364" s="203">
        <v>6379</v>
      </c>
      <c r="M364" s="110">
        <v>333</v>
      </c>
      <c r="N364" s="110">
        <v>0</v>
      </c>
      <c r="O364" s="111">
        <v>7080</v>
      </c>
      <c r="P364" s="111">
        <v>162</v>
      </c>
      <c r="Q364" s="117">
        <v>59</v>
      </c>
      <c r="R364" s="202"/>
      <c r="S364" s="46"/>
      <c r="T364" s="196">
        <f t="shared" si="17"/>
        <v>0</v>
      </c>
      <c r="U364" s="197">
        <f t="shared" si="19"/>
        <v>0</v>
      </c>
      <c r="V364" s="16">
        <v>0</v>
      </c>
      <c r="W364" s="56">
        <v>0</v>
      </c>
      <c r="X364" s="16">
        <v>0</v>
      </c>
      <c r="Y364" s="56"/>
      <c r="Z364" s="203"/>
      <c r="AA364" s="110"/>
      <c r="AB364" s="110"/>
      <c r="AC364" s="47"/>
      <c r="AD364" s="47"/>
      <c r="AE364" s="55"/>
      <c r="AF364" s="202"/>
      <c r="AG364" s="49"/>
    </row>
    <row r="365" spans="1:33" s="222" customFormat="1">
      <c r="A365" s="158" t="s">
        <v>558</v>
      </c>
      <c r="B365" s="159" t="s">
        <v>570</v>
      </c>
      <c r="C365" s="254"/>
      <c r="D365" s="160">
        <v>207661</v>
      </c>
      <c r="E365" s="256">
        <v>6</v>
      </c>
      <c r="F365" s="194">
        <f t="shared" si="16"/>
        <v>88319</v>
      </c>
      <c r="G365" s="195">
        <f t="shared" si="18"/>
        <v>86878</v>
      </c>
      <c r="H365" s="16">
        <v>61860</v>
      </c>
      <c r="I365" s="56">
        <v>61158</v>
      </c>
      <c r="J365" s="16">
        <v>142</v>
      </c>
      <c r="K365" s="115">
        <v>0</v>
      </c>
      <c r="L365" s="203">
        <v>24061</v>
      </c>
      <c r="M365" s="110">
        <v>2256</v>
      </c>
      <c r="N365" s="110">
        <v>0</v>
      </c>
      <c r="O365" s="47">
        <v>23782</v>
      </c>
      <c r="P365" s="111">
        <v>1938</v>
      </c>
      <c r="Q365" s="55">
        <v>0</v>
      </c>
      <c r="R365" s="202"/>
      <c r="S365" s="46"/>
      <c r="T365" s="196">
        <f t="shared" si="17"/>
        <v>261</v>
      </c>
      <c r="U365" s="197">
        <f t="shared" si="19"/>
        <v>474</v>
      </c>
      <c r="V365" s="16">
        <v>261</v>
      </c>
      <c r="W365" s="115">
        <v>474</v>
      </c>
      <c r="X365" s="16">
        <v>0</v>
      </c>
      <c r="Y365" s="56"/>
      <c r="Z365" s="203"/>
      <c r="AA365" s="110">
        <v>0</v>
      </c>
      <c r="AB365" s="110"/>
      <c r="AC365" s="47"/>
      <c r="AD365" s="47"/>
      <c r="AE365" s="55"/>
      <c r="AF365" s="202"/>
      <c r="AG365" s="49"/>
    </row>
    <row r="366" spans="1:33" s="222" customFormat="1">
      <c r="A366" s="158" t="s">
        <v>558</v>
      </c>
      <c r="B366" s="159" t="s">
        <v>571</v>
      </c>
      <c r="C366" s="254"/>
      <c r="D366" s="160">
        <v>207722</v>
      </c>
      <c r="E366" s="160">
        <v>6</v>
      </c>
      <c r="F366" s="194">
        <f t="shared" si="16"/>
        <v>25979</v>
      </c>
      <c r="G366" s="195">
        <f t="shared" si="18"/>
        <v>25599</v>
      </c>
      <c r="H366" s="16">
        <v>25928</v>
      </c>
      <c r="I366" s="56">
        <v>25599</v>
      </c>
      <c r="J366" s="16">
        <v>51</v>
      </c>
      <c r="K366" s="115">
        <v>0</v>
      </c>
      <c r="L366" s="203">
        <v>0</v>
      </c>
      <c r="M366" s="110">
        <v>0</v>
      </c>
      <c r="N366" s="110">
        <v>0</v>
      </c>
      <c r="O366" s="47">
        <v>0</v>
      </c>
      <c r="P366" s="47">
        <v>0</v>
      </c>
      <c r="Q366" s="55">
        <v>0</v>
      </c>
      <c r="R366" s="202"/>
      <c r="S366" s="46"/>
      <c r="T366" s="196">
        <f t="shared" si="17"/>
        <v>0</v>
      </c>
      <c r="U366" s="197">
        <f t="shared" si="19"/>
        <v>0</v>
      </c>
      <c r="V366" s="16"/>
      <c r="W366" s="56"/>
      <c r="X366" s="16"/>
      <c r="Y366" s="56"/>
      <c r="Z366" s="203"/>
      <c r="AA366" s="110"/>
      <c r="AB366" s="110"/>
      <c r="AC366" s="47"/>
      <c r="AD366" s="47"/>
      <c r="AE366" s="55"/>
      <c r="AF366" s="202"/>
      <c r="AG366" s="49"/>
    </row>
    <row r="367" spans="1:33" s="222" customFormat="1">
      <c r="A367" s="158" t="s">
        <v>558</v>
      </c>
      <c r="B367" s="159" t="s">
        <v>572</v>
      </c>
      <c r="C367" s="254"/>
      <c r="D367" s="160">
        <v>207564</v>
      </c>
      <c r="E367" s="160">
        <v>7</v>
      </c>
      <c r="F367" s="194">
        <f t="shared" si="16"/>
        <v>82440</v>
      </c>
      <c r="G367" s="195">
        <f t="shared" si="18"/>
        <v>72696</v>
      </c>
      <c r="H367" s="16">
        <v>63913</v>
      </c>
      <c r="I367" s="115">
        <v>58379</v>
      </c>
      <c r="J367" s="16">
        <v>7044</v>
      </c>
      <c r="K367" s="115">
        <v>766</v>
      </c>
      <c r="L367" s="203">
        <v>11483</v>
      </c>
      <c r="M367" s="110">
        <v>0</v>
      </c>
      <c r="N367" s="110">
        <v>0</v>
      </c>
      <c r="O367" s="111">
        <v>12841</v>
      </c>
      <c r="P367" s="47">
        <v>0</v>
      </c>
      <c r="Q367" s="117">
        <v>710</v>
      </c>
      <c r="R367" s="202"/>
      <c r="S367" s="46"/>
      <c r="T367" s="196">
        <f t="shared" si="17"/>
        <v>0</v>
      </c>
      <c r="U367" s="197">
        <f t="shared" si="19"/>
        <v>0</v>
      </c>
      <c r="V367" s="16"/>
      <c r="W367" s="56"/>
      <c r="X367" s="16"/>
      <c r="Y367" s="56"/>
      <c r="Z367" s="203"/>
      <c r="AA367" s="110"/>
      <c r="AB367" s="110"/>
      <c r="AC367" s="47"/>
      <c r="AD367" s="47"/>
      <c r="AE367" s="55"/>
      <c r="AF367" s="202"/>
      <c r="AG367" s="49"/>
    </row>
    <row r="368" spans="1:33" s="222" customFormat="1">
      <c r="A368" s="158" t="s">
        <v>558</v>
      </c>
      <c r="B368" s="159" t="s">
        <v>573</v>
      </c>
      <c r="C368" s="254"/>
      <c r="D368" s="160">
        <v>207397</v>
      </c>
      <c r="E368" s="160">
        <v>7</v>
      </c>
      <c r="F368" s="194">
        <f t="shared" si="16"/>
        <v>116991</v>
      </c>
      <c r="G368" s="195">
        <f t="shared" si="18"/>
        <v>128225</v>
      </c>
      <c r="H368" s="16">
        <v>67285</v>
      </c>
      <c r="I368" s="115">
        <v>75121</v>
      </c>
      <c r="J368" s="16">
        <v>1550</v>
      </c>
      <c r="K368" s="115">
        <v>294</v>
      </c>
      <c r="L368" s="203">
        <v>45896</v>
      </c>
      <c r="M368" s="110">
        <v>2141</v>
      </c>
      <c r="N368" s="110">
        <v>0</v>
      </c>
      <c r="O368" s="111">
        <v>52129</v>
      </c>
      <c r="P368" s="111">
        <v>672</v>
      </c>
      <c r="Q368" s="55">
        <v>0</v>
      </c>
      <c r="R368" s="202">
        <v>119</v>
      </c>
      <c r="S368" s="112">
        <v>9</v>
      </c>
      <c r="T368" s="196">
        <f t="shared" si="17"/>
        <v>0</v>
      </c>
      <c r="U368" s="197">
        <f t="shared" si="19"/>
        <v>0</v>
      </c>
      <c r="V368" s="16"/>
      <c r="W368" s="56"/>
      <c r="X368" s="16"/>
      <c r="Y368" s="56"/>
      <c r="Z368" s="203"/>
      <c r="AA368" s="110"/>
      <c r="AB368" s="110"/>
      <c r="AC368" s="47"/>
      <c r="AD368" s="47"/>
      <c r="AE368" s="55"/>
      <c r="AF368" s="202"/>
      <c r="AG368" s="49"/>
    </row>
    <row r="369" spans="1:33" s="222" customFormat="1">
      <c r="A369" s="158" t="s">
        <v>558</v>
      </c>
      <c r="B369" s="118" t="s">
        <v>574</v>
      </c>
      <c r="C369" s="254"/>
      <c r="D369" s="160">
        <v>207449</v>
      </c>
      <c r="E369" s="160">
        <v>8</v>
      </c>
      <c r="F369" s="194">
        <f t="shared" si="16"/>
        <v>256009</v>
      </c>
      <c r="G369" s="195">
        <f t="shared" si="18"/>
        <v>248468</v>
      </c>
      <c r="H369" s="16">
        <v>176534</v>
      </c>
      <c r="I369" s="56">
        <v>175107</v>
      </c>
      <c r="J369" s="16">
        <v>10991</v>
      </c>
      <c r="K369" s="115">
        <v>4840</v>
      </c>
      <c r="L369" s="203">
        <v>68119</v>
      </c>
      <c r="M369" s="110">
        <v>0</v>
      </c>
      <c r="N369" s="110">
        <v>365</v>
      </c>
      <c r="O369" s="47">
        <v>67913</v>
      </c>
      <c r="P369" s="47">
        <v>0</v>
      </c>
      <c r="Q369" s="117">
        <v>608</v>
      </c>
      <c r="R369" s="202"/>
      <c r="S369" s="46"/>
      <c r="T369" s="196">
        <f t="shared" si="17"/>
        <v>0</v>
      </c>
      <c r="U369" s="197">
        <f t="shared" si="19"/>
        <v>0</v>
      </c>
      <c r="V369" s="16"/>
      <c r="W369" s="56"/>
      <c r="X369" s="16"/>
      <c r="Y369" s="56"/>
      <c r="Z369" s="203"/>
      <c r="AA369" s="110"/>
      <c r="AB369" s="110"/>
      <c r="AC369" s="47"/>
      <c r="AD369" s="47"/>
      <c r="AE369" s="55"/>
      <c r="AF369" s="202"/>
      <c r="AG369" s="49"/>
    </row>
    <row r="370" spans="1:33" s="222" customFormat="1">
      <c r="A370" s="158" t="s">
        <v>558</v>
      </c>
      <c r="B370" s="159" t="s">
        <v>575</v>
      </c>
      <c r="C370" s="254"/>
      <c r="D370" s="160">
        <v>207935</v>
      </c>
      <c r="E370" s="160">
        <v>8</v>
      </c>
      <c r="F370" s="194">
        <f t="shared" si="16"/>
        <v>324297</v>
      </c>
      <c r="G370" s="195">
        <f t="shared" si="18"/>
        <v>315213</v>
      </c>
      <c r="H370" s="16">
        <v>199133</v>
      </c>
      <c r="I370" s="56">
        <v>195192</v>
      </c>
      <c r="J370" s="16">
        <v>21224</v>
      </c>
      <c r="K370" s="115">
        <v>18413</v>
      </c>
      <c r="L370" s="203">
        <v>103859</v>
      </c>
      <c r="M370" s="110">
        <v>51</v>
      </c>
      <c r="N370" s="110">
        <v>21</v>
      </c>
      <c r="O370" s="47">
        <v>101608</v>
      </c>
      <c r="P370" s="111">
        <v>0</v>
      </c>
      <c r="Q370" s="117">
        <v>0</v>
      </c>
      <c r="R370" s="202">
        <v>9</v>
      </c>
      <c r="S370" s="112">
        <v>0</v>
      </c>
      <c r="T370" s="196">
        <f t="shared" si="17"/>
        <v>0</v>
      </c>
      <c r="U370" s="197">
        <f t="shared" si="19"/>
        <v>0</v>
      </c>
      <c r="V370" s="16"/>
      <c r="W370" s="56"/>
      <c r="X370" s="16"/>
      <c r="Y370" s="56"/>
      <c r="Z370" s="203"/>
      <c r="AA370" s="110"/>
      <c r="AB370" s="110"/>
      <c r="AC370" s="47"/>
      <c r="AD370" s="47"/>
      <c r="AE370" s="55"/>
      <c r="AF370" s="202"/>
      <c r="AG370" s="49"/>
    </row>
    <row r="371" spans="1:33" s="222" customFormat="1">
      <c r="A371" s="158" t="s">
        <v>558</v>
      </c>
      <c r="B371" s="118" t="s">
        <v>576</v>
      </c>
      <c r="C371" s="254"/>
      <c r="D371" s="160">
        <v>207281</v>
      </c>
      <c r="E371" s="160">
        <v>9</v>
      </c>
      <c r="F371" s="194">
        <f t="shared" si="16"/>
        <v>91921</v>
      </c>
      <c r="G371" s="195">
        <f t="shared" si="18"/>
        <v>90636</v>
      </c>
      <c r="H371" s="16">
        <v>64415</v>
      </c>
      <c r="I371" s="56">
        <v>64911</v>
      </c>
      <c r="J371" s="16">
        <v>4315</v>
      </c>
      <c r="K371" s="115">
        <v>1360</v>
      </c>
      <c r="L371" s="203">
        <v>10302</v>
      </c>
      <c r="M371" s="110">
        <v>12889</v>
      </c>
      <c r="N371" s="110">
        <v>0</v>
      </c>
      <c r="O371" s="111">
        <v>11605</v>
      </c>
      <c r="P371" s="47">
        <v>12760</v>
      </c>
      <c r="Q371" s="55">
        <v>0</v>
      </c>
      <c r="R371" s="202"/>
      <c r="S371" s="46"/>
      <c r="T371" s="196">
        <f t="shared" si="17"/>
        <v>0</v>
      </c>
      <c r="U371" s="197">
        <f t="shared" si="19"/>
        <v>0</v>
      </c>
      <c r="V371" s="16"/>
      <c r="W371" s="56"/>
      <c r="X371" s="16"/>
      <c r="Y371" s="56"/>
      <c r="Z371" s="203"/>
      <c r="AA371" s="110"/>
      <c r="AB371" s="110"/>
      <c r="AC371" s="47"/>
      <c r="AD371" s="47"/>
      <c r="AE371" s="55"/>
      <c r="AF371" s="202"/>
      <c r="AG371" s="49"/>
    </row>
    <row r="372" spans="1:33" s="222" customFormat="1">
      <c r="A372" s="158" t="s">
        <v>558</v>
      </c>
      <c r="B372" s="159" t="s">
        <v>577</v>
      </c>
      <c r="C372" s="255"/>
      <c r="D372" s="160">
        <v>207670</v>
      </c>
      <c r="E372" s="120">
        <v>9</v>
      </c>
      <c r="F372" s="194">
        <f t="shared" si="16"/>
        <v>127159</v>
      </c>
      <c r="G372" s="195">
        <f t="shared" si="18"/>
        <v>131293</v>
      </c>
      <c r="H372" s="16">
        <v>89276</v>
      </c>
      <c r="I372" s="56">
        <v>91926</v>
      </c>
      <c r="J372" s="16">
        <v>1482</v>
      </c>
      <c r="K372" s="115">
        <v>413</v>
      </c>
      <c r="L372" s="203">
        <v>34163</v>
      </c>
      <c r="M372" s="110">
        <v>834</v>
      </c>
      <c r="N372" s="110">
        <v>1404</v>
      </c>
      <c r="O372" s="111">
        <v>36520</v>
      </c>
      <c r="P372" s="111">
        <v>996</v>
      </c>
      <c r="Q372" s="55">
        <v>1438</v>
      </c>
      <c r="R372" s="202"/>
      <c r="S372" s="46"/>
      <c r="T372" s="196">
        <f t="shared" si="17"/>
        <v>0</v>
      </c>
      <c r="U372" s="197">
        <f t="shared" si="19"/>
        <v>0</v>
      </c>
      <c r="V372" s="16"/>
      <c r="W372" s="56"/>
      <c r="X372" s="16"/>
      <c r="Y372" s="56"/>
      <c r="Z372" s="203"/>
      <c r="AA372" s="110"/>
      <c r="AB372" s="110"/>
      <c r="AC372" s="47"/>
      <c r="AD372" s="47"/>
      <c r="AE372" s="55"/>
      <c r="AF372" s="202"/>
      <c r="AG372" s="49"/>
    </row>
    <row r="373" spans="1:33" s="222" customFormat="1">
      <c r="A373" s="158" t="s">
        <v>558</v>
      </c>
      <c r="B373" s="159" t="s">
        <v>578</v>
      </c>
      <c r="C373" s="255"/>
      <c r="D373" s="160">
        <v>206923</v>
      </c>
      <c r="E373" s="120">
        <v>10</v>
      </c>
      <c r="F373" s="194">
        <f t="shared" si="16"/>
        <v>51506</v>
      </c>
      <c r="G373" s="195">
        <f t="shared" si="18"/>
        <v>49325</v>
      </c>
      <c r="H373" s="16">
        <v>49915</v>
      </c>
      <c r="I373" s="56">
        <v>47820</v>
      </c>
      <c r="J373" s="16">
        <v>0</v>
      </c>
      <c r="K373" s="56">
        <v>0</v>
      </c>
      <c r="L373" s="203">
        <v>0</v>
      </c>
      <c r="M373" s="110">
        <v>1591</v>
      </c>
      <c r="N373" s="110">
        <v>0</v>
      </c>
      <c r="O373" s="47">
        <v>0</v>
      </c>
      <c r="P373" s="111">
        <v>1505</v>
      </c>
      <c r="Q373" s="55">
        <v>0</v>
      </c>
      <c r="R373" s="202"/>
      <c r="S373" s="46"/>
      <c r="T373" s="196">
        <f t="shared" si="17"/>
        <v>0</v>
      </c>
      <c r="U373" s="197">
        <f t="shared" si="19"/>
        <v>0</v>
      </c>
      <c r="V373" s="16"/>
      <c r="W373" s="56"/>
      <c r="X373" s="16"/>
      <c r="Y373" s="56"/>
      <c r="Z373" s="203"/>
      <c r="AA373" s="110"/>
      <c r="AB373" s="110"/>
      <c r="AC373" s="47"/>
      <c r="AD373" s="47"/>
      <c r="AE373" s="55"/>
      <c r="AF373" s="202"/>
      <c r="AG373" s="49"/>
    </row>
    <row r="374" spans="1:33" s="222" customFormat="1">
      <c r="A374" s="158" t="s">
        <v>558</v>
      </c>
      <c r="B374" s="159" t="s">
        <v>579</v>
      </c>
      <c r="C374" s="254"/>
      <c r="D374" s="160">
        <v>206996</v>
      </c>
      <c r="E374" s="160">
        <v>10</v>
      </c>
      <c r="F374" s="194">
        <f t="shared" si="16"/>
        <v>51066</v>
      </c>
      <c r="G374" s="195">
        <f t="shared" si="18"/>
        <v>51190</v>
      </c>
      <c r="H374" s="16">
        <v>29754</v>
      </c>
      <c r="I374" s="115">
        <v>28187</v>
      </c>
      <c r="J374" s="16">
        <v>6287</v>
      </c>
      <c r="K374" s="115">
        <v>2641</v>
      </c>
      <c r="L374" s="203">
        <v>15025</v>
      </c>
      <c r="M374" s="110">
        <v>0</v>
      </c>
      <c r="N374" s="110">
        <v>0</v>
      </c>
      <c r="O374" s="111">
        <v>19328</v>
      </c>
      <c r="P374" s="111">
        <v>1034</v>
      </c>
      <c r="Q374" s="55">
        <v>0</v>
      </c>
      <c r="R374" s="202"/>
      <c r="S374" s="46"/>
      <c r="T374" s="196">
        <f t="shared" si="17"/>
        <v>0</v>
      </c>
      <c r="U374" s="197">
        <f t="shared" si="19"/>
        <v>0</v>
      </c>
      <c r="V374" s="16"/>
      <c r="W374" s="56"/>
      <c r="X374" s="16"/>
      <c r="Y374" s="56"/>
      <c r="Z374" s="203"/>
      <c r="AA374" s="110"/>
      <c r="AB374" s="110"/>
      <c r="AC374" s="47"/>
      <c r="AD374" s="47"/>
      <c r="AE374" s="55"/>
      <c r="AF374" s="202"/>
      <c r="AG374" s="49"/>
    </row>
    <row r="375" spans="1:33" s="222" customFormat="1">
      <c r="A375" s="158" t="s">
        <v>558</v>
      </c>
      <c r="B375" s="159" t="s">
        <v>580</v>
      </c>
      <c r="C375" s="254"/>
      <c r="D375" s="160">
        <v>207050</v>
      </c>
      <c r="E375" s="160">
        <v>10</v>
      </c>
      <c r="F375" s="194">
        <f t="shared" si="16"/>
        <v>34566</v>
      </c>
      <c r="G375" s="195">
        <f t="shared" si="18"/>
        <v>34302</v>
      </c>
      <c r="H375" s="16">
        <v>23377</v>
      </c>
      <c r="I375" s="56">
        <v>22978</v>
      </c>
      <c r="J375" s="16">
        <v>656</v>
      </c>
      <c r="K375" s="115">
        <v>729</v>
      </c>
      <c r="L375" s="203">
        <v>8324</v>
      </c>
      <c r="M375" s="110">
        <v>2209</v>
      </c>
      <c r="N375" s="110">
        <v>0</v>
      </c>
      <c r="O375" s="47">
        <v>8710</v>
      </c>
      <c r="P375" s="111">
        <v>1870</v>
      </c>
      <c r="Q375" s="117">
        <v>15</v>
      </c>
      <c r="R375" s="202"/>
      <c r="S375" s="46"/>
      <c r="T375" s="196">
        <f t="shared" si="17"/>
        <v>0</v>
      </c>
      <c r="U375" s="197">
        <f t="shared" si="19"/>
        <v>0</v>
      </c>
      <c r="V375" s="16"/>
      <c r="W375" s="56"/>
      <c r="X375" s="16"/>
      <c r="Y375" s="56"/>
      <c r="Z375" s="203"/>
      <c r="AA375" s="110"/>
      <c r="AB375" s="110"/>
      <c r="AC375" s="47"/>
      <c r="AD375" s="47"/>
      <c r="AE375" s="55"/>
      <c r="AF375" s="202"/>
      <c r="AG375" s="49"/>
    </row>
    <row r="376" spans="1:33" s="222" customFormat="1">
      <c r="A376" s="158" t="s">
        <v>558</v>
      </c>
      <c r="B376" s="159" t="s">
        <v>581</v>
      </c>
      <c r="C376" s="254"/>
      <c r="D376" s="160">
        <v>207236</v>
      </c>
      <c r="E376" s="160">
        <v>10</v>
      </c>
      <c r="F376" s="194">
        <f t="shared" si="16"/>
        <v>47580</v>
      </c>
      <c r="G376" s="195">
        <f t="shared" si="18"/>
        <v>47514</v>
      </c>
      <c r="H376" s="16">
        <v>28037</v>
      </c>
      <c r="I376" s="56">
        <v>28755</v>
      </c>
      <c r="J376" s="16">
        <v>1249</v>
      </c>
      <c r="K376" s="115">
        <v>423</v>
      </c>
      <c r="L376" s="203">
        <v>13635</v>
      </c>
      <c r="M376" s="110">
        <v>4568</v>
      </c>
      <c r="N376" s="110">
        <v>91</v>
      </c>
      <c r="O376" s="111">
        <v>14864</v>
      </c>
      <c r="P376" s="111">
        <v>3386</v>
      </c>
      <c r="Q376" s="117">
        <v>86</v>
      </c>
      <c r="R376" s="202"/>
      <c r="S376" s="46"/>
      <c r="T376" s="196">
        <f t="shared" si="17"/>
        <v>0</v>
      </c>
      <c r="U376" s="197">
        <f t="shared" si="19"/>
        <v>0</v>
      </c>
      <c r="V376" s="16"/>
      <c r="W376" s="56"/>
      <c r="X376" s="16"/>
      <c r="Y376" s="56"/>
      <c r="Z376" s="203"/>
      <c r="AA376" s="110"/>
      <c r="AB376" s="110"/>
      <c r="AC376" s="47"/>
      <c r="AD376" s="47"/>
      <c r="AE376" s="55"/>
      <c r="AF376" s="202"/>
      <c r="AG376" s="49"/>
    </row>
    <row r="377" spans="1:33" s="222" customFormat="1">
      <c r="A377" s="158" t="s">
        <v>558</v>
      </c>
      <c r="B377" s="159" t="s">
        <v>582</v>
      </c>
      <c r="C377" s="254"/>
      <c r="D377" s="160">
        <v>207290</v>
      </c>
      <c r="E377" s="160">
        <v>10</v>
      </c>
      <c r="F377" s="194">
        <f t="shared" si="16"/>
        <v>53807</v>
      </c>
      <c r="G377" s="195">
        <f t="shared" si="18"/>
        <v>52536</v>
      </c>
      <c r="H377" s="16">
        <v>42640</v>
      </c>
      <c r="I377" s="56">
        <v>43710</v>
      </c>
      <c r="J377" s="16">
        <v>1232</v>
      </c>
      <c r="K377" s="115">
        <v>477</v>
      </c>
      <c r="L377" s="203">
        <v>8927</v>
      </c>
      <c r="M377" s="110">
        <v>1008</v>
      </c>
      <c r="N377" s="110">
        <v>0</v>
      </c>
      <c r="O377" s="111">
        <v>8034</v>
      </c>
      <c r="P377" s="111">
        <v>315</v>
      </c>
      <c r="Q377" s="55">
        <v>0</v>
      </c>
      <c r="R377" s="202"/>
      <c r="S377" s="46"/>
      <c r="T377" s="196">
        <f t="shared" si="17"/>
        <v>0</v>
      </c>
      <c r="U377" s="197">
        <f t="shared" si="19"/>
        <v>0</v>
      </c>
      <c r="V377" s="16"/>
      <c r="W377" s="56"/>
      <c r="X377" s="16"/>
      <c r="Y377" s="56"/>
      <c r="Z377" s="203"/>
      <c r="AA377" s="110"/>
      <c r="AB377" s="110"/>
      <c r="AC377" s="47"/>
      <c r="AD377" s="47"/>
      <c r="AE377" s="55"/>
      <c r="AF377" s="202"/>
      <c r="AG377" s="49"/>
    </row>
    <row r="378" spans="1:33" s="222" customFormat="1">
      <c r="A378" s="158" t="s">
        <v>558</v>
      </c>
      <c r="B378" s="159" t="s">
        <v>583</v>
      </c>
      <c r="C378" s="254"/>
      <c r="D378" s="160">
        <v>207069</v>
      </c>
      <c r="E378" s="160">
        <v>10</v>
      </c>
      <c r="F378" s="194">
        <f t="shared" si="16"/>
        <v>39513</v>
      </c>
      <c r="G378" s="195">
        <f t="shared" si="18"/>
        <v>39105</v>
      </c>
      <c r="H378" s="16">
        <v>20693</v>
      </c>
      <c r="I378" s="115">
        <v>19575</v>
      </c>
      <c r="J378" s="16">
        <v>5585</v>
      </c>
      <c r="K378" s="115">
        <v>4612</v>
      </c>
      <c r="L378" s="203">
        <v>11510</v>
      </c>
      <c r="M378" s="110">
        <v>1725</v>
      </c>
      <c r="N378" s="110">
        <v>0</v>
      </c>
      <c r="O378" s="111">
        <v>13262</v>
      </c>
      <c r="P378" s="47">
        <v>1656</v>
      </c>
      <c r="Q378" s="55">
        <v>0</v>
      </c>
      <c r="R378" s="202"/>
      <c r="S378" s="46"/>
      <c r="T378" s="196">
        <f t="shared" si="17"/>
        <v>0</v>
      </c>
      <c r="U378" s="197">
        <f t="shared" si="19"/>
        <v>0</v>
      </c>
      <c r="V378" s="16"/>
      <c r="W378" s="56"/>
      <c r="X378" s="16"/>
      <c r="Y378" s="56"/>
      <c r="Z378" s="203"/>
      <c r="AA378" s="110"/>
      <c r="AB378" s="110"/>
      <c r="AC378" s="47"/>
      <c r="AD378" s="47"/>
      <c r="AE378" s="55"/>
      <c r="AF378" s="202"/>
      <c r="AG378" s="49"/>
    </row>
    <row r="379" spans="1:33" s="222" customFormat="1">
      <c r="A379" s="158" t="s">
        <v>558</v>
      </c>
      <c r="B379" s="159" t="s">
        <v>584</v>
      </c>
      <c r="C379" s="254"/>
      <c r="D379" s="160">
        <v>207740</v>
      </c>
      <c r="E379" s="160">
        <v>10</v>
      </c>
      <c r="F379" s="194">
        <f t="shared" si="16"/>
        <v>38400</v>
      </c>
      <c r="G379" s="195">
        <f t="shared" si="18"/>
        <v>38608</v>
      </c>
      <c r="H379" s="16">
        <v>26601</v>
      </c>
      <c r="I379" s="115">
        <v>29569</v>
      </c>
      <c r="J379" s="16">
        <v>4702</v>
      </c>
      <c r="K379" s="115">
        <v>1651</v>
      </c>
      <c r="L379" s="203">
        <v>6899</v>
      </c>
      <c r="M379" s="110">
        <v>198</v>
      </c>
      <c r="N379" s="110">
        <v>0</v>
      </c>
      <c r="O379" s="47">
        <v>7094</v>
      </c>
      <c r="P379" s="111">
        <v>294</v>
      </c>
      <c r="Q379" s="55">
        <v>0</v>
      </c>
      <c r="R379" s="202"/>
      <c r="S379" s="46"/>
      <c r="T379" s="196">
        <f t="shared" si="17"/>
        <v>0</v>
      </c>
      <c r="U379" s="197">
        <f t="shared" si="19"/>
        <v>0</v>
      </c>
      <c r="V379" s="16"/>
      <c r="W379" s="56"/>
      <c r="X379" s="16"/>
      <c r="Y379" s="56"/>
      <c r="Z379" s="203"/>
      <c r="AA379" s="110"/>
      <c r="AB379" s="110"/>
      <c r="AC379" s="47"/>
      <c r="AD379" s="47"/>
      <c r="AE379" s="55"/>
      <c r="AF379" s="202"/>
      <c r="AG379" s="49"/>
    </row>
    <row r="380" spans="1:33" s="222" customFormat="1">
      <c r="A380" s="158" t="s">
        <v>558</v>
      </c>
      <c r="B380" s="159" t="s">
        <v>585</v>
      </c>
      <c r="C380" s="254"/>
      <c r="D380" s="160">
        <v>208035</v>
      </c>
      <c r="E380" s="160">
        <v>10</v>
      </c>
      <c r="F380" s="194">
        <f t="shared" si="16"/>
        <v>28144</v>
      </c>
      <c r="G380" s="195">
        <f t="shared" si="18"/>
        <v>28588</v>
      </c>
      <c r="H380" s="16">
        <v>15490</v>
      </c>
      <c r="I380" s="115">
        <v>16882</v>
      </c>
      <c r="J380" s="16">
        <v>1790</v>
      </c>
      <c r="K380" s="115">
        <v>1077</v>
      </c>
      <c r="L380" s="203">
        <v>8773</v>
      </c>
      <c r="M380" s="110">
        <v>2091</v>
      </c>
      <c r="N380" s="110">
        <v>0</v>
      </c>
      <c r="O380" s="47">
        <v>9075</v>
      </c>
      <c r="P380" s="111">
        <v>1554</v>
      </c>
      <c r="Q380" s="55">
        <v>0</v>
      </c>
      <c r="R380" s="202"/>
      <c r="S380" s="46"/>
      <c r="T380" s="196">
        <f t="shared" si="17"/>
        <v>0</v>
      </c>
      <c r="U380" s="197">
        <f t="shared" si="19"/>
        <v>0</v>
      </c>
      <c r="V380" s="16"/>
      <c r="W380" s="56"/>
      <c r="X380" s="16"/>
      <c r="Y380" s="56"/>
      <c r="Z380" s="203"/>
      <c r="AA380" s="110"/>
      <c r="AB380" s="110"/>
      <c r="AC380" s="47"/>
      <c r="AD380" s="47"/>
      <c r="AE380" s="55"/>
      <c r="AF380" s="202"/>
      <c r="AG380" s="49"/>
    </row>
    <row r="381" spans="1:33" s="192" customFormat="1" ht="13.5" customHeight="1">
      <c r="A381" s="257" t="s">
        <v>586</v>
      </c>
      <c r="B381" s="258" t="s">
        <v>587</v>
      </c>
      <c r="C381" s="259"/>
      <c r="D381" s="260">
        <v>217882</v>
      </c>
      <c r="E381" s="260">
        <v>1</v>
      </c>
      <c r="F381" s="194">
        <f t="shared" si="16"/>
        <v>539706</v>
      </c>
      <c r="G381" s="195">
        <f t="shared" si="18"/>
        <v>577497</v>
      </c>
      <c r="H381" s="108">
        <v>489579</v>
      </c>
      <c r="I381" s="261">
        <v>522723</v>
      </c>
      <c r="J381" s="108">
        <v>10345</v>
      </c>
      <c r="K381" s="261">
        <v>12054</v>
      </c>
      <c r="L381" s="109">
        <v>39782</v>
      </c>
      <c r="M381" s="110"/>
      <c r="N381" s="110"/>
      <c r="O381" s="116">
        <v>42720</v>
      </c>
      <c r="P381" s="47"/>
      <c r="Q381" s="55"/>
      <c r="R381" s="108"/>
      <c r="S381" s="46"/>
      <c r="T381" s="196">
        <f t="shared" si="17"/>
        <v>90626</v>
      </c>
      <c r="U381" s="197">
        <f t="shared" si="19"/>
        <v>93125</v>
      </c>
      <c r="V381" s="108">
        <v>52042</v>
      </c>
      <c r="W381" s="262">
        <v>51134</v>
      </c>
      <c r="X381" s="108">
        <v>25778</v>
      </c>
      <c r="Y381" s="261">
        <v>27911</v>
      </c>
      <c r="Z381" s="109">
        <v>12806</v>
      </c>
      <c r="AA381" s="110"/>
      <c r="AB381" s="110"/>
      <c r="AC381" s="116">
        <v>14080</v>
      </c>
      <c r="AD381" s="47"/>
      <c r="AE381" s="55"/>
      <c r="AF381" s="108"/>
      <c r="AG381" s="49"/>
    </row>
    <row r="382" spans="1:33" s="222" customFormat="1">
      <c r="A382" s="257" t="s">
        <v>586</v>
      </c>
      <c r="B382" s="258" t="s">
        <v>588</v>
      </c>
      <c r="C382" s="259"/>
      <c r="D382" s="260">
        <v>218663</v>
      </c>
      <c r="E382" s="260">
        <v>1</v>
      </c>
      <c r="F382" s="194">
        <f t="shared" si="16"/>
        <v>699226</v>
      </c>
      <c r="G382" s="195">
        <f t="shared" si="18"/>
        <v>687316</v>
      </c>
      <c r="H382" s="108">
        <v>641566</v>
      </c>
      <c r="I382" s="262">
        <v>627537</v>
      </c>
      <c r="J382" s="108">
        <v>18865</v>
      </c>
      <c r="K382" s="261">
        <v>17860</v>
      </c>
      <c r="L382" s="109">
        <v>38795</v>
      </c>
      <c r="M382" s="110"/>
      <c r="N382" s="110"/>
      <c r="O382" s="116">
        <v>41919</v>
      </c>
      <c r="P382" s="47"/>
      <c r="Q382" s="55"/>
      <c r="R382" s="108"/>
      <c r="S382" s="46"/>
      <c r="T382" s="196">
        <f t="shared" si="17"/>
        <v>234148</v>
      </c>
      <c r="U382" s="197">
        <f t="shared" si="19"/>
        <v>230148</v>
      </c>
      <c r="V382" s="108">
        <v>176197</v>
      </c>
      <c r="W382" s="262">
        <v>175390</v>
      </c>
      <c r="X382" s="108">
        <v>6201</v>
      </c>
      <c r="Y382" s="262">
        <v>6040</v>
      </c>
      <c r="Z382" s="109">
        <v>37856</v>
      </c>
      <c r="AA382" s="110">
        <v>12483</v>
      </c>
      <c r="AB382" s="110">
        <v>1411</v>
      </c>
      <c r="AC382" s="116">
        <v>40334</v>
      </c>
      <c r="AD382" s="116">
        <v>8198</v>
      </c>
      <c r="AE382" s="122">
        <v>186</v>
      </c>
      <c r="AF382" s="108"/>
      <c r="AG382" s="49"/>
    </row>
    <row r="383" spans="1:33" s="222" customFormat="1">
      <c r="A383" s="257" t="s">
        <v>586</v>
      </c>
      <c r="B383" s="258" t="s">
        <v>589</v>
      </c>
      <c r="C383" s="259"/>
      <c r="D383" s="260">
        <v>217819</v>
      </c>
      <c r="E383" s="260">
        <v>3</v>
      </c>
      <c r="F383" s="194">
        <f t="shared" si="16"/>
        <v>304995</v>
      </c>
      <c r="G383" s="195">
        <f t="shared" si="18"/>
        <v>302309</v>
      </c>
      <c r="H383" s="108">
        <v>292782</v>
      </c>
      <c r="I383" s="262">
        <v>285154</v>
      </c>
      <c r="J383" s="108">
        <v>3850</v>
      </c>
      <c r="K383" s="261">
        <v>4407</v>
      </c>
      <c r="L383" s="109">
        <v>8363</v>
      </c>
      <c r="M383" s="110"/>
      <c r="N383" s="110"/>
      <c r="O383" s="116">
        <v>12748</v>
      </c>
      <c r="P383" s="47"/>
      <c r="Q383" s="55"/>
      <c r="R383" s="108"/>
      <c r="S383" s="46"/>
      <c r="T383" s="196">
        <f t="shared" si="17"/>
        <v>14943</v>
      </c>
      <c r="U383" s="197">
        <f t="shared" si="19"/>
        <v>14412</v>
      </c>
      <c r="V383" s="108">
        <v>8329</v>
      </c>
      <c r="W383" s="262">
        <v>8278</v>
      </c>
      <c r="X383" s="108">
        <v>3845</v>
      </c>
      <c r="Y383" s="261">
        <v>3468</v>
      </c>
      <c r="Z383" s="109">
        <v>2769</v>
      </c>
      <c r="AA383" s="110"/>
      <c r="AB383" s="110"/>
      <c r="AC383" s="47">
        <v>2666</v>
      </c>
      <c r="AD383" s="47"/>
      <c r="AE383" s="55"/>
      <c r="AF383" s="108"/>
      <c r="AG383" s="49"/>
    </row>
    <row r="384" spans="1:33" s="222" customFormat="1">
      <c r="A384" s="257" t="s">
        <v>586</v>
      </c>
      <c r="B384" s="258" t="s">
        <v>590</v>
      </c>
      <c r="C384" s="212"/>
      <c r="D384" s="260">
        <v>217864</v>
      </c>
      <c r="E384" s="213">
        <v>3</v>
      </c>
      <c r="F384" s="194">
        <f t="shared" si="16"/>
        <v>95559</v>
      </c>
      <c r="G384" s="195">
        <f t="shared" si="18"/>
        <v>95795</v>
      </c>
      <c r="H384" s="108">
        <v>93571</v>
      </c>
      <c r="I384" s="262">
        <v>92451</v>
      </c>
      <c r="J384" s="108">
        <v>207</v>
      </c>
      <c r="K384" s="261">
        <v>180</v>
      </c>
      <c r="L384" s="109">
        <v>1781</v>
      </c>
      <c r="M384" s="110"/>
      <c r="N384" s="110"/>
      <c r="O384" s="116">
        <v>3164</v>
      </c>
      <c r="P384" s="47"/>
      <c r="Q384" s="55"/>
      <c r="R384" s="108"/>
      <c r="S384" s="46"/>
      <c r="T384" s="196">
        <f t="shared" si="17"/>
        <v>13865</v>
      </c>
      <c r="U384" s="197">
        <f t="shared" si="19"/>
        <v>13735</v>
      </c>
      <c r="V384" s="108">
        <v>9799</v>
      </c>
      <c r="W384" s="261">
        <v>8790</v>
      </c>
      <c r="X384" s="108">
        <v>1713</v>
      </c>
      <c r="Y384" s="262">
        <v>1767</v>
      </c>
      <c r="Z384" s="109">
        <v>2353</v>
      </c>
      <c r="AA384" s="110"/>
      <c r="AB384" s="110"/>
      <c r="AC384" s="116">
        <v>3178</v>
      </c>
      <c r="AD384" s="47"/>
      <c r="AE384" s="55"/>
      <c r="AF384" s="108"/>
      <c r="AG384" s="49"/>
    </row>
    <row r="385" spans="1:33" s="222" customFormat="1">
      <c r="A385" s="257" t="s">
        <v>586</v>
      </c>
      <c r="B385" s="258" t="s">
        <v>591</v>
      </c>
      <c r="C385" s="259"/>
      <c r="D385" s="260">
        <v>218964</v>
      </c>
      <c r="E385" s="260">
        <v>3</v>
      </c>
      <c r="F385" s="194">
        <f t="shared" si="16"/>
        <v>135777.5</v>
      </c>
      <c r="G385" s="195">
        <f t="shared" si="18"/>
        <v>137771</v>
      </c>
      <c r="H385" s="108">
        <v>127554.5</v>
      </c>
      <c r="I385" s="262">
        <v>125437</v>
      </c>
      <c r="J385" s="108">
        <v>1414</v>
      </c>
      <c r="K385" s="261">
        <v>1699</v>
      </c>
      <c r="L385" s="109">
        <v>6809</v>
      </c>
      <c r="M385" s="110"/>
      <c r="N385" s="110"/>
      <c r="O385" s="116">
        <v>10635</v>
      </c>
      <c r="P385" s="47"/>
      <c r="Q385" s="55"/>
      <c r="R385" s="108"/>
      <c r="S385" s="46"/>
      <c r="T385" s="196">
        <f t="shared" si="17"/>
        <v>24004.5</v>
      </c>
      <c r="U385" s="197">
        <f t="shared" si="19"/>
        <v>23142</v>
      </c>
      <c r="V385" s="108">
        <v>21341</v>
      </c>
      <c r="W385" s="261">
        <v>20269</v>
      </c>
      <c r="X385" s="108">
        <v>1621</v>
      </c>
      <c r="Y385" s="261">
        <v>1714</v>
      </c>
      <c r="Z385" s="109">
        <v>1042.5</v>
      </c>
      <c r="AA385" s="110"/>
      <c r="AB385" s="110"/>
      <c r="AC385" s="116">
        <v>1159</v>
      </c>
      <c r="AD385" s="47"/>
      <c r="AE385" s="55"/>
      <c r="AF385" s="108"/>
      <c r="AG385" s="49"/>
    </row>
    <row r="386" spans="1:33" s="222" customFormat="1" ht="15">
      <c r="A386" s="257" t="s">
        <v>586</v>
      </c>
      <c r="B386" s="258" t="s">
        <v>592</v>
      </c>
      <c r="C386" s="354" t="s">
        <v>868</v>
      </c>
      <c r="D386" s="260">
        <v>218724</v>
      </c>
      <c r="E386" s="260">
        <v>5</v>
      </c>
      <c r="F386" s="194">
        <f t="shared" si="16"/>
        <v>276301</v>
      </c>
      <c r="G386" s="195">
        <f t="shared" si="18"/>
        <v>286821</v>
      </c>
      <c r="H386" s="108">
        <v>244796</v>
      </c>
      <c r="I386" s="262">
        <v>245628</v>
      </c>
      <c r="J386" s="108">
        <v>1911</v>
      </c>
      <c r="K386" s="261">
        <v>2035</v>
      </c>
      <c r="L386" s="109">
        <v>29594</v>
      </c>
      <c r="M386" s="110"/>
      <c r="N386" s="110"/>
      <c r="O386" s="116">
        <v>39158</v>
      </c>
      <c r="P386" s="47"/>
      <c r="Q386" s="55"/>
      <c r="R386" s="108"/>
      <c r="S386" s="46"/>
      <c r="T386" s="196">
        <f t="shared" si="17"/>
        <v>12116</v>
      </c>
      <c r="U386" s="197">
        <f t="shared" si="19"/>
        <v>13699</v>
      </c>
      <c r="V386" s="108">
        <v>5271</v>
      </c>
      <c r="W386" s="262">
        <v>5322</v>
      </c>
      <c r="X386" s="108">
        <v>1122</v>
      </c>
      <c r="Y386" s="262">
        <v>1153</v>
      </c>
      <c r="Z386" s="109">
        <v>5723</v>
      </c>
      <c r="AA386" s="110"/>
      <c r="AB386" s="110"/>
      <c r="AC386" s="116">
        <v>7224</v>
      </c>
      <c r="AD386" s="47"/>
      <c r="AE386" s="55"/>
      <c r="AF386" s="108"/>
      <c r="AG386" s="49"/>
    </row>
    <row r="387" spans="1:33" s="222" customFormat="1" ht="15">
      <c r="A387" s="257" t="s">
        <v>586</v>
      </c>
      <c r="B387" s="258" t="s">
        <v>593</v>
      </c>
      <c r="C387" s="354"/>
      <c r="D387" s="260">
        <v>218061</v>
      </c>
      <c r="E387" s="260">
        <v>5</v>
      </c>
      <c r="F387" s="194">
        <f t="shared" si="16"/>
        <v>96009</v>
      </c>
      <c r="G387" s="195">
        <f t="shared" si="18"/>
        <v>95137</v>
      </c>
      <c r="H387" s="108">
        <v>94806</v>
      </c>
      <c r="I387" s="262">
        <v>93924</v>
      </c>
      <c r="J387" s="108">
        <v>343</v>
      </c>
      <c r="K387" s="261">
        <v>166</v>
      </c>
      <c r="L387" s="109">
        <v>860</v>
      </c>
      <c r="M387" s="110"/>
      <c r="N387" s="110"/>
      <c r="O387" s="116">
        <v>1047</v>
      </c>
      <c r="P387" s="47"/>
      <c r="Q387" s="55"/>
      <c r="R387" s="108"/>
      <c r="S387" s="46"/>
      <c r="T387" s="196">
        <f t="shared" si="17"/>
        <v>6913</v>
      </c>
      <c r="U387" s="197">
        <f t="shared" si="19"/>
        <v>6518</v>
      </c>
      <c r="V387" s="108">
        <v>4592</v>
      </c>
      <c r="W387" s="261">
        <v>5288</v>
      </c>
      <c r="X387" s="108">
        <v>828</v>
      </c>
      <c r="Y387" s="261">
        <v>147</v>
      </c>
      <c r="Z387" s="109">
        <v>1493</v>
      </c>
      <c r="AA387" s="110"/>
      <c r="AB387" s="110"/>
      <c r="AC387" s="116">
        <v>1083</v>
      </c>
      <c r="AD387" s="47"/>
      <c r="AE387" s="55"/>
      <c r="AF387" s="108"/>
      <c r="AG387" s="49"/>
    </row>
    <row r="388" spans="1:33" s="222" customFormat="1" ht="15">
      <c r="A388" s="257" t="s">
        <v>586</v>
      </c>
      <c r="B388" s="258" t="s">
        <v>594</v>
      </c>
      <c r="C388" s="354"/>
      <c r="D388" s="260">
        <v>218733</v>
      </c>
      <c r="E388" s="260">
        <v>5</v>
      </c>
      <c r="F388" s="194">
        <f t="shared" si="16"/>
        <v>76233</v>
      </c>
      <c r="G388" s="195">
        <f t="shared" si="18"/>
        <v>70053</v>
      </c>
      <c r="H388" s="108">
        <v>72605</v>
      </c>
      <c r="I388" s="261">
        <v>64602</v>
      </c>
      <c r="J388" s="108"/>
      <c r="K388" s="262"/>
      <c r="L388" s="109">
        <v>3628</v>
      </c>
      <c r="M388" s="110"/>
      <c r="N388" s="110"/>
      <c r="O388" s="116">
        <v>5451</v>
      </c>
      <c r="P388" s="47"/>
      <c r="Q388" s="55"/>
      <c r="R388" s="108"/>
      <c r="S388" s="46"/>
      <c r="T388" s="196">
        <f t="shared" si="17"/>
        <v>7674</v>
      </c>
      <c r="U388" s="197">
        <f t="shared" si="19"/>
        <v>6734</v>
      </c>
      <c r="V388" s="108">
        <v>6852</v>
      </c>
      <c r="W388" s="261">
        <v>5663</v>
      </c>
      <c r="X388" s="108"/>
      <c r="Y388" s="262"/>
      <c r="Z388" s="109">
        <v>822</v>
      </c>
      <c r="AA388" s="110"/>
      <c r="AB388" s="110"/>
      <c r="AC388" s="116">
        <v>1071</v>
      </c>
      <c r="AD388" s="47"/>
      <c r="AE388" s="55"/>
      <c r="AF388" s="108"/>
      <c r="AG388" s="49"/>
    </row>
    <row r="389" spans="1:33" s="222" customFormat="1" ht="15">
      <c r="A389" s="257" t="s">
        <v>586</v>
      </c>
      <c r="B389" s="258" t="s">
        <v>595</v>
      </c>
      <c r="C389" s="354"/>
      <c r="D389" s="260">
        <v>218229</v>
      </c>
      <c r="E389" s="260">
        <v>6</v>
      </c>
      <c r="F389" s="194">
        <f t="shared" si="16"/>
        <v>76209.5</v>
      </c>
      <c r="G389" s="195">
        <f t="shared" si="18"/>
        <v>76739.5</v>
      </c>
      <c r="H389" s="108">
        <v>70030.5</v>
      </c>
      <c r="I389" s="262">
        <v>70507.5</v>
      </c>
      <c r="J389" s="108">
        <v>12</v>
      </c>
      <c r="K389" s="261">
        <v>312</v>
      </c>
      <c r="L389" s="109">
        <v>6167</v>
      </c>
      <c r="M389" s="110"/>
      <c r="N389" s="110"/>
      <c r="O389" s="47">
        <v>5920</v>
      </c>
      <c r="P389" s="47"/>
      <c r="Q389" s="55"/>
      <c r="R389" s="108"/>
      <c r="S389" s="46"/>
      <c r="T389" s="196">
        <f t="shared" si="17"/>
        <v>1113</v>
      </c>
      <c r="U389" s="197">
        <f t="shared" si="19"/>
        <v>883</v>
      </c>
      <c r="V389" s="108">
        <v>441</v>
      </c>
      <c r="W389" s="261">
        <v>333</v>
      </c>
      <c r="X389" s="108"/>
      <c r="Y389" s="262"/>
      <c r="Z389" s="109">
        <v>672</v>
      </c>
      <c r="AA389" s="110"/>
      <c r="AB389" s="110"/>
      <c r="AC389" s="116">
        <v>550</v>
      </c>
      <c r="AD389" s="47"/>
      <c r="AE389" s="55"/>
      <c r="AF389" s="108"/>
      <c r="AG389" s="49"/>
    </row>
    <row r="390" spans="1:33" s="222" customFormat="1" ht="15">
      <c r="A390" s="257" t="s">
        <v>586</v>
      </c>
      <c r="B390" s="258" t="s">
        <v>596</v>
      </c>
      <c r="C390" s="354"/>
      <c r="D390" s="260">
        <v>218645</v>
      </c>
      <c r="E390" s="260">
        <v>6</v>
      </c>
      <c r="F390" s="194">
        <f t="shared" si="16"/>
        <v>43111</v>
      </c>
      <c r="G390" s="195">
        <f t="shared" si="18"/>
        <v>90041</v>
      </c>
      <c r="H390" s="108">
        <v>34175</v>
      </c>
      <c r="I390" s="261">
        <v>75809</v>
      </c>
      <c r="J390" s="108">
        <v>2095</v>
      </c>
      <c r="K390" s="261"/>
      <c r="L390" s="109">
        <v>6841</v>
      </c>
      <c r="M390" s="110"/>
      <c r="N390" s="110"/>
      <c r="O390" s="116">
        <v>14232</v>
      </c>
      <c r="P390" s="47"/>
      <c r="Q390" s="55"/>
      <c r="R390" s="108"/>
      <c r="S390" s="46"/>
      <c r="T390" s="196">
        <f t="shared" si="17"/>
        <v>47512</v>
      </c>
      <c r="U390" s="197">
        <f t="shared" si="19"/>
        <v>1114</v>
      </c>
      <c r="V390" s="108">
        <v>41039</v>
      </c>
      <c r="W390" s="261">
        <v>1114</v>
      </c>
      <c r="X390" s="108">
        <v>1714</v>
      </c>
      <c r="Y390" s="261"/>
      <c r="Z390" s="109">
        <v>4759</v>
      </c>
      <c r="AA390" s="110"/>
      <c r="AB390" s="110"/>
      <c r="AC390" s="116"/>
      <c r="AD390" s="47"/>
      <c r="AE390" s="55"/>
      <c r="AF390" s="108"/>
      <c r="AG390" s="49"/>
    </row>
    <row r="391" spans="1:33" s="222" customFormat="1" ht="15">
      <c r="A391" s="257" t="s">
        <v>586</v>
      </c>
      <c r="B391" s="215" t="s">
        <v>597</v>
      </c>
      <c r="C391" s="354"/>
      <c r="D391" s="260">
        <v>218654</v>
      </c>
      <c r="E391" s="260">
        <v>6</v>
      </c>
      <c r="F391" s="194">
        <f t="shared" si="16"/>
        <v>24838</v>
      </c>
      <c r="G391" s="195">
        <f t="shared" si="18"/>
        <v>54309</v>
      </c>
      <c r="H391" s="108">
        <v>21494</v>
      </c>
      <c r="I391" s="261">
        <v>48930</v>
      </c>
      <c r="J391" s="108">
        <v>397</v>
      </c>
      <c r="K391" s="261"/>
      <c r="L391" s="109">
        <v>2783</v>
      </c>
      <c r="M391" s="110"/>
      <c r="N391" s="110">
        <v>164</v>
      </c>
      <c r="O391" s="116">
        <v>5379</v>
      </c>
      <c r="P391" s="47"/>
      <c r="Q391" s="122"/>
      <c r="R391" s="108"/>
      <c r="S391" s="46"/>
      <c r="T391" s="196">
        <f t="shared" si="17"/>
        <v>27210</v>
      </c>
      <c r="U391" s="197">
        <f t="shared" si="19"/>
        <v>0</v>
      </c>
      <c r="V391" s="108">
        <v>24632</v>
      </c>
      <c r="W391" s="261"/>
      <c r="X391" s="108">
        <v>238</v>
      </c>
      <c r="Y391" s="261"/>
      <c r="Z391" s="109">
        <v>2244</v>
      </c>
      <c r="AA391" s="110"/>
      <c r="AB391" s="110">
        <v>96</v>
      </c>
      <c r="AC391" s="116"/>
      <c r="AD391" s="47"/>
      <c r="AE391" s="122"/>
      <c r="AF391" s="108"/>
      <c r="AG391" s="49"/>
    </row>
    <row r="392" spans="1:33" s="222" customFormat="1" ht="15">
      <c r="A392" s="257" t="s">
        <v>586</v>
      </c>
      <c r="B392" s="258" t="s">
        <v>598</v>
      </c>
      <c r="C392" s="354"/>
      <c r="D392" s="260">
        <v>218742</v>
      </c>
      <c r="E392" s="260">
        <v>6</v>
      </c>
      <c r="F392" s="194">
        <f t="shared" si="16"/>
        <v>74464</v>
      </c>
      <c r="G392" s="195">
        <f t="shared" si="18"/>
        <v>148958</v>
      </c>
      <c r="H392" s="108">
        <v>58615</v>
      </c>
      <c r="I392" s="261">
        <v>128269</v>
      </c>
      <c r="J392" s="108">
        <v>5659</v>
      </c>
      <c r="K392" s="261"/>
      <c r="L392" s="109">
        <v>10190</v>
      </c>
      <c r="M392" s="110"/>
      <c r="N392" s="110"/>
      <c r="O392" s="116">
        <v>20689</v>
      </c>
      <c r="P392" s="47"/>
      <c r="Q392" s="55"/>
      <c r="R392" s="108"/>
      <c r="S392" s="46"/>
      <c r="T392" s="196">
        <f t="shared" si="17"/>
        <v>78615</v>
      </c>
      <c r="U392" s="197">
        <f t="shared" si="19"/>
        <v>3231</v>
      </c>
      <c r="V392" s="108">
        <v>65591</v>
      </c>
      <c r="W392" s="261">
        <v>731</v>
      </c>
      <c r="X392" s="108">
        <v>5141</v>
      </c>
      <c r="Y392" s="261"/>
      <c r="Z392" s="109">
        <v>7883</v>
      </c>
      <c r="AA392" s="110"/>
      <c r="AB392" s="110"/>
      <c r="AC392" s="116">
        <v>2500</v>
      </c>
      <c r="AD392" s="47"/>
      <c r="AE392" s="55"/>
      <c r="AF392" s="108"/>
      <c r="AG392" s="49"/>
    </row>
    <row r="393" spans="1:33" s="222" customFormat="1" ht="15">
      <c r="A393" s="257" t="s">
        <v>586</v>
      </c>
      <c r="B393" s="220" t="s">
        <v>599</v>
      </c>
      <c r="C393" s="354" t="s">
        <v>847</v>
      </c>
      <c r="D393" s="260">
        <v>218025</v>
      </c>
      <c r="E393" s="260">
        <v>8</v>
      </c>
      <c r="F393" s="194">
        <f t="shared" si="16"/>
        <v>126696</v>
      </c>
      <c r="G393" s="195">
        <f t="shared" si="18"/>
        <v>123082</v>
      </c>
      <c r="H393" s="108">
        <v>58506</v>
      </c>
      <c r="I393" s="261">
        <v>28355</v>
      </c>
      <c r="J393" s="108">
        <v>12133</v>
      </c>
      <c r="K393" s="261">
        <v>12845</v>
      </c>
      <c r="L393" s="109">
        <v>50985</v>
      </c>
      <c r="M393" s="110">
        <v>5072</v>
      </c>
      <c r="N393" s="110"/>
      <c r="O393" s="116">
        <v>76688</v>
      </c>
      <c r="P393" s="47">
        <v>5194</v>
      </c>
      <c r="Q393" s="55"/>
      <c r="R393" s="108"/>
      <c r="S393" s="46"/>
      <c r="T393" s="196">
        <f t="shared" si="17"/>
        <v>0</v>
      </c>
      <c r="U393" s="197">
        <f t="shared" si="19"/>
        <v>0</v>
      </c>
      <c r="V393" s="108"/>
      <c r="W393" s="262"/>
      <c r="X393" s="108"/>
      <c r="Y393" s="262"/>
      <c r="Z393" s="109"/>
      <c r="AA393" s="110"/>
      <c r="AB393" s="110"/>
      <c r="AC393" s="47"/>
      <c r="AD393" s="47"/>
      <c r="AE393" s="55"/>
      <c r="AF393" s="108"/>
      <c r="AG393" s="49"/>
    </row>
    <row r="394" spans="1:33" s="222" customFormat="1" ht="15">
      <c r="A394" s="257" t="s">
        <v>586</v>
      </c>
      <c r="B394" s="258" t="s">
        <v>600</v>
      </c>
      <c r="C394" s="354"/>
      <c r="D394" s="260">
        <v>218113</v>
      </c>
      <c r="E394" s="260">
        <v>8</v>
      </c>
      <c r="F394" s="194">
        <f t="shared" si="16"/>
        <v>254910</v>
      </c>
      <c r="G394" s="195">
        <f t="shared" si="18"/>
        <v>241690</v>
      </c>
      <c r="H394" s="108">
        <v>172019</v>
      </c>
      <c r="I394" s="261">
        <v>157934</v>
      </c>
      <c r="J394" s="108">
        <v>16029</v>
      </c>
      <c r="K394" s="262">
        <v>16459</v>
      </c>
      <c r="L394" s="109">
        <v>66862</v>
      </c>
      <c r="M394" s="110"/>
      <c r="N394" s="110"/>
      <c r="O394" s="47">
        <v>67297</v>
      </c>
      <c r="P394" s="47"/>
      <c r="Q394" s="55"/>
      <c r="R394" s="108"/>
      <c r="S394" s="46"/>
      <c r="T394" s="196">
        <f t="shared" si="17"/>
        <v>0</v>
      </c>
      <c r="U394" s="197">
        <f t="shared" si="19"/>
        <v>0</v>
      </c>
      <c r="V394" s="108"/>
      <c r="W394" s="262"/>
      <c r="X394" s="108"/>
      <c r="Y394" s="262"/>
      <c r="Z394" s="109"/>
      <c r="AA394" s="110"/>
      <c r="AB394" s="110"/>
      <c r="AC394" s="47"/>
      <c r="AD394" s="47"/>
      <c r="AE394" s="55"/>
      <c r="AF394" s="108"/>
      <c r="AG394" s="49"/>
    </row>
    <row r="395" spans="1:33" s="222" customFormat="1" ht="15">
      <c r="A395" s="257" t="s">
        <v>586</v>
      </c>
      <c r="B395" s="220" t="s">
        <v>601</v>
      </c>
      <c r="C395" s="354"/>
      <c r="D395" s="260">
        <v>218140</v>
      </c>
      <c r="E395" s="260">
        <v>8</v>
      </c>
      <c r="F395" s="194">
        <f t="shared" si="16"/>
        <v>161966</v>
      </c>
      <c r="G395" s="195">
        <f t="shared" si="18"/>
        <v>157545</v>
      </c>
      <c r="H395" s="108">
        <v>104361</v>
      </c>
      <c r="I395" s="262">
        <v>100135</v>
      </c>
      <c r="J395" s="108">
        <v>8992</v>
      </c>
      <c r="K395" s="262">
        <v>8588</v>
      </c>
      <c r="L395" s="109">
        <v>48613</v>
      </c>
      <c r="M395" s="110"/>
      <c r="N395" s="110"/>
      <c r="O395" s="47">
        <v>48822</v>
      </c>
      <c r="P395" s="47"/>
      <c r="Q395" s="55"/>
      <c r="R395" s="108"/>
      <c r="S395" s="46"/>
      <c r="T395" s="196">
        <f t="shared" si="17"/>
        <v>0</v>
      </c>
      <c r="U395" s="197">
        <f t="shared" si="19"/>
        <v>0</v>
      </c>
      <c r="V395" s="108"/>
      <c r="W395" s="262"/>
      <c r="X395" s="108"/>
      <c r="Y395" s="262"/>
      <c r="Z395" s="109"/>
      <c r="AA395" s="110"/>
      <c r="AB395" s="110"/>
      <c r="AC395" s="47"/>
      <c r="AD395" s="47"/>
      <c r="AE395" s="55"/>
      <c r="AF395" s="108"/>
      <c r="AG395" s="49"/>
    </row>
    <row r="396" spans="1:33" s="222" customFormat="1" ht="15">
      <c r="A396" s="257" t="s">
        <v>586</v>
      </c>
      <c r="B396" s="258" t="s">
        <v>602</v>
      </c>
      <c r="C396" s="354"/>
      <c r="D396" s="260">
        <v>218353</v>
      </c>
      <c r="E396" s="260">
        <v>8</v>
      </c>
      <c r="F396" s="194">
        <f t="shared" si="16"/>
        <v>247980</v>
      </c>
      <c r="G396" s="195">
        <f t="shared" si="18"/>
        <v>240176</v>
      </c>
      <c r="H396" s="108">
        <v>182441</v>
      </c>
      <c r="I396" s="261">
        <v>172115</v>
      </c>
      <c r="J396" s="108">
        <v>13507</v>
      </c>
      <c r="K396" s="261">
        <v>16252</v>
      </c>
      <c r="L396" s="109">
        <v>52032</v>
      </c>
      <c r="M396" s="110"/>
      <c r="N396" s="110"/>
      <c r="O396" s="47">
        <v>51809</v>
      </c>
      <c r="P396" s="47"/>
      <c r="Q396" s="55"/>
      <c r="R396" s="108"/>
      <c r="S396" s="46"/>
      <c r="T396" s="196">
        <f t="shared" si="17"/>
        <v>0</v>
      </c>
      <c r="U396" s="197">
        <f t="shared" si="19"/>
        <v>0</v>
      </c>
      <c r="V396" s="108"/>
      <c r="W396" s="262"/>
      <c r="X396" s="108"/>
      <c r="Y396" s="262"/>
      <c r="Z396" s="109"/>
      <c r="AA396" s="110"/>
      <c r="AB396" s="110"/>
      <c r="AC396" s="47"/>
      <c r="AD396" s="47"/>
      <c r="AE396" s="55"/>
      <c r="AF396" s="108"/>
      <c r="AG396" s="49"/>
    </row>
    <row r="397" spans="1:33" s="222" customFormat="1" ht="15">
      <c r="A397" s="257" t="s">
        <v>586</v>
      </c>
      <c r="B397" s="220" t="s">
        <v>603</v>
      </c>
      <c r="C397" s="357" t="s">
        <v>869</v>
      </c>
      <c r="D397" s="260">
        <v>218520</v>
      </c>
      <c r="E397" s="219">
        <v>9</v>
      </c>
      <c r="F397" s="194">
        <f t="shared" si="16"/>
        <v>119311</v>
      </c>
      <c r="G397" s="195">
        <f t="shared" si="18"/>
        <v>107721</v>
      </c>
      <c r="H397" s="108">
        <v>56242</v>
      </c>
      <c r="I397" s="261">
        <v>47105</v>
      </c>
      <c r="J397" s="108">
        <v>10953</v>
      </c>
      <c r="K397" s="262">
        <v>10797</v>
      </c>
      <c r="L397" s="109">
        <v>45530</v>
      </c>
      <c r="M397" s="110">
        <v>6586</v>
      </c>
      <c r="N397" s="110"/>
      <c r="O397" s="47">
        <v>43704</v>
      </c>
      <c r="P397" s="116">
        <v>6115</v>
      </c>
      <c r="Q397" s="55"/>
      <c r="R397" s="108"/>
      <c r="S397" s="46"/>
      <c r="T397" s="196">
        <f t="shared" si="17"/>
        <v>0</v>
      </c>
      <c r="U397" s="197">
        <f t="shared" si="19"/>
        <v>0</v>
      </c>
      <c r="V397" s="108"/>
      <c r="W397" s="262"/>
      <c r="X397" s="108"/>
      <c r="Y397" s="262"/>
      <c r="Z397" s="109"/>
      <c r="AA397" s="110"/>
      <c r="AB397" s="110"/>
      <c r="AC397" s="47"/>
      <c r="AD397" s="47"/>
      <c r="AE397" s="55"/>
      <c r="AF397" s="108"/>
      <c r="AG397" s="49"/>
    </row>
    <row r="398" spans="1:33" s="222" customFormat="1" ht="15">
      <c r="A398" s="257" t="s">
        <v>586</v>
      </c>
      <c r="B398" s="220" t="s">
        <v>604</v>
      </c>
      <c r="C398" s="354" t="s">
        <v>866</v>
      </c>
      <c r="D398" s="260">
        <v>218885</v>
      </c>
      <c r="E398" s="260">
        <v>8</v>
      </c>
      <c r="F398" s="194">
        <f t="shared" si="16"/>
        <v>148361</v>
      </c>
      <c r="G398" s="195">
        <f t="shared" si="18"/>
        <v>145685</v>
      </c>
      <c r="H398" s="108">
        <v>110664</v>
      </c>
      <c r="I398" s="262">
        <v>107182</v>
      </c>
      <c r="J398" s="108">
        <v>6173</v>
      </c>
      <c r="K398" s="262">
        <v>6003</v>
      </c>
      <c r="L398" s="109">
        <v>31524</v>
      </c>
      <c r="M398" s="110"/>
      <c r="N398" s="110"/>
      <c r="O398" s="47">
        <v>32500</v>
      </c>
      <c r="P398" s="47"/>
      <c r="Q398" s="55"/>
      <c r="R398" s="108"/>
      <c r="S398" s="46"/>
      <c r="T398" s="196">
        <f t="shared" si="17"/>
        <v>0</v>
      </c>
      <c r="U398" s="197">
        <f t="shared" si="19"/>
        <v>0</v>
      </c>
      <c r="V398" s="108"/>
      <c r="W398" s="262"/>
      <c r="X398" s="108"/>
      <c r="Y398" s="262"/>
      <c r="Z398" s="109"/>
      <c r="AA398" s="110"/>
      <c r="AB398" s="110"/>
      <c r="AC398" s="47"/>
      <c r="AD398" s="47"/>
      <c r="AE398" s="55"/>
      <c r="AF398" s="108"/>
      <c r="AG398" s="49"/>
    </row>
    <row r="399" spans="1:33" s="222" customFormat="1" ht="15">
      <c r="A399" s="257" t="s">
        <v>586</v>
      </c>
      <c r="B399" s="258" t="s">
        <v>605</v>
      </c>
      <c r="C399" s="354"/>
      <c r="D399" s="260">
        <v>218894</v>
      </c>
      <c r="E399" s="260">
        <v>8</v>
      </c>
      <c r="F399" s="194">
        <f t="shared" si="16"/>
        <v>344972</v>
      </c>
      <c r="G399" s="195">
        <f t="shared" si="18"/>
        <v>300605</v>
      </c>
      <c r="H399" s="108">
        <v>218603</v>
      </c>
      <c r="I399" s="261">
        <v>182739</v>
      </c>
      <c r="J399" s="108">
        <v>18229</v>
      </c>
      <c r="K399" s="261">
        <v>16531</v>
      </c>
      <c r="L399" s="109">
        <v>108140</v>
      </c>
      <c r="M399" s="110"/>
      <c r="N399" s="110"/>
      <c r="O399" s="116">
        <v>101335</v>
      </c>
      <c r="P399" s="47"/>
      <c r="Q399" s="55"/>
      <c r="R399" s="108"/>
      <c r="S399" s="46"/>
      <c r="T399" s="196">
        <f t="shared" si="17"/>
        <v>0</v>
      </c>
      <c r="U399" s="197">
        <f t="shared" si="19"/>
        <v>0</v>
      </c>
      <c r="V399" s="108"/>
      <c r="W399" s="262"/>
      <c r="X399" s="108"/>
      <c r="Y399" s="262"/>
      <c r="Z399" s="109"/>
      <c r="AA399" s="110"/>
      <c r="AB399" s="110"/>
      <c r="AC399" s="47"/>
      <c r="AD399" s="47"/>
      <c r="AE399" s="55"/>
      <c r="AF399" s="108"/>
      <c r="AG399" s="49"/>
    </row>
    <row r="400" spans="1:33" s="222" customFormat="1" ht="15">
      <c r="A400" s="257" t="s">
        <v>586</v>
      </c>
      <c r="B400" s="258" t="s">
        <v>606</v>
      </c>
      <c r="C400" s="357" t="s">
        <v>845</v>
      </c>
      <c r="D400" s="260">
        <v>217615</v>
      </c>
      <c r="E400" s="219">
        <v>10</v>
      </c>
      <c r="F400" s="194">
        <f t="shared" si="16"/>
        <v>49696</v>
      </c>
      <c r="G400" s="195">
        <f t="shared" si="18"/>
        <v>52099</v>
      </c>
      <c r="H400" s="108">
        <v>34113</v>
      </c>
      <c r="I400" s="261">
        <v>36810</v>
      </c>
      <c r="J400" s="108">
        <v>3492</v>
      </c>
      <c r="K400" s="261">
        <v>3271</v>
      </c>
      <c r="L400" s="109">
        <v>12091</v>
      </c>
      <c r="M400" s="110"/>
      <c r="N400" s="110"/>
      <c r="O400" s="47">
        <v>12018</v>
      </c>
      <c r="P400" s="47"/>
      <c r="Q400" s="55"/>
      <c r="R400" s="108"/>
      <c r="S400" s="46"/>
      <c r="T400" s="196">
        <f t="shared" si="17"/>
        <v>0</v>
      </c>
      <c r="U400" s="197">
        <f t="shared" si="19"/>
        <v>0</v>
      </c>
      <c r="V400" s="108"/>
      <c r="W400" s="262"/>
      <c r="X400" s="108"/>
      <c r="Y400" s="262"/>
      <c r="Z400" s="109"/>
      <c r="AA400" s="110"/>
      <c r="AB400" s="110"/>
      <c r="AC400" s="47"/>
      <c r="AD400" s="47"/>
      <c r="AE400" s="55"/>
      <c r="AF400" s="108"/>
      <c r="AG400" s="49"/>
    </row>
    <row r="401" spans="1:33" s="222" customFormat="1" ht="15">
      <c r="A401" s="257" t="s">
        <v>586</v>
      </c>
      <c r="B401" s="258" t="s">
        <v>607</v>
      </c>
      <c r="C401" s="354"/>
      <c r="D401" s="260">
        <v>218858</v>
      </c>
      <c r="E401" s="260">
        <v>9</v>
      </c>
      <c r="F401" s="194">
        <f t="shared" si="16"/>
        <v>77294</v>
      </c>
      <c r="G401" s="195">
        <f t="shared" si="18"/>
        <v>74228</v>
      </c>
      <c r="H401" s="108">
        <v>54633</v>
      </c>
      <c r="I401" s="261">
        <v>47674</v>
      </c>
      <c r="J401" s="108">
        <v>1686</v>
      </c>
      <c r="K401" s="261">
        <v>2208</v>
      </c>
      <c r="L401" s="109">
        <v>20975</v>
      </c>
      <c r="M401" s="110"/>
      <c r="N401" s="110"/>
      <c r="O401" s="116">
        <v>24346</v>
      </c>
      <c r="P401" s="47"/>
      <c r="Q401" s="55"/>
      <c r="R401" s="108"/>
      <c r="S401" s="46"/>
      <c r="T401" s="196">
        <f t="shared" si="17"/>
        <v>0</v>
      </c>
      <c r="U401" s="197">
        <f t="shared" si="19"/>
        <v>0</v>
      </c>
      <c r="V401" s="108"/>
      <c r="W401" s="262"/>
      <c r="X401" s="108"/>
      <c r="Y401" s="262"/>
      <c r="Z401" s="109"/>
      <c r="AA401" s="110"/>
      <c r="AB401" s="110"/>
      <c r="AC401" s="47"/>
      <c r="AD401" s="47"/>
      <c r="AE401" s="55"/>
      <c r="AF401" s="108"/>
      <c r="AG401" s="49"/>
    </row>
    <row r="402" spans="1:33" s="222" customFormat="1" ht="15">
      <c r="A402" s="257" t="s">
        <v>586</v>
      </c>
      <c r="B402" s="258" t="s">
        <v>608</v>
      </c>
      <c r="C402" s="354" t="s">
        <v>863</v>
      </c>
      <c r="D402" s="260">
        <v>218487</v>
      </c>
      <c r="E402" s="260">
        <v>9</v>
      </c>
      <c r="F402" s="194">
        <f t="shared" si="16"/>
        <v>59669</v>
      </c>
      <c r="G402" s="195">
        <f t="shared" si="18"/>
        <v>56490</v>
      </c>
      <c r="H402" s="108">
        <v>41575</v>
      </c>
      <c r="I402" s="261">
        <v>35923</v>
      </c>
      <c r="J402" s="108">
        <v>7471</v>
      </c>
      <c r="K402" s="261">
        <v>8733</v>
      </c>
      <c r="L402" s="109">
        <v>10623</v>
      </c>
      <c r="M402" s="110"/>
      <c r="N402" s="110"/>
      <c r="O402" s="116">
        <v>11834</v>
      </c>
      <c r="P402" s="47"/>
      <c r="Q402" s="55"/>
      <c r="R402" s="108"/>
      <c r="S402" s="46"/>
      <c r="T402" s="196">
        <f t="shared" si="17"/>
        <v>0</v>
      </c>
      <c r="U402" s="197">
        <f t="shared" si="19"/>
        <v>0</v>
      </c>
      <c r="V402" s="108"/>
      <c r="W402" s="262"/>
      <c r="X402" s="108"/>
      <c r="Y402" s="262"/>
      <c r="Z402" s="109"/>
      <c r="AA402" s="110"/>
      <c r="AB402" s="110"/>
      <c r="AC402" s="47"/>
      <c r="AD402" s="47"/>
      <c r="AE402" s="55"/>
      <c r="AF402" s="108"/>
      <c r="AG402" s="49"/>
    </row>
    <row r="403" spans="1:33" s="222" customFormat="1">
      <c r="A403" s="257" t="s">
        <v>586</v>
      </c>
      <c r="B403" s="220" t="s">
        <v>609</v>
      </c>
      <c r="C403" s="221"/>
      <c r="D403" s="260">
        <v>218830</v>
      </c>
      <c r="E403" s="260">
        <v>9</v>
      </c>
      <c r="F403" s="194">
        <f t="shared" si="16"/>
        <v>109586</v>
      </c>
      <c r="G403" s="195">
        <f t="shared" si="18"/>
        <v>102245</v>
      </c>
      <c r="H403" s="108">
        <v>76417</v>
      </c>
      <c r="I403" s="261">
        <v>69288</v>
      </c>
      <c r="J403" s="108">
        <v>11853</v>
      </c>
      <c r="K403" s="262">
        <v>12263</v>
      </c>
      <c r="L403" s="109">
        <v>21316</v>
      </c>
      <c r="M403" s="110"/>
      <c r="N403" s="110"/>
      <c r="O403" s="47">
        <v>20694</v>
      </c>
      <c r="P403" s="47"/>
      <c r="Q403" s="55"/>
      <c r="R403" s="108"/>
      <c r="S403" s="46"/>
      <c r="T403" s="196">
        <f t="shared" si="17"/>
        <v>0</v>
      </c>
      <c r="U403" s="197">
        <f t="shared" si="19"/>
        <v>0</v>
      </c>
      <c r="V403" s="108"/>
      <c r="W403" s="262"/>
      <c r="X403" s="108"/>
      <c r="Y403" s="262"/>
      <c r="Z403" s="109"/>
      <c r="AA403" s="110"/>
      <c r="AB403" s="110"/>
      <c r="AC403" s="47"/>
      <c r="AD403" s="47"/>
      <c r="AE403" s="55"/>
      <c r="AF403" s="108"/>
      <c r="AG403" s="49"/>
    </row>
    <row r="404" spans="1:33" s="222" customFormat="1">
      <c r="A404" s="257" t="s">
        <v>586</v>
      </c>
      <c r="B404" s="220" t="s">
        <v>610</v>
      </c>
      <c r="C404" s="221"/>
      <c r="D404" s="260">
        <v>218991</v>
      </c>
      <c r="E404" s="260">
        <v>9</v>
      </c>
      <c r="F404" s="194">
        <f t="shared" si="16"/>
        <v>107583</v>
      </c>
      <c r="G404" s="195">
        <f t="shared" si="18"/>
        <v>103554</v>
      </c>
      <c r="H404" s="108">
        <v>79266</v>
      </c>
      <c r="I404" s="261">
        <v>74369</v>
      </c>
      <c r="J404" s="108">
        <v>4846</v>
      </c>
      <c r="K404" s="261">
        <v>5189</v>
      </c>
      <c r="L404" s="109">
        <v>22443</v>
      </c>
      <c r="M404" s="110">
        <v>1028</v>
      </c>
      <c r="N404" s="110"/>
      <c r="O404" s="47">
        <v>23057</v>
      </c>
      <c r="P404" s="116">
        <v>939</v>
      </c>
      <c r="Q404" s="55"/>
      <c r="R404" s="108"/>
      <c r="S404" s="46"/>
      <c r="T404" s="196">
        <f t="shared" si="17"/>
        <v>0</v>
      </c>
      <c r="U404" s="197">
        <f t="shared" si="19"/>
        <v>0</v>
      </c>
      <c r="V404" s="108"/>
      <c r="W404" s="262"/>
      <c r="X404" s="108"/>
      <c r="Y404" s="262"/>
      <c r="Z404" s="109"/>
      <c r="AA404" s="110"/>
      <c r="AB404" s="110"/>
      <c r="AC404" s="47"/>
      <c r="AD404" s="47"/>
      <c r="AE404" s="55"/>
      <c r="AF404" s="108"/>
      <c r="AG404" s="49"/>
    </row>
    <row r="405" spans="1:33" s="222" customFormat="1">
      <c r="A405" s="257" t="s">
        <v>586</v>
      </c>
      <c r="B405" s="258" t="s">
        <v>611</v>
      </c>
      <c r="C405" s="259"/>
      <c r="D405" s="260">
        <v>217989</v>
      </c>
      <c r="E405" s="260">
        <v>10</v>
      </c>
      <c r="F405" s="194">
        <f t="shared" si="16"/>
        <v>37327</v>
      </c>
      <c r="G405" s="195">
        <f t="shared" si="18"/>
        <v>20780</v>
      </c>
      <c r="H405" s="108">
        <v>31164</v>
      </c>
      <c r="I405" s="261">
        <v>13338</v>
      </c>
      <c r="J405" s="108">
        <v>2347</v>
      </c>
      <c r="K405" s="261">
        <v>2824</v>
      </c>
      <c r="L405" s="109">
        <v>3816</v>
      </c>
      <c r="M405" s="110"/>
      <c r="N405" s="110"/>
      <c r="O405" s="116">
        <v>4618</v>
      </c>
      <c r="P405" s="47"/>
      <c r="Q405" s="55"/>
      <c r="R405" s="108"/>
      <c r="S405" s="46"/>
      <c r="T405" s="196">
        <f t="shared" si="17"/>
        <v>0</v>
      </c>
      <c r="U405" s="197">
        <f t="shared" si="19"/>
        <v>0</v>
      </c>
      <c r="V405" s="108"/>
      <c r="W405" s="262"/>
      <c r="X405" s="108"/>
      <c r="Y405" s="262"/>
      <c r="Z405" s="109"/>
      <c r="AA405" s="110"/>
      <c r="AB405" s="110"/>
      <c r="AC405" s="47"/>
      <c r="AD405" s="47"/>
      <c r="AE405" s="55"/>
      <c r="AF405" s="108"/>
      <c r="AG405" s="49"/>
    </row>
    <row r="406" spans="1:33" s="222" customFormat="1">
      <c r="A406" s="257" t="s">
        <v>586</v>
      </c>
      <c r="B406" s="258" t="s">
        <v>612</v>
      </c>
      <c r="C406" s="259"/>
      <c r="D406" s="260">
        <v>217837</v>
      </c>
      <c r="E406" s="260">
        <v>10</v>
      </c>
      <c r="F406" s="194">
        <f t="shared" si="16"/>
        <v>23269</v>
      </c>
      <c r="G406" s="195">
        <f t="shared" si="18"/>
        <v>22379</v>
      </c>
      <c r="H406" s="108">
        <v>11387</v>
      </c>
      <c r="I406" s="261">
        <v>10075</v>
      </c>
      <c r="J406" s="108">
        <v>640</v>
      </c>
      <c r="K406" s="261">
        <v>821</v>
      </c>
      <c r="L406" s="109">
        <v>7537</v>
      </c>
      <c r="M406" s="110">
        <v>3705</v>
      </c>
      <c r="N406" s="110"/>
      <c r="O406" s="116">
        <v>8498</v>
      </c>
      <c r="P406" s="116">
        <v>2985</v>
      </c>
      <c r="Q406" s="55"/>
      <c r="R406" s="108"/>
      <c r="S406" s="46"/>
      <c r="T406" s="196">
        <f t="shared" si="17"/>
        <v>0</v>
      </c>
      <c r="U406" s="197">
        <f t="shared" si="19"/>
        <v>0</v>
      </c>
      <c r="V406" s="108"/>
      <c r="W406" s="262"/>
      <c r="X406" s="108"/>
      <c r="Y406" s="262"/>
      <c r="Z406" s="109"/>
      <c r="AA406" s="110"/>
      <c r="AB406" s="110"/>
      <c r="AC406" s="47"/>
      <c r="AD406" s="47"/>
      <c r="AE406" s="55"/>
      <c r="AF406" s="108"/>
      <c r="AG406" s="49"/>
    </row>
    <row r="407" spans="1:33" s="222" customFormat="1">
      <c r="A407" s="257" t="s">
        <v>586</v>
      </c>
      <c r="B407" s="258" t="s">
        <v>613</v>
      </c>
      <c r="C407" s="259"/>
      <c r="D407" s="260">
        <v>217712</v>
      </c>
      <c r="E407" s="260">
        <v>10</v>
      </c>
      <c r="F407" s="194">
        <f t="shared" si="16"/>
        <v>48875</v>
      </c>
      <c r="G407" s="195">
        <f t="shared" si="18"/>
        <v>47257</v>
      </c>
      <c r="H407" s="108">
        <v>32912</v>
      </c>
      <c r="I407" s="262">
        <v>32047</v>
      </c>
      <c r="J407" s="108">
        <v>2223</v>
      </c>
      <c r="K407" s="262">
        <v>2306</v>
      </c>
      <c r="L407" s="109">
        <v>13740</v>
      </c>
      <c r="M407" s="110"/>
      <c r="N407" s="110"/>
      <c r="O407" s="116">
        <v>12904</v>
      </c>
      <c r="P407" s="47"/>
      <c r="Q407" s="55"/>
      <c r="R407" s="108"/>
      <c r="S407" s="46"/>
      <c r="T407" s="196">
        <f t="shared" si="17"/>
        <v>0</v>
      </c>
      <c r="U407" s="197">
        <f t="shared" si="19"/>
        <v>0</v>
      </c>
      <c r="V407" s="108"/>
      <c r="W407" s="262"/>
      <c r="X407" s="108"/>
      <c r="Y407" s="262"/>
      <c r="Z407" s="109"/>
      <c r="AA407" s="110"/>
      <c r="AB407" s="110"/>
      <c r="AC407" s="47"/>
      <c r="AD407" s="47"/>
      <c r="AE407" s="55"/>
      <c r="AF407" s="108"/>
      <c r="AG407" s="49"/>
    </row>
    <row r="408" spans="1:33" s="222" customFormat="1">
      <c r="A408" s="257" t="s">
        <v>586</v>
      </c>
      <c r="B408" s="258" t="s">
        <v>614</v>
      </c>
      <c r="C408" s="259"/>
      <c r="D408" s="260">
        <v>218672</v>
      </c>
      <c r="E408" s="260">
        <v>10</v>
      </c>
      <c r="F408" s="194">
        <f t="shared" si="16"/>
        <v>32979</v>
      </c>
      <c r="G408" s="195">
        <f t="shared" si="18"/>
        <v>34550</v>
      </c>
      <c r="H408" s="108">
        <v>26521</v>
      </c>
      <c r="I408" s="261">
        <v>30650</v>
      </c>
      <c r="J408" s="108">
        <v>250</v>
      </c>
      <c r="K408" s="261"/>
      <c r="L408" s="109">
        <v>1078</v>
      </c>
      <c r="M408" s="110"/>
      <c r="N408" s="110">
        <v>5130</v>
      </c>
      <c r="O408" s="47">
        <v>1113</v>
      </c>
      <c r="P408" s="47"/>
      <c r="Q408" s="122">
        <v>2787</v>
      </c>
      <c r="R408" s="108"/>
      <c r="S408" s="46"/>
      <c r="T408" s="196">
        <f t="shared" si="17"/>
        <v>0</v>
      </c>
      <c r="U408" s="197">
        <f t="shared" si="19"/>
        <v>0</v>
      </c>
      <c r="V408" s="108"/>
      <c r="W408" s="262"/>
      <c r="X408" s="108"/>
      <c r="Y408" s="262"/>
      <c r="Z408" s="109"/>
      <c r="AA408" s="110"/>
      <c r="AB408" s="110"/>
      <c r="AC408" s="47"/>
      <c r="AD408" s="47"/>
      <c r="AE408" s="55"/>
      <c r="AF408" s="108"/>
      <c r="AG408" s="49"/>
    </row>
    <row r="409" spans="1:33" s="222" customFormat="1">
      <c r="A409" s="257" t="s">
        <v>586</v>
      </c>
      <c r="B409" s="258" t="s">
        <v>615</v>
      </c>
      <c r="C409" s="259"/>
      <c r="D409" s="260">
        <v>218681</v>
      </c>
      <c r="E409" s="260">
        <v>10</v>
      </c>
      <c r="F409" s="194">
        <f t="shared" si="16"/>
        <v>21004</v>
      </c>
      <c r="G409" s="195">
        <f t="shared" si="18"/>
        <v>21022</v>
      </c>
      <c r="H409" s="108">
        <v>15915</v>
      </c>
      <c r="I409" s="261">
        <v>18291</v>
      </c>
      <c r="J409" s="108">
        <v>2740</v>
      </c>
      <c r="K409" s="261"/>
      <c r="L409" s="109">
        <v>2349</v>
      </c>
      <c r="M409" s="110"/>
      <c r="N409" s="110"/>
      <c r="O409" s="116">
        <v>2731</v>
      </c>
      <c r="P409" s="47"/>
      <c r="Q409" s="55"/>
      <c r="R409" s="108"/>
      <c r="S409" s="46"/>
      <c r="T409" s="196">
        <f t="shared" si="17"/>
        <v>0</v>
      </c>
      <c r="U409" s="197">
        <f t="shared" si="19"/>
        <v>0</v>
      </c>
      <c r="V409" s="108"/>
      <c r="W409" s="262"/>
      <c r="X409" s="108"/>
      <c r="Y409" s="262"/>
      <c r="Z409" s="109"/>
      <c r="AA409" s="110"/>
      <c r="AB409" s="110"/>
      <c r="AC409" s="47"/>
      <c r="AD409" s="47"/>
      <c r="AE409" s="55"/>
      <c r="AF409" s="108"/>
      <c r="AG409" s="49"/>
    </row>
    <row r="410" spans="1:33" s="222" customFormat="1">
      <c r="A410" s="257" t="s">
        <v>586</v>
      </c>
      <c r="B410" s="258" t="s">
        <v>616</v>
      </c>
      <c r="C410" s="259"/>
      <c r="D410" s="260">
        <v>218690</v>
      </c>
      <c r="E410" s="260">
        <v>10</v>
      </c>
      <c r="F410" s="194">
        <f t="shared" si="16"/>
        <v>20079</v>
      </c>
      <c r="G410" s="195">
        <f t="shared" si="18"/>
        <v>18662</v>
      </c>
      <c r="H410" s="108">
        <v>16794</v>
      </c>
      <c r="I410" s="261">
        <v>17171</v>
      </c>
      <c r="J410" s="108">
        <v>1921</v>
      </c>
      <c r="K410" s="261"/>
      <c r="L410" s="109">
        <v>1364</v>
      </c>
      <c r="M410" s="110"/>
      <c r="N410" s="110"/>
      <c r="O410" s="111">
        <v>1491</v>
      </c>
      <c r="P410" s="47"/>
      <c r="Q410" s="55"/>
      <c r="R410" s="108"/>
      <c r="S410" s="46"/>
      <c r="T410" s="196">
        <f t="shared" si="17"/>
        <v>0</v>
      </c>
      <c r="U410" s="197">
        <f t="shared" si="19"/>
        <v>0</v>
      </c>
      <c r="V410" s="108"/>
      <c r="W410" s="262"/>
      <c r="X410" s="108"/>
      <c r="Y410" s="262"/>
      <c r="Z410" s="109"/>
      <c r="AA410" s="110"/>
      <c r="AB410" s="110"/>
      <c r="AC410" s="47"/>
      <c r="AD410" s="47"/>
      <c r="AE410" s="55"/>
      <c r="AF410" s="108"/>
      <c r="AG410" s="49"/>
    </row>
    <row r="411" spans="1:33" s="222" customFormat="1">
      <c r="A411" s="257" t="s">
        <v>586</v>
      </c>
      <c r="B411" s="258" t="s">
        <v>617</v>
      </c>
      <c r="C411" s="259"/>
      <c r="D411" s="260">
        <v>218706</v>
      </c>
      <c r="E411" s="260">
        <v>10</v>
      </c>
      <c r="F411" s="194">
        <f t="shared" si="16"/>
        <v>10522</v>
      </c>
      <c r="G411" s="195">
        <f t="shared" si="18"/>
        <v>14115</v>
      </c>
      <c r="H411" s="108">
        <v>6910</v>
      </c>
      <c r="I411" s="112">
        <v>14073</v>
      </c>
      <c r="J411" s="108">
        <v>3486</v>
      </c>
      <c r="K411" s="261"/>
      <c r="L411" s="109">
        <v>126</v>
      </c>
      <c r="M411" s="110"/>
      <c r="N411" s="110"/>
      <c r="O411" s="116">
        <v>42</v>
      </c>
      <c r="P411" s="47"/>
      <c r="Q411" s="55"/>
      <c r="R411" s="108"/>
      <c r="S411" s="46"/>
      <c r="T411" s="196">
        <f t="shared" si="17"/>
        <v>0</v>
      </c>
      <c r="U411" s="197">
        <f t="shared" si="19"/>
        <v>0</v>
      </c>
      <c r="V411" s="108"/>
      <c r="W411" s="262"/>
      <c r="X411" s="108"/>
      <c r="Y411" s="262"/>
      <c r="Z411" s="109"/>
      <c r="AA411" s="110"/>
      <c r="AB411" s="110"/>
      <c r="AC411" s="47"/>
      <c r="AD411" s="47"/>
      <c r="AE411" s="55"/>
      <c r="AF411" s="108"/>
      <c r="AG411" s="49"/>
    </row>
    <row r="412" spans="1:33" s="222" customFormat="1">
      <c r="A412" s="257" t="s">
        <v>586</v>
      </c>
      <c r="B412" s="258" t="s">
        <v>618</v>
      </c>
      <c r="C412" s="259"/>
      <c r="D412" s="260">
        <v>218955</v>
      </c>
      <c r="E412" s="260">
        <v>10</v>
      </c>
      <c r="F412" s="194">
        <f t="shared" si="16"/>
        <v>14312</v>
      </c>
      <c r="G412" s="195">
        <f t="shared" si="18"/>
        <v>13373</v>
      </c>
      <c r="H412" s="108">
        <v>11044</v>
      </c>
      <c r="I412" s="261">
        <v>9954</v>
      </c>
      <c r="J412" s="108">
        <v>2557</v>
      </c>
      <c r="K412" s="261">
        <v>2819</v>
      </c>
      <c r="L412" s="109">
        <v>711</v>
      </c>
      <c r="M412" s="110"/>
      <c r="N412" s="110"/>
      <c r="O412" s="116">
        <v>600</v>
      </c>
      <c r="P412" s="47"/>
      <c r="Q412" s="55"/>
      <c r="R412" s="108"/>
      <c r="S412" s="46"/>
      <c r="T412" s="196">
        <f t="shared" si="17"/>
        <v>0</v>
      </c>
      <c r="U412" s="197">
        <f t="shared" si="19"/>
        <v>0</v>
      </c>
      <c r="V412" s="108"/>
      <c r="W412" s="262"/>
      <c r="X412" s="108"/>
      <c r="Y412" s="262"/>
      <c r="Z412" s="109"/>
      <c r="AA412" s="110"/>
      <c r="AB412" s="110"/>
      <c r="AC412" s="47"/>
      <c r="AD412" s="47"/>
      <c r="AE412" s="55"/>
      <c r="AF412" s="108"/>
      <c r="AG412" s="49"/>
    </row>
    <row r="413" spans="1:33" s="192" customFormat="1" ht="15.75" customHeight="1">
      <c r="A413" s="229" t="s">
        <v>412</v>
      </c>
      <c r="B413" s="230" t="s">
        <v>413</v>
      </c>
      <c r="C413" s="231"/>
      <c r="D413" s="232">
        <v>220862</v>
      </c>
      <c r="E413" s="232">
        <v>1</v>
      </c>
      <c r="F413" s="194">
        <f t="shared" si="16"/>
        <v>407602</v>
      </c>
      <c r="G413" s="195">
        <f t="shared" ref="G413:G583" si="20">SUM(I413,K413,O413,P413,Q413,S413)</f>
        <v>412153</v>
      </c>
      <c r="H413" s="202">
        <v>294048</v>
      </c>
      <c r="I413" s="192">
        <v>290450</v>
      </c>
      <c r="J413" s="202">
        <v>18874</v>
      </c>
      <c r="K413" s="233">
        <v>15493</v>
      </c>
      <c r="L413" s="203">
        <v>66783</v>
      </c>
      <c r="M413" s="110">
        <v>341</v>
      </c>
      <c r="N413" s="110">
        <v>25427</v>
      </c>
      <c r="O413" s="233">
        <v>73425</v>
      </c>
      <c r="P413" s="233">
        <v>323</v>
      </c>
      <c r="Q413" s="233">
        <v>30235</v>
      </c>
      <c r="R413" s="202">
        <v>2129</v>
      </c>
      <c r="S413" s="192">
        <v>2227</v>
      </c>
      <c r="T413" s="196">
        <f t="shared" si="17"/>
        <v>59189</v>
      </c>
      <c r="U413" s="197">
        <f t="shared" ref="U413:U583" si="21">SUM(W413,Y413,AC413,AD413,AE413,AG413)</f>
        <v>60371</v>
      </c>
      <c r="V413" s="202">
        <v>36835</v>
      </c>
      <c r="W413" s="192">
        <v>36293</v>
      </c>
      <c r="X413" s="202">
        <v>89</v>
      </c>
      <c r="Y413" s="233">
        <v>145</v>
      </c>
      <c r="Z413" s="203">
        <v>15899</v>
      </c>
      <c r="AA413" s="110">
        <v>144</v>
      </c>
      <c r="AB413" s="110">
        <v>2487</v>
      </c>
      <c r="AC413" s="233">
        <v>17324</v>
      </c>
      <c r="AD413" s="233">
        <v>219</v>
      </c>
      <c r="AE413" s="233">
        <v>3041</v>
      </c>
      <c r="AF413" s="202">
        <v>3735</v>
      </c>
      <c r="AG413" s="233">
        <v>3349</v>
      </c>
    </row>
    <row r="414" spans="1:33" s="192" customFormat="1" ht="15" customHeight="1">
      <c r="A414" s="229" t="s">
        <v>412</v>
      </c>
      <c r="B414" s="230" t="s">
        <v>414</v>
      </c>
      <c r="C414" s="231"/>
      <c r="D414" s="232">
        <v>221759</v>
      </c>
      <c r="E414" s="232">
        <v>1</v>
      </c>
      <c r="F414" s="194">
        <f t="shared" si="16"/>
        <v>599602</v>
      </c>
      <c r="G414" s="195">
        <f t="shared" si="20"/>
        <v>609521</v>
      </c>
      <c r="H414" s="202">
        <v>578144</v>
      </c>
      <c r="I414" s="192">
        <v>580831</v>
      </c>
      <c r="J414" s="202">
        <v>21</v>
      </c>
      <c r="K414" s="233">
        <v>18</v>
      </c>
      <c r="L414" s="203">
        <v>16213</v>
      </c>
      <c r="M414" s="110">
        <v>0</v>
      </c>
      <c r="N414" s="110">
        <v>1555</v>
      </c>
      <c r="O414" s="233">
        <v>23289</v>
      </c>
      <c r="P414" s="47">
        <v>0</v>
      </c>
      <c r="Q414" s="233">
        <v>1844</v>
      </c>
      <c r="R414" s="202">
        <v>3669</v>
      </c>
      <c r="S414" s="192">
        <v>3539</v>
      </c>
      <c r="T414" s="196">
        <f t="shared" si="17"/>
        <v>90986.5</v>
      </c>
      <c r="U414" s="197">
        <f t="shared" si="21"/>
        <v>89889</v>
      </c>
      <c r="V414" s="202">
        <v>70363.5</v>
      </c>
      <c r="W414" s="192">
        <v>68582</v>
      </c>
      <c r="X414" s="202">
        <v>3066</v>
      </c>
      <c r="Y414" s="233">
        <v>2871</v>
      </c>
      <c r="Z414" s="203">
        <v>13622</v>
      </c>
      <c r="AA414" s="110">
        <v>21</v>
      </c>
      <c r="AB414" s="110">
        <v>1220</v>
      </c>
      <c r="AC414" s="233">
        <v>14835</v>
      </c>
      <c r="AD414" s="233">
        <v>9</v>
      </c>
      <c r="AE414" s="233">
        <v>1072</v>
      </c>
      <c r="AF414" s="202">
        <v>2694</v>
      </c>
      <c r="AG414" s="233">
        <v>2520</v>
      </c>
    </row>
    <row r="415" spans="1:33" s="192" customFormat="1" ht="15" customHeight="1">
      <c r="A415" s="229" t="s">
        <v>412</v>
      </c>
      <c r="B415" s="230" t="s">
        <v>415</v>
      </c>
      <c r="C415" s="234"/>
      <c r="D415" s="232">
        <v>220075</v>
      </c>
      <c r="E415" s="235">
        <v>2</v>
      </c>
      <c r="F415" s="194">
        <f t="shared" si="16"/>
        <v>300762</v>
      </c>
      <c r="G415" s="195">
        <f t="shared" si="20"/>
        <v>298969</v>
      </c>
      <c r="H415" s="202">
        <v>205436</v>
      </c>
      <c r="I415" s="192">
        <v>203469</v>
      </c>
      <c r="J415" s="202">
        <v>6370</v>
      </c>
      <c r="K415" s="192">
        <v>6216</v>
      </c>
      <c r="L415" s="203">
        <v>63165</v>
      </c>
      <c r="M415" s="110">
        <v>6645</v>
      </c>
      <c r="N415" s="110">
        <v>17017</v>
      </c>
      <c r="O415" s="192">
        <v>65136</v>
      </c>
      <c r="P415" s="192">
        <v>6451</v>
      </c>
      <c r="Q415" s="233">
        <v>15705</v>
      </c>
      <c r="R415" s="202">
        <v>2129</v>
      </c>
      <c r="S415" s="233">
        <v>1992</v>
      </c>
      <c r="T415" s="196">
        <f t="shared" si="17"/>
        <v>42586</v>
      </c>
      <c r="U415" s="197">
        <f t="shared" si="21"/>
        <v>42639</v>
      </c>
      <c r="V415" s="202">
        <v>19106</v>
      </c>
      <c r="W415" s="192">
        <v>18510</v>
      </c>
      <c r="X415" s="202">
        <v>458</v>
      </c>
      <c r="Y415" s="233">
        <v>110</v>
      </c>
      <c r="Z415" s="203">
        <v>18661</v>
      </c>
      <c r="AA415" s="110">
        <v>413</v>
      </c>
      <c r="AB415" s="110">
        <v>1650</v>
      </c>
      <c r="AC415" s="233">
        <v>19925</v>
      </c>
      <c r="AD415" s="233">
        <v>258</v>
      </c>
      <c r="AE415" s="233">
        <v>1339</v>
      </c>
      <c r="AF415" s="202">
        <v>2298</v>
      </c>
      <c r="AG415" s="233">
        <v>2497</v>
      </c>
    </row>
    <row r="416" spans="1:33" s="192" customFormat="1" ht="15" customHeight="1">
      <c r="A416" s="229" t="s">
        <v>412</v>
      </c>
      <c r="B416" s="230" t="s">
        <v>416</v>
      </c>
      <c r="C416" s="234"/>
      <c r="D416" s="232">
        <v>221838</v>
      </c>
      <c r="E416" s="232">
        <v>2</v>
      </c>
      <c r="F416" s="194">
        <f t="shared" si="16"/>
        <v>191452</v>
      </c>
      <c r="G416" s="195">
        <f t="shared" si="20"/>
        <v>188863</v>
      </c>
      <c r="H416" s="202">
        <v>151032</v>
      </c>
      <c r="I416" s="192">
        <v>148852</v>
      </c>
      <c r="J416" s="202">
        <v>22373</v>
      </c>
      <c r="K416" s="192">
        <v>22053</v>
      </c>
      <c r="L416" s="203">
        <v>15886</v>
      </c>
      <c r="M416" s="110">
        <v>33</v>
      </c>
      <c r="N416" s="110">
        <v>1865</v>
      </c>
      <c r="O416" s="192">
        <v>15416</v>
      </c>
      <c r="P416" s="233">
        <v>27</v>
      </c>
      <c r="Q416" s="233">
        <v>2273</v>
      </c>
      <c r="R416" s="202">
        <v>263</v>
      </c>
      <c r="S416" s="233">
        <v>242</v>
      </c>
      <c r="T416" s="196">
        <f t="shared" si="17"/>
        <v>29064</v>
      </c>
      <c r="U416" s="197">
        <f t="shared" si="21"/>
        <v>25314</v>
      </c>
      <c r="V416" s="202">
        <v>14204</v>
      </c>
      <c r="W416" s="233">
        <v>12422</v>
      </c>
      <c r="X416" s="202">
        <v>6787</v>
      </c>
      <c r="Y416" s="233">
        <v>6052</v>
      </c>
      <c r="Z416" s="203">
        <v>6597</v>
      </c>
      <c r="AA416" s="110">
        <v>0</v>
      </c>
      <c r="AB416" s="110">
        <v>487</v>
      </c>
      <c r="AC416" s="233">
        <v>5752</v>
      </c>
      <c r="AD416" s="192">
        <v>0</v>
      </c>
      <c r="AE416" s="233">
        <v>321</v>
      </c>
      <c r="AF416" s="202">
        <v>989</v>
      </c>
      <c r="AG416" s="233">
        <v>767</v>
      </c>
    </row>
    <row r="417" spans="1:33" s="192" customFormat="1" ht="15" customHeight="1">
      <c r="A417" s="229" t="s">
        <v>412</v>
      </c>
      <c r="B417" s="230" t="s">
        <v>417</v>
      </c>
      <c r="C417" s="231"/>
      <c r="D417" s="232">
        <v>219602</v>
      </c>
      <c r="E417" s="232">
        <v>3</v>
      </c>
      <c r="F417" s="194">
        <f t="shared" si="16"/>
        <v>233643</v>
      </c>
      <c r="G417" s="195">
        <f t="shared" si="20"/>
        <v>240931</v>
      </c>
      <c r="H417" s="202">
        <v>152425</v>
      </c>
      <c r="I417" s="192">
        <v>146881</v>
      </c>
      <c r="J417" s="202">
        <v>9196</v>
      </c>
      <c r="K417" s="233">
        <v>10679</v>
      </c>
      <c r="L417" s="203">
        <v>62460</v>
      </c>
      <c r="M417" s="110">
        <v>0</v>
      </c>
      <c r="N417" s="110">
        <v>9308</v>
      </c>
      <c r="O417" s="233">
        <v>65702</v>
      </c>
      <c r="P417" s="47">
        <v>0</v>
      </c>
      <c r="Q417" s="233">
        <v>15502</v>
      </c>
      <c r="R417" s="202">
        <v>254</v>
      </c>
      <c r="S417" s="233">
        <v>2167</v>
      </c>
      <c r="T417" s="196">
        <f t="shared" si="17"/>
        <v>15323</v>
      </c>
      <c r="U417" s="197">
        <f t="shared" si="21"/>
        <v>15251</v>
      </c>
      <c r="V417" s="202">
        <v>4283</v>
      </c>
      <c r="W417" s="233">
        <v>3636</v>
      </c>
      <c r="X417" s="202">
        <v>205</v>
      </c>
      <c r="Y417" s="233">
        <v>186</v>
      </c>
      <c r="Z417" s="203">
        <v>10316</v>
      </c>
      <c r="AA417" s="110">
        <v>0</v>
      </c>
      <c r="AB417" s="110">
        <v>514</v>
      </c>
      <c r="AC417" s="192">
        <v>10012</v>
      </c>
      <c r="AD417" s="236">
        <v>0</v>
      </c>
      <c r="AE417" s="233">
        <v>811</v>
      </c>
      <c r="AF417" s="202">
        <v>5</v>
      </c>
      <c r="AG417" s="233">
        <v>606</v>
      </c>
    </row>
    <row r="418" spans="1:33" s="192" customFormat="1" ht="15" customHeight="1">
      <c r="A418" s="229" t="s">
        <v>412</v>
      </c>
      <c r="B418" s="230" t="s">
        <v>418</v>
      </c>
      <c r="C418" s="345" t="s">
        <v>857</v>
      </c>
      <c r="D418" s="232">
        <v>220978</v>
      </c>
      <c r="E418" s="232">
        <v>3</v>
      </c>
      <c r="F418" s="194">
        <f t="shared" si="16"/>
        <v>523287</v>
      </c>
      <c r="G418" s="195">
        <f t="shared" si="20"/>
        <v>513248</v>
      </c>
      <c r="H418" s="202">
        <v>433529</v>
      </c>
      <c r="I418" s="192">
        <v>417029</v>
      </c>
      <c r="J418" s="202">
        <v>1060</v>
      </c>
      <c r="K418" s="233">
        <v>1132</v>
      </c>
      <c r="L418" s="203">
        <v>66420</v>
      </c>
      <c r="M418" s="110">
        <v>213</v>
      </c>
      <c r="N418" s="110">
        <v>17742</v>
      </c>
      <c r="O418" s="233">
        <v>72366</v>
      </c>
      <c r="P418" s="233">
        <v>531</v>
      </c>
      <c r="Q418" s="192">
        <v>18335</v>
      </c>
      <c r="R418" s="202">
        <v>4323</v>
      </c>
      <c r="S418" s="233">
        <v>3855</v>
      </c>
      <c r="T418" s="196">
        <f t="shared" si="17"/>
        <v>36382</v>
      </c>
      <c r="U418" s="197">
        <f t="shared" si="21"/>
        <v>35290</v>
      </c>
      <c r="V418" s="202">
        <v>22625</v>
      </c>
      <c r="W418" s="192">
        <v>22183</v>
      </c>
      <c r="X418" s="202">
        <v>1077</v>
      </c>
      <c r="Y418" s="233">
        <v>612</v>
      </c>
      <c r="Z418" s="203">
        <v>10051</v>
      </c>
      <c r="AA418" s="110">
        <v>0</v>
      </c>
      <c r="AB418" s="110">
        <v>907</v>
      </c>
      <c r="AC418" s="192">
        <v>9874</v>
      </c>
      <c r="AD418" s="192">
        <v>0</v>
      </c>
      <c r="AE418" s="192">
        <v>952</v>
      </c>
      <c r="AF418" s="202">
        <v>1722</v>
      </c>
      <c r="AG418" s="192">
        <v>1669</v>
      </c>
    </row>
    <row r="419" spans="1:33" s="192" customFormat="1" ht="15" customHeight="1">
      <c r="A419" s="229" t="s">
        <v>412</v>
      </c>
      <c r="B419" s="230" t="s">
        <v>419</v>
      </c>
      <c r="C419" s="231"/>
      <c r="D419" s="232">
        <v>221847</v>
      </c>
      <c r="E419" s="232">
        <v>3</v>
      </c>
      <c r="F419" s="194">
        <f t="shared" si="16"/>
        <v>267065</v>
      </c>
      <c r="G419" s="195">
        <f t="shared" si="20"/>
        <v>255489</v>
      </c>
      <c r="H419" s="202">
        <v>173377</v>
      </c>
      <c r="I419" s="233">
        <v>164013</v>
      </c>
      <c r="J419" s="202">
        <v>1428</v>
      </c>
      <c r="K419" s="233">
        <v>2002</v>
      </c>
      <c r="L419" s="203">
        <v>19555</v>
      </c>
      <c r="M419" s="110">
        <v>0</v>
      </c>
      <c r="N419" s="110">
        <v>68683</v>
      </c>
      <c r="O419" s="192">
        <v>18769</v>
      </c>
      <c r="P419" s="47">
        <v>0</v>
      </c>
      <c r="Q419" s="192">
        <v>66968</v>
      </c>
      <c r="R419" s="202">
        <v>4022</v>
      </c>
      <c r="S419" s="233">
        <v>3737</v>
      </c>
      <c r="T419" s="196">
        <f t="shared" si="17"/>
        <v>15698</v>
      </c>
      <c r="U419" s="197">
        <f t="shared" si="21"/>
        <v>15434</v>
      </c>
      <c r="V419" s="202">
        <v>4533</v>
      </c>
      <c r="W419" s="233">
        <v>4074</v>
      </c>
      <c r="X419" s="202">
        <v>3</v>
      </c>
      <c r="Y419" s="192">
        <v>3</v>
      </c>
      <c r="Z419" s="203">
        <v>7490</v>
      </c>
      <c r="AA419" s="110">
        <v>0</v>
      </c>
      <c r="AB419" s="110">
        <v>2520</v>
      </c>
      <c r="AC419" s="233">
        <v>8266</v>
      </c>
      <c r="AD419" s="236">
        <v>0</v>
      </c>
      <c r="AE419" s="233">
        <v>1889</v>
      </c>
      <c r="AF419" s="202">
        <v>1152</v>
      </c>
      <c r="AG419" s="192">
        <v>1202</v>
      </c>
    </row>
    <row r="420" spans="1:33" s="192" customFormat="1" ht="15" customHeight="1">
      <c r="A420" s="229" t="s">
        <v>412</v>
      </c>
      <c r="B420" s="230" t="s">
        <v>420</v>
      </c>
      <c r="C420" s="231"/>
      <c r="D420" s="232">
        <v>221740</v>
      </c>
      <c r="E420" s="232">
        <v>3</v>
      </c>
      <c r="F420" s="194">
        <f t="shared" si="16"/>
        <v>273050</v>
      </c>
      <c r="G420" s="195">
        <f t="shared" si="20"/>
        <v>275347</v>
      </c>
      <c r="H420" s="202">
        <v>238425</v>
      </c>
      <c r="I420" s="192">
        <v>230437</v>
      </c>
      <c r="J420" s="202">
        <v>643</v>
      </c>
      <c r="K420" s="233">
        <v>471</v>
      </c>
      <c r="L420" s="203">
        <v>32985</v>
      </c>
      <c r="M420" s="110">
        <v>0</v>
      </c>
      <c r="N420" s="110">
        <v>21</v>
      </c>
      <c r="O420" s="233">
        <v>43371</v>
      </c>
      <c r="P420" s="47">
        <v>0</v>
      </c>
      <c r="Q420" s="233">
        <v>6</v>
      </c>
      <c r="R420" s="202">
        <v>976</v>
      </c>
      <c r="S420" s="233">
        <v>1062</v>
      </c>
      <c r="T420" s="196">
        <f t="shared" si="17"/>
        <v>23207</v>
      </c>
      <c r="U420" s="197">
        <f t="shared" si="21"/>
        <v>24597</v>
      </c>
      <c r="V420" s="202">
        <v>16200</v>
      </c>
      <c r="W420" s="192">
        <v>16089</v>
      </c>
      <c r="X420" s="202">
        <v>0</v>
      </c>
      <c r="Y420" s="237">
        <v>0</v>
      </c>
      <c r="Z420" s="203">
        <v>6578</v>
      </c>
      <c r="AA420" s="110">
        <v>20</v>
      </c>
      <c r="AB420" s="110">
        <v>0</v>
      </c>
      <c r="AC420" s="233">
        <v>8157</v>
      </c>
      <c r="AD420" s="233">
        <v>8</v>
      </c>
      <c r="AE420" s="192">
        <v>0</v>
      </c>
      <c r="AF420" s="202">
        <v>409</v>
      </c>
      <c r="AG420" s="233">
        <v>343</v>
      </c>
    </row>
    <row r="421" spans="1:33" s="192" customFormat="1" ht="15" customHeight="1">
      <c r="A421" s="229" t="s">
        <v>412</v>
      </c>
      <c r="B421" s="230" t="s">
        <v>421</v>
      </c>
      <c r="C421" s="231"/>
      <c r="D421" s="232">
        <v>221768</v>
      </c>
      <c r="E421" s="232">
        <v>5</v>
      </c>
      <c r="F421" s="194">
        <f t="shared" si="16"/>
        <v>177711</v>
      </c>
      <c r="G421" s="195">
        <f t="shared" si="20"/>
        <v>169557</v>
      </c>
      <c r="H421" s="202">
        <v>143071</v>
      </c>
      <c r="I421" s="192">
        <v>139906</v>
      </c>
      <c r="J421" s="202">
        <v>14732</v>
      </c>
      <c r="K421" s="233">
        <v>7065</v>
      </c>
      <c r="L421" s="203">
        <v>16703</v>
      </c>
      <c r="M421" s="110">
        <v>2877</v>
      </c>
      <c r="N421" s="110">
        <v>108</v>
      </c>
      <c r="O421" s="233">
        <v>18144</v>
      </c>
      <c r="P421" s="233">
        <v>4113</v>
      </c>
      <c r="Q421" s="233">
        <v>42</v>
      </c>
      <c r="R421" s="202">
        <v>220</v>
      </c>
      <c r="S421" s="233">
        <v>287</v>
      </c>
      <c r="T421" s="196">
        <f t="shared" si="17"/>
        <v>5859</v>
      </c>
      <c r="U421" s="197">
        <f t="shared" si="21"/>
        <v>6169</v>
      </c>
      <c r="V421" s="202">
        <v>712</v>
      </c>
      <c r="W421" s="192">
        <v>711</v>
      </c>
      <c r="X421" s="202">
        <v>9</v>
      </c>
      <c r="Y421" s="115">
        <v>6</v>
      </c>
      <c r="Z421" s="203">
        <v>5132</v>
      </c>
      <c r="AA421" s="110">
        <v>0</v>
      </c>
      <c r="AB421" s="110">
        <v>0</v>
      </c>
      <c r="AC421" s="233">
        <v>5449</v>
      </c>
      <c r="AD421" s="192">
        <v>0</v>
      </c>
      <c r="AE421" s="192">
        <v>0</v>
      </c>
      <c r="AF421" s="202">
        <v>6</v>
      </c>
      <c r="AG421" s="233">
        <v>3</v>
      </c>
    </row>
    <row r="422" spans="1:33" s="192" customFormat="1" ht="15" customHeight="1">
      <c r="A422" s="229" t="s">
        <v>412</v>
      </c>
      <c r="B422" s="230" t="s">
        <v>422</v>
      </c>
      <c r="C422" s="231"/>
      <c r="D422" s="232">
        <v>219824</v>
      </c>
      <c r="E422" s="232">
        <v>8</v>
      </c>
      <c r="F422" s="194">
        <f t="shared" si="16"/>
        <v>185932</v>
      </c>
      <c r="G422" s="195">
        <f t="shared" si="20"/>
        <v>173410</v>
      </c>
      <c r="H422" s="202">
        <v>111274</v>
      </c>
      <c r="I422" s="192">
        <v>106544</v>
      </c>
      <c r="J422" s="202">
        <v>9781</v>
      </c>
      <c r="K422" s="233">
        <v>7512</v>
      </c>
      <c r="L422" s="203">
        <v>46548</v>
      </c>
      <c r="M422" s="110">
        <v>0</v>
      </c>
      <c r="N422" s="110">
        <v>18047</v>
      </c>
      <c r="O422" s="233">
        <v>43230</v>
      </c>
      <c r="P422" s="47">
        <v>0</v>
      </c>
      <c r="Q422" s="233">
        <v>15987</v>
      </c>
      <c r="R422" s="202">
        <v>282</v>
      </c>
      <c r="S422" s="233">
        <v>137</v>
      </c>
      <c r="T422" s="196">
        <f t="shared" si="17"/>
        <v>0</v>
      </c>
      <c r="U422" s="197">
        <f t="shared" si="21"/>
        <v>0</v>
      </c>
      <c r="V422" s="202">
        <v>0</v>
      </c>
      <c r="W422" s="237"/>
      <c r="X422" s="202">
        <v>0</v>
      </c>
      <c r="Y422" s="237"/>
      <c r="Z422" s="203">
        <v>0</v>
      </c>
      <c r="AA422" s="110">
        <v>0</v>
      </c>
      <c r="AB422" s="110">
        <v>0</v>
      </c>
      <c r="AC422" s="47"/>
      <c r="AD422" s="47"/>
      <c r="AE422" s="55"/>
      <c r="AF422" s="202">
        <v>0</v>
      </c>
      <c r="AG422" s="49"/>
    </row>
    <row r="423" spans="1:33" s="192" customFormat="1" ht="15" customHeight="1">
      <c r="A423" s="229" t="s">
        <v>412</v>
      </c>
      <c r="B423" s="230" t="s">
        <v>423</v>
      </c>
      <c r="C423" s="234"/>
      <c r="D423" s="232">
        <v>221184</v>
      </c>
      <c r="E423" s="232">
        <v>8</v>
      </c>
      <c r="F423" s="194">
        <f t="shared" si="16"/>
        <v>197465</v>
      </c>
      <c r="G423" s="195">
        <f t="shared" si="20"/>
        <v>188283.5</v>
      </c>
      <c r="H423" s="202">
        <v>119183</v>
      </c>
      <c r="I423" s="192">
        <v>118677.5</v>
      </c>
      <c r="J423" s="202">
        <v>29443</v>
      </c>
      <c r="K423" s="233">
        <v>23119</v>
      </c>
      <c r="L423" s="203">
        <v>44235</v>
      </c>
      <c r="M423" s="110">
        <v>0</v>
      </c>
      <c r="N423" s="110">
        <v>4519</v>
      </c>
      <c r="O423" s="233">
        <v>38452</v>
      </c>
      <c r="P423" s="47">
        <v>0</v>
      </c>
      <c r="Q423" s="233">
        <v>7868</v>
      </c>
      <c r="R423" s="202">
        <v>85</v>
      </c>
      <c r="S423" s="233">
        <v>167</v>
      </c>
      <c r="T423" s="196">
        <f t="shared" si="17"/>
        <v>0</v>
      </c>
      <c r="U423" s="197">
        <f t="shared" si="21"/>
        <v>0</v>
      </c>
      <c r="V423" s="202">
        <v>0</v>
      </c>
      <c r="W423" s="237"/>
      <c r="X423" s="202">
        <v>0</v>
      </c>
      <c r="Y423" s="237"/>
      <c r="Z423" s="203">
        <v>0</v>
      </c>
      <c r="AA423" s="110">
        <v>0</v>
      </c>
      <c r="AB423" s="110">
        <v>0</v>
      </c>
      <c r="AC423" s="47"/>
      <c r="AD423" s="47"/>
      <c r="AE423" s="55"/>
      <c r="AF423" s="202">
        <v>0</v>
      </c>
      <c r="AG423" s="49"/>
    </row>
    <row r="424" spans="1:33" s="192" customFormat="1" ht="15" customHeight="1">
      <c r="A424" s="229" t="s">
        <v>412</v>
      </c>
      <c r="B424" s="230" t="s">
        <v>424</v>
      </c>
      <c r="C424" s="231"/>
      <c r="D424" s="232">
        <v>221643</v>
      </c>
      <c r="E424" s="232">
        <v>8</v>
      </c>
      <c r="F424" s="194">
        <f t="shared" si="16"/>
        <v>208788</v>
      </c>
      <c r="G424" s="195">
        <f t="shared" si="20"/>
        <v>205751</v>
      </c>
      <c r="H424" s="202">
        <v>123530</v>
      </c>
      <c r="I424" s="192">
        <v>121595</v>
      </c>
      <c r="J424" s="202">
        <v>53287</v>
      </c>
      <c r="K424" s="233">
        <v>48922</v>
      </c>
      <c r="L424" s="203">
        <v>26136</v>
      </c>
      <c r="M424" s="110">
        <v>540</v>
      </c>
      <c r="N424" s="110">
        <v>5213</v>
      </c>
      <c r="O424" s="233">
        <v>28747</v>
      </c>
      <c r="P424" s="233">
        <v>957</v>
      </c>
      <c r="Q424" s="192">
        <v>5424</v>
      </c>
      <c r="R424" s="202">
        <v>82</v>
      </c>
      <c r="S424" s="233">
        <v>106</v>
      </c>
      <c r="T424" s="196">
        <f t="shared" si="17"/>
        <v>0</v>
      </c>
      <c r="U424" s="197">
        <f t="shared" si="21"/>
        <v>0</v>
      </c>
      <c r="V424" s="202">
        <v>0</v>
      </c>
      <c r="W424" s="237"/>
      <c r="X424" s="202">
        <v>0</v>
      </c>
      <c r="Y424" s="237"/>
      <c r="Z424" s="203">
        <v>0</v>
      </c>
      <c r="AA424" s="110">
        <v>0</v>
      </c>
      <c r="AB424" s="110">
        <v>0</v>
      </c>
      <c r="AC424" s="47"/>
      <c r="AD424" s="47"/>
      <c r="AE424" s="55"/>
      <c r="AF424" s="202">
        <v>0</v>
      </c>
      <c r="AG424" s="49"/>
    </row>
    <row r="425" spans="1:33" s="192" customFormat="1" ht="15" customHeight="1">
      <c r="A425" s="229" t="s">
        <v>412</v>
      </c>
      <c r="B425" s="230" t="s">
        <v>425</v>
      </c>
      <c r="C425" s="231"/>
      <c r="D425" s="232">
        <v>221485</v>
      </c>
      <c r="E425" s="232">
        <v>8</v>
      </c>
      <c r="F425" s="194">
        <f t="shared" si="16"/>
        <v>165153</v>
      </c>
      <c r="G425" s="195">
        <f t="shared" si="20"/>
        <v>149000</v>
      </c>
      <c r="H425" s="202">
        <v>14678</v>
      </c>
      <c r="I425" s="192">
        <v>13984</v>
      </c>
      <c r="J425" s="202">
        <v>115985</v>
      </c>
      <c r="K425" s="233">
        <v>102597</v>
      </c>
      <c r="L425" s="203">
        <v>27287</v>
      </c>
      <c r="M425" s="110">
        <v>0</v>
      </c>
      <c r="N425" s="110">
        <v>7201</v>
      </c>
      <c r="O425" s="233">
        <v>25468</v>
      </c>
      <c r="P425" s="47">
        <v>0</v>
      </c>
      <c r="Q425" s="192">
        <v>6945</v>
      </c>
      <c r="R425" s="202">
        <v>2</v>
      </c>
      <c r="S425" s="233">
        <v>6</v>
      </c>
      <c r="T425" s="196">
        <f t="shared" si="17"/>
        <v>0</v>
      </c>
      <c r="U425" s="197">
        <f t="shared" si="21"/>
        <v>0</v>
      </c>
      <c r="V425" s="202">
        <v>0</v>
      </c>
      <c r="W425" s="237"/>
      <c r="X425" s="202">
        <v>0</v>
      </c>
      <c r="Y425" s="237"/>
      <c r="Z425" s="203">
        <v>0</v>
      </c>
      <c r="AA425" s="110">
        <v>0</v>
      </c>
      <c r="AB425" s="110">
        <v>0</v>
      </c>
      <c r="AC425" s="47"/>
      <c r="AD425" s="47"/>
      <c r="AE425" s="55"/>
      <c r="AF425" s="202">
        <v>0</v>
      </c>
      <c r="AG425" s="49"/>
    </row>
    <row r="426" spans="1:33" s="192" customFormat="1" ht="15" customHeight="1">
      <c r="A426" s="229" t="s">
        <v>412</v>
      </c>
      <c r="B426" s="230" t="s">
        <v>426</v>
      </c>
      <c r="C426" s="234"/>
      <c r="D426" s="232">
        <v>222053</v>
      </c>
      <c r="E426" s="232">
        <v>8</v>
      </c>
      <c r="F426" s="194">
        <f t="shared" si="16"/>
        <v>154955</v>
      </c>
      <c r="G426" s="195">
        <f t="shared" si="20"/>
        <v>167161</v>
      </c>
      <c r="H426" s="202">
        <v>95042</v>
      </c>
      <c r="I426" s="233">
        <v>106803</v>
      </c>
      <c r="J426" s="202">
        <v>15733</v>
      </c>
      <c r="K426" s="233">
        <v>14228</v>
      </c>
      <c r="L426" s="203">
        <v>41096</v>
      </c>
      <c r="M426" s="110">
        <v>69</v>
      </c>
      <c r="N426" s="110">
        <v>2697</v>
      </c>
      <c r="O426" s="192">
        <v>42229</v>
      </c>
      <c r="P426" s="233">
        <v>84</v>
      </c>
      <c r="Q426" s="233">
        <v>3460</v>
      </c>
      <c r="R426" s="202">
        <v>318</v>
      </c>
      <c r="S426" s="233">
        <v>357</v>
      </c>
      <c r="T426" s="196">
        <f t="shared" si="17"/>
        <v>0</v>
      </c>
      <c r="U426" s="197">
        <f t="shared" si="21"/>
        <v>0</v>
      </c>
      <c r="V426" s="202">
        <v>0</v>
      </c>
      <c r="W426" s="237"/>
      <c r="X426" s="202">
        <v>0</v>
      </c>
      <c r="Y426" s="237"/>
      <c r="Z426" s="203">
        <v>0</v>
      </c>
      <c r="AA426" s="110">
        <v>0</v>
      </c>
      <c r="AB426" s="110">
        <v>0</v>
      </c>
      <c r="AC426" s="47"/>
      <c r="AD426" s="47"/>
      <c r="AE426" s="55"/>
      <c r="AF426" s="202">
        <v>0</v>
      </c>
      <c r="AG426" s="49"/>
    </row>
    <row r="427" spans="1:33" s="192" customFormat="1" ht="15" customHeight="1">
      <c r="A427" s="229" t="s">
        <v>412</v>
      </c>
      <c r="B427" s="230" t="s">
        <v>427</v>
      </c>
      <c r="C427" s="231"/>
      <c r="D427" s="232">
        <v>219879</v>
      </c>
      <c r="E427" s="232">
        <v>9</v>
      </c>
      <c r="F427" s="194">
        <f t="shared" si="16"/>
        <v>68952</v>
      </c>
      <c r="G427" s="195">
        <f t="shared" si="20"/>
        <v>68429</v>
      </c>
      <c r="H427" s="202">
        <v>40159</v>
      </c>
      <c r="I427" s="192">
        <v>38870</v>
      </c>
      <c r="J427" s="202">
        <v>9681</v>
      </c>
      <c r="K427" s="233">
        <v>10498</v>
      </c>
      <c r="L427" s="203">
        <v>10515</v>
      </c>
      <c r="M427" s="110">
        <v>177</v>
      </c>
      <c r="N427" s="110">
        <v>7805</v>
      </c>
      <c r="O427" s="192">
        <v>10594</v>
      </c>
      <c r="P427" s="233">
        <v>15</v>
      </c>
      <c r="Q427" s="192">
        <v>7868</v>
      </c>
      <c r="R427" s="202">
        <v>615</v>
      </c>
      <c r="S427" s="233">
        <v>584</v>
      </c>
      <c r="T427" s="196">
        <f t="shared" si="17"/>
        <v>0</v>
      </c>
      <c r="U427" s="197">
        <f t="shared" si="21"/>
        <v>0</v>
      </c>
      <c r="V427" s="202">
        <v>0</v>
      </c>
      <c r="W427" s="237"/>
      <c r="X427" s="202">
        <v>0</v>
      </c>
      <c r="Y427" s="237"/>
      <c r="Z427" s="203">
        <v>0</v>
      </c>
      <c r="AA427" s="110">
        <v>0</v>
      </c>
      <c r="AB427" s="110">
        <v>0</v>
      </c>
      <c r="AC427" s="47"/>
      <c r="AD427" s="47"/>
      <c r="AE427" s="55"/>
      <c r="AF427" s="202">
        <v>0</v>
      </c>
      <c r="AG427" s="49"/>
    </row>
    <row r="428" spans="1:33" s="192" customFormat="1" ht="15" customHeight="1">
      <c r="A428" s="229" t="s">
        <v>412</v>
      </c>
      <c r="B428" s="230" t="s">
        <v>428</v>
      </c>
      <c r="C428" s="231"/>
      <c r="D428" s="232">
        <v>219888</v>
      </c>
      <c r="E428" s="232">
        <v>9</v>
      </c>
      <c r="F428" s="194">
        <f t="shared" si="16"/>
        <v>101080</v>
      </c>
      <c r="G428" s="195">
        <f t="shared" si="20"/>
        <v>105415</v>
      </c>
      <c r="H428" s="202">
        <v>36846</v>
      </c>
      <c r="I428" s="192">
        <v>37001</v>
      </c>
      <c r="J428" s="202">
        <v>31775</v>
      </c>
      <c r="K428" s="233">
        <v>36897</v>
      </c>
      <c r="L428" s="203">
        <v>20977</v>
      </c>
      <c r="M428" s="110">
        <v>5114</v>
      </c>
      <c r="N428" s="110">
        <v>6282</v>
      </c>
      <c r="O428" s="233">
        <v>22325</v>
      </c>
      <c r="P428" s="233">
        <v>3685</v>
      </c>
      <c r="Q428" s="233">
        <v>5424</v>
      </c>
      <c r="R428" s="202">
        <v>86</v>
      </c>
      <c r="S428" s="192">
        <v>83</v>
      </c>
      <c r="T428" s="196">
        <f t="shared" si="17"/>
        <v>0</v>
      </c>
      <c r="U428" s="197">
        <f t="shared" si="21"/>
        <v>0</v>
      </c>
      <c r="V428" s="202">
        <v>0</v>
      </c>
      <c r="W428" s="237"/>
      <c r="X428" s="202">
        <v>0</v>
      </c>
      <c r="Y428" s="237"/>
      <c r="Z428" s="203">
        <v>0</v>
      </c>
      <c r="AA428" s="110">
        <v>0</v>
      </c>
      <c r="AB428" s="110">
        <v>0</v>
      </c>
      <c r="AC428" s="47"/>
      <c r="AD428" s="47"/>
      <c r="AE428" s="55"/>
      <c r="AF428" s="202">
        <v>0</v>
      </c>
      <c r="AG428" s="49"/>
    </row>
    <row r="429" spans="1:33" s="192" customFormat="1" ht="15" customHeight="1">
      <c r="A429" s="229" t="s">
        <v>412</v>
      </c>
      <c r="B429" s="230" t="s">
        <v>429</v>
      </c>
      <c r="C429" s="355" t="s">
        <v>845</v>
      </c>
      <c r="D429" s="232">
        <v>220057</v>
      </c>
      <c r="E429" s="235">
        <v>10</v>
      </c>
      <c r="F429" s="194">
        <f t="shared" si="16"/>
        <v>49449</v>
      </c>
      <c r="G429" s="195">
        <f t="shared" si="20"/>
        <v>50054</v>
      </c>
      <c r="H429" s="202">
        <v>17908</v>
      </c>
      <c r="I429" s="233">
        <v>16977</v>
      </c>
      <c r="J429" s="202">
        <v>18968</v>
      </c>
      <c r="K429" s="192">
        <v>19799</v>
      </c>
      <c r="L429" s="203">
        <v>9129</v>
      </c>
      <c r="M429" s="110">
        <v>2252</v>
      </c>
      <c r="N429" s="110">
        <v>1029</v>
      </c>
      <c r="O429" s="192">
        <v>9328</v>
      </c>
      <c r="P429" s="233">
        <v>2743</v>
      </c>
      <c r="Q429" s="192">
        <v>1044</v>
      </c>
      <c r="R429" s="202">
        <v>163</v>
      </c>
      <c r="S429" s="192">
        <v>163</v>
      </c>
      <c r="T429" s="196">
        <f t="shared" si="17"/>
        <v>0</v>
      </c>
      <c r="U429" s="197">
        <f t="shared" si="21"/>
        <v>0</v>
      </c>
      <c r="V429" s="202">
        <v>0</v>
      </c>
      <c r="W429" s="237"/>
      <c r="X429" s="202">
        <v>0</v>
      </c>
      <c r="Y429" s="237"/>
      <c r="Z429" s="203">
        <v>0</v>
      </c>
      <c r="AA429" s="110">
        <v>0</v>
      </c>
      <c r="AB429" s="110">
        <v>0</v>
      </c>
      <c r="AC429" s="47"/>
      <c r="AD429" s="47"/>
      <c r="AE429" s="55"/>
      <c r="AF429" s="202">
        <v>0</v>
      </c>
      <c r="AG429" s="49"/>
    </row>
    <row r="430" spans="1:33" s="192" customFormat="1" ht="15" customHeight="1">
      <c r="A430" s="229" t="s">
        <v>412</v>
      </c>
      <c r="B430" s="230" t="s">
        <v>430</v>
      </c>
      <c r="C430" s="231"/>
      <c r="D430" s="232">
        <v>220400</v>
      </c>
      <c r="E430" s="232">
        <v>9</v>
      </c>
      <c r="F430" s="194">
        <f t="shared" si="16"/>
        <v>86420</v>
      </c>
      <c r="G430" s="195">
        <f t="shared" si="20"/>
        <v>88242</v>
      </c>
      <c r="H430" s="202">
        <v>45978</v>
      </c>
      <c r="I430" s="233">
        <v>48385</v>
      </c>
      <c r="J430" s="202">
        <v>9276</v>
      </c>
      <c r="K430" s="233">
        <v>10294</v>
      </c>
      <c r="L430" s="203">
        <v>18628</v>
      </c>
      <c r="M430" s="110">
        <v>5069</v>
      </c>
      <c r="N430" s="110">
        <v>7313</v>
      </c>
      <c r="O430" s="192">
        <v>19232</v>
      </c>
      <c r="P430" s="233">
        <v>3759</v>
      </c>
      <c r="Q430" s="233">
        <v>6492</v>
      </c>
      <c r="R430" s="202">
        <v>156</v>
      </c>
      <c r="S430" s="233">
        <v>80</v>
      </c>
      <c r="T430" s="196">
        <f t="shared" si="17"/>
        <v>0</v>
      </c>
      <c r="U430" s="197">
        <f t="shared" si="21"/>
        <v>0</v>
      </c>
      <c r="V430" s="202">
        <v>0</v>
      </c>
      <c r="W430" s="237"/>
      <c r="X430" s="202">
        <v>0</v>
      </c>
      <c r="Y430" s="237"/>
      <c r="Z430" s="203">
        <v>0</v>
      </c>
      <c r="AA430" s="110">
        <v>0</v>
      </c>
      <c r="AB430" s="110">
        <v>0</v>
      </c>
      <c r="AC430" s="47"/>
      <c r="AD430" s="47"/>
      <c r="AE430" s="55"/>
      <c r="AF430" s="202">
        <v>0</v>
      </c>
      <c r="AG430" s="49"/>
    </row>
    <row r="431" spans="1:33" s="192" customFormat="1" ht="15" customHeight="1">
      <c r="A431" s="229" t="s">
        <v>412</v>
      </c>
      <c r="B431" s="230" t="s">
        <v>431</v>
      </c>
      <c r="C431" s="231"/>
      <c r="D431" s="232">
        <v>221096</v>
      </c>
      <c r="E431" s="232">
        <v>9</v>
      </c>
      <c r="F431" s="194">
        <f t="shared" si="16"/>
        <v>101729</v>
      </c>
      <c r="G431" s="195">
        <f t="shared" si="20"/>
        <v>117894</v>
      </c>
      <c r="H431" s="202">
        <v>24799</v>
      </c>
      <c r="I431" s="233">
        <v>26607</v>
      </c>
      <c r="J431" s="202">
        <v>50818</v>
      </c>
      <c r="K431" s="233">
        <v>63278</v>
      </c>
      <c r="L431" s="203">
        <v>16967</v>
      </c>
      <c r="M431" s="110">
        <v>5539</v>
      </c>
      <c r="N431" s="110">
        <v>3274</v>
      </c>
      <c r="O431" s="233">
        <v>18540</v>
      </c>
      <c r="P431" s="233">
        <v>6018</v>
      </c>
      <c r="Q431" s="192">
        <v>3171</v>
      </c>
      <c r="R431" s="202">
        <v>332</v>
      </c>
      <c r="S431" s="233">
        <v>280</v>
      </c>
      <c r="T431" s="196">
        <f t="shared" si="17"/>
        <v>0</v>
      </c>
      <c r="U431" s="197">
        <f t="shared" si="21"/>
        <v>0</v>
      </c>
      <c r="V431" s="202">
        <v>0</v>
      </c>
      <c r="W431" s="237"/>
      <c r="X431" s="202">
        <v>0</v>
      </c>
      <c r="Y431" s="237"/>
      <c r="Z431" s="203">
        <v>0</v>
      </c>
      <c r="AA431" s="110">
        <v>0</v>
      </c>
      <c r="AB431" s="110">
        <v>0</v>
      </c>
      <c r="AC431" s="47"/>
      <c r="AD431" s="47"/>
      <c r="AE431" s="55"/>
      <c r="AF431" s="202">
        <v>0</v>
      </c>
      <c r="AG431" s="49"/>
    </row>
    <row r="432" spans="1:33" s="192" customFormat="1" ht="15" customHeight="1">
      <c r="A432" s="229" t="s">
        <v>412</v>
      </c>
      <c r="B432" s="230" t="s">
        <v>432</v>
      </c>
      <c r="C432" s="231"/>
      <c r="D432" s="232">
        <v>221908</v>
      </c>
      <c r="E432" s="232">
        <v>9</v>
      </c>
      <c r="F432" s="194">
        <f t="shared" si="16"/>
        <v>121773</v>
      </c>
      <c r="G432" s="195">
        <f t="shared" si="20"/>
        <v>125641</v>
      </c>
      <c r="H432" s="202">
        <v>69053</v>
      </c>
      <c r="I432" s="192">
        <v>70490</v>
      </c>
      <c r="J432" s="202">
        <v>32457</v>
      </c>
      <c r="K432" s="192">
        <v>33949</v>
      </c>
      <c r="L432" s="203">
        <v>15192</v>
      </c>
      <c r="M432" s="110">
        <v>4406</v>
      </c>
      <c r="N432" s="110">
        <v>568</v>
      </c>
      <c r="O432" s="192">
        <v>15466</v>
      </c>
      <c r="P432" s="233">
        <v>4014</v>
      </c>
      <c r="Q432" s="233">
        <v>1671</v>
      </c>
      <c r="R432" s="202">
        <v>97</v>
      </c>
      <c r="S432" s="233">
        <v>51</v>
      </c>
      <c r="T432" s="196">
        <f t="shared" si="17"/>
        <v>0</v>
      </c>
      <c r="U432" s="197">
        <f t="shared" si="21"/>
        <v>0</v>
      </c>
      <c r="V432" s="202">
        <v>0</v>
      </c>
      <c r="W432" s="237"/>
      <c r="X432" s="202">
        <v>0</v>
      </c>
      <c r="Y432" s="237"/>
      <c r="Z432" s="203">
        <v>0</v>
      </c>
      <c r="AA432" s="110">
        <v>0</v>
      </c>
      <c r="AB432" s="110">
        <v>0</v>
      </c>
      <c r="AC432" s="47"/>
      <c r="AD432" s="47"/>
      <c r="AE432" s="55"/>
      <c r="AF432" s="202">
        <v>0</v>
      </c>
      <c r="AG432" s="49"/>
    </row>
    <row r="433" spans="1:33" s="192" customFormat="1" ht="15" customHeight="1">
      <c r="A433" s="229" t="s">
        <v>412</v>
      </c>
      <c r="B433" s="230" t="s">
        <v>433</v>
      </c>
      <c r="C433" s="231"/>
      <c r="D433" s="232">
        <v>221397</v>
      </c>
      <c r="E433" s="232">
        <v>9</v>
      </c>
      <c r="F433" s="194">
        <f t="shared" si="16"/>
        <v>107743</v>
      </c>
      <c r="G433" s="195">
        <f t="shared" si="20"/>
        <v>107908</v>
      </c>
      <c r="H433" s="202">
        <v>22221</v>
      </c>
      <c r="I433" s="233">
        <v>21001</v>
      </c>
      <c r="J433" s="202">
        <v>50679</v>
      </c>
      <c r="K433" s="192">
        <v>51898</v>
      </c>
      <c r="L433" s="203">
        <v>22490</v>
      </c>
      <c r="M433" s="110">
        <v>6066</v>
      </c>
      <c r="N433" s="110">
        <v>6230</v>
      </c>
      <c r="O433" s="192">
        <v>22872</v>
      </c>
      <c r="P433" s="233">
        <v>5333</v>
      </c>
      <c r="Q433" s="233">
        <v>6782</v>
      </c>
      <c r="R433" s="202">
        <v>57</v>
      </c>
      <c r="S433" s="233">
        <v>22</v>
      </c>
      <c r="T433" s="196">
        <f t="shared" si="17"/>
        <v>0</v>
      </c>
      <c r="U433" s="197">
        <f t="shared" si="21"/>
        <v>0</v>
      </c>
      <c r="V433" s="202">
        <v>0</v>
      </c>
      <c r="W433" s="237"/>
      <c r="X433" s="202">
        <v>0</v>
      </c>
      <c r="Y433" s="237"/>
      <c r="Z433" s="203">
        <v>0</v>
      </c>
      <c r="AA433" s="110">
        <v>0</v>
      </c>
      <c r="AB433" s="110">
        <v>0</v>
      </c>
      <c r="AC433" s="47"/>
      <c r="AD433" s="47"/>
      <c r="AE433" s="55"/>
      <c r="AF433" s="202">
        <v>0</v>
      </c>
      <c r="AG433" s="49"/>
    </row>
    <row r="434" spans="1:33" s="192" customFormat="1" ht="15" customHeight="1">
      <c r="A434" s="229" t="s">
        <v>412</v>
      </c>
      <c r="B434" s="230" t="s">
        <v>434</v>
      </c>
      <c r="C434" s="231"/>
      <c r="D434" s="232">
        <v>222062</v>
      </c>
      <c r="E434" s="232">
        <v>9</v>
      </c>
      <c r="F434" s="194">
        <f t="shared" si="16"/>
        <v>113277</v>
      </c>
      <c r="G434" s="195">
        <f t="shared" si="20"/>
        <v>111192</v>
      </c>
      <c r="H434" s="202">
        <v>46880</v>
      </c>
      <c r="I434" s="192">
        <v>45741</v>
      </c>
      <c r="J434" s="202">
        <v>39303</v>
      </c>
      <c r="K434" s="192">
        <v>39379</v>
      </c>
      <c r="L434" s="203">
        <v>18547</v>
      </c>
      <c r="M434" s="110">
        <v>6147</v>
      </c>
      <c r="N434" s="110">
        <v>2379</v>
      </c>
      <c r="O434" s="192">
        <v>18038</v>
      </c>
      <c r="P434" s="192">
        <v>6011</v>
      </c>
      <c r="Q434" s="233">
        <v>1998</v>
      </c>
      <c r="R434" s="202">
        <v>21</v>
      </c>
      <c r="S434" s="233">
        <v>25</v>
      </c>
      <c r="T434" s="196">
        <f t="shared" si="17"/>
        <v>0</v>
      </c>
      <c r="U434" s="197">
        <f t="shared" si="21"/>
        <v>0</v>
      </c>
      <c r="V434" s="202">
        <v>0</v>
      </c>
      <c r="W434" s="237"/>
      <c r="X434" s="202">
        <v>0</v>
      </c>
      <c r="Y434" s="237"/>
      <c r="Z434" s="203">
        <v>0</v>
      </c>
      <c r="AA434" s="110">
        <v>0</v>
      </c>
      <c r="AB434" s="110">
        <v>0</v>
      </c>
      <c r="AC434" s="47"/>
      <c r="AD434" s="47"/>
      <c r="AE434" s="55"/>
      <c r="AF434" s="202">
        <v>0</v>
      </c>
      <c r="AG434" s="49"/>
    </row>
    <row r="435" spans="1:33" s="222" customFormat="1" ht="15">
      <c r="A435" s="229" t="s">
        <v>412</v>
      </c>
      <c r="B435" s="230" t="s">
        <v>435</v>
      </c>
      <c r="C435" s="345" t="s">
        <v>863</v>
      </c>
      <c r="D435" s="232" t="s">
        <v>436</v>
      </c>
      <c r="E435" s="232">
        <v>12</v>
      </c>
      <c r="F435" s="194">
        <f t="shared" si="16"/>
        <v>0</v>
      </c>
      <c r="G435" s="195">
        <f t="shared" si="20"/>
        <v>0</v>
      </c>
      <c r="H435" s="202"/>
      <c r="I435" s="237"/>
      <c r="J435" s="202"/>
      <c r="K435" s="237"/>
      <c r="L435" s="203"/>
      <c r="M435" s="110"/>
      <c r="N435" s="110"/>
      <c r="O435" s="47"/>
      <c r="P435" s="47"/>
      <c r="Q435" s="55"/>
      <c r="R435" s="202"/>
      <c r="S435" s="46"/>
      <c r="T435" s="196">
        <f t="shared" si="17"/>
        <v>0</v>
      </c>
      <c r="U435" s="197">
        <f t="shared" si="21"/>
        <v>0</v>
      </c>
      <c r="V435" s="202"/>
      <c r="W435" s="237"/>
      <c r="X435" s="202"/>
      <c r="Y435" s="237"/>
      <c r="Z435" s="203"/>
      <c r="AA435" s="110"/>
      <c r="AB435" s="110"/>
      <c r="AC435" s="47"/>
      <c r="AD435" s="47"/>
      <c r="AE435" s="55"/>
      <c r="AF435" s="202"/>
      <c r="AG435" s="49"/>
    </row>
    <row r="436" spans="1:33" s="222" customFormat="1">
      <c r="A436" s="229" t="s">
        <v>412</v>
      </c>
      <c r="B436" s="230" t="s">
        <v>437</v>
      </c>
      <c r="C436" s="231"/>
      <c r="D436" s="232">
        <v>219596</v>
      </c>
      <c r="E436" s="232">
        <v>13</v>
      </c>
      <c r="F436" s="194">
        <f t="shared" si="16"/>
        <v>0</v>
      </c>
      <c r="G436" s="195">
        <f t="shared" si="20"/>
        <v>0</v>
      </c>
      <c r="H436" s="202"/>
      <c r="I436" s="237"/>
      <c r="J436" s="202"/>
      <c r="K436" s="237"/>
      <c r="L436" s="203"/>
      <c r="M436" s="110"/>
      <c r="N436" s="110"/>
      <c r="O436" s="47"/>
      <c r="P436" s="47"/>
      <c r="Q436" s="55"/>
      <c r="R436" s="202"/>
      <c r="S436" s="46"/>
      <c r="T436" s="196">
        <f t="shared" si="17"/>
        <v>0</v>
      </c>
      <c r="U436" s="197">
        <f t="shared" si="21"/>
        <v>0</v>
      </c>
      <c r="V436" s="202"/>
      <c r="W436" s="237"/>
      <c r="X436" s="202"/>
      <c r="Y436" s="237"/>
      <c r="Z436" s="203"/>
      <c r="AA436" s="110"/>
      <c r="AB436" s="110"/>
      <c r="AC436" s="47"/>
      <c r="AD436" s="47"/>
      <c r="AE436" s="55"/>
      <c r="AF436" s="202"/>
      <c r="AG436" s="49"/>
    </row>
    <row r="437" spans="1:33" s="222" customFormat="1">
      <c r="A437" s="229" t="s">
        <v>412</v>
      </c>
      <c r="B437" s="230" t="s">
        <v>438</v>
      </c>
      <c r="C437" s="231"/>
      <c r="D437" s="232">
        <v>219921</v>
      </c>
      <c r="E437" s="232">
        <v>13</v>
      </c>
      <c r="F437" s="194">
        <f t="shared" si="16"/>
        <v>0</v>
      </c>
      <c r="G437" s="195">
        <f t="shared" si="20"/>
        <v>0</v>
      </c>
      <c r="H437" s="202"/>
      <c r="I437" s="237"/>
      <c r="J437" s="202"/>
      <c r="K437" s="237"/>
      <c r="L437" s="203"/>
      <c r="M437" s="110"/>
      <c r="N437" s="110"/>
      <c r="O437" s="47"/>
      <c r="P437" s="47"/>
      <c r="Q437" s="55"/>
      <c r="R437" s="202"/>
      <c r="S437" s="46"/>
      <c r="T437" s="196">
        <f t="shared" si="17"/>
        <v>0</v>
      </c>
      <c r="U437" s="197">
        <f t="shared" si="21"/>
        <v>0</v>
      </c>
      <c r="V437" s="202"/>
      <c r="W437" s="237"/>
      <c r="X437" s="202"/>
      <c r="Y437" s="237"/>
      <c r="Z437" s="203"/>
      <c r="AA437" s="110"/>
      <c r="AB437" s="110"/>
      <c r="AC437" s="47"/>
      <c r="AD437" s="47"/>
      <c r="AE437" s="55"/>
      <c r="AF437" s="202"/>
      <c r="AG437" s="49"/>
    </row>
    <row r="438" spans="1:33" s="222" customFormat="1">
      <c r="A438" s="229" t="s">
        <v>412</v>
      </c>
      <c r="B438" s="230" t="s">
        <v>439</v>
      </c>
      <c r="C438" s="231"/>
      <c r="D438" s="232">
        <v>221591</v>
      </c>
      <c r="E438" s="232">
        <v>13</v>
      </c>
      <c r="F438" s="194">
        <f t="shared" si="16"/>
        <v>0</v>
      </c>
      <c r="G438" s="195">
        <f t="shared" si="20"/>
        <v>0</v>
      </c>
      <c r="H438" s="202"/>
      <c r="I438" s="237"/>
      <c r="J438" s="202"/>
      <c r="K438" s="237"/>
      <c r="L438" s="203"/>
      <c r="M438" s="110"/>
      <c r="N438" s="110"/>
      <c r="O438" s="47"/>
      <c r="P438" s="47"/>
      <c r="Q438" s="55"/>
      <c r="R438" s="202"/>
      <c r="S438" s="46"/>
      <c r="T438" s="196">
        <f t="shared" si="17"/>
        <v>0</v>
      </c>
      <c r="U438" s="197">
        <f t="shared" si="21"/>
        <v>0</v>
      </c>
      <c r="V438" s="202"/>
      <c r="W438" s="237"/>
      <c r="X438" s="202"/>
      <c r="Y438" s="237"/>
      <c r="Z438" s="203"/>
      <c r="AA438" s="110"/>
      <c r="AB438" s="110"/>
      <c r="AC438" s="47"/>
      <c r="AD438" s="47"/>
      <c r="AE438" s="55"/>
      <c r="AF438" s="202"/>
      <c r="AG438" s="49"/>
    </row>
    <row r="439" spans="1:33" s="222" customFormat="1">
      <c r="A439" s="229" t="s">
        <v>412</v>
      </c>
      <c r="B439" s="230" t="s">
        <v>440</v>
      </c>
      <c r="C439" s="231"/>
      <c r="D439" s="232">
        <v>221430</v>
      </c>
      <c r="E439" s="232">
        <v>13</v>
      </c>
      <c r="F439" s="194">
        <f t="shared" si="16"/>
        <v>0</v>
      </c>
      <c r="G439" s="195">
        <f t="shared" si="20"/>
        <v>0</v>
      </c>
      <c r="H439" s="202"/>
      <c r="I439" s="237"/>
      <c r="J439" s="202"/>
      <c r="K439" s="237"/>
      <c r="L439" s="203"/>
      <c r="M439" s="110"/>
      <c r="N439" s="110"/>
      <c r="O439" s="47"/>
      <c r="P439" s="47"/>
      <c r="Q439" s="55"/>
      <c r="R439" s="202"/>
      <c r="S439" s="46"/>
      <c r="T439" s="196">
        <f t="shared" si="17"/>
        <v>0</v>
      </c>
      <c r="U439" s="197">
        <f t="shared" si="21"/>
        <v>0</v>
      </c>
      <c r="V439" s="202"/>
      <c r="W439" s="237"/>
      <c r="X439" s="202"/>
      <c r="Y439" s="237"/>
      <c r="Z439" s="203"/>
      <c r="AA439" s="110"/>
      <c r="AB439" s="110"/>
      <c r="AC439" s="47"/>
      <c r="AD439" s="47"/>
      <c r="AE439" s="55"/>
      <c r="AF439" s="202"/>
      <c r="AG439" s="49"/>
    </row>
    <row r="440" spans="1:33" s="222" customFormat="1">
      <c r="A440" s="229" t="s">
        <v>412</v>
      </c>
      <c r="B440" s="230" t="s">
        <v>441</v>
      </c>
      <c r="C440" s="231"/>
      <c r="D440" s="232">
        <v>219994</v>
      </c>
      <c r="E440" s="232">
        <v>13</v>
      </c>
      <c r="F440" s="194">
        <f t="shared" si="16"/>
        <v>0</v>
      </c>
      <c r="G440" s="195">
        <f t="shared" si="20"/>
        <v>0</v>
      </c>
      <c r="H440" s="202"/>
      <c r="I440" s="237"/>
      <c r="J440" s="202"/>
      <c r="K440" s="237"/>
      <c r="L440" s="203"/>
      <c r="M440" s="110"/>
      <c r="N440" s="110"/>
      <c r="O440" s="47"/>
      <c r="P440" s="47"/>
      <c r="Q440" s="55"/>
      <c r="R440" s="202"/>
      <c r="S440" s="46"/>
      <c r="T440" s="196">
        <f t="shared" si="17"/>
        <v>0</v>
      </c>
      <c r="U440" s="197">
        <f t="shared" si="21"/>
        <v>0</v>
      </c>
      <c r="V440" s="202"/>
      <c r="W440" s="237"/>
      <c r="X440" s="202"/>
      <c r="Y440" s="237"/>
      <c r="Z440" s="203"/>
      <c r="AA440" s="110"/>
      <c r="AB440" s="110"/>
      <c r="AC440" s="47"/>
      <c r="AD440" s="47"/>
      <c r="AE440" s="55"/>
      <c r="AF440" s="202"/>
      <c r="AG440" s="49"/>
    </row>
    <row r="441" spans="1:33" s="222" customFormat="1">
      <c r="A441" s="229" t="s">
        <v>412</v>
      </c>
      <c r="B441" s="230" t="s">
        <v>442</v>
      </c>
      <c r="C441" s="231"/>
      <c r="D441" s="232">
        <v>220127</v>
      </c>
      <c r="E441" s="232">
        <v>13</v>
      </c>
      <c r="F441" s="194">
        <f t="shared" si="16"/>
        <v>0</v>
      </c>
      <c r="G441" s="195">
        <f t="shared" si="20"/>
        <v>0</v>
      </c>
      <c r="H441" s="202"/>
      <c r="I441" s="237"/>
      <c r="J441" s="202"/>
      <c r="K441" s="237"/>
      <c r="L441" s="203"/>
      <c r="M441" s="110"/>
      <c r="N441" s="110"/>
      <c r="O441" s="47"/>
      <c r="P441" s="47"/>
      <c r="Q441" s="55"/>
      <c r="R441" s="202"/>
      <c r="S441" s="46"/>
      <c r="T441" s="196">
        <f t="shared" si="17"/>
        <v>0</v>
      </c>
      <c r="U441" s="197">
        <f t="shared" si="21"/>
        <v>0</v>
      </c>
      <c r="V441" s="202"/>
      <c r="W441" s="237"/>
      <c r="X441" s="202"/>
      <c r="Y441" s="237"/>
      <c r="Z441" s="203"/>
      <c r="AA441" s="110"/>
      <c r="AB441" s="110"/>
      <c r="AC441" s="47"/>
      <c r="AD441" s="47"/>
      <c r="AE441" s="55"/>
      <c r="AF441" s="202"/>
      <c r="AG441" s="49"/>
    </row>
    <row r="442" spans="1:33" s="222" customFormat="1">
      <c r="A442" s="229" t="s">
        <v>412</v>
      </c>
      <c r="B442" s="230" t="s">
        <v>443</v>
      </c>
      <c r="C442" s="231"/>
      <c r="D442" s="232">
        <v>220251</v>
      </c>
      <c r="E442" s="232">
        <v>13</v>
      </c>
      <c r="F442" s="194">
        <f t="shared" si="16"/>
        <v>0</v>
      </c>
      <c r="G442" s="195">
        <f t="shared" si="20"/>
        <v>0</v>
      </c>
      <c r="H442" s="202"/>
      <c r="I442" s="237"/>
      <c r="J442" s="202"/>
      <c r="K442" s="237"/>
      <c r="L442" s="203"/>
      <c r="M442" s="110"/>
      <c r="N442" s="110"/>
      <c r="O442" s="47"/>
      <c r="P442" s="47"/>
      <c r="Q442" s="55"/>
      <c r="R442" s="202"/>
      <c r="S442" s="46"/>
      <c r="T442" s="196">
        <f t="shared" si="17"/>
        <v>0</v>
      </c>
      <c r="U442" s="197">
        <f t="shared" si="21"/>
        <v>0</v>
      </c>
      <c r="V442" s="202"/>
      <c r="W442" s="237"/>
      <c r="X442" s="202"/>
      <c r="Y442" s="237"/>
      <c r="Z442" s="203"/>
      <c r="AA442" s="110"/>
      <c r="AB442" s="110"/>
      <c r="AC442" s="47"/>
      <c r="AD442" s="47"/>
      <c r="AE442" s="55"/>
      <c r="AF442" s="202"/>
      <c r="AG442" s="49"/>
    </row>
    <row r="443" spans="1:33" s="222" customFormat="1">
      <c r="A443" s="229" t="s">
        <v>412</v>
      </c>
      <c r="B443" s="230" t="s">
        <v>444</v>
      </c>
      <c r="C443" s="231"/>
      <c r="D443" s="232">
        <v>220279</v>
      </c>
      <c r="E443" s="232">
        <v>13</v>
      </c>
      <c r="F443" s="194">
        <f t="shared" si="16"/>
        <v>0</v>
      </c>
      <c r="G443" s="195">
        <f t="shared" si="20"/>
        <v>0</v>
      </c>
      <c r="H443" s="202"/>
      <c r="I443" s="237"/>
      <c r="J443" s="202"/>
      <c r="K443" s="237"/>
      <c r="L443" s="203"/>
      <c r="M443" s="110"/>
      <c r="N443" s="110"/>
      <c r="O443" s="47"/>
      <c r="P443" s="47"/>
      <c r="Q443" s="55"/>
      <c r="R443" s="202"/>
      <c r="S443" s="46"/>
      <c r="T443" s="196">
        <f t="shared" si="17"/>
        <v>0</v>
      </c>
      <c r="U443" s="197">
        <f t="shared" si="21"/>
        <v>0</v>
      </c>
      <c r="V443" s="202"/>
      <c r="W443" s="237"/>
      <c r="X443" s="202"/>
      <c r="Y443" s="237"/>
      <c r="Z443" s="203"/>
      <c r="AA443" s="110"/>
      <c r="AB443" s="110"/>
      <c r="AC443" s="47"/>
      <c r="AD443" s="47"/>
      <c r="AE443" s="55"/>
      <c r="AF443" s="202"/>
      <c r="AG443" s="49"/>
    </row>
    <row r="444" spans="1:33" s="222" customFormat="1">
      <c r="A444" s="229" t="s">
        <v>412</v>
      </c>
      <c r="B444" s="230" t="s">
        <v>445</v>
      </c>
      <c r="C444" s="231"/>
      <c r="D444" s="232">
        <v>220321</v>
      </c>
      <c r="E444" s="232">
        <v>13</v>
      </c>
      <c r="F444" s="194">
        <f t="shared" si="16"/>
        <v>0</v>
      </c>
      <c r="G444" s="195">
        <f t="shared" si="20"/>
        <v>0</v>
      </c>
      <c r="H444" s="202"/>
      <c r="I444" s="237"/>
      <c r="J444" s="202"/>
      <c r="K444" s="237"/>
      <c r="L444" s="203"/>
      <c r="M444" s="110"/>
      <c r="N444" s="110"/>
      <c r="O444" s="47"/>
      <c r="P444" s="47"/>
      <c r="Q444" s="55"/>
      <c r="R444" s="202"/>
      <c r="S444" s="46"/>
      <c r="T444" s="196">
        <f t="shared" si="17"/>
        <v>0</v>
      </c>
      <c r="U444" s="197">
        <f t="shared" si="21"/>
        <v>0</v>
      </c>
      <c r="V444" s="202"/>
      <c r="W444" s="237"/>
      <c r="X444" s="202"/>
      <c r="Y444" s="237"/>
      <c r="Z444" s="203"/>
      <c r="AA444" s="110"/>
      <c r="AB444" s="110"/>
      <c r="AC444" s="47"/>
      <c r="AD444" s="47"/>
      <c r="AE444" s="55"/>
      <c r="AF444" s="202"/>
      <c r="AG444" s="49"/>
    </row>
    <row r="445" spans="1:33" s="222" customFormat="1">
      <c r="A445" s="229" t="s">
        <v>412</v>
      </c>
      <c r="B445" s="230" t="s">
        <v>446</v>
      </c>
      <c r="C445" s="231"/>
      <c r="D445" s="232">
        <v>220394</v>
      </c>
      <c r="E445" s="232">
        <v>13</v>
      </c>
      <c r="F445" s="194">
        <f t="shared" si="16"/>
        <v>0</v>
      </c>
      <c r="G445" s="195">
        <f t="shared" si="20"/>
        <v>0</v>
      </c>
      <c r="H445" s="202"/>
      <c r="I445" s="237"/>
      <c r="J445" s="202"/>
      <c r="K445" s="237"/>
      <c r="L445" s="203"/>
      <c r="M445" s="110"/>
      <c r="N445" s="110"/>
      <c r="O445" s="47"/>
      <c r="P445" s="47"/>
      <c r="Q445" s="55"/>
      <c r="R445" s="202"/>
      <c r="S445" s="46"/>
      <c r="T445" s="196">
        <f t="shared" si="17"/>
        <v>0</v>
      </c>
      <c r="U445" s="197">
        <f t="shared" si="21"/>
        <v>0</v>
      </c>
      <c r="V445" s="202"/>
      <c r="W445" s="237"/>
      <c r="X445" s="202"/>
      <c r="Y445" s="237"/>
      <c r="Z445" s="203"/>
      <c r="AA445" s="110"/>
      <c r="AB445" s="110"/>
      <c r="AC445" s="47"/>
      <c r="AD445" s="47"/>
      <c r="AE445" s="55"/>
      <c r="AF445" s="202"/>
      <c r="AG445" s="49"/>
    </row>
    <row r="446" spans="1:33" s="222" customFormat="1">
      <c r="A446" s="229" t="s">
        <v>412</v>
      </c>
      <c r="B446" s="230" t="s">
        <v>447</v>
      </c>
      <c r="C446" s="231"/>
      <c r="D446" s="232">
        <v>221616</v>
      </c>
      <c r="E446" s="232">
        <v>13</v>
      </c>
      <c r="F446" s="194">
        <f t="shared" si="16"/>
        <v>0</v>
      </c>
      <c r="G446" s="195">
        <f t="shared" si="20"/>
        <v>0</v>
      </c>
      <c r="H446" s="202"/>
      <c r="I446" s="237"/>
      <c r="J446" s="202"/>
      <c r="K446" s="237"/>
      <c r="L446" s="203"/>
      <c r="M446" s="110"/>
      <c r="N446" s="110"/>
      <c r="O446" s="47"/>
      <c r="P446" s="47"/>
      <c r="Q446" s="55"/>
      <c r="R446" s="202"/>
      <c r="S446" s="46"/>
      <c r="T446" s="196">
        <f t="shared" si="17"/>
        <v>0</v>
      </c>
      <c r="U446" s="197">
        <f t="shared" si="21"/>
        <v>0</v>
      </c>
      <c r="V446" s="202"/>
      <c r="W446" s="237"/>
      <c r="X446" s="202"/>
      <c r="Y446" s="237"/>
      <c r="Z446" s="203"/>
      <c r="AA446" s="110"/>
      <c r="AB446" s="110"/>
      <c r="AC446" s="47"/>
      <c r="AD446" s="47"/>
      <c r="AE446" s="55"/>
      <c r="AF446" s="202"/>
      <c r="AG446" s="49"/>
    </row>
    <row r="447" spans="1:33" s="222" customFormat="1">
      <c r="A447" s="229" t="s">
        <v>412</v>
      </c>
      <c r="B447" s="230" t="s">
        <v>448</v>
      </c>
      <c r="C447" s="231"/>
      <c r="D447" s="232">
        <v>221625</v>
      </c>
      <c r="E447" s="232">
        <v>13</v>
      </c>
      <c r="F447" s="194">
        <f t="shared" si="16"/>
        <v>0</v>
      </c>
      <c r="G447" s="195">
        <f t="shared" si="20"/>
        <v>0</v>
      </c>
      <c r="H447" s="202"/>
      <c r="I447" s="237"/>
      <c r="J447" s="202"/>
      <c r="K447" s="237"/>
      <c r="L447" s="203"/>
      <c r="M447" s="110"/>
      <c r="N447" s="110"/>
      <c r="O447" s="47"/>
      <c r="P447" s="47"/>
      <c r="Q447" s="55"/>
      <c r="R447" s="202"/>
      <c r="S447" s="46"/>
      <c r="T447" s="196">
        <f t="shared" si="17"/>
        <v>0</v>
      </c>
      <c r="U447" s="197">
        <f t="shared" si="21"/>
        <v>0</v>
      </c>
      <c r="V447" s="202"/>
      <c r="W447" s="237"/>
      <c r="X447" s="202"/>
      <c r="Y447" s="237"/>
      <c r="Z447" s="203"/>
      <c r="AA447" s="110"/>
      <c r="AB447" s="110"/>
      <c r="AC447" s="47"/>
      <c r="AD447" s="47"/>
      <c r="AE447" s="55"/>
      <c r="AF447" s="202"/>
      <c r="AG447" s="49"/>
    </row>
    <row r="448" spans="1:33" s="222" customFormat="1">
      <c r="A448" s="229" t="s">
        <v>412</v>
      </c>
      <c r="B448" s="230" t="s">
        <v>449</v>
      </c>
      <c r="C448" s="231"/>
      <c r="D448" s="232">
        <v>220640</v>
      </c>
      <c r="E448" s="232">
        <v>13</v>
      </c>
      <c r="F448" s="194">
        <f t="shared" si="16"/>
        <v>0</v>
      </c>
      <c r="G448" s="195">
        <f t="shared" si="20"/>
        <v>0</v>
      </c>
      <c r="H448" s="202"/>
      <c r="I448" s="237"/>
      <c r="J448" s="202"/>
      <c r="K448" s="237"/>
      <c r="L448" s="203"/>
      <c r="M448" s="110"/>
      <c r="N448" s="110"/>
      <c r="O448" s="47"/>
      <c r="P448" s="47"/>
      <c r="Q448" s="55"/>
      <c r="R448" s="202"/>
      <c r="S448" s="46"/>
      <c r="T448" s="196">
        <f t="shared" si="17"/>
        <v>0</v>
      </c>
      <c r="U448" s="197">
        <f t="shared" si="21"/>
        <v>0</v>
      </c>
      <c r="V448" s="202"/>
      <c r="W448" s="237"/>
      <c r="X448" s="202"/>
      <c r="Y448" s="237"/>
      <c r="Z448" s="203"/>
      <c r="AA448" s="110"/>
      <c r="AB448" s="110"/>
      <c r="AC448" s="47"/>
      <c r="AD448" s="47"/>
      <c r="AE448" s="55"/>
      <c r="AF448" s="202"/>
      <c r="AG448" s="49"/>
    </row>
    <row r="449" spans="1:33" s="222" customFormat="1">
      <c r="A449" s="229" t="s">
        <v>412</v>
      </c>
      <c r="B449" s="230" t="s">
        <v>450</v>
      </c>
      <c r="C449" s="231"/>
      <c r="D449" s="232">
        <v>220756</v>
      </c>
      <c r="E449" s="232">
        <v>13</v>
      </c>
      <c r="F449" s="194">
        <f t="shared" si="16"/>
        <v>0</v>
      </c>
      <c r="G449" s="195">
        <f t="shared" si="20"/>
        <v>0</v>
      </c>
      <c r="H449" s="202"/>
      <c r="I449" s="237"/>
      <c r="J449" s="202"/>
      <c r="K449" s="237"/>
      <c r="L449" s="203"/>
      <c r="M449" s="110"/>
      <c r="N449" s="110"/>
      <c r="O449" s="47"/>
      <c r="P449" s="47"/>
      <c r="Q449" s="55"/>
      <c r="R449" s="202"/>
      <c r="S449" s="46"/>
      <c r="T449" s="196">
        <f t="shared" si="17"/>
        <v>0</v>
      </c>
      <c r="U449" s="197">
        <f t="shared" si="21"/>
        <v>0</v>
      </c>
      <c r="V449" s="202"/>
      <c r="W449" s="237"/>
      <c r="X449" s="202"/>
      <c r="Y449" s="237"/>
      <c r="Z449" s="203"/>
      <c r="AA449" s="110"/>
      <c r="AB449" s="110"/>
      <c r="AC449" s="47"/>
      <c r="AD449" s="47"/>
      <c r="AE449" s="55"/>
      <c r="AF449" s="202"/>
      <c r="AG449" s="49"/>
    </row>
    <row r="450" spans="1:33" s="222" customFormat="1">
      <c r="A450" s="229" t="s">
        <v>412</v>
      </c>
      <c r="B450" s="230" t="s">
        <v>451</v>
      </c>
      <c r="C450" s="231"/>
      <c r="D450" s="232">
        <v>221607</v>
      </c>
      <c r="E450" s="232">
        <v>13</v>
      </c>
      <c r="F450" s="194">
        <f t="shared" si="16"/>
        <v>0</v>
      </c>
      <c r="G450" s="195">
        <f t="shared" si="20"/>
        <v>0</v>
      </c>
      <c r="H450" s="202"/>
      <c r="I450" s="237"/>
      <c r="J450" s="202"/>
      <c r="K450" s="237"/>
      <c r="L450" s="203"/>
      <c r="M450" s="110"/>
      <c r="N450" s="110"/>
      <c r="O450" s="47"/>
      <c r="P450" s="47"/>
      <c r="Q450" s="55"/>
      <c r="R450" s="202"/>
      <c r="S450" s="46"/>
      <c r="T450" s="196">
        <f t="shared" si="17"/>
        <v>0</v>
      </c>
      <c r="U450" s="197">
        <f t="shared" si="21"/>
        <v>0</v>
      </c>
      <c r="V450" s="202"/>
      <c r="W450" s="237"/>
      <c r="X450" s="202"/>
      <c r="Y450" s="237"/>
      <c r="Z450" s="203"/>
      <c r="AA450" s="110"/>
      <c r="AB450" s="110"/>
      <c r="AC450" s="47"/>
      <c r="AD450" s="47"/>
      <c r="AE450" s="55"/>
      <c r="AF450" s="202"/>
      <c r="AG450" s="49"/>
    </row>
    <row r="451" spans="1:33" s="222" customFormat="1">
      <c r="A451" s="229" t="s">
        <v>412</v>
      </c>
      <c r="B451" s="230" t="s">
        <v>452</v>
      </c>
      <c r="C451" s="231"/>
      <c r="D451" s="232">
        <v>220853</v>
      </c>
      <c r="E451" s="232">
        <v>13</v>
      </c>
      <c r="F451" s="194">
        <f t="shared" si="16"/>
        <v>0</v>
      </c>
      <c r="G451" s="195">
        <f t="shared" si="20"/>
        <v>0</v>
      </c>
      <c r="H451" s="202"/>
      <c r="I451" s="237"/>
      <c r="J451" s="202"/>
      <c r="K451" s="237"/>
      <c r="L451" s="203"/>
      <c r="M451" s="110"/>
      <c r="N451" s="110"/>
      <c r="O451" s="47"/>
      <c r="P451" s="47"/>
      <c r="Q451" s="55"/>
      <c r="R451" s="202"/>
      <c r="S451" s="46"/>
      <c r="T451" s="196">
        <f t="shared" si="17"/>
        <v>0</v>
      </c>
      <c r="U451" s="197">
        <f t="shared" si="21"/>
        <v>0</v>
      </c>
      <c r="V451" s="202"/>
      <c r="W451" s="237"/>
      <c r="X451" s="202"/>
      <c r="Y451" s="237"/>
      <c r="Z451" s="203"/>
      <c r="AA451" s="110"/>
      <c r="AB451" s="110"/>
      <c r="AC451" s="47"/>
      <c r="AD451" s="47"/>
      <c r="AE451" s="55"/>
      <c r="AF451" s="202"/>
      <c r="AG451" s="49"/>
    </row>
    <row r="452" spans="1:33" s="222" customFormat="1">
      <c r="A452" s="229" t="s">
        <v>412</v>
      </c>
      <c r="B452" s="230" t="s">
        <v>453</v>
      </c>
      <c r="C452" s="231"/>
      <c r="D452" s="232">
        <v>221050</v>
      </c>
      <c r="E452" s="232">
        <v>13</v>
      </c>
      <c r="F452" s="194">
        <f t="shared" si="16"/>
        <v>0</v>
      </c>
      <c r="G452" s="195">
        <f t="shared" si="20"/>
        <v>0</v>
      </c>
      <c r="H452" s="202"/>
      <c r="I452" s="237"/>
      <c r="J452" s="202"/>
      <c r="K452" s="237"/>
      <c r="L452" s="203"/>
      <c r="M452" s="110"/>
      <c r="N452" s="110"/>
      <c r="O452" s="47"/>
      <c r="P452" s="47"/>
      <c r="Q452" s="55"/>
      <c r="R452" s="202"/>
      <c r="S452" s="46"/>
      <c r="T452" s="196">
        <f t="shared" si="17"/>
        <v>0</v>
      </c>
      <c r="U452" s="197">
        <f t="shared" si="21"/>
        <v>0</v>
      </c>
      <c r="V452" s="202"/>
      <c r="W452" s="237"/>
      <c r="X452" s="202"/>
      <c r="Y452" s="237"/>
      <c r="Z452" s="203"/>
      <c r="AA452" s="110"/>
      <c r="AB452" s="110"/>
      <c r="AC452" s="47"/>
      <c r="AD452" s="47"/>
      <c r="AE452" s="55"/>
      <c r="AF452" s="202"/>
      <c r="AG452" s="49"/>
    </row>
    <row r="453" spans="1:33" s="222" customFormat="1">
      <c r="A453" s="238" t="s">
        <v>412</v>
      </c>
      <c r="B453" s="230" t="s">
        <v>454</v>
      </c>
      <c r="C453" s="231"/>
      <c r="D453" s="232">
        <v>221102</v>
      </c>
      <c r="E453" s="232">
        <v>13</v>
      </c>
      <c r="F453" s="194">
        <f t="shared" si="16"/>
        <v>0</v>
      </c>
      <c r="G453" s="195">
        <f t="shared" si="20"/>
        <v>0</v>
      </c>
      <c r="H453" s="202"/>
      <c r="I453" s="237"/>
      <c r="J453" s="202"/>
      <c r="K453" s="237"/>
      <c r="L453" s="203"/>
      <c r="M453" s="110"/>
      <c r="N453" s="110"/>
      <c r="O453" s="47"/>
      <c r="P453" s="47"/>
      <c r="Q453" s="55"/>
      <c r="R453" s="202"/>
      <c r="S453" s="46"/>
      <c r="T453" s="196">
        <f t="shared" si="17"/>
        <v>0</v>
      </c>
      <c r="U453" s="197">
        <f t="shared" si="21"/>
        <v>0</v>
      </c>
      <c r="V453" s="202"/>
      <c r="W453" s="237"/>
      <c r="X453" s="202"/>
      <c r="Y453" s="237"/>
      <c r="Z453" s="203"/>
      <c r="AA453" s="110"/>
      <c r="AB453" s="110"/>
      <c r="AC453" s="47"/>
      <c r="AD453" s="47"/>
      <c r="AE453" s="55"/>
      <c r="AF453" s="202"/>
      <c r="AG453" s="49"/>
    </row>
    <row r="454" spans="1:33" s="222" customFormat="1">
      <c r="A454" s="238" t="s">
        <v>412</v>
      </c>
      <c r="B454" s="230" t="s">
        <v>455</v>
      </c>
      <c r="C454" s="231"/>
      <c r="D454" s="232">
        <v>248925</v>
      </c>
      <c r="E454" s="232">
        <v>13</v>
      </c>
      <c r="F454" s="194">
        <f t="shared" si="16"/>
        <v>0</v>
      </c>
      <c r="G454" s="195">
        <f t="shared" si="20"/>
        <v>0</v>
      </c>
      <c r="H454" s="202"/>
      <c r="I454" s="237"/>
      <c r="J454" s="202"/>
      <c r="K454" s="237"/>
      <c r="L454" s="203"/>
      <c r="M454" s="110"/>
      <c r="N454" s="110"/>
      <c r="O454" s="47"/>
      <c r="P454" s="47"/>
      <c r="Q454" s="55"/>
      <c r="R454" s="202"/>
      <c r="S454" s="46"/>
      <c r="T454" s="196">
        <f t="shared" si="17"/>
        <v>0</v>
      </c>
      <c r="U454" s="197">
        <f t="shared" si="21"/>
        <v>0</v>
      </c>
      <c r="V454" s="202"/>
      <c r="W454" s="237"/>
      <c r="X454" s="202"/>
      <c r="Y454" s="237"/>
      <c r="Z454" s="203"/>
      <c r="AA454" s="110"/>
      <c r="AB454" s="110"/>
      <c r="AC454" s="47"/>
      <c r="AD454" s="47"/>
      <c r="AE454" s="55"/>
      <c r="AF454" s="202"/>
      <c r="AG454" s="49"/>
    </row>
    <row r="455" spans="1:33" s="222" customFormat="1">
      <c r="A455" s="238" t="s">
        <v>412</v>
      </c>
      <c r="B455" s="230" t="s">
        <v>456</v>
      </c>
      <c r="C455" s="231"/>
      <c r="D455" s="232">
        <v>221236</v>
      </c>
      <c r="E455" s="232">
        <v>13</v>
      </c>
      <c r="F455" s="194">
        <f t="shared" si="16"/>
        <v>0</v>
      </c>
      <c r="G455" s="195">
        <f t="shared" si="20"/>
        <v>0</v>
      </c>
      <c r="H455" s="202"/>
      <c r="I455" s="237"/>
      <c r="J455" s="202"/>
      <c r="K455" s="237"/>
      <c r="L455" s="203"/>
      <c r="M455" s="110"/>
      <c r="N455" s="110"/>
      <c r="O455" s="47"/>
      <c r="P455" s="47"/>
      <c r="Q455" s="55"/>
      <c r="R455" s="202"/>
      <c r="S455" s="46"/>
      <c r="T455" s="196">
        <f t="shared" si="17"/>
        <v>0</v>
      </c>
      <c r="U455" s="197">
        <f t="shared" si="21"/>
        <v>0</v>
      </c>
      <c r="V455" s="202"/>
      <c r="W455" s="237"/>
      <c r="X455" s="202"/>
      <c r="Y455" s="237"/>
      <c r="Z455" s="203"/>
      <c r="AA455" s="110"/>
      <c r="AB455" s="110"/>
      <c r="AC455" s="47"/>
      <c r="AD455" s="47"/>
      <c r="AE455" s="55"/>
      <c r="AF455" s="202"/>
      <c r="AG455" s="49"/>
    </row>
    <row r="456" spans="1:33" s="222" customFormat="1">
      <c r="A456" s="238" t="s">
        <v>412</v>
      </c>
      <c r="B456" s="230" t="s">
        <v>457</v>
      </c>
      <c r="C456" s="231"/>
      <c r="D456" s="232">
        <v>221582</v>
      </c>
      <c r="E456" s="232">
        <v>13</v>
      </c>
      <c r="F456" s="194">
        <f t="shared" si="16"/>
        <v>0</v>
      </c>
      <c r="G456" s="195">
        <f t="shared" si="20"/>
        <v>0</v>
      </c>
      <c r="H456" s="202"/>
      <c r="I456" s="237"/>
      <c r="J456" s="202"/>
      <c r="K456" s="237"/>
      <c r="L456" s="203"/>
      <c r="M456" s="110"/>
      <c r="N456" s="110"/>
      <c r="O456" s="47"/>
      <c r="P456" s="47"/>
      <c r="Q456" s="55"/>
      <c r="R456" s="202"/>
      <c r="S456" s="46"/>
      <c r="T456" s="196">
        <f t="shared" si="17"/>
        <v>0</v>
      </c>
      <c r="U456" s="197">
        <f t="shared" si="21"/>
        <v>0</v>
      </c>
      <c r="V456" s="202"/>
      <c r="W456" s="237"/>
      <c r="X456" s="202"/>
      <c r="Y456" s="237"/>
      <c r="Z456" s="203"/>
      <c r="AA456" s="110"/>
      <c r="AB456" s="110"/>
      <c r="AC456" s="47"/>
      <c r="AD456" s="47"/>
      <c r="AE456" s="55"/>
      <c r="AF456" s="202"/>
      <c r="AG456" s="49"/>
    </row>
    <row r="457" spans="1:33" s="222" customFormat="1">
      <c r="A457" s="238" t="s">
        <v>412</v>
      </c>
      <c r="B457" s="230" t="s">
        <v>458</v>
      </c>
      <c r="C457" s="231"/>
      <c r="D457" s="232">
        <v>221281</v>
      </c>
      <c r="E457" s="232">
        <v>13</v>
      </c>
      <c r="F457" s="194">
        <f t="shared" si="16"/>
        <v>0</v>
      </c>
      <c r="G457" s="195">
        <f t="shared" si="20"/>
        <v>0</v>
      </c>
      <c r="H457" s="202"/>
      <c r="I457" s="237"/>
      <c r="J457" s="202"/>
      <c r="K457" s="237"/>
      <c r="L457" s="203"/>
      <c r="M457" s="110"/>
      <c r="N457" s="110"/>
      <c r="O457" s="47"/>
      <c r="P457" s="47"/>
      <c r="Q457" s="55"/>
      <c r="R457" s="202"/>
      <c r="S457" s="46"/>
      <c r="T457" s="196">
        <f t="shared" si="17"/>
        <v>0</v>
      </c>
      <c r="U457" s="197">
        <f t="shared" si="21"/>
        <v>0</v>
      </c>
      <c r="V457" s="202"/>
      <c r="W457" s="237"/>
      <c r="X457" s="202"/>
      <c r="Y457" s="237"/>
      <c r="Z457" s="203"/>
      <c r="AA457" s="110"/>
      <c r="AB457" s="110"/>
      <c r="AC457" s="47"/>
      <c r="AD457" s="47"/>
      <c r="AE457" s="55"/>
      <c r="AF457" s="202"/>
      <c r="AG457" s="49"/>
    </row>
    <row r="458" spans="1:33" s="222" customFormat="1">
      <c r="A458" s="238" t="s">
        <v>412</v>
      </c>
      <c r="B458" s="230" t="s">
        <v>459</v>
      </c>
      <c r="C458" s="231"/>
      <c r="D458" s="232">
        <v>221333</v>
      </c>
      <c r="E458" s="232">
        <v>13</v>
      </c>
      <c r="F458" s="194">
        <f t="shared" si="16"/>
        <v>0</v>
      </c>
      <c r="G458" s="195">
        <f t="shared" si="20"/>
        <v>0</v>
      </c>
      <c r="H458" s="202"/>
      <c r="I458" s="237"/>
      <c r="J458" s="202"/>
      <c r="K458" s="237"/>
      <c r="L458" s="203"/>
      <c r="M458" s="110"/>
      <c r="N458" s="110"/>
      <c r="O458" s="47"/>
      <c r="P458" s="47"/>
      <c r="Q458" s="55"/>
      <c r="R458" s="202"/>
      <c r="S458" s="46"/>
      <c r="T458" s="196">
        <f t="shared" si="17"/>
        <v>0</v>
      </c>
      <c r="U458" s="197">
        <f t="shared" si="21"/>
        <v>0</v>
      </c>
      <c r="V458" s="202"/>
      <c r="W458" s="237"/>
      <c r="X458" s="202"/>
      <c r="Y458" s="237"/>
      <c r="Z458" s="203"/>
      <c r="AA458" s="110"/>
      <c r="AB458" s="110"/>
      <c r="AC458" s="47"/>
      <c r="AD458" s="47"/>
      <c r="AE458" s="55"/>
      <c r="AF458" s="202"/>
      <c r="AG458" s="49"/>
    </row>
    <row r="459" spans="1:33" s="222" customFormat="1">
      <c r="A459" s="238" t="s">
        <v>412</v>
      </c>
      <c r="B459" s="230" t="s">
        <v>460</v>
      </c>
      <c r="C459" s="231"/>
      <c r="D459" s="232">
        <v>221388</v>
      </c>
      <c r="E459" s="232">
        <v>13</v>
      </c>
      <c r="F459" s="194">
        <f t="shared" si="16"/>
        <v>0</v>
      </c>
      <c r="G459" s="195">
        <f t="shared" si="20"/>
        <v>0</v>
      </c>
      <c r="H459" s="202"/>
      <c r="I459" s="237"/>
      <c r="J459" s="202"/>
      <c r="K459" s="237"/>
      <c r="L459" s="203"/>
      <c r="M459" s="110"/>
      <c r="N459" s="110"/>
      <c r="O459" s="47"/>
      <c r="P459" s="47"/>
      <c r="Q459" s="55"/>
      <c r="R459" s="202"/>
      <c r="S459" s="46"/>
      <c r="T459" s="196">
        <f t="shared" si="17"/>
        <v>0</v>
      </c>
      <c r="U459" s="197">
        <f t="shared" si="21"/>
        <v>0</v>
      </c>
      <c r="V459" s="202"/>
      <c r="W459" s="237"/>
      <c r="X459" s="202"/>
      <c r="Y459" s="237"/>
      <c r="Z459" s="203"/>
      <c r="AA459" s="110"/>
      <c r="AB459" s="110"/>
      <c r="AC459" s="47"/>
      <c r="AD459" s="47"/>
      <c r="AE459" s="55"/>
      <c r="AF459" s="202"/>
      <c r="AG459" s="49"/>
    </row>
    <row r="460" spans="1:33" s="222" customFormat="1">
      <c r="A460" s="238" t="s">
        <v>412</v>
      </c>
      <c r="B460" s="230" t="s">
        <v>461</v>
      </c>
      <c r="C460" s="231"/>
      <c r="D460" s="232">
        <v>221494</v>
      </c>
      <c r="E460" s="232">
        <v>13</v>
      </c>
      <c r="F460" s="194">
        <f t="shared" si="16"/>
        <v>0</v>
      </c>
      <c r="G460" s="195">
        <f t="shared" si="20"/>
        <v>0</v>
      </c>
      <c r="H460" s="202"/>
      <c r="I460" s="237"/>
      <c r="J460" s="202"/>
      <c r="K460" s="237"/>
      <c r="L460" s="203"/>
      <c r="M460" s="110"/>
      <c r="N460" s="110"/>
      <c r="O460" s="47"/>
      <c r="P460" s="47"/>
      <c r="Q460" s="55"/>
      <c r="R460" s="202"/>
      <c r="S460" s="46"/>
      <c r="T460" s="196">
        <f t="shared" si="17"/>
        <v>0</v>
      </c>
      <c r="U460" s="197">
        <f t="shared" si="21"/>
        <v>0</v>
      </c>
      <c r="V460" s="202"/>
      <c r="W460" s="237"/>
      <c r="X460" s="202"/>
      <c r="Y460" s="237"/>
      <c r="Z460" s="203"/>
      <c r="AA460" s="110"/>
      <c r="AB460" s="110"/>
      <c r="AC460" s="47"/>
      <c r="AD460" s="47"/>
      <c r="AE460" s="55"/>
      <c r="AF460" s="202"/>
      <c r="AG460" s="49"/>
    </row>
    <row r="461" spans="1:33" s="222" customFormat="1">
      <c r="A461" s="238" t="s">
        <v>412</v>
      </c>
      <c r="B461" s="230" t="s">
        <v>462</v>
      </c>
      <c r="C461" s="231"/>
      <c r="D461" s="232">
        <v>221634</v>
      </c>
      <c r="E461" s="232">
        <v>13</v>
      </c>
      <c r="F461" s="194">
        <f t="shared" si="16"/>
        <v>0</v>
      </c>
      <c r="G461" s="195">
        <f t="shared" si="20"/>
        <v>0</v>
      </c>
      <c r="H461" s="202"/>
      <c r="I461" s="237"/>
      <c r="J461" s="202"/>
      <c r="K461" s="237"/>
      <c r="L461" s="203"/>
      <c r="M461" s="110"/>
      <c r="N461" s="110"/>
      <c r="O461" s="47"/>
      <c r="P461" s="47"/>
      <c r="Q461" s="55"/>
      <c r="R461" s="202"/>
      <c r="S461" s="46"/>
      <c r="T461" s="196">
        <f t="shared" si="17"/>
        <v>0</v>
      </c>
      <c r="U461" s="197">
        <f t="shared" si="21"/>
        <v>0</v>
      </c>
      <c r="V461" s="202"/>
      <c r="W461" s="237"/>
      <c r="X461" s="202"/>
      <c r="Y461" s="237"/>
      <c r="Z461" s="203"/>
      <c r="AA461" s="110"/>
      <c r="AB461" s="110"/>
      <c r="AC461" s="47"/>
      <c r="AD461" s="47"/>
      <c r="AE461" s="55"/>
      <c r="AF461" s="202"/>
      <c r="AG461" s="49"/>
    </row>
    <row r="462" spans="1:33" s="192" customFormat="1" ht="13.5" customHeight="1">
      <c r="A462" s="183" t="s">
        <v>646</v>
      </c>
      <c r="B462" s="270" t="s">
        <v>647</v>
      </c>
      <c r="C462" s="12"/>
      <c r="D462" s="18">
        <v>228723</v>
      </c>
      <c r="E462" s="18">
        <v>1</v>
      </c>
      <c r="F462" s="194">
        <f t="shared" si="16"/>
        <v>1226554</v>
      </c>
      <c r="G462" s="195">
        <f t="shared" si="20"/>
        <v>1278325</v>
      </c>
      <c r="H462" s="202">
        <v>1102959</v>
      </c>
      <c r="I462" s="15">
        <v>1131001</v>
      </c>
      <c r="J462" s="202">
        <v>7401</v>
      </c>
      <c r="K462" s="14">
        <v>9532</v>
      </c>
      <c r="L462" s="203">
        <v>102512</v>
      </c>
      <c r="M462" s="110">
        <v>0</v>
      </c>
      <c r="N462" s="110">
        <v>13682</v>
      </c>
      <c r="O462" s="13">
        <v>128122</v>
      </c>
      <c r="P462" s="271">
        <v>0</v>
      </c>
      <c r="Q462" s="14">
        <v>9670</v>
      </c>
      <c r="R462" s="202"/>
      <c r="S462" s="46"/>
      <c r="T462" s="196">
        <f t="shared" si="17"/>
        <v>221291</v>
      </c>
      <c r="U462" s="197">
        <f t="shared" si="21"/>
        <v>226409</v>
      </c>
      <c r="V462" s="202">
        <v>188208</v>
      </c>
      <c r="W462" s="15">
        <v>189796</v>
      </c>
      <c r="X462" s="202">
        <v>5507</v>
      </c>
      <c r="Y462" s="189">
        <v>5427</v>
      </c>
      <c r="Z462" s="203">
        <v>23194</v>
      </c>
      <c r="AA462" s="110">
        <v>52</v>
      </c>
      <c r="AB462" s="110">
        <v>4330</v>
      </c>
      <c r="AC462" s="13">
        <v>27111</v>
      </c>
      <c r="AD462" s="272">
        <v>33</v>
      </c>
      <c r="AE462" s="14">
        <v>4042</v>
      </c>
      <c r="AF462" s="202"/>
      <c r="AG462" s="49"/>
    </row>
    <row r="463" spans="1:33" s="222" customFormat="1">
      <c r="A463" s="183" t="s">
        <v>646</v>
      </c>
      <c r="B463" s="20" t="s">
        <v>648</v>
      </c>
      <c r="C463" s="12"/>
      <c r="D463" s="18">
        <v>229115</v>
      </c>
      <c r="E463" s="18">
        <v>1</v>
      </c>
      <c r="F463" s="194">
        <f t="shared" si="16"/>
        <v>764400</v>
      </c>
      <c r="G463" s="195">
        <f t="shared" si="20"/>
        <v>792831</v>
      </c>
      <c r="H463" s="202">
        <v>637325</v>
      </c>
      <c r="I463" s="15">
        <v>639709</v>
      </c>
      <c r="J463" s="202">
        <v>9417</v>
      </c>
      <c r="K463" s="14">
        <v>10294</v>
      </c>
      <c r="L463" s="203">
        <v>117222</v>
      </c>
      <c r="M463" s="110">
        <v>436</v>
      </c>
      <c r="N463" s="110">
        <v>0</v>
      </c>
      <c r="O463" s="13">
        <v>142205</v>
      </c>
      <c r="P463" s="272">
        <v>623</v>
      </c>
      <c r="Q463" s="128">
        <v>0</v>
      </c>
      <c r="R463" s="202"/>
      <c r="S463" s="46"/>
      <c r="T463" s="196">
        <f t="shared" si="17"/>
        <v>125793</v>
      </c>
      <c r="U463" s="197">
        <f t="shared" si="21"/>
        <v>126883</v>
      </c>
      <c r="V463" s="202">
        <v>94658</v>
      </c>
      <c r="W463" s="15">
        <v>91338</v>
      </c>
      <c r="X463" s="202">
        <v>1294</v>
      </c>
      <c r="Y463" s="115">
        <v>1010</v>
      </c>
      <c r="Z463" s="203">
        <v>29823</v>
      </c>
      <c r="AA463" s="110">
        <v>18</v>
      </c>
      <c r="AB463" s="110">
        <v>0</v>
      </c>
      <c r="AC463" s="13">
        <v>34466</v>
      </c>
      <c r="AD463" s="272">
        <v>69</v>
      </c>
      <c r="AE463" s="128">
        <v>0</v>
      </c>
      <c r="AF463" s="202"/>
      <c r="AG463" s="49"/>
    </row>
    <row r="464" spans="1:33" s="222" customFormat="1">
      <c r="A464" s="183" t="s">
        <v>646</v>
      </c>
      <c r="B464" s="20" t="s">
        <v>649</v>
      </c>
      <c r="C464" s="12"/>
      <c r="D464" s="18">
        <v>225511</v>
      </c>
      <c r="E464" s="18">
        <v>1</v>
      </c>
      <c r="F464" s="194">
        <f t="shared" si="16"/>
        <v>843076</v>
      </c>
      <c r="G464" s="195">
        <f t="shared" si="20"/>
        <v>883751</v>
      </c>
      <c r="H464" s="202">
        <v>639932</v>
      </c>
      <c r="I464" s="15">
        <v>656777</v>
      </c>
      <c r="J464" s="202">
        <v>11049</v>
      </c>
      <c r="K464" s="14">
        <v>17108</v>
      </c>
      <c r="L464" s="203">
        <v>192041</v>
      </c>
      <c r="M464" s="110">
        <v>54</v>
      </c>
      <c r="N464" s="110">
        <v>0</v>
      </c>
      <c r="O464" s="13">
        <v>209591</v>
      </c>
      <c r="P464" s="272">
        <v>275</v>
      </c>
      <c r="Q464" s="128">
        <v>0</v>
      </c>
      <c r="R464" s="202"/>
      <c r="S464" s="46"/>
      <c r="T464" s="196">
        <f t="shared" si="17"/>
        <v>171892</v>
      </c>
      <c r="U464" s="197">
        <f t="shared" si="21"/>
        <v>175604</v>
      </c>
      <c r="V464" s="202">
        <v>152023</v>
      </c>
      <c r="W464" s="15">
        <v>156768</v>
      </c>
      <c r="X464" s="202">
        <v>7351</v>
      </c>
      <c r="Y464" s="115">
        <v>4425</v>
      </c>
      <c r="Z464" s="203">
        <v>12326</v>
      </c>
      <c r="AA464" s="110">
        <v>192</v>
      </c>
      <c r="AB464" s="110">
        <v>0</v>
      </c>
      <c r="AC464" s="13">
        <v>14132</v>
      </c>
      <c r="AD464" s="272">
        <v>279</v>
      </c>
      <c r="AE464" s="128">
        <v>0</v>
      </c>
      <c r="AF464" s="202"/>
      <c r="AG464" s="49"/>
    </row>
    <row r="465" spans="1:33" s="222" customFormat="1">
      <c r="A465" s="183" t="s">
        <v>646</v>
      </c>
      <c r="B465" s="20" t="s">
        <v>650</v>
      </c>
      <c r="C465" s="12"/>
      <c r="D465" s="18">
        <v>227216</v>
      </c>
      <c r="E465" s="18">
        <v>1</v>
      </c>
      <c r="F465" s="194">
        <f t="shared" si="16"/>
        <v>790618</v>
      </c>
      <c r="G465" s="195">
        <f t="shared" si="20"/>
        <v>806818</v>
      </c>
      <c r="H465" s="202">
        <v>676974</v>
      </c>
      <c r="I465" s="15">
        <v>680229</v>
      </c>
      <c r="J465" s="202">
        <v>3351</v>
      </c>
      <c r="K465" s="14">
        <v>4878</v>
      </c>
      <c r="L465" s="203">
        <v>110134</v>
      </c>
      <c r="M465" s="110">
        <v>123</v>
      </c>
      <c r="N465" s="110">
        <v>36</v>
      </c>
      <c r="O465" s="13">
        <v>121486</v>
      </c>
      <c r="P465" s="272">
        <v>195</v>
      </c>
      <c r="Q465" s="156">
        <v>30</v>
      </c>
      <c r="R465" s="202"/>
      <c r="S465" s="46"/>
      <c r="T465" s="196">
        <f t="shared" si="17"/>
        <v>101618</v>
      </c>
      <c r="U465" s="197">
        <f t="shared" si="21"/>
        <v>105426</v>
      </c>
      <c r="V465" s="202">
        <v>68309</v>
      </c>
      <c r="W465" s="15">
        <v>66894</v>
      </c>
      <c r="X465" s="202">
        <v>1041</v>
      </c>
      <c r="Y465" s="115">
        <v>1299</v>
      </c>
      <c r="Z465" s="203">
        <v>32223</v>
      </c>
      <c r="AA465" s="110">
        <v>45</v>
      </c>
      <c r="AB465" s="110">
        <v>0</v>
      </c>
      <c r="AC465" s="13">
        <v>37197</v>
      </c>
      <c r="AD465" s="272">
        <v>36</v>
      </c>
      <c r="AE465" s="128">
        <v>0</v>
      </c>
      <c r="AF465" s="202"/>
      <c r="AG465" s="49"/>
    </row>
    <row r="466" spans="1:33" s="222" customFormat="1">
      <c r="A466" s="183" t="s">
        <v>646</v>
      </c>
      <c r="B466" s="20" t="s">
        <v>651</v>
      </c>
      <c r="C466" s="12"/>
      <c r="D466" s="18">
        <v>228769</v>
      </c>
      <c r="E466" s="18">
        <v>1</v>
      </c>
      <c r="F466" s="194">
        <f t="shared" si="16"/>
        <v>630246</v>
      </c>
      <c r="G466" s="195">
        <f t="shared" si="20"/>
        <v>658963</v>
      </c>
      <c r="H466" s="202">
        <v>470201</v>
      </c>
      <c r="I466" s="15">
        <v>473603</v>
      </c>
      <c r="J466" s="202">
        <v>1245</v>
      </c>
      <c r="K466" s="14">
        <v>1852</v>
      </c>
      <c r="L466" s="203">
        <v>158257</v>
      </c>
      <c r="M466" s="110">
        <v>0</v>
      </c>
      <c r="N466" s="110">
        <v>543</v>
      </c>
      <c r="O466" s="13">
        <v>183253</v>
      </c>
      <c r="P466" s="271">
        <v>0</v>
      </c>
      <c r="Q466" s="156">
        <v>255</v>
      </c>
      <c r="R466" s="202"/>
      <c r="S466" s="46"/>
      <c r="T466" s="196">
        <f t="shared" si="17"/>
        <v>178279</v>
      </c>
      <c r="U466" s="197">
        <f t="shared" si="21"/>
        <v>194583</v>
      </c>
      <c r="V466" s="202">
        <v>110528</v>
      </c>
      <c r="W466" s="15">
        <v>109003</v>
      </c>
      <c r="X466" s="202">
        <v>7389</v>
      </c>
      <c r="Y466" s="115">
        <v>6658</v>
      </c>
      <c r="Z466" s="203">
        <v>60173</v>
      </c>
      <c r="AA466" s="110">
        <v>186</v>
      </c>
      <c r="AB466" s="110">
        <v>3</v>
      </c>
      <c r="AC466" s="13">
        <v>78838</v>
      </c>
      <c r="AD466" s="272">
        <v>84</v>
      </c>
      <c r="AE466" s="156">
        <v>0</v>
      </c>
      <c r="AF466" s="202"/>
      <c r="AG466" s="49"/>
    </row>
    <row r="467" spans="1:33" s="222" customFormat="1">
      <c r="A467" s="183" t="s">
        <v>646</v>
      </c>
      <c r="B467" s="20" t="s">
        <v>652</v>
      </c>
      <c r="C467" s="12"/>
      <c r="D467" s="18">
        <v>228778</v>
      </c>
      <c r="E467" s="18">
        <v>1</v>
      </c>
      <c r="F467" s="194">
        <f t="shared" si="16"/>
        <v>1060057</v>
      </c>
      <c r="G467" s="195">
        <f t="shared" si="20"/>
        <v>1070241</v>
      </c>
      <c r="H467" s="202">
        <v>1010626</v>
      </c>
      <c r="I467" s="15">
        <v>993791</v>
      </c>
      <c r="J467" s="202">
        <v>5523</v>
      </c>
      <c r="K467" s="14">
        <v>6169</v>
      </c>
      <c r="L467" s="203">
        <v>27890</v>
      </c>
      <c r="M467" s="110">
        <v>15951</v>
      </c>
      <c r="N467" s="110">
        <v>67</v>
      </c>
      <c r="O467" s="13">
        <v>42981</v>
      </c>
      <c r="P467" s="13">
        <v>27135</v>
      </c>
      <c r="Q467" s="156">
        <v>165</v>
      </c>
      <c r="R467" s="202"/>
      <c r="S467" s="46"/>
      <c r="T467" s="196">
        <f t="shared" si="17"/>
        <v>247354</v>
      </c>
      <c r="U467" s="197">
        <f t="shared" si="21"/>
        <v>242758</v>
      </c>
      <c r="V467" s="202">
        <v>242177</v>
      </c>
      <c r="W467" s="15">
        <v>237491</v>
      </c>
      <c r="X467" s="202">
        <v>304</v>
      </c>
      <c r="Y467" s="115">
        <v>435</v>
      </c>
      <c r="Z467" s="203">
        <v>1882</v>
      </c>
      <c r="AA467" s="110">
        <v>2075</v>
      </c>
      <c r="AB467" s="110">
        <v>916</v>
      </c>
      <c r="AC467" s="13">
        <v>2109</v>
      </c>
      <c r="AD467" s="13">
        <v>1940</v>
      </c>
      <c r="AE467" s="156">
        <v>783</v>
      </c>
      <c r="AF467" s="202"/>
      <c r="AG467" s="49"/>
    </row>
    <row r="468" spans="1:33" s="222" customFormat="1">
      <c r="A468" s="183" t="s">
        <v>646</v>
      </c>
      <c r="B468" s="20" t="s">
        <v>653</v>
      </c>
      <c r="C468" s="12"/>
      <c r="D468" s="18">
        <v>228787</v>
      </c>
      <c r="E468" s="18">
        <v>1</v>
      </c>
      <c r="F468" s="194">
        <f t="shared" si="16"/>
        <v>395053</v>
      </c>
      <c r="G468" s="195">
        <f t="shared" si="20"/>
        <v>437506</v>
      </c>
      <c r="H468" s="202">
        <v>373501</v>
      </c>
      <c r="I468" s="14">
        <v>412246</v>
      </c>
      <c r="J468" s="202">
        <v>1851</v>
      </c>
      <c r="K468" s="14">
        <v>2482</v>
      </c>
      <c r="L468" s="203">
        <v>19701</v>
      </c>
      <c r="M468" s="110">
        <v>0</v>
      </c>
      <c r="N468" s="110">
        <v>0</v>
      </c>
      <c r="O468" s="13">
        <v>22778</v>
      </c>
      <c r="P468" s="271">
        <v>0</v>
      </c>
      <c r="Q468" s="128">
        <v>0</v>
      </c>
      <c r="R468" s="202"/>
      <c r="S468" s="46"/>
      <c r="T468" s="196">
        <f t="shared" si="17"/>
        <v>157209</v>
      </c>
      <c r="U468" s="197">
        <f t="shared" si="21"/>
        <v>162236</v>
      </c>
      <c r="V468" s="202">
        <v>139450</v>
      </c>
      <c r="W468" s="15">
        <v>143984</v>
      </c>
      <c r="X468" s="202">
        <v>417</v>
      </c>
      <c r="Y468" s="189">
        <v>437</v>
      </c>
      <c r="Z468" s="203">
        <v>17342</v>
      </c>
      <c r="AA468" s="110">
        <v>0</v>
      </c>
      <c r="AB468" s="110">
        <v>0</v>
      </c>
      <c r="AC468" s="11">
        <v>17815</v>
      </c>
      <c r="AD468" s="271">
        <v>0</v>
      </c>
      <c r="AE468" s="128">
        <v>0</v>
      </c>
      <c r="AF468" s="202"/>
      <c r="AG468" s="49"/>
    </row>
    <row r="469" spans="1:33" s="222" customFormat="1" ht="15">
      <c r="A469" s="183" t="s">
        <v>646</v>
      </c>
      <c r="B469" s="20" t="s">
        <v>654</v>
      </c>
      <c r="C469" s="348" t="s">
        <v>841</v>
      </c>
      <c r="D469" s="18">
        <v>229179</v>
      </c>
      <c r="E469" s="18">
        <v>2</v>
      </c>
      <c r="F469" s="194">
        <f t="shared" si="16"/>
        <v>234593</v>
      </c>
      <c r="G469" s="195">
        <f t="shared" si="20"/>
        <v>245153</v>
      </c>
      <c r="H469" s="202">
        <v>160497</v>
      </c>
      <c r="I469" s="15">
        <v>160385</v>
      </c>
      <c r="J469" s="202">
        <v>4241</v>
      </c>
      <c r="K469" s="14">
        <v>6761</v>
      </c>
      <c r="L469" s="203">
        <v>69520</v>
      </c>
      <c r="M469" s="110">
        <v>335</v>
      </c>
      <c r="N469" s="110">
        <v>0</v>
      </c>
      <c r="O469" s="13">
        <v>78007</v>
      </c>
      <c r="P469" s="272">
        <v>0</v>
      </c>
      <c r="Q469" s="128">
        <v>0</v>
      </c>
      <c r="R469" s="202"/>
      <c r="S469" s="46"/>
      <c r="T469" s="196">
        <f t="shared" si="17"/>
        <v>93471</v>
      </c>
      <c r="U469" s="197">
        <f t="shared" si="21"/>
        <v>93332</v>
      </c>
      <c r="V469" s="202">
        <v>45843</v>
      </c>
      <c r="W469" s="15">
        <v>46437</v>
      </c>
      <c r="X469" s="202">
        <v>273</v>
      </c>
      <c r="Y469" s="115">
        <v>291</v>
      </c>
      <c r="Z469" s="203">
        <v>46418</v>
      </c>
      <c r="AA469" s="110">
        <v>937</v>
      </c>
      <c r="AB469" s="110">
        <v>0</v>
      </c>
      <c r="AC469" s="11">
        <v>45600</v>
      </c>
      <c r="AD469" s="13">
        <v>1004</v>
      </c>
      <c r="AE469" s="128">
        <v>0</v>
      </c>
      <c r="AF469" s="202"/>
      <c r="AG469" s="49"/>
    </row>
    <row r="470" spans="1:33" s="222" customFormat="1" ht="15">
      <c r="A470" s="183" t="s">
        <v>646</v>
      </c>
      <c r="B470" s="20" t="s">
        <v>655</v>
      </c>
      <c r="C470" s="348"/>
      <c r="D470" s="18">
        <v>228796</v>
      </c>
      <c r="E470" s="18">
        <v>2</v>
      </c>
      <c r="F470" s="194">
        <f t="shared" si="16"/>
        <v>481654</v>
      </c>
      <c r="G470" s="195">
        <f t="shared" si="20"/>
        <v>488892</v>
      </c>
      <c r="H470" s="202">
        <v>399887</v>
      </c>
      <c r="I470" s="15">
        <v>400732</v>
      </c>
      <c r="J470" s="202">
        <v>1629</v>
      </c>
      <c r="K470" s="14">
        <v>1252</v>
      </c>
      <c r="L470" s="203">
        <v>80138</v>
      </c>
      <c r="M470" s="110">
        <v>0</v>
      </c>
      <c r="N470" s="110">
        <v>0</v>
      </c>
      <c r="O470" s="13">
        <v>86908</v>
      </c>
      <c r="P470" s="271">
        <v>0</v>
      </c>
      <c r="Q470" s="128">
        <v>0</v>
      </c>
      <c r="R470" s="202"/>
      <c r="S470" s="46"/>
      <c r="T470" s="196">
        <f t="shared" si="17"/>
        <v>54567</v>
      </c>
      <c r="U470" s="197">
        <f t="shared" si="21"/>
        <v>56266</v>
      </c>
      <c r="V470" s="202">
        <v>35958</v>
      </c>
      <c r="W470" s="15">
        <v>35113</v>
      </c>
      <c r="X470" s="202">
        <v>2206</v>
      </c>
      <c r="Y470" s="115">
        <v>2433</v>
      </c>
      <c r="Z470" s="203">
        <v>16403</v>
      </c>
      <c r="AA470" s="110">
        <v>0</v>
      </c>
      <c r="AB470" s="110">
        <v>0</v>
      </c>
      <c r="AC470" s="13">
        <v>18720</v>
      </c>
      <c r="AD470" s="271">
        <v>0</v>
      </c>
      <c r="AE470" s="128">
        <v>0</v>
      </c>
      <c r="AF470" s="202"/>
      <c r="AG470" s="49"/>
    </row>
    <row r="471" spans="1:33" s="222" customFormat="1" ht="15">
      <c r="A471" s="183" t="s">
        <v>646</v>
      </c>
      <c r="B471" s="20" t="s">
        <v>656</v>
      </c>
      <c r="C471" s="358" t="s">
        <v>870</v>
      </c>
      <c r="D471" s="18">
        <v>229027</v>
      </c>
      <c r="E471" s="282">
        <v>1</v>
      </c>
      <c r="F471" s="194">
        <f t="shared" si="16"/>
        <v>611096</v>
      </c>
      <c r="G471" s="195">
        <f t="shared" si="20"/>
        <v>629375</v>
      </c>
      <c r="H471" s="202">
        <v>561288</v>
      </c>
      <c r="I471" s="15">
        <v>561782</v>
      </c>
      <c r="J471" s="202">
        <v>1460</v>
      </c>
      <c r="K471" s="14">
        <v>2208</v>
      </c>
      <c r="L471" s="203">
        <v>45720</v>
      </c>
      <c r="M471" s="110">
        <v>2457</v>
      </c>
      <c r="N471" s="110">
        <v>171</v>
      </c>
      <c r="O471" s="13">
        <v>63906</v>
      </c>
      <c r="P471" s="13">
        <v>1242</v>
      </c>
      <c r="Q471" s="156">
        <v>237</v>
      </c>
      <c r="R471" s="202"/>
      <c r="S471" s="46"/>
      <c r="T471" s="196">
        <f t="shared" si="17"/>
        <v>66635</v>
      </c>
      <c r="U471" s="197">
        <f t="shared" si="21"/>
        <v>66327</v>
      </c>
      <c r="V471" s="202">
        <v>59979</v>
      </c>
      <c r="W471" s="15">
        <v>57463</v>
      </c>
      <c r="X471" s="202">
        <v>2447</v>
      </c>
      <c r="Y471" s="189">
        <v>2552</v>
      </c>
      <c r="Z471" s="203">
        <v>4209</v>
      </c>
      <c r="AA471" s="110">
        <v>0</v>
      </c>
      <c r="AB471" s="110">
        <v>0</v>
      </c>
      <c r="AC471" s="13">
        <v>6312</v>
      </c>
      <c r="AD471" s="271">
        <v>0</v>
      </c>
      <c r="AE471" s="128">
        <v>0</v>
      </c>
      <c r="AF471" s="202"/>
      <c r="AG471" s="49"/>
    </row>
    <row r="472" spans="1:33" s="222" customFormat="1">
      <c r="A472" s="183" t="s">
        <v>646</v>
      </c>
      <c r="B472" s="20" t="s">
        <v>657</v>
      </c>
      <c r="C472" s="12"/>
      <c r="D472" s="18">
        <v>222831</v>
      </c>
      <c r="E472" s="18">
        <v>3</v>
      </c>
      <c r="F472" s="194">
        <f t="shared" si="16"/>
        <v>149227</v>
      </c>
      <c r="G472" s="195">
        <f t="shared" si="20"/>
        <v>172033</v>
      </c>
      <c r="H472" s="202">
        <v>135761</v>
      </c>
      <c r="I472" s="14">
        <v>149277</v>
      </c>
      <c r="J472" s="202">
        <v>0</v>
      </c>
      <c r="K472" s="128">
        <v>0</v>
      </c>
      <c r="L472" s="203">
        <v>13466</v>
      </c>
      <c r="M472" s="110">
        <v>0</v>
      </c>
      <c r="N472" s="110">
        <v>0</v>
      </c>
      <c r="O472" s="13">
        <v>22756</v>
      </c>
      <c r="P472" s="271">
        <v>0</v>
      </c>
      <c r="Q472" s="128">
        <v>0</v>
      </c>
      <c r="R472" s="202"/>
      <c r="S472" s="46"/>
      <c r="T472" s="196">
        <f t="shared" si="17"/>
        <v>19232</v>
      </c>
      <c r="U472" s="197">
        <f t="shared" si="21"/>
        <v>26146</v>
      </c>
      <c r="V472" s="202">
        <v>9153</v>
      </c>
      <c r="W472" s="14">
        <v>8065</v>
      </c>
      <c r="X472" s="202">
        <v>0</v>
      </c>
      <c r="Y472" s="189">
        <v>0</v>
      </c>
      <c r="Z472" s="203">
        <v>9953</v>
      </c>
      <c r="AA472" s="110">
        <v>126</v>
      </c>
      <c r="AB472" s="110">
        <v>0</v>
      </c>
      <c r="AC472" s="13">
        <v>18081</v>
      </c>
      <c r="AD472" s="272">
        <v>0</v>
      </c>
      <c r="AE472" s="128">
        <v>0</v>
      </c>
      <c r="AF472" s="202"/>
      <c r="AG472" s="49"/>
    </row>
    <row r="473" spans="1:33" s="222" customFormat="1">
      <c r="A473" s="183" t="s">
        <v>646</v>
      </c>
      <c r="B473" s="20" t="s">
        <v>658</v>
      </c>
      <c r="C473" s="12"/>
      <c r="D473" s="18">
        <v>226091</v>
      </c>
      <c r="E473" s="18">
        <v>3</v>
      </c>
      <c r="F473" s="194">
        <f t="shared" si="16"/>
        <v>220858</v>
      </c>
      <c r="G473" s="195">
        <f t="shared" si="20"/>
        <v>223457</v>
      </c>
      <c r="H473" s="202">
        <v>156131</v>
      </c>
      <c r="I473" s="15">
        <v>153234</v>
      </c>
      <c r="J473" s="202">
        <v>795</v>
      </c>
      <c r="K473" s="156">
        <v>455</v>
      </c>
      <c r="L473" s="203">
        <v>63860</v>
      </c>
      <c r="M473" s="110">
        <v>72</v>
      </c>
      <c r="N473" s="110">
        <v>0</v>
      </c>
      <c r="O473" s="13">
        <v>69768</v>
      </c>
      <c r="P473" s="272">
        <v>0</v>
      </c>
      <c r="Q473" s="128">
        <v>0</v>
      </c>
      <c r="R473" s="202"/>
      <c r="S473" s="46"/>
      <c r="T473" s="196">
        <f t="shared" si="17"/>
        <v>118619</v>
      </c>
      <c r="U473" s="197">
        <f t="shared" si="21"/>
        <v>115496</v>
      </c>
      <c r="V473" s="202">
        <v>27049</v>
      </c>
      <c r="W473" s="14">
        <v>23096</v>
      </c>
      <c r="X473" s="202">
        <v>108</v>
      </c>
      <c r="Y473" s="115">
        <v>93</v>
      </c>
      <c r="Z473" s="203">
        <v>91462</v>
      </c>
      <c r="AA473" s="110">
        <v>0</v>
      </c>
      <c r="AB473" s="110">
        <v>0</v>
      </c>
      <c r="AC473" s="11">
        <v>92262</v>
      </c>
      <c r="AD473" s="272">
        <v>45</v>
      </c>
      <c r="AE473" s="128">
        <v>0</v>
      </c>
      <c r="AF473" s="202"/>
      <c r="AG473" s="49"/>
    </row>
    <row r="474" spans="1:33" s="222" customFormat="1">
      <c r="A474" s="183" t="s">
        <v>646</v>
      </c>
      <c r="B474" s="20" t="s">
        <v>659</v>
      </c>
      <c r="C474" s="12"/>
      <c r="D474" s="18">
        <v>226833</v>
      </c>
      <c r="E474" s="18">
        <v>3</v>
      </c>
      <c r="F474" s="194">
        <f t="shared" si="16"/>
        <v>128285</v>
      </c>
      <c r="G474" s="195">
        <f t="shared" si="20"/>
        <v>129348</v>
      </c>
      <c r="H474" s="202">
        <v>106270</v>
      </c>
      <c r="I474" s="15">
        <v>105541</v>
      </c>
      <c r="J474" s="202">
        <v>1334</v>
      </c>
      <c r="K474" s="15">
        <v>1388</v>
      </c>
      <c r="L474" s="203">
        <v>20645</v>
      </c>
      <c r="M474" s="110">
        <v>36</v>
      </c>
      <c r="N474" s="110">
        <v>0</v>
      </c>
      <c r="O474" s="13">
        <v>22389</v>
      </c>
      <c r="P474" s="272">
        <v>30</v>
      </c>
      <c r="Q474" s="128">
        <v>0</v>
      </c>
      <c r="R474" s="202"/>
      <c r="S474" s="46"/>
      <c r="T474" s="196">
        <f t="shared" si="17"/>
        <v>9659</v>
      </c>
      <c r="U474" s="197">
        <f t="shared" si="21"/>
        <v>10160</v>
      </c>
      <c r="V474" s="202">
        <v>4320</v>
      </c>
      <c r="W474" s="15">
        <v>4317</v>
      </c>
      <c r="X474" s="202">
        <v>45</v>
      </c>
      <c r="Y474" s="115">
        <v>51</v>
      </c>
      <c r="Z474" s="203">
        <v>5294</v>
      </c>
      <c r="AA474" s="110">
        <v>0</v>
      </c>
      <c r="AB474" s="110">
        <v>0</v>
      </c>
      <c r="AC474" s="13">
        <v>5792</v>
      </c>
      <c r="AD474" s="271">
        <v>0</v>
      </c>
      <c r="AE474" s="128">
        <v>0</v>
      </c>
      <c r="AF474" s="202"/>
      <c r="AG474" s="49"/>
    </row>
    <row r="475" spans="1:33" s="222" customFormat="1">
      <c r="A475" s="183" t="s">
        <v>646</v>
      </c>
      <c r="B475" s="270" t="s">
        <v>660</v>
      </c>
      <c r="C475" s="12"/>
      <c r="D475" s="18">
        <v>227526</v>
      </c>
      <c r="E475" s="18">
        <v>3</v>
      </c>
      <c r="F475" s="194">
        <f t="shared" si="16"/>
        <v>191143</v>
      </c>
      <c r="G475" s="195">
        <f t="shared" si="20"/>
        <v>199378</v>
      </c>
      <c r="H475" s="202">
        <v>172563</v>
      </c>
      <c r="I475" s="15">
        <v>180457</v>
      </c>
      <c r="J475" s="202">
        <v>10711</v>
      </c>
      <c r="K475" s="14">
        <v>9320</v>
      </c>
      <c r="L475" s="203">
        <v>7518</v>
      </c>
      <c r="M475" s="110">
        <v>351</v>
      </c>
      <c r="N475" s="110">
        <v>0</v>
      </c>
      <c r="O475" s="13">
        <v>9415</v>
      </c>
      <c r="P475" s="272">
        <v>186</v>
      </c>
      <c r="Q475" s="128">
        <v>0</v>
      </c>
      <c r="R475" s="202"/>
      <c r="S475" s="46"/>
      <c r="T475" s="196">
        <f t="shared" si="17"/>
        <v>23316</v>
      </c>
      <c r="U475" s="197">
        <f t="shared" si="21"/>
        <v>23232</v>
      </c>
      <c r="V475" s="202">
        <v>8669</v>
      </c>
      <c r="W475" s="14">
        <v>8123</v>
      </c>
      <c r="X475" s="202">
        <v>5215</v>
      </c>
      <c r="Y475" s="189">
        <v>5320</v>
      </c>
      <c r="Z475" s="203">
        <v>9288</v>
      </c>
      <c r="AA475" s="110">
        <v>144</v>
      </c>
      <c r="AB475" s="110">
        <v>0</v>
      </c>
      <c r="AC475" s="13">
        <v>9789</v>
      </c>
      <c r="AD475" s="272">
        <v>0</v>
      </c>
      <c r="AE475" s="128">
        <v>0</v>
      </c>
      <c r="AF475" s="202"/>
      <c r="AG475" s="49"/>
    </row>
    <row r="476" spans="1:33" s="222" customFormat="1">
      <c r="A476" s="183" t="s">
        <v>646</v>
      </c>
      <c r="B476" s="20" t="s">
        <v>661</v>
      </c>
      <c r="C476" s="12"/>
      <c r="D476" s="18">
        <v>227881</v>
      </c>
      <c r="E476" s="18">
        <v>3</v>
      </c>
      <c r="F476" s="194">
        <f t="shared" si="16"/>
        <v>454984</v>
      </c>
      <c r="G476" s="195">
        <f t="shared" si="20"/>
        <v>469292</v>
      </c>
      <c r="H476" s="202">
        <v>360532</v>
      </c>
      <c r="I476" s="15">
        <v>361040</v>
      </c>
      <c r="J476" s="202">
        <v>2947</v>
      </c>
      <c r="K476" s="14">
        <v>5301</v>
      </c>
      <c r="L476" s="203">
        <v>91466</v>
      </c>
      <c r="M476" s="110">
        <v>39</v>
      </c>
      <c r="N476" s="110">
        <v>0</v>
      </c>
      <c r="O476" s="13">
        <v>102951</v>
      </c>
      <c r="P476" s="272">
        <v>0</v>
      </c>
      <c r="Q476" s="128">
        <v>0</v>
      </c>
      <c r="R476" s="202"/>
      <c r="S476" s="46"/>
      <c r="T476" s="196">
        <f t="shared" si="17"/>
        <v>41771</v>
      </c>
      <c r="U476" s="197">
        <f t="shared" si="21"/>
        <v>40010</v>
      </c>
      <c r="V476" s="202">
        <v>18922</v>
      </c>
      <c r="W476" s="14">
        <v>17369</v>
      </c>
      <c r="X476" s="202">
        <v>18</v>
      </c>
      <c r="Y476" s="115">
        <v>123</v>
      </c>
      <c r="Z476" s="203">
        <v>22648</v>
      </c>
      <c r="AA476" s="110">
        <v>183</v>
      </c>
      <c r="AB476" s="110">
        <v>0</v>
      </c>
      <c r="AC476" s="11">
        <v>22509</v>
      </c>
      <c r="AD476" s="272">
        <v>9</v>
      </c>
      <c r="AE476" s="128">
        <v>0</v>
      </c>
      <c r="AF476" s="202"/>
      <c r="AG476" s="49"/>
    </row>
    <row r="477" spans="1:33" s="222" customFormat="1">
      <c r="A477" s="183" t="s">
        <v>646</v>
      </c>
      <c r="B477" s="20" t="s">
        <v>662</v>
      </c>
      <c r="C477" s="12"/>
      <c r="D477" s="18">
        <v>228431</v>
      </c>
      <c r="E477" s="18">
        <v>3</v>
      </c>
      <c r="F477" s="194">
        <f t="shared" si="16"/>
        <v>285133</v>
      </c>
      <c r="G477" s="195">
        <f t="shared" si="20"/>
        <v>288003</v>
      </c>
      <c r="H477" s="202">
        <v>234331</v>
      </c>
      <c r="I477" s="15">
        <v>234910</v>
      </c>
      <c r="J477" s="202">
        <v>1705</v>
      </c>
      <c r="K477" s="14">
        <v>1826</v>
      </c>
      <c r="L477" s="203">
        <v>48921</v>
      </c>
      <c r="M477" s="110">
        <v>136</v>
      </c>
      <c r="N477" s="110">
        <v>40</v>
      </c>
      <c r="O477" s="11">
        <v>51087</v>
      </c>
      <c r="P477" s="272">
        <v>180</v>
      </c>
      <c r="Q477" s="156">
        <v>0</v>
      </c>
      <c r="R477" s="202"/>
      <c r="S477" s="46"/>
      <c r="T477" s="196">
        <f t="shared" si="17"/>
        <v>28523</v>
      </c>
      <c r="U477" s="197">
        <f t="shared" si="21"/>
        <v>29213</v>
      </c>
      <c r="V477" s="202">
        <v>13821</v>
      </c>
      <c r="W477" s="15">
        <v>14200</v>
      </c>
      <c r="X477" s="202">
        <v>61</v>
      </c>
      <c r="Y477" s="115">
        <v>313</v>
      </c>
      <c r="Z477" s="203">
        <v>14436</v>
      </c>
      <c r="AA477" s="110">
        <v>130</v>
      </c>
      <c r="AB477" s="110">
        <v>75</v>
      </c>
      <c r="AC477" s="11">
        <v>14372</v>
      </c>
      <c r="AD477" s="272">
        <v>247</v>
      </c>
      <c r="AE477" s="156">
        <v>81</v>
      </c>
      <c r="AF477" s="202"/>
      <c r="AG477" s="49"/>
    </row>
    <row r="478" spans="1:33" s="222" customFormat="1">
      <c r="A478" s="183" t="s">
        <v>646</v>
      </c>
      <c r="B478" s="20" t="s">
        <v>663</v>
      </c>
      <c r="C478" s="12"/>
      <c r="D478" s="18">
        <v>228501</v>
      </c>
      <c r="E478" s="18">
        <v>3</v>
      </c>
      <c r="F478" s="194">
        <f t="shared" si="16"/>
        <v>33377</v>
      </c>
      <c r="G478" s="195">
        <f t="shared" si="20"/>
        <v>34659</v>
      </c>
      <c r="H478" s="202">
        <v>28475</v>
      </c>
      <c r="I478" s="15">
        <v>29354</v>
      </c>
      <c r="J478" s="202">
        <v>401</v>
      </c>
      <c r="K478" s="156">
        <v>288</v>
      </c>
      <c r="L478" s="203">
        <v>3985</v>
      </c>
      <c r="M478" s="110">
        <v>516</v>
      </c>
      <c r="N478" s="110">
        <v>0</v>
      </c>
      <c r="O478" s="13">
        <v>4543</v>
      </c>
      <c r="P478" s="272">
        <v>474</v>
      </c>
      <c r="Q478" s="128">
        <v>0</v>
      </c>
      <c r="R478" s="202"/>
      <c r="S478" s="46"/>
      <c r="T478" s="196">
        <f t="shared" si="17"/>
        <v>10074</v>
      </c>
      <c r="U478" s="197">
        <f t="shared" si="21"/>
        <v>10567</v>
      </c>
      <c r="V478" s="202">
        <v>2826</v>
      </c>
      <c r="W478" s="14">
        <v>2395</v>
      </c>
      <c r="X478" s="202">
        <v>0</v>
      </c>
      <c r="Y478" s="115">
        <v>108</v>
      </c>
      <c r="Z478" s="203">
        <v>7242</v>
      </c>
      <c r="AA478" s="110">
        <v>6</v>
      </c>
      <c r="AB478" s="110">
        <v>0</v>
      </c>
      <c r="AC478" s="13">
        <v>8064</v>
      </c>
      <c r="AD478" s="272">
        <v>0</v>
      </c>
      <c r="AE478" s="128">
        <v>0</v>
      </c>
      <c r="AF478" s="202"/>
      <c r="AG478" s="49"/>
    </row>
    <row r="479" spans="1:33" s="222" customFormat="1">
      <c r="A479" s="183" t="s">
        <v>646</v>
      </c>
      <c r="B479" s="20" t="s">
        <v>664</v>
      </c>
      <c r="C479" s="12"/>
      <c r="D479" s="18">
        <v>228529</v>
      </c>
      <c r="E479" s="18">
        <v>3</v>
      </c>
      <c r="F479" s="194">
        <f t="shared" si="16"/>
        <v>268496</v>
      </c>
      <c r="G479" s="195">
        <f t="shared" si="20"/>
        <v>284468</v>
      </c>
      <c r="H479" s="202">
        <v>197489</v>
      </c>
      <c r="I479" s="15">
        <v>206842</v>
      </c>
      <c r="J479" s="202">
        <v>22837</v>
      </c>
      <c r="K479" s="15">
        <v>22960</v>
      </c>
      <c r="L479" s="203">
        <v>47365</v>
      </c>
      <c r="M479" s="110">
        <v>805</v>
      </c>
      <c r="N479" s="110">
        <v>0</v>
      </c>
      <c r="O479" s="13">
        <v>54223</v>
      </c>
      <c r="P479" s="272">
        <v>443</v>
      </c>
      <c r="Q479" s="128">
        <v>0</v>
      </c>
      <c r="R479" s="202"/>
      <c r="S479" s="46"/>
      <c r="T479" s="196">
        <f t="shared" si="17"/>
        <v>24195</v>
      </c>
      <c r="U479" s="197">
        <f t="shared" si="21"/>
        <v>23938</v>
      </c>
      <c r="V479" s="202">
        <v>4987</v>
      </c>
      <c r="W479" s="14">
        <v>4558</v>
      </c>
      <c r="X479" s="202">
        <v>5240</v>
      </c>
      <c r="Y479" s="189">
        <v>4987</v>
      </c>
      <c r="Z479" s="203">
        <v>13968</v>
      </c>
      <c r="AA479" s="110">
        <v>0</v>
      </c>
      <c r="AB479" s="110">
        <v>0</v>
      </c>
      <c r="AC479" s="11">
        <v>14273</v>
      </c>
      <c r="AD479" s="272">
        <v>120</v>
      </c>
      <c r="AE479" s="128">
        <v>0</v>
      </c>
      <c r="AF479" s="202"/>
      <c r="AG479" s="49"/>
    </row>
    <row r="480" spans="1:33" s="222" customFormat="1">
      <c r="A480" s="183" t="s">
        <v>646</v>
      </c>
      <c r="B480" s="20" t="s">
        <v>665</v>
      </c>
      <c r="C480" s="12"/>
      <c r="D480" s="18">
        <v>226152</v>
      </c>
      <c r="E480" s="18">
        <v>3</v>
      </c>
      <c r="F480" s="194">
        <f t="shared" si="16"/>
        <v>152402</v>
      </c>
      <c r="G480" s="195">
        <f t="shared" si="20"/>
        <v>160783</v>
      </c>
      <c r="H480" s="202">
        <v>135677</v>
      </c>
      <c r="I480" s="14">
        <v>143047</v>
      </c>
      <c r="J480" s="202">
        <v>2956</v>
      </c>
      <c r="K480" s="14">
        <v>824</v>
      </c>
      <c r="L480" s="203">
        <v>13688</v>
      </c>
      <c r="M480" s="110">
        <v>81</v>
      </c>
      <c r="N480" s="110">
        <v>0</v>
      </c>
      <c r="O480" s="13">
        <v>16609</v>
      </c>
      <c r="P480" s="272">
        <v>303</v>
      </c>
      <c r="Q480" s="128">
        <v>0</v>
      </c>
      <c r="R480" s="202"/>
      <c r="S480" s="46"/>
      <c r="T480" s="196">
        <f t="shared" si="17"/>
        <v>13713</v>
      </c>
      <c r="U480" s="197">
        <f t="shared" si="21"/>
        <v>13235</v>
      </c>
      <c r="V480" s="202">
        <v>8596</v>
      </c>
      <c r="W480" s="14">
        <v>7990</v>
      </c>
      <c r="X480" s="202">
        <v>12</v>
      </c>
      <c r="Y480" s="115">
        <v>24</v>
      </c>
      <c r="Z480" s="203">
        <v>5102</v>
      </c>
      <c r="AA480" s="110">
        <v>3</v>
      </c>
      <c r="AB480" s="110">
        <v>0</v>
      </c>
      <c r="AC480" s="11">
        <v>5221</v>
      </c>
      <c r="AD480" s="272">
        <v>0</v>
      </c>
      <c r="AE480" s="128">
        <v>0</v>
      </c>
      <c r="AF480" s="202"/>
      <c r="AG480" s="49"/>
    </row>
    <row r="481" spans="1:34" s="222" customFormat="1">
      <c r="A481" s="183" t="s">
        <v>646</v>
      </c>
      <c r="B481" s="270" t="s">
        <v>666</v>
      </c>
      <c r="C481" s="12"/>
      <c r="D481" s="18">
        <v>224554</v>
      </c>
      <c r="E481" s="18">
        <v>3</v>
      </c>
      <c r="F481" s="194">
        <f t="shared" si="16"/>
        <v>181424</v>
      </c>
      <c r="G481" s="195">
        <f t="shared" si="20"/>
        <v>186744</v>
      </c>
      <c r="H481" s="202">
        <v>109898</v>
      </c>
      <c r="I481" s="14">
        <v>100778</v>
      </c>
      <c r="J481" s="202">
        <v>13864</v>
      </c>
      <c r="K481" s="14">
        <v>12182</v>
      </c>
      <c r="L481" s="203">
        <v>54587</v>
      </c>
      <c r="M481" s="110">
        <v>246</v>
      </c>
      <c r="N481" s="110">
        <v>2829</v>
      </c>
      <c r="O481" s="13">
        <v>66434</v>
      </c>
      <c r="P481" s="272">
        <v>228</v>
      </c>
      <c r="Q481" s="14">
        <v>7122</v>
      </c>
      <c r="R481" s="202"/>
      <c r="S481" s="46"/>
      <c r="T481" s="196">
        <f t="shared" si="17"/>
        <v>82987</v>
      </c>
      <c r="U481" s="197">
        <f t="shared" si="21"/>
        <v>82396</v>
      </c>
      <c r="V481" s="202">
        <v>17924</v>
      </c>
      <c r="W481" s="14">
        <v>15332</v>
      </c>
      <c r="X481" s="202">
        <v>8345</v>
      </c>
      <c r="Y481" s="115">
        <v>6738</v>
      </c>
      <c r="Z481" s="203">
        <v>56316</v>
      </c>
      <c r="AA481" s="110">
        <v>399</v>
      </c>
      <c r="AB481" s="110">
        <v>3</v>
      </c>
      <c r="AC481" s="13">
        <v>60065</v>
      </c>
      <c r="AD481" s="272">
        <v>261</v>
      </c>
      <c r="AE481" s="156">
        <v>0</v>
      </c>
      <c r="AF481" s="202"/>
      <c r="AG481" s="49"/>
    </row>
    <row r="482" spans="1:34" s="222" customFormat="1">
      <c r="A482" s="183" t="s">
        <v>646</v>
      </c>
      <c r="B482" s="270" t="s">
        <v>667</v>
      </c>
      <c r="C482" s="12"/>
      <c r="D482" s="18">
        <v>224147</v>
      </c>
      <c r="E482" s="18">
        <v>3</v>
      </c>
      <c r="F482" s="194">
        <f t="shared" si="16"/>
        <v>237187</v>
      </c>
      <c r="G482" s="195">
        <f t="shared" si="20"/>
        <v>238653</v>
      </c>
      <c r="H482" s="202">
        <v>236515</v>
      </c>
      <c r="I482" s="15">
        <v>238098</v>
      </c>
      <c r="J482" s="202">
        <v>0</v>
      </c>
      <c r="K482" s="128">
        <v>0</v>
      </c>
      <c r="L482" s="203">
        <v>600</v>
      </c>
      <c r="M482" s="110">
        <v>0</v>
      </c>
      <c r="N482" s="110">
        <v>72</v>
      </c>
      <c r="O482" s="272">
        <v>468</v>
      </c>
      <c r="P482" s="271">
        <v>0</v>
      </c>
      <c r="Q482" s="156">
        <v>87</v>
      </c>
      <c r="R482" s="202"/>
      <c r="S482" s="46"/>
      <c r="T482" s="196">
        <f t="shared" si="17"/>
        <v>30340</v>
      </c>
      <c r="U482" s="197">
        <f t="shared" si="21"/>
        <v>32609</v>
      </c>
      <c r="V482" s="202">
        <v>29116</v>
      </c>
      <c r="W482" s="14">
        <v>31118</v>
      </c>
      <c r="X482" s="202">
        <v>0</v>
      </c>
      <c r="Y482" s="189">
        <v>0</v>
      </c>
      <c r="Z482" s="203">
        <v>1224</v>
      </c>
      <c r="AA482" s="110">
        <v>0</v>
      </c>
      <c r="AB482" s="110">
        <v>0</v>
      </c>
      <c r="AC482" s="13">
        <v>1491</v>
      </c>
      <c r="AD482" s="271">
        <v>0</v>
      </c>
      <c r="AE482" s="128">
        <v>0</v>
      </c>
      <c r="AF482" s="202"/>
      <c r="AG482" s="49"/>
    </row>
    <row r="483" spans="1:34" s="222" customFormat="1">
      <c r="A483" s="183" t="s">
        <v>646</v>
      </c>
      <c r="B483" s="270" t="s">
        <v>668</v>
      </c>
      <c r="C483" s="12"/>
      <c r="D483" s="18">
        <v>228705</v>
      </c>
      <c r="E483" s="18">
        <v>3</v>
      </c>
      <c r="F483" s="194">
        <f t="shared" si="16"/>
        <v>158772</v>
      </c>
      <c r="G483" s="195">
        <f t="shared" si="20"/>
        <v>164439</v>
      </c>
      <c r="H483" s="202">
        <v>136571</v>
      </c>
      <c r="I483" s="15">
        <v>140479</v>
      </c>
      <c r="J483" s="202">
        <v>10693</v>
      </c>
      <c r="K483" s="14">
        <v>9985</v>
      </c>
      <c r="L483" s="203">
        <v>10977</v>
      </c>
      <c r="M483" s="110">
        <v>531</v>
      </c>
      <c r="N483" s="110">
        <v>0</v>
      </c>
      <c r="O483" s="13">
        <v>13126</v>
      </c>
      <c r="P483" s="272">
        <v>849</v>
      </c>
      <c r="Q483" s="128">
        <v>0</v>
      </c>
      <c r="R483" s="202"/>
      <c r="S483" s="46"/>
      <c r="T483" s="196">
        <f t="shared" si="17"/>
        <v>53405</v>
      </c>
      <c r="U483" s="197">
        <f t="shared" si="21"/>
        <v>53236</v>
      </c>
      <c r="V483" s="202">
        <v>44044</v>
      </c>
      <c r="W483" s="15">
        <v>41955</v>
      </c>
      <c r="X483" s="202">
        <v>70</v>
      </c>
      <c r="Y483" s="115">
        <v>84</v>
      </c>
      <c r="Z483" s="203">
        <v>8859</v>
      </c>
      <c r="AA483" s="110">
        <v>432</v>
      </c>
      <c r="AB483" s="110">
        <v>0</v>
      </c>
      <c r="AC483" s="13">
        <v>10837</v>
      </c>
      <c r="AD483" s="272">
        <v>360</v>
      </c>
      <c r="AE483" s="128">
        <v>0</v>
      </c>
      <c r="AF483" s="202"/>
      <c r="AG483" s="49"/>
    </row>
    <row r="484" spans="1:34" s="222" customFormat="1" ht="15">
      <c r="A484" s="183" t="s">
        <v>646</v>
      </c>
      <c r="B484" s="20" t="s">
        <v>669</v>
      </c>
      <c r="C484" s="348" t="s">
        <v>842</v>
      </c>
      <c r="D484" s="18">
        <v>229063</v>
      </c>
      <c r="E484" s="18">
        <v>3</v>
      </c>
      <c r="F484" s="194">
        <f t="shared" si="16"/>
        <v>178611</v>
      </c>
      <c r="G484" s="195">
        <f t="shared" si="20"/>
        <v>177455</v>
      </c>
      <c r="H484" s="202">
        <v>167178</v>
      </c>
      <c r="I484" s="15">
        <v>166799</v>
      </c>
      <c r="J484" s="202">
        <v>3</v>
      </c>
      <c r="K484" s="156">
        <v>0</v>
      </c>
      <c r="L484" s="203">
        <v>0</v>
      </c>
      <c r="M484" s="110">
        <v>0</v>
      </c>
      <c r="N484" s="110">
        <v>11430</v>
      </c>
      <c r="O484" s="271">
        <v>0</v>
      </c>
      <c r="P484" s="271">
        <v>0</v>
      </c>
      <c r="Q484" s="14">
        <v>10656</v>
      </c>
      <c r="R484" s="202"/>
      <c r="S484" s="46"/>
      <c r="T484" s="196">
        <f t="shared" si="17"/>
        <v>50777</v>
      </c>
      <c r="U484" s="197">
        <f t="shared" si="21"/>
        <v>51866</v>
      </c>
      <c r="V484" s="202">
        <v>43046</v>
      </c>
      <c r="W484" s="15">
        <v>45188</v>
      </c>
      <c r="X484" s="202">
        <v>24</v>
      </c>
      <c r="Y484" s="115">
        <v>27</v>
      </c>
      <c r="Z484" s="203">
        <v>0</v>
      </c>
      <c r="AA484" s="110">
        <v>0</v>
      </c>
      <c r="AB484" s="110">
        <v>7707</v>
      </c>
      <c r="AC484" s="271">
        <v>0</v>
      </c>
      <c r="AD484" s="271">
        <v>0</v>
      </c>
      <c r="AE484" s="14">
        <v>6651</v>
      </c>
      <c r="AF484" s="202"/>
      <c r="AG484" s="49"/>
    </row>
    <row r="485" spans="1:34" s="222" customFormat="1" ht="15">
      <c r="A485" s="183" t="s">
        <v>646</v>
      </c>
      <c r="B485" s="273" t="s">
        <v>670</v>
      </c>
      <c r="C485" s="358" t="s">
        <v>871</v>
      </c>
      <c r="D485" s="18">
        <v>228459</v>
      </c>
      <c r="E485" s="282">
        <v>2</v>
      </c>
      <c r="F485" s="194">
        <f t="shared" si="16"/>
        <v>841767</v>
      </c>
      <c r="G485" s="195">
        <f t="shared" si="20"/>
        <v>868584</v>
      </c>
      <c r="H485" s="202">
        <v>772273</v>
      </c>
      <c r="I485" s="15">
        <v>792770</v>
      </c>
      <c r="J485" s="202">
        <v>25570</v>
      </c>
      <c r="K485" s="15">
        <v>24296</v>
      </c>
      <c r="L485" s="203">
        <v>43464</v>
      </c>
      <c r="M485" s="110">
        <v>288</v>
      </c>
      <c r="N485" s="110">
        <v>172</v>
      </c>
      <c r="O485" s="13">
        <v>50117</v>
      </c>
      <c r="P485" s="272">
        <v>528</v>
      </c>
      <c r="Q485" s="156">
        <v>873</v>
      </c>
      <c r="R485" s="202"/>
      <c r="S485" s="46"/>
      <c r="T485" s="196">
        <f t="shared" si="17"/>
        <v>73336</v>
      </c>
      <c r="U485" s="197">
        <f t="shared" si="21"/>
        <v>73976</v>
      </c>
      <c r="V485" s="202">
        <v>55954</v>
      </c>
      <c r="W485" s="15">
        <v>54880</v>
      </c>
      <c r="X485" s="202">
        <v>7320</v>
      </c>
      <c r="Y485" s="115">
        <v>6660</v>
      </c>
      <c r="Z485" s="203">
        <v>8817</v>
      </c>
      <c r="AA485" s="110">
        <v>804</v>
      </c>
      <c r="AB485" s="110">
        <v>441</v>
      </c>
      <c r="AC485" s="13">
        <v>10844</v>
      </c>
      <c r="AD485" s="13">
        <v>1230</v>
      </c>
      <c r="AE485" s="156">
        <v>362</v>
      </c>
      <c r="AF485" s="202"/>
      <c r="AG485" s="49"/>
    </row>
    <row r="486" spans="1:34" s="222" customFormat="1">
      <c r="A486" s="183" t="s">
        <v>646</v>
      </c>
      <c r="B486" s="20" t="s">
        <v>671</v>
      </c>
      <c r="C486" s="12"/>
      <c r="D486" s="18">
        <v>225414</v>
      </c>
      <c r="E486" s="18">
        <v>3</v>
      </c>
      <c r="F486" s="194">
        <f t="shared" si="16"/>
        <v>116725</v>
      </c>
      <c r="G486" s="195">
        <f t="shared" si="20"/>
        <v>123529</v>
      </c>
      <c r="H486" s="202">
        <v>82795</v>
      </c>
      <c r="I486" s="14">
        <v>88027</v>
      </c>
      <c r="J486" s="202">
        <v>7740</v>
      </c>
      <c r="K486" s="15">
        <v>7755</v>
      </c>
      <c r="L486" s="203">
        <v>26190</v>
      </c>
      <c r="M486" s="110">
        <v>0</v>
      </c>
      <c r="N486" s="110">
        <v>0</v>
      </c>
      <c r="O486" s="13">
        <v>27747</v>
      </c>
      <c r="P486" s="271">
        <v>0</v>
      </c>
      <c r="Q486" s="128">
        <v>0</v>
      </c>
      <c r="R486" s="202"/>
      <c r="S486" s="46"/>
      <c r="T486" s="196">
        <f t="shared" si="17"/>
        <v>57356</v>
      </c>
      <c r="U486" s="197">
        <f t="shared" si="21"/>
        <v>52421</v>
      </c>
      <c r="V486" s="202">
        <v>37244</v>
      </c>
      <c r="W486" s="15">
        <v>35622</v>
      </c>
      <c r="X486" s="202">
        <v>4332</v>
      </c>
      <c r="Y486" s="115">
        <v>3011</v>
      </c>
      <c r="Z486" s="203">
        <v>15780</v>
      </c>
      <c r="AA486" s="110">
        <v>0</v>
      </c>
      <c r="AB486" s="110">
        <v>0</v>
      </c>
      <c r="AC486" s="13">
        <v>13788</v>
      </c>
      <c r="AD486" s="271">
        <v>0</v>
      </c>
      <c r="AE486" s="128">
        <v>0</v>
      </c>
      <c r="AF486" s="202"/>
      <c r="AG486" s="49"/>
    </row>
    <row r="487" spans="1:34" s="222" customFormat="1">
      <c r="A487" s="183" t="s">
        <v>646</v>
      </c>
      <c r="B487" s="273" t="s">
        <v>672</v>
      </c>
      <c r="C487" s="274"/>
      <c r="D487" s="275">
        <v>227368</v>
      </c>
      <c r="E487" s="18">
        <v>3</v>
      </c>
      <c r="F487" s="194">
        <f t="shared" si="16"/>
        <v>637740</v>
      </c>
      <c r="G487" s="195">
        <f t="shared" si="20"/>
        <v>618641</v>
      </c>
      <c r="H487" s="169">
        <v>529848</v>
      </c>
      <c r="I487" s="14">
        <v>484474</v>
      </c>
      <c r="J487" s="169">
        <v>1557</v>
      </c>
      <c r="K487" s="166">
        <v>1563</v>
      </c>
      <c r="L487" s="170">
        <v>105975</v>
      </c>
      <c r="M487" s="170">
        <v>360</v>
      </c>
      <c r="N487" s="170">
        <v>0</v>
      </c>
      <c r="O487" s="13">
        <v>119555</v>
      </c>
      <c r="P487" s="13">
        <v>13049</v>
      </c>
      <c r="Q487" s="276">
        <v>0</v>
      </c>
      <c r="R487" s="202"/>
      <c r="S487" s="46"/>
      <c r="T487" s="196">
        <f t="shared" si="17"/>
        <v>66498</v>
      </c>
      <c r="U487" s="197">
        <f t="shared" si="21"/>
        <v>59540</v>
      </c>
      <c r="V487" s="169">
        <v>33246</v>
      </c>
      <c r="W487" s="14">
        <v>26138</v>
      </c>
      <c r="X487" s="202">
        <v>0</v>
      </c>
      <c r="Y487" s="161">
        <v>1647</v>
      </c>
      <c r="Z487" s="170">
        <v>33057</v>
      </c>
      <c r="AA487" s="170">
        <v>195</v>
      </c>
      <c r="AB487" s="170">
        <v>0</v>
      </c>
      <c r="AC487" s="13">
        <v>29709</v>
      </c>
      <c r="AD487" s="13">
        <v>2046</v>
      </c>
      <c r="AE487" s="276">
        <v>0</v>
      </c>
      <c r="AF487" s="202"/>
      <c r="AG487" s="49"/>
    </row>
    <row r="488" spans="1:34" s="222" customFormat="1">
      <c r="A488" s="183" t="s">
        <v>646</v>
      </c>
      <c r="B488" s="20" t="s">
        <v>673</v>
      </c>
      <c r="C488" s="12"/>
      <c r="D488" s="18">
        <v>228802</v>
      </c>
      <c r="E488" s="18">
        <v>3</v>
      </c>
      <c r="F488" s="194">
        <f t="shared" si="16"/>
        <v>149797</v>
      </c>
      <c r="G488" s="195">
        <f t="shared" si="20"/>
        <v>160931</v>
      </c>
      <c r="H488" s="202">
        <v>97357</v>
      </c>
      <c r="I488" s="15">
        <v>96723</v>
      </c>
      <c r="J488" s="202">
        <v>9869</v>
      </c>
      <c r="K488" s="14">
        <v>11135</v>
      </c>
      <c r="L488" s="203">
        <v>42343</v>
      </c>
      <c r="M488" s="110">
        <v>228</v>
      </c>
      <c r="N488" s="110">
        <v>0</v>
      </c>
      <c r="O488" s="13">
        <v>52776</v>
      </c>
      <c r="P488" s="272">
        <v>297</v>
      </c>
      <c r="Q488" s="128">
        <v>0</v>
      </c>
      <c r="R488" s="202"/>
      <c r="S488" s="46"/>
      <c r="T488" s="196">
        <f t="shared" si="17"/>
        <v>38852</v>
      </c>
      <c r="U488" s="197">
        <f t="shared" si="21"/>
        <v>41108</v>
      </c>
      <c r="V488" s="202">
        <v>8219</v>
      </c>
      <c r="W488" s="14">
        <v>7389</v>
      </c>
      <c r="X488" s="202">
        <v>72</v>
      </c>
      <c r="Y488" s="115">
        <v>54</v>
      </c>
      <c r="Z488" s="203">
        <v>30558</v>
      </c>
      <c r="AA488" s="110">
        <v>3</v>
      </c>
      <c r="AB488" s="110">
        <v>0</v>
      </c>
      <c r="AC488" s="13">
        <v>33626</v>
      </c>
      <c r="AD488" s="272">
        <v>39</v>
      </c>
      <c r="AE488" s="128">
        <v>0</v>
      </c>
      <c r="AF488" s="202"/>
      <c r="AG488" s="49"/>
    </row>
    <row r="489" spans="1:34" s="222" customFormat="1">
      <c r="A489" s="21" t="s">
        <v>646</v>
      </c>
      <c r="B489" s="20" t="s">
        <v>674</v>
      </c>
      <c r="C489" s="19"/>
      <c r="D489" s="18">
        <v>229018</v>
      </c>
      <c r="E489" s="18">
        <v>3</v>
      </c>
      <c r="F489" s="194">
        <f t="shared" si="16"/>
        <v>106011</v>
      </c>
      <c r="G489" s="195">
        <f t="shared" si="20"/>
        <v>114670</v>
      </c>
      <c r="H489" s="202">
        <v>56838</v>
      </c>
      <c r="I489" s="15">
        <v>58969</v>
      </c>
      <c r="J489" s="202">
        <v>95</v>
      </c>
      <c r="K489" s="156">
        <v>133</v>
      </c>
      <c r="L489" s="203">
        <v>49078</v>
      </c>
      <c r="M489" s="110">
        <v>0</v>
      </c>
      <c r="N489" s="110">
        <v>0</v>
      </c>
      <c r="O489" s="13">
        <v>55568</v>
      </c>
      <c r="P489" s="271">
        <v>0</v>
      </c>
      <c r="Q489" s="128">
        <v>0</v>
      </c>
      <c r="R489" s="202"/>
      <c r="S489" s="46"/>
      <c r="T489" s="196">
        <f t="shared" si="17"/>
        <v>10673</v>
      </c>
      <c r="U489" s="197">
        <f t="shared" si="21"/>
        <v>11436</v>
      </c>
      <c r="V489" s="202">
        <v>3180</v>
      </c>
      <c r="W489" s="15">
        <v>3108</v>
      </c>
      <c r="X489" s="202">
        <v>0</v>
      </c>
      <c r="Y489" s="277">
        <v>0</v>
      </c>
      <c r="Z489" s="203">
        <v>7493</v>
      </c>
      <c r="AA489" s="110">
        <v>0</v>
      </c>
      <c r="AB489" s="110">
        <v>0</v>
      </c>
      <c r="AC489" s="13">
        <v>8328</v>
      </c>
      <c r="AD489" s="271">
        <v>0</v>
      </c>
      <c r="AE489" s="128">
        <v>0</v>
      </c>
      <c r="AF489" s="202"/>
      <c r="AG489" s="46"/>
      <c r="AH489" s="278"/>
    </row>
    <row r="490" spans="1:34" s="222" customFormat="1">
      <c r="A490" s="183" t="s">
        <v>646</v>
      </c>
      <c r="B490" s="270" t="s">
        <v>675</v>
      </c>
      <c r="C490" s="12"/>
      <c r="D490" s="18">
        <v>229814</v>
      </c>
      <c r="E490" s="18">
        <v>3</v>
      </c>
      <c r="F490" s="194">
        <f t="shared" si="16"/>
        <v>186444</v>
      </c>
      <c r="G490" s="195">
        <f t="shared" si="20"/>
        <v>190819</v>
      </c>
      <c r="H490" s="202">
        <v>146442</v>
      </c>
      <c r="I490" s="15">
        <v>146158</v>
      </c>
      <c r="J490" s="202">
        <v>135</v>
      </c>
      <c r="K490" s="156">
        <v>0</v>
      </c>
      <c r="L490" s="203">
        <v>39867</v>
      </c>
      <c r="M490" s="110">
        <v>0</v>
      </c>
      <c r="N490" s="110">
        <v>0</v>
      </c>
      <c r="O490" s="13">
        <v>44661</v>
      </c>
      <c r="P490" s="271">
        <v>0</v>
      </c>
      <c r="Q490" s="128">
        <v>0</v>
      </c>
      <c r="R490" s="202"/>
      <c r="S490" s="46"/>
      <c r="T490" s="196">
        <f t="shared" si="17"/>
        <v>32482</v>
      </c>
      <c r="U490" s="197">
        <f t="shared" si="21"/>
        <v>36617</v>
      </c>
      <c r="V490" s="202">
        <v>10365</v>
      </c>
      <c r="W490" s="14">
        <v>9158</v>
      </c>
      <c r="X490" s="202">
        <v>0</v>
      </c>
      <c r="Y490" s="189">
        <v>0</v>
      </c>
      <c r="Z490" s="203">
        <v>22117</v>
      </c>
      <c r="AA490" s="110">
        <v>0</v>
      </c>
      <c r="AB490" s="110">
        <v>0</v>
      </c>
      <c r="AC490" s="13">
        <v>27459</v>
      </c>
      <c r="AD490" s="271">
        <v>0</v>
      </c>
      <c r="AE490" s="128">
        <v>0</v>
      </c>
      <c r="AF490" s="202"/>
      <c r="AG490" s="49"/>
    </row>
    <row r="491" spans="1:34" s="222" customFormat="1">
      <c r="A491" s="183" t="s">
        <v>646</v>
      </c>
      <c r="B491" s="270" t="s">
        <v>676</v>
      </c>
      <c r="C491" s="12"/>
      <c r="D491" s="18">
        <v>483036</v>
      </c>
      <c r="E491" s="18">
        <v>4</v>
      </c>
      <c r="F491" s="194">
        <f t="shared" si="16"/>
        <v>33517</v>
      </c>
      <c r="G491" s="195">
        <f t="shared" si="20"/>
        <v>37373</v>
      </c>
      <c r="H491" s="202">
        <v>20601</v>
      </c>
      <c r="I491" s="15">
        <v>20620</v>
      </c>
      <c r="J491" s="202">
        <v>1938</v>
      </c>
      <c r="K491" s="14">
        <v>2112</v>
      </c>
      <c r="L491" s="203">
        <v>10753</v>
      </c>
      <c r="M491" s="110">
        <v>225</v>
      </c>
      <c r="N491" s="110">
        <v>0</v>
      </c>
      <c r="O491" s="13">
        <v>14557</v>
      </c>
      <c r="P491" s="272">
        <v>84</v>
      </c>
      <c r="Q491" s="128">
        <v>0</v>
      </c>
      <c r="R491" s="202"/>
      <c r="S491" s="46"/>
      <c r="T491" s="196">
        <f t="shared" ref="T491:T554" si="22">SUM(V491,X490,Z491,AA491,AB491,AF491)</f>
        <v>5872</v>
      </c>
      <c r="U491" s="197">
        <f t="shared" si="21"/>
        <v>6397</v>
      </c>
      <c r="V491" s="202">
        <v>1963</v>
      </c>
      <c r="W491" s="15">
        <v>2032</v>
      </c>
      <c r="X491" s="202">
        <v>402</v>
      </c>
      <c r="Y491" s="115">
        <v>570</v>
      </c>
      <c r="Z491" s="203">
        <v>3909</v>
      </c>
      <c r="AA491" s="110">
        <v>0</v>
      </c>
      <c r="AB491" s="110">
        <v>0</v>
      </c>
      <c r="AC491" s="11">
        <v>3786</v>
      </c>
      <c r="AD491" s="272">
        <v>9</v>
      </c>
      <c r="AE491" s="128">
        <v>0</v>
      </c>
      <c r="AF491" s="202"/>
      <c r="AG491" s="49"/>
    </row>
    <row r="492" spans="1:34" s="222" customFormat="1">
      <c r="A492" s="183" t="s">
        <v>646</v>
      </c>
      <c r="B492" s="20" t="s">
        <v>677</v>
      </c>
      <c r="C492" s="12"/>
      <c r="D492" s="18">
        <v>224545</v>
      </c>
      <c r="E492" s="18">
        <v>4</v>
      </c>
      <c r="F492" s="194">
        <f t="shared" si="16"/>
        <v>39565</v>
      </c>
      <c r="G492" s="195">
        <f t="shared" si="20"/>
        <v>41705</v>
      </c>
      <c r="H492" s="202">
        <v>27577</v>
      </c>
      <c r="I492" s="14">
        <v>21042</v>
      </c>
      <c r="J492" s="202">
        <v>1383</v>
      </c>
      <c r="K492" s="14">
        <v>2894</v>
      </c>
      <c r="L492" s="203">
        <v>10473</v>
      </c>
      <c r="M492" s="110">
        <v>132</v>
      </c>
      <c r="N492" s="110">
        <v>0</v>
      </c>
      <c r="O492" s="13">
        <v>17712</v>
      </c>
      <c r="P492" s="272">
        <v>57</v>
      </c>
      <c r="Q492" s="128">
        <v>0</v>
      </c>
      <c r="R492" s="202"/>
      <c r="S492" s="46"/>
      <c r="T492" s="196">
        <f t="shared" si="22"/>
        <v>10705</v>
      </c>
      <c r="U492" s="197">
        <f t="shared" si="21"/>
        <v>10217</v>
      </c>
      <c r="V492" s="202">
        <v>6895</v>
      </c>
      <c r="W492" s="14">
        <v>5306</v>
      </c>
      <c r="X492" s="202">
        <v>0</v>
      </c>
      <c r="Y492" s="115">
        <v>66</v>
      </c>
      <c r="Z492" s="203">
        <v>3408</v>
      </c>
      <c r="AA492" s="110">
        <v>0</v>
      </c>
      <c r="AB492" s="110">
        <v>0</v>
      </c>
      <c r="AC492" s="13">
        <v>4845</v>
      </c>
      <c r="AD492" s="271">
        <v>0</v>
      </c>
      <c r="AE492" s="128">
        <v>0</v>
      </c>
      <c r="AF492" s="202"/>
      <c r="AG492" s="49"/>
    </row>
    <row r="493" spans="1:34" s="222" customFormat="1">
      <c r="A493" s="183" t="s">
        <v>646</v>
      </c>
      <c r="B493" s="20" t="s">
        <v>678</v>
      </c>
      <c r="C493" s="12"/>
      <c r="D493" s="18">
        <v>225502</v>
      </c>
      <c r="E493" s="18">
        <v>4</v>
      </c>
      <c r="F493" s="194">
        <f t="shared" si="16"/>
        <v>67966</v>
      </c>
      <c r="G493" s="195">
        <f t="shared" si="20"/>
        <v>66020</v>
      </c>
      <c r="H493" s="202">
        <v>19961</v>
      </c>
      <c r="I493" s="14">
        <v>22349</v>
      </c>
      <c r="J493" s="202">
        <v>6640</v>
      </c>
      <c r="K493" s="14">
        <v>4539</v>
      </c>
      <c r="L493" s="203">
        <v>38445</v>
      </c>
      <c r="M493" s="110">
        <v>2920</v>
      </c>
      <c r="N493" s="110">
        <v>0</v>
      </c>
      <c r="O493" s="11">
        <v>37026</v>
      </c>
      <c r="P493" s="13">
        <v>2106</v>
      </c>
      <c r="Q493" s="128">
        <v>0</v>
      </c>
      <c r="R493" s="202"/>
      <c r="S493" s="46"/>
      <c r="T493" s="196">
        <f t="shared" si="22"/>
        <v>16476</v>
      </c>
      <c r="U493" s="197">
        <f t="shared" si="21"/>
        <v>17759</v>
      </c>
      <c r="V493" s="202">
        <v>252</v>
      </c>
      <c r="W493" s="156">
        <v>414</v>
      </c>
      <c r="X493" s="202">
        <v>2445</v>
      </c>
      <c r="Y493" s="115">
        <v>1947</v>
      </c>
      <c r="Z493" s="203">
        <v>15201</v>
      </c>
      <c r="AA493" s="110">
        <v>1023</v>
      </c>
      <c r="AB493" s="110">
        <v>0</v>
      </c>
      <c r="AC493" s="11">
        <v>14891</v>
      </c>
      <c r="AD493" s="13">
        <v>507</v>
      </c>
      <c r="AE493" s="128">
        <v>0</v>
      </c>
      <c r="AF493" s="202"/>
      <c r="AG493" s="49"/>
    </row>
    <row r="494" spans="1:34" s="222" customFormat="1">
      <c r="A494" s="183" t="s">
        <v>646</v>
      </c>
      <c r="B494" s="20" t="s">
        <v>679</v>
      </c>
      <c r="C494" s="12"/>
      <c r="D494" s="18" t="s">
        <v>680</v>
      </c>
      <c r="E494" s="18">
        <v>5</v>
      </c>
      <c r="F494" s="194">
        <f t="shared" si="16"/>
        <v>14933</v>
      </c>
      <c r="G494" s="195">
        <f t="shared" si="20"/>
        <v>15705</v>
      </c>
      <c r="H494" s="202">
        <v>3242</v>
      </c>
      <c r="I494" s="15">
        <v>3177</v>
      </c>
      <c r="J494" s="202">
        <v>0</v>
      </c>
      <c r="K494" s="128">
        <v>0</v>
      </c>
      <c r="L494" s="203">
        <v>6618</v>
      </c>
      <c r="M494" s="110">
        <v>5073</v>
      </c>
      <c r="N494" s="110">
        <v>0</v>
      </c>
      <c r="O494" s="13">
        <v>7281</v>
      </c>
      <c r="P494" s="11">
        <v>5247</v>
      </c>
      <c r="Q494" s="128">
        <v>0</v>
      </c>
      <c r="R494" s="202"/>
      <c r="S494" s="46"/>
      <c r="T494" s="196">
        <f t="shared" si="22"/>
        <v>5112</v>
      </c>
      <c r="U494" s="197">
        <f t="shared" si="21"/>
        <v>2361</v>
      </c>
      <c r="V494" s="202">
        <v>1341</v>
      </c>
      <c r="W494" s="14">
        <v>939</v>
      </c>
      <c r="X494" s="202">
        <v>0</v>
      </c>
      <c r="Y494" s="189">
        <v>0</v>
      </c>
      <c r="Z494" s="203">
        <v>1038</v>
      </c>
      <c r="AA494" s="110">
        <v>288</v>
      </c>
      <c r="AB494" s="110">
        <v>0</v>
      </c>
      <c r="AC494" s="13">
        <v>1107</v>
      </c>
      <c r="AD494" s="272">
        <v>315</v>
      </c>
      <c r="AE494" s="128">
        <v>0</v>
      </c>
      <c r="AF494" s="202"/>
      <c r="AG494" s="49"/>
    </row>
    <row r="495" spans="1:34" s="222" customFormat="1">
      <c r="A495" s="183" t="s">
        <v>646</v>
      </c>
      <c r="B495" s="20" t="s">
        <v>681</v>
      </c>
      <c r="C495" s="19"/>
      <c r="D495" s="18">
        <v>870501</v>
      </c>
      <c r="E495" s="18">
        <v>5</v>
      </c>
      <c r="F495" s="194">
        <f t="shared" si="16"/>
        <v>72599</v>
      </c>
      <c r="G495" s="195">
        <f t="shared" si="20"/>
        <v>88219</v>
      </c>
      <c r="H495" s="202">
        <v>40656</v>
      </c>
      <c r="I495" s="14">
        <v>70110</v>
      </c>
      <c r="J495" s="202">
        <v>2396</v>
      </c>
      <c r="K495" s="14">
        <v>2641</v>
      </c>
      <c r="L495" s="203">
        <v>29547</v>
      </c>
      <c r="M495" s="110">
        <v>0</v>
      </c>
      <c r="N495" s="110">
        <v>0</v>
      </c>
      <c r="O495" s="13">
        <v>13041</v>
      </c>
      <c r="P495" s="271">
        <v>0</v>
      </c>
      <c r="Q495" s="14">
        <v>2427</v>
      </c>
      <c r="R495" s="202"/>
      <c r="S495" s="46"/>
      <c r="T495" s="196">
        <f t="shared" si="22"/>
        <v>14530</v>
      </c>
      <c r="U495" s="197">
        <f t="shared" si="21"/>
        <v>13170</v>
      </c>
      <c r="V495" s="202">
        <v>5848</v>
      </c>
      <c r="W495" s="14">
        <v>9297</v>
      </c>
      <c r="X495" s="202">
        <v>306</v>
      </c>
      <c r="Y495" s="115">
        <v>201</v>
      </c>
      <c r="Z495" s="203">
        <v>8676</v>
      </c>
      <c r="AA495" s="110">
        <v>0</v>
      </c>
      <c r="AB495" s="110">
        <v>6</v>
      </c>
      <c r="AC495" s="13">
        <v>2682</v>
      </c>
      <c r="AD495" s="271">
        <v>0</v>
      </c>
      <c r="AE495" s="156">
        <v>990</v>
      </c>
      <c r="AF495" s="202"/>
      <c r="AG495" s="49"/>
    </row>
    <row r="496" spans="1:34" s="222" customFormat="1">
      <c r="A496" s="183" t="s">
        <v>646</v>
      </c>
      <c r="B496" s="20" t="s">
        <v>682</v>
      </c>
      <c r="C496" s="12"/>
      <c r="D496" s="18">
        <v>225432</v>
      </c>
      <c r="E496" s="18">
        <v>5</v>
      </c>
      <c r="F496" s="194">
        <f t="shared" si="16"/>
        <v>271798</v>
      </c>
      <c r="G496" s="195">
        <f t="shared" si="20"/>
        <v>259353</v>
      </c>
      <c r="H496" s="202">
        <v>152792</v>
      </c>
      <c r="I496" s="14">
        <v>139172</v>
      </c>
      <c r="J496" s="202">
        <v>9249</v>
      </c>
      <c r="K496" s="15">
        <v>9275</v>
      </c>
      <c r="L496" s="203">
        <v>109718</v>
      </c>
      <c r="M496" s="110">
        <v>39</v>
      </c>
      <c r="N496" s="110">
        <v>0</v>
      </c>
      <c r="O496" s="11">
        <v>110886</v>
      </c>
      <c r="P496" s="272">
        <v>20</v>
      </c>
      <c r="Q496" s="128">
        <v>0</v>
      </c>
      <c r="R496" s="202"/>
      <c r="S496" s="46"/>
      <c r="T496" s="196">
        <f t="shared" si="22"/>
        <v>12769</v>
      </c>
      <c r="U496" s="197">
        <f t="shared" si="21"/>
        <v>22304</v>
      </c>
      <c r="V496" s="202">
        <v>1299</v>
      </c>
      <c r="W496" s="14">
        <v>1913</v>
      </c>
      <c r="X496" s="202">
        <v>240</v>
      </c>
      <c r="Y496" s="115">
        <v>36</v>
      </c>
      <c r="Z496" s="203">
        <v>11164</v>
      </c>
      <c r="AA496" s="110">
        <v>0</v>
      </c>
      <c r="AB496" s="110">
        <v>0</v>
      </c>
      <c r="AC496" s="13">
        <v>20355</v>
      </c>
      <c r="AD496" s="271">
        <v>0</v>
      </c>
      <c r="AE496" s="128">
        <v>0</v>
      </c>
      <c r="AF496" s="202"/>
      <c r="AG496" s="49"/>
    </row>
    <row r="497" spans="1:33" s="222" customFormat="1" ht="15">
      <c r="A497" s="183" t="s">
        <v>646</v>
      </c>
      <c r="B497" s="270" t="s">
        <v>683</v>
      </c>
      <c r="C497" s="358" t="s">
        <v>872</v>
      </c>
      <c r="D497" s="18">
        <v>228714</v>
      </c>
      <c r="E497" s="282">
        <v>5</v>
      </c>
      <c r="F497" s="194">
        <f t="shared" si="16"/>
        <v>62442</v>
      </c>
      <c r="G497" s="195">
        <f t="shared" si="20"/>
        <v>62241</v>
      </c>
      <c r="H497" s="202">
        <v>61176</v>
      </c>
      <c r="I497" s="14">
        <v>57215</v>
      </c>
      <c r="J497" s="202">
        <v>95</v>
      </c>
      <c r="K497" s="14">
        <v>3050</v>
      </c>
      <c r="L497" s="203">
        <v>1123</v>
      </c>
      <c r="M497" s="110">
        <v>0</v>
      </c>
      <c r="N497" s="110">
        <v>48</v>
      </c>
      <c r="O497" s="13">
        <v>1912</v>
      </c>
      <c r="P497" s="271">
        <v>0</v>
      </c>
      <c r="Q497" s="156">
        <v>64</v>
      </c>
      <c r="R497" s="202"/>
      <c r="S497" s="46"/>
      <c r="T497" s="196">
        <f t="shared" si="22"/>
        <v>2450</v>
      </c>
      <c r="U497" s="197">
        <f t="shared" si="21"/>
        <v>2630</v>
      </c>
      <c r="V497" s="202">
        <v>1981</v>
      </c>
      <c r="W497" s="14">
        <v>2110</v>
      </c>
      <c r="X497" s="202">
        <v>0</v>
      </c>
      <c r="Y497" s="115">
        <v>97</v>
      </c>
      <c r="Z497" s="203">
        <v>229</v>
      </c>
      <c r="AA497" s="110">
        <v>0</v>
      </c>
      <c r="AB497" s="110">
        <v>0</v>
      </c>
      <c r="AC497" s="272">
        <v>423</v>
      </c>
      <c r="AD497" s="271">
        <v>0</v>
      </c>
      <c r="AE497" s="128">
        <v>0</v>
      </c>
      <c r="AF497" s="202"/>
      <c r="AG497" s="49"/>
    </row>
    <row r="498" spans="1:33" s="222" customFormat="1">
      <c r="A498" s="183" t="s">
        <v>646</v>
      </c>
      <c r="B498" s="279" t="s">
        <v>684</v>
      </c>
      <c r="C498" s="280"/>
      <c r="D498" s="18">
        <v>223506</v>
      </c>
      <c r="E498" s="18">
        <v>7</v>
      </c>
      <c r="F498" s="194">
        <f t="shared" si="16"/>
        <v>74685</v>
      </c>
      <c r="G498" s="195">
        <f t="shared" si="20"/>
        <v>76185</v>
      </c>
      <c r="H498" s="202">
        <v>51817</v>
      </c>
      <c r="I498" s="15">
        <v>52596</v>
      </c>
      <c r="J498" s="202">
        <v>5331</v>
      </c>
      <c r="K498" s="14">
        <v>4999</v>
      </c>
      <c r="L498" s="203">
        <v>17537</v>
      </c>
      <c r="M498" s="110">
        <v>0</v>
      </c>
      <c r="N498" s="110">
        <v>0</v>
      </c>
      <c r="O498" s="13">
        <v>18590</v>
      </c>
      <c r="P498" s="271">
        <v>0</v>
      </c>
      <c r="Q498" s="128">
        <v>0</v>
      </c>
      <c r="R498" s="202"/>
      <c r="S498" s="46"/>
      <c r="T498" s="196">
        <f t="shared" si="22"/>
        <v>0</v>
      </c>
      <c r="U498" s="197">
        <f t="shared" si="21"/>
        <v>0</v>
      </c>
      <c r="V498" s="202">
        <v>0</v>
      </c>
      <c r="W498" s="128">
        <v>0</v>
      </c>
      <c r="X498" s="202">
        <v>0</v>
      </c>
      <c r="Y498" s="189">
        <v>0</v>
      </c>
      <c r="Z498" s="203">
        <v>0</v>
      </c>
      <c r="AA498" s="110">
        <v>0</v>
      </c>
      <c r="AB498" s="110">
        <v>0</v>
      </c>
      <c r="AC498" s="271">
        <v>0</v>
      </c>
      <c r="AD498" s="271">
        <v>0</v>
      </c>
      <c r="AE498" s="128">
        <v>0</v>
      </c>
      <c r="AF498" s="202"/>
      <c r="AG498" s="49"/>
    </row>
    <row r="499" spans="1:33" s="222" customFormat="1">
      <c r="A499" s="183" t="s">
        <v>646</v>
      </c>
      <c r="B499" s="279" t="s">
        <v>685</v>
      </c>
      <c r="C499" s="280"/>
      <c r="D499" s="18">
        <v>226806</v>
      </c>
      <c r="E499" s="18">
        <v>7</v>
      </c>
      <c r="F499" s="194">
        <f t="shared" si="16"/>
        <v>107508</v>
      </c>
      <c r="G499" s="195">
        <f t="shared" si="20"/>
        <v>113676</v>
      </c>
      <c r="H499" s="202">
        <v>60533</v>
      </c>
      <c r="I499" s="15">
        <v>59021</v>
      </c>
      <c r="J499" s="202">
        <v>5490</v>
      </c>
      <c r="K499" s="14">
        <v>8915</v>
      </c>
      <c r="L499" s="203">
        <v>40632</v>
      </c>
      <c r="M499" s="110">
        <v>853</v>
      </c>
      <c r="N499" s="110">
        <v>0</v>
      </c>
      <c r="O499" s="13">
        <v>44958</v>
      </c>
      <c r="P499" s="272">
        <v>782</v>
      </c>
      <c r="Q499" s="128">
        <v>0</v>
      </c>
      <c r="R499" s="202"/>
      <c r="S499" s="46"/>
      <c r="T499" s="196">
        <f t="shared" si="22"/>
        <v>0</v>
      </c>
      <c r="U499" s="197">
        <f t="shared" si="21"/>
        <v>0</v>
      </c>
      <c r="V499" s="202">
        <v>0</v>
      </c>
      <c r="W499" s="128">
        <v>0</v>
      </c>
      <c r="X499" s="202">
        <v>0</v>
      </c>
      <c r="Y499" s="189">
        <v>0</v>
      </c>
      <c r="Z499" s="203">
        <v>0</v>
      </c>
      <c r="AA499" s="110">
        <v>0</v>
      </c>
      <c r="AB499" s="110">
        <v>0</v>
      </c>
      <c r="AC499" s="271">
        <v>0</v>
      </c>
      <c r="AD499" s="271">
        <v>0</v>
      </c>
      <c r="AE499" s="128">
        <v>0</v>
      </c>
      <c r="AF499" s="202"/>
      <c r="AG499" s="49"/>
    </row>
    <row r="500" spans="1:33" s="222" customFormat="1">
      <c r="A500" s="183" t="s">
        <v>646</v>
      </c>
      <c r="B500" s="279" t="s">
        <v>686</v>
      </c>
      <c r="C500" s="280"/>
      <c r="D500" s="18">
        <v>409315</v>
      </c>
      <c r="E500" s="281">
        <v>7</v>
      </c>
      <c r="F500" s="194">
        <f t="shared" si="16"/>
        <v>603524</v>
      </c>
      <c r="G500" s="195">
        <f t="shared" si="20"/>
        <v>628886</v>
      </c>
      <c r="H500" s="202">
        <v>493053</v>
      </c>
      <c r="I500" s="15">
        <v>501486</v>
      </c>
      <c r="J500" s="202">
        <v>0</v>
      </c>
      <c r="K500" s="128">
        <v>0</v>
      </c>
      <c r="L500" s="203">
        <v>109348</v>
      </c>
      <c r="M500" s="110">
        <v>0</v>
      </c>
      <c r="N500" s="110">
        <v>1123</v>
      </c>
      <c r="O500" s="13">
        <v>123559</v>
      </c>
      <c r="P500" s="271">
        <v>0</v>
      </c>
      <c r="Q500" s="14">
        <v>3841</v>
      </c>
      <c r="R500" s="202"/>
      <c r="S500" s="46"/>
      <c r="T500" s="196">
        <f t="shared" si="22"/>
        <v>0</v>
      </c>
      <c r="U500" s="197">
        <f t="shared" si="21"/>
        <v>0</v>
      </c>
      <c r="V500" s="202">
        <v>0</v>
      </c>
      <c r="W500" s="128">
        <v>0</v>
      </c>
      <c r="X500" s="202">
        <v>0</v>
      </c>
      <c r="Y500" s="189">
        <v>0</v>
      </c>
      <c r="Z500" s="203">
        <v>0</v>
      </c>
      <c r="AA500" s="110">
        <v>0</v>
      </c>
      <c r="AB500" s="110">
        <v>0</v>
      </c>
      <c r="AC500" s="271">
        <v>0</v>
      </c>
      <c r="AD500" s="271">
        <v>0</v>
      </c>
      <c r="AE500" s="128">
        <v>0</v>
      </c>
      <c r="AF500" s="202"/>
      <c r="AG500" s="49"/>
    </row>
    <row r="501" spans="1:33" s="222" customFormat="1">
      <c r="A501" s="183" t="s">
        <v>646</v>
      </c>
      <c r="B501" s="20" t="s">
        <v>687</v>
      </c>
      <c r="C501" s="12"/>
      <c r="D501" s="18">
        <v>222576</v>
      </c>
      <c r="E501" s="18">
        <v>8</v>
      </c>
      <c r="F501" s="194">
        <f t="shared" si="16"/>
        <v>172237</v>
      </c>
      <c r="G501" s="195">
        <f t="shared" si="20"/>
        <v>161997</v>
      </c>
      <c r="H501" s="202">
        <v>99856</v>
      </c>
      <c r="I501" s="14">
        <v>85447</v>
      </c>
      <c r="J501" s="202">
        <v>13324</v>
      </c>
      <c r="K501" s="15">
        <v>13938</v>
      </c>
      <c r="L501" s="203">
        <v>59057</v>
      </c>
      <c r="M501" s="110">
        <v>0</v>
      </c>
      <c r="N501" s="110">
        <v>0</v>
      </c>
      <c r="O501" s="13">
        <v>62612</v>
      </c>
      <c r="P501" s="271">
        <v>0</v>
      </c>
      <c r="Q501" s="128">
        <v>0</v>
      </c>
      <c r="R501" s="202"/>
      <c r="S501" s="46"/>
      <c r="T501" s="196">
        <f t="shared" si="22"/>
        <v>0</v>
      </c>
      <c r="U501" s="197">
        <f t="shared" si="21"/>
        <v>0</v>
      </c>
      <c r="V501" s="202">
        <v>0</v>
      </c>
      <c r="W501" s="128">
        <v>0</v>
      </c>
      <c r="X501" s="202">
        <v>0</v>
      </c>
      <c r="Y501" s="189">
        <v>0</v>
      </c>
      <c r="Z501" s="203">
        <v>0</v>
      </c>
      <c r="AA501" s="110">
        <v>0</v>
      </c>
      <c r="AB501" s="110">
        <v>0</v>
      </c>
      <c r="AC501" s="271">
        <v>0</v>
      </c>
      <c r="AD501" s="271">
        <v>0</v>
      </c>
      <c r="AE501" s="128">
        <v>0</v>
      </c>
      <c r="AF501" s="202"/>
      <c r="AG501" s="49"/>
    </row>
    <row r="502" spans="1:33" s="222" customFormat="1">
      <c r="A502" s="183" t="s">
        <v>646</v>
      </c>
      <c r="B502" s="20" t="s">
        <v>688</v>
      </c>
      <c r="C502" s="12"/>
      <c r="D502" s="18">
        <v>222992</v>
      </c>
      <c r="E502" s="18">
        <v>8</v>
      </c>
      <c r="F502" s="194">
        <f t="shared" si="16"/>
        <v>734922</v>
      </c>
      <c r="G502" s="195">
        <f t="shared" si="20"/>
        <v>722059</v>
      </c>
      <c r="H502" s="202">
        <v>567095</v>
      </c>
      <c r="I502" s="15">
        <v>550706</v>
      </c>
      <c r="J502" s="202">
        <v>44052</v>
      </c>
      <c r="K502" s="15">
        <v>44990</v>
      </c>
      <c r="L502" s="203">
        <v>123775</v>
      </c>
      <c r="M502" s="110">
        <v>0</v>
      </c>
      <c r="N502" s="110">
        <v>0</v>
      </c>
      <c r="O502" s="11">
        <v>126363</v>
      </c>
      <c r="P502" s="271">
        <v>0</v>
      </c>
      <c r="Q502" s="128">
        <v>0</v>
      </c>
      <c r="R502" s="202"/>
      <c r="S502" s="46"/>
      <c r="T502" s="196">
        <f t="shared" si="22"/>
        <v>0</v>
      </c>
      <c r="U502" s="197">
        <f t="shared" si="21"/>
        <v>0</v>
      </c>
      <c r="V502" s="202">
        <v>0</v>
      </c>
      <c r="W502" s="128">
        <v>0</v>
      </c>
      <c r="X502" s="202">
        <v>0</v>
      </c>
      <c r="Y502" s="189">
        <v>0</v>
      </c>
      <c r="Z502" s="203">
        <v>0</v>
      </c>
      <c r="AA502" s="110">
        <v>0</v>
      </c>
      <c r="AB502" s="110">
        <v>0</v>
      </c>
      <c r="AC502" s="271">
        <v>0</v>
      </c>
      <c r="AD502" s="271">
        <v>0</v>
      </c>
      <c r="AE502" s="128">
        <v>0</v>
      </c>
      <c r="AF502" s="202"/>
      <c r="AG502" s="49"/>
    </row>
    <row r="503" spans="1:33" s="222" customFormat="1">
      <c r="A503" s="183" t="s">
        <v>646</v>
      </c>
      <c r="B503" s="20" t="s">
        <v>689</v>
      </c>
      <c r="C503" s="12"/>
      <c r="D503" s="18">
        <v>223427</v>
      </c>
      <c r="E503" s="18">
        <v>8</v>
      </c>
      <c r="F503" s="194">
        <f t="shared" si="16"/>
        <v>426719</v>
      </c>
      <c r="G503" s="195">
        <f t="shared" si="20"/>
        <v>411099</v>
      </c>
      <c r="H503" s="202">
        <v>54251</v>
      </c>
      <c r="I503" s="15">
        <v>52245</v>
      </c>
      <c r="J503" s="202">
        <v>273162</v>
      </c>
      <c r="K503" s="15">
        <v>263569</v>
      </c>
      <c r="L503" s="203">
        <v>99159</v>
      </c>
      <c r="M503" s="110">
        <v>126</v>
      </c>
      <c r="N503" s="110">
        <v>21</v>
      </c>
      <c r="O503" s="11">
        <v>94757</v>
      </c>
      <c r="P503" s="272">
        <v>528</v>
      </c>
      <c r="Q503" s="156">
        <v>0</v>
      </c>
      <c r="R503" s="202"/>
      <c r="S503" s="46"/>
      <c r="T503" s="196">
        <f t="shared" si="22"/>
        <v>0</v>
      </c>
      <c r="U503" s="197">
        <f t="shared" si="21"/>
        <v>0</v>
      </c>
      <c r="V503" s="202">
        <v>0</v>
      </c>
      <c r="W503" s="128">
        <v>0</v>
      </c>
      <c r="X503" s="202">
        <v>0</v>
      </c>
      <c r="Y503" s="189">
        <v>0</v>
      </c>
      <c r="Z503" s="203">
        <v>0</v>
      </c>
      <c r="AA503" s="110">
        <v>0</v>
      </c>
      <c r="AB503" s="110">
        <v>0</v>
      </c>
      <c r="AC503" s="271">
        <v>0</v>
      </c>
      <c r="AD503" s="271">
        <v>0</v>
      </c>
      <c r="AE503" s="128">
        <v>0</v>
      </c>
      <c r="AF503" s="202"/>
      <c r="AG503" s="49"/>
    </row>
    <row r="504" spans="1:33" s="222" customFormat="1">
      <c r="A504" s="183" t="s">
        <v>646</v>
      </c>
      <c r="B504" s="20" t="s">
        <v>690</v>
      </c>
      <c r="C504" s="12"/>
      <c r="D504" s="18">
        <v>223524</v>
      </c>
      <c r="E504" s="18">
        <v>8</v>
      </c>
      <c r="F504" s="194">
        <f t="shared" si="16"/>
        <v>188199</v>
      </c>
      <c r="G504" s="195">
        <f t="shared" si="20"/>
        <v>186878</v>
      </c>
      <c r="H504" s="202">
        <v>118009</v>
      </c>
      <c r="I504" s="15">
        <v>116937</v>
      </c>
      <c r="J504" s="202">
        <v>3521</v>
      </c>
      <c r="K504" s="14">
        <v>4646</v>
      </c>
      <c r="L504" s="203">
        <v>66669</v>
      </c>
      <c r="M504" s="110">
        <v>0</v>
      </c>
      <c r="N504" s="110">
        <v>0</v>
      </c>
      <c r="O504" s="11">
        <v>65295</v>
      </c>
      <c r="P504" s="271">
        <v>0</v>
      </c>
      <c r="Q504" s="128">
        <v>0</v>
      </c>
      <c r="R504" s="202"/>
      <c r="S504" s="46"/>
      <c r="T504" s="196">
        <f t="shared" si="22"/>
        <v>0</v>
      </c>
      <c r="U504" s="197">
        <f t="shared" si="21"/>
        <v>0</v>
      </c>
      <c r="V504" s="202">
        <v>0</v>
      </c>
      <c r="W504" s="128">
        <v>0</v>
      </c>
      <c r="X504" s="202">
        <v>0</v>
      </c>
      <c r="Y504" s="189">
        <v>0</v>
      </c>
      <c r="Z504" s="203">
        <v>0</v>
      </c>
      <c r="AA504" s="110">
        <v>0</v>
      </c>
      <c r="AB504" s="110">
        <v>0</v>
      </c>
      <c r="AC504" s="271">
        <v>0</v>
      </c>
      <c r="AD504" s="271">
        <v>0</v>
      </c>
      <c r="AE504" s="128">
        <v>0</v>
      </c>
      <c r="AF504" s="202"/>
      <c r="AG504" s="49"/>
    </row>
    <row r="505" spans="1:33" s="222" customFormat="1">
      <c r="A505" s="183" t="s">
        <v>646</v>
      </c>
      <c r="B505" s="20" t="s">
        <v>691</v>
      </c>
      <c r="C505" s="12"/>
      <c r="D505" s="18">
        <v>223816</v>
      </c>
      <c r="E505" s="18">
        <v>8</v>
      </c>
      <c r="F505" s="194">
        <f t="shared" si="16"/>
        <v>261530</v>
      </c>
      <c r="G505" s="195">
        <f t="shared" si="20"/>
        <v>245705</v>
      </c>
      <c r="H505" s="202">
        <v>88156</v>
      </c>
      <c r="I505" s="14">
        <v>78350</v>
      </c>
      <c r="J505" s="202">
        <v>38806</v>
      </c>
      <c r="K505" s="14">
        <v>34068</v>
      </c>
      <c r="L505" s="203">
        <v>119749</v>
      </c>
      <c r="M505" s="110">
        <v>366</v>
      </c>
      <c r="N505" s="110">
        <v>14453</v>
      </c>
      <c r="O505" s="11">
        <v>121107</v>
      </c>
      <c r="P505" s="272">
        <v>156</v>
      </c>
      <c r="Q505" s="14">
        <v>12024</v>
      </c>
      <c r="R505" s="202"/>
      <c r="S505" s="46"/>
      <c r="T505" s="196">
        <f t="shared" si="22"/>
        <v>0</v>
      </c>
      <c r="U505" s="197">
        <f t="shared" si="21"/>
        <v>0</v>
      </c>
      <c r="V505" s="202">
        <v>0</v>
      </c>
      <c r="W505" s="128">
        <v>0</v>
      </c>
      <c r="X505" s="202">
        <v>0</v>
      </c>
      <c r="Y505" s="189">
        <v>0</v>
      </c>
      <c r="Z505" s="203">
        <v>0</v>
      </c>
      <c r="AA505" s="110">
        <v>0</v>
      </c>
      <c r="AB505" s="110">
        <v>0</v>
      </c>
      <c r="AC505" s="271">
        <v>0</v>
      </c>
      <c r="AD505" s="271">
        <v>0</v>
      </c>
      <c r="AE505" s="128">
        <v>0</v>
      </c>
      <c r="AF505" s="202"/>
      <c r="AG505" s="49"/>
    </row>
    <row r="506" spans="1:33" s="222" customFormat="1">
      <c r="A506" s="183" t="s">
        <v>646</v>
      </c>
      <c r="B506" s="20" t="s">
        <v>692</v>
      </c>
      <c r="C506" s="12"/>
      <c r="D506" s="18">
        <v>247834</v>
      </c>
      <c r="E506" s="18">
        <v>8</v>
      </c>
      <c r="F506" s="194">
        <f t="shared" si="16"/>
        <v>537411</v>
      </c>
      <c r="G506" s="195">
        <f t="shared" si="20"/>
        <v>550668</v>
      </c>
      <c r="H506" s="202">
        <v>420314</v>
      </c>
      <c r="I506" s="15">
        <v>424146</v>
      </c>
      <c r="J506" s="202">
        <v>22918</v>
      </c>
      <c r="K506" s="14">
        <v>28596</v>
      </c>
      <c r="L506" s="203">
        <v>94179</v>
      </c>
      <c r="M506" s="110">
        <v>0</v>
      </c>
      <c r="N506" s="110">
        <v>0</v>
      </c>
      <c r="O506" s="11">
        <v>97926</v>
      </c>
      <c r="P506" s="271">
        <v>0</v>
      </c>
      <c r="Q506" s="128">
        <v>0</v>
      </c>
      <c r="R506" s="202"/>
      <c r="S506" s="46"/>
      <c r="T506" s="196">
        <f t="shared" si="22"/>
        <v>0</v>
      </c>
      <c r="U506" s="197">
        <f t="shared" si="21"/>
        <v>0</v>
      </c>
      <c r="V506" s="202">
        <v>0</v>
      </c>
      <c r="W506" s="128">
        <v>0</v>
      </c>
      <c r="X506" s="202">
        <v>0</v>
      </c>
      <c r="Y506" s="189">
        <v>0</v>
      </c>
      <c r="Z506" s="203">
        <v>0</v>
      </c>
      <c r="AA506" s="110">
        <v>0</v>
      </c>
      <c r="AB506" s="110">
        <v>0</v>
      </c>
      <c r="AC506" s="271">
        <v>0</v>
      </c>
      <c r="AD506" s="271">
        <v>0</v>
      </c>
      <c r="AE506" s="128">
        <v>0</v>
      </c>
      <c r="AF506" s="202"/>
      <c r="AG506" s="49"/>
    </row>
    <row r="507" spans="1:33" s="222" customFormat="1">
      <c r="A507" s="183" t="s">
        <v>646</v>
      </c>
      <c r="B507" s="20" t="s">
        <v>693</v>
      </c>
      <c r="C507" s="12"/>
      <c r="D507" s="18">
        <v>224350</v>
      </c>
      <c r="E507" s="18">
        <v>8</v>
      </c>
      <c r="F507" s="194">
        <f t="shared" si="16"/>
        <v>195701</v>
      </c>
      <c r="G507" s="195">
        <f t="shared" si="20"/>
        <v>208691</v>
      </c>
      <c r="H507" s="202">
        <v>176977</v>
      </c>
      <c r="I507" s="15">
        <v>183582</v>
      </c>
      <c r="J507" s="202">
        <v>4178</v>
      </c>
      <c r="K507" s="14">
        <v>4958</v>
      </c>
      <c r="L507" s="203">
        <v>14546</v>
      </c>
      <c r="M507" s="110">
        <v>0</v>
      </c>
      <c r="N507" s="110">
        <v>0</v>
      </c>
      <c r="O507" s="13">
        <v>20151</v>
      </c>
      <c r="P507" s="271">
        <v>0</v>
      </c>
      <c r="Q507" s="128">
        <v>0</v>
      </c>
      <c r="R507" s="202"/>
      <c r="S507" s="46"/>
      <c r="T507" s="196">
        <f t="shared" si="22"/>
        <v>0</v>
      </c>
      <c r="U507" s="197">
        <f t="shared" si="21"/>
        <v>0</v>
      </c>
      <c r="V507" s="202">
        <v>0</v>
      </c>
      <c r="W507" s="128">
        <v>0</v>
      </c>
      <c r="X507" s="202">
        <v>0</v>
      </c>
      <c r="Y507" s="189">
        <v>0</v>
      </c>
      <c r="Z507" s="203">
        <v>0</v>
      </c>
      <c r="AA507" s="110">
        <v>0</v>
      </c>
      <c r="AB507" s="110">
        <v>0</v>
      </c>
      <c r="AC507" s="271">
        <v>0</v>
      </c>
      <c r="AD507" s="271">
        <v>0</v>
      </c>
      <c r="AE507" s="128">
        <v>0</v>
      </c>
      <c r="AF507" s="202"/>
      <c r="AG507" s="49"/>
    </row>
    <row r="508" spans="1:33" s="222" customFormat="1">
      <c r="A508" s="183" t="s">
        <v>646</v>
      </c>
      <c r="B508" s="20" t="s">
        <v>694</v>
      </c>
      <c r="C508" s="12"/>
      <c r="D508" s="18">
        <v>224572</v>
      </c>
      <c r="E508" s="18">
        <v>8</v>
      </c>
      <c r="F508" s="194">
        <f t="shared" si="16"/>
        <v>236561</v>
      </c>
      <c r="G508" s="195">
        <f t="shared" si="20"/>
        <v>234873</v>
      </c>
      <c r="H508" s="202">
        <v>147348</v>
      </c>
      <c r="I508" s="15">
        <v>142837</v>
      </c>
      <c r="J508" s="202">
        <v>83</v>
      </c>
      <c r="K508" s="14">
        <v>1302</v>
      </c>
      <c r="L508" s="203">
        <v>88909</v>
      </c>
      <c r="M508" s="110">
        <v>0</v>
      </c>
      <c r="N508" s="110">
        <v>221</v>
      </c>
      <c r="O508" s="11">
        <v>90553</v>
      </c>
      <c r="P508" s="271">
        <v>0</v>
      </c>
      <c r="Q508" s="156">
        <v>181</v>
      </c>
      <c r="R508" s="202"/>
      <c r="S508" s="46"/>
      <c r="T508" s="196">
        <f t="shared" si="22"/>
        <v>0</v>
      </c>
      <c r="U508" s="197">
        <f t="shared" si="21"/>
        <v>0</v>
      </c>
      <c r="V508" s="202">
        <v>0</v>
      </c>
      <c r="W508" s="128">
        <v>0</v>
      </c>
      <c r="X508" s="202">
        <v>0</v>
      </c>
      <c r="Y508" s="189">
        <v>0</v>
      </c>
      <c r="Z508" s="203">
        <v>0</v>
      </c>
      <c r="AA508" s="110">
        <v>0</v>
      </c>
      <c r="AB508" s="110">
        <v>0</v>
      </c>
      <c r="AC508" s="271">
        <v>0</v>
      </c>
      <c r="AD508" s="271">
        <v>0</v>
      </c>
      <c r="AE508" s="128">
        <v>0</v>
      </c>
      <c r="AF508" s="202"/>
      <c r="AG508" s="49"/>
    </row>
    <row r="509" spans="1:33" s="222" customFormat="1">
      <c r="A509" s="183" t="s">
        <v>646</v>
      </c>
      <c r="B509" s="279" t="s">
        <v>695</v>
      </c>
      <c r="C509" s="280"/>
      <c r="D509" s="18">
        <v>224615</v>
      </c>
      <c r="E509" s="18">
        <v>8</v>
      </c>
      <c r="F509" s="194">
        <f t="shared" si="16"/>
        <v>155887</v>
      </c>
      <c r="G509" s="195">
        <f t="shared" si="20"/>
        <v>152355</v>
      </c>
      <c r="H509" s="202">
        <v>106985</v>
      </c>
      <c r="I509" s="14">
        <v>98265</v>
      </c>
      <c r="J509" s="202">
        <v>4403</v>
      </c>
      <c r="K509" s="14">
        <v>8149</v>
      </c>
      <c r="L509" s="203">
        <v>44499</v>
      </c>
      <c r="M509" s="110">
        <v>0</v>
      </c>
      <c r="N509" s="110">
        <v>0</v>
      </c>
      <c r="O509" s="11">
        <v>45941</v>
      </c>
      <c r="P509" s="271">
        <v>0</v>
      </c>
      <c r="Q509" s="128">
        <v>0</v>
      </c>
      <c r="R509" s="202"/>
      <c r="S509" s="46"/>
      <c r="T509" s="196">
        <f t="shared" si="22"/>
        <v>0</v>
      </c>
      <c r="U509" s="197">
        <f t="shared" si="21"/>
        <v>0</v>
      </c>
      <c r="V509" s="202">
        <v>0</v>
      </c>
      <c r="W509" s="128">
        <v>0</v>
      </c>
      <c r="X509" s="202">
        <v>0</v>
      </c>
      <c r="Y509" s="189">
        <v>0</v>
      </c>
      <c r="Z509" s="203">
        <v>0</v>
      </c>
      <c r="AA509" s="110">
        <v>0</v>
      </c>
      <c r="AB509" s="110">
        <v>0</v>
      </c>
      <c r="AC509" s="271">
        <v>0</v>
      </c>
      <c r="AD509" s="271">
        <v>0</v>
      </c>
      <c r="AE509" s="128">
        <v>0</v>
      </c>
      <c r="AF509" s="202"/>
      <c r="AG509" s="49"/>
    </row>
    <row r="510" spans="1:33" s="222" customFormat="1">
      <c r="A510" s="183" t="s">
        <v>646</v>
      </c>
      <c r="B510" s="20" t="s">
        <v>696</v>
      </c>
      <c r="C510" s="12"/>
      <c r="D510" s="18">
        <v>224642</v>
      </c>
      <c r="E510" s="18">
        <v>8</v>
      </c>
      <c r="F510" s="194">
        <f t="shared" si="16"/>
        <v>515925</v>
      </c>
      <c r="G510" s="195">
        <f t="shared" si="20"/>
        <v>523240</v>
      </c>
      <c r="H510" s="202">
        <v>402258</v>
      </c>
      <c r="I510" s="15">
        <v>390784</v>
      </c>
      <c r="J510" s="202">
        <v>46195</v>
      </c>
      <c r="K510" s="14">
        <v>55742</v>
      </c>
      <c r="L510" s="203">
        <v>67472</v>
      </c>
      <c r="M510" s="110">
        <v>0</v>
      </c>
      <c r="N510" s="110">
        <v>0</v>
      </c>
      <c r="O510" s="13">
        <v>76714</v>
      </c>
      <c r="P510" s="271">
        <v>0</v>
      </c>
      <c r="Q510" s="128">
        <v>0</v>
      </c>
      <c r="R510" s="202"/>
      <c r="S510" s="46"/>
      <c r="T510" s="196">
        <f t="shared" si="22"/>
        <v>0</v>
      </c>
      <c r="U510" s="197">
        <f t="shared" si="21"/>
        <v>0</v>
      </c>
      <c r="V510" s="202">
        <v>0</v>
      </c>
      <c r="W510" s="128">
        <v>0</v>
      </c>
      <c r="X510" s="202">
        <v>0</v>
      </c>
      <c r="Y510" s="189">
        <v>0</v>
      </c>
      <c r="Z510" s="203">
        <v>0</v>
      </c>
      <c r="AA510" s="110">
        <v>0</v>
      </c>
      <c r="AB510" s="110">
        <v>0</v>
      </c>
      <c r="AC510" s="271">
        <v>0</v>
      </c>
      <c r="AD510" s="271">
        <v>0</v>
      </c>
      <c r="AE510" s="128">
        <v>0</v>
      </c>
      <c r="AF510" s="202"/>
      <c r="AG510" s="49"/>
    </row>
    <row r="511" spans="1:33" s="222" customFormat="1">
      <c r="A511" s="21" t="s">
        <v>646</v>
      </c>
      <c r="B511" s="20" t="s">
        <v>697</v>
      </c>
      <c r="C511" s="12"/>
      <c r="D511" s="18">
        <v>225423</v>
      </c>
      <c r="E511" s="18">
        <v>8</v>
      </c>
      <c r="F511" s="194">
        <f t="shared" si="16"/>
        <v>1107510</v>
      </c>
      <c r="G511" s="195">
        <f t="shared" si="20"/>
        <v>1079180</v>
      </c>
      <c r="H511" s="202">
        <v>544150</v>
      </c>
      <c r="I511" s="15">
        <v>533537</v>
      </c>
      <c r="J511" s="202">
        <v>187760</v>
      </c>
      <c r="K511" s="15">
        <v>189212</v>
      </c>
      <c r="L511" s="203">
        <v>375319</v>
      </c>
      <c r="M511" s="110">
        <v>0</v>
      </c>
      <c r="N511" s="110">
        <v>281</v>
      </c>
      <c r="O511" s="13">
        <v>356405</v>
      </c>
      <c r="P511" s="271">
        <v>0</v>
      </c>
      <c r="Q511" s="156">
        <v>26</v>
      </c>
      <c r="R511" s="202"/>
      <c r="S511" s="46"/>
      <c r="T511" s="196">
        <f t="shared" si="22"/>
        <v>0</v>
      </c>
      <c r="U511" s="197">
        <f t="shared" si="21"/>
        <v>0</v>
      </c>
      <c r="V511" s="202">
        <v>0</v>
      </c>
      <c r="W511" s="128">
        <v>0</v>
      </c>
      <c r="X511" s="202">
        <v>0</v>
      </c>
      <c r="Y511" s="189">
        <v>0</v>
      </c>
      <c r="Z511" s="203">
        <v>0</v>
      </c>
      <c r="AA511" s="110">
        <v>0</v>
      </c>
      <c r="AB511" s="110">
        <v>0</v>
      </c>
      <c r="AC511" s="271">
        <v>0</v>
      </c>
      <c r="AD511" s="271">
        <v>0</v>
      </c>
      <c r="AE511" s="128">
        <v>0</v>
      </c>
      <c r="AF511" s="202"/>
      <c r="AG511" s="49"/>
    </row>
    <row r="512" spans="1:33" s="222" customFormat="1">
      <c r="A512" s="21" t="s">
        <v>646</v>
      </c>
      <c r="B512" s="20" t="s">
        <v>698</v>
      </c>
      <c r="C512" s="12"/>
      <c r="D512" s="18">
        <v>226134</v>
      </c>
      <c r="E512" s="18">
        <v>8</v>
      </c>
      <c r="F512" s="194">
        <f t="shared" si="16"/>
        <v>150670</v>
      </c>
      <c r="G512" s="195">
        <f t="shared" si="20"/>
        <v>153689</v>
      </c>
      <c r="H512" s="202">
        <v>122720</v>
      </c>
      <c r="I512" s="15">
        <v>120331</v>
      </c>
      <c r="J512" s="202">
        <v>6141</v>
      </c>
      <c r="K512" s="14">
        <v>11152</v>
      </c>
      <c r="L512" s="203">
        <v>20807</v>
      </c>
      <c r="M512" s="110">
        <v>870</v>
      </c>
      <c r="N512" s="110">
        <v>132</v>
      </c>
      <c r="O512" s="11">
        <v>21321</v>
      </c>
      <c r="P512" s="271">
        <v>885</v>
      </c>
      <c r="Q512" s="156">
        <v>0</v>
      </c>
      <c r="R512" s="202"/>
      <c r="S512" s="46"/>
      <c r="T512" s="196">
        <f t="shared" si="22"/>
        <v>0</v>
      </c>
      <c r="U512" s="197">
        <f t="shared" si="21"/>
        <v>0</v>
      </c>
      <c r="V512" s="202">
        <v>0</v>
      </c>
      <c r="W512" s="128">
        <v>0</v>
      </c>
      <c r="X512" s="202">
        <v>0</v>
      </c>
      <c r="Y512" s="189">
        <v>0</v>
      </c>
      <c r="Z512" s="203">
        <v>0</v>
      </c>
      <c r="AA512" s="110">
        <v>0</v>
      </c>
      <c r="AB512" s="110">
        <v>0</v>
      </c>
      <c r="AC512" s="271">
        <v>0</v>
      </c>
      <c r="AD512" s="271">
        <v>0</v>
      </c>
      <c r="AE512" s="128">
        <v>0</v>
      </c>
      <c r="AF512" s="202"/>
      <c r="AG512" s="49"/>
    </row>
    <row r="513" spans="1:33" s="222" customFormat="1">
      <c r="A513" s="21" t="s">
        <v>646</v>
      </c>
      <c r="B513" s="20" t="s">
        <v>699</v>
      </c>
      <c r="C513" s="12"/>
      <c r="D513" s="18">
        <v>227182</v>
      </c>
      <c r="E513" s="18">
        <v>8</v>
      </c>
      <c r="F513" s="194">
        <f t="shared" si="16"/>
        <v>1268134</v>
      </c>
      <c r="G513" s="195">
        <f t="shared" si="20"/>
        <v>1316520</v>
      </c>
      <c r="H513" s="202">
        <v>850842</v>
      </c>
      <c r="I513" s="15">
        <v>853609</v>
      </c>
      <c r="J513" s="202">
        <v>83874</v>
      </c>
      <c r="K513" s="14">
        <v>98701</v>
      </c>
      <c r="L513" s="203">
        <v>333418</v>
      </c>
      <c r="M513" s="110">
        <v>0</v>
      </c>
      <c r="N513" s="110">
        <v>0</v>
      </c>
      <c r="O513" s="13">
        <v>364039</v>
      </c>
      <c r="P513" s="272">
        <v>108</v>
      </c>
      <c r="Q513" s="156">
        <v>63</v>
      </c>
      <c r="R513" s="202"/>
      <c r="S513" s="46"/>
      <c r="T513" s="196">
        <f t="shared" si="22"/>
        <v>0</v>
      </c>
      <c r="U513" s="197">
        <f t="shared" si="21"/>
        <v>0</v>
      </c>
      <c r="V513" s="202">
        <v>0</v>
      </c>
      <c r="W513" s="128">
        <v>0</v>
      </c>
      <c r="X513" s="202">
        <v>0</v>
      </c>
      <c r="Y513" s="189">
        <v>0</v>
      </c>
      <c r="Z513" s="203">
        <v>0</v>
      </c>
      <c r="AA513" s="110">
        <v>0</v>
      </c>
      <c r="AB513" s="110">
        <v>0</v>
      </c>
      <c r="AC513" s="271">
        <v>0</v>
      </c>
      <c r="AD513" s="271">
        <v>0</v>
      </c>
      <c r="AE513" s="128">
        <v>0</v>
      </c>
      <c r="AF513" s="202"/>
      <c r="AG513" s="49"/>
    </row>
    <row r="514" spans="1:33" s="222" customFormat="1">
      <c r="A514" s="21" t="s">
        <v>646</v>
      </c>
      <c r="B514" s="20" t="s">
        <v>700</v>
      </c>
      <c r="C514" s="12"/>
      <c r="D514" s="18">
        <v>226578</v>
      </c>
      <c r="E514" s="18">
        <v>8</v>
      </c>
      <c r="F514" s="194">
        <f t="shared" si="16"/>
        <v>176780</v>
      </c>
      <c r="G514" s="195">
        <f t="shared" si="20"/>
        <v>181329</v>
      </c>
      <c r="H514" s="202">
        <v>120106</v>
      </c>
      <c r="I514" s="15">
        <v>121540</v>
      </c>
      <c r="J514" s="202">
        <v>79</v>
      </c>
      <c r="K514" s="156">
        <v>532</v>
      </c>
      <c r="L514" s="203">
        <v>56091</v>
      </c>
      <c r="M514" s="110">
        <v>504</v>
      </c>
      <c r="N514" s="110">
        <v>0</v>
      </c>
      <c r="O514" s="13">
        <v>58985</v>
      </c>
      <c r="P514" s="272">
        <v>272</v>
      </c>
      <c r="Q514" s="128">
        <v>0</v>
      </c>
      <c r="R514" s="202"/>
      <c r="S514" s="46"/>
      <c r="T514" s="196">
        <f t="shared" si="22"/>
        <v>0</v>
      </c>
      <c r="U514" s="197">
        <f t="shared" si="21"/>
        <v>0</v>
      </c>
      <c r="V514" s="202">
        <v>0</v>
      </c>
      <c r="W514" s="128">
        <v>0</v>
      </c>
      <c r="X514" s="202">
        <v>0</v>
      </c>
      <c r="Y514" s="189">
        <v>0</v>
      </c>
      <c r="Z514" s="203">
        <v>0</v>
      </c>
      <c r="AA514" s="110">
        <v>0</v>
      </c>
      <c r="AB514" s="110">
        <v>0</v>
      </c>
      <c r="AC514" s="271">
        <v>0</v>
      </c>
      <c r="AD514" s="271">
        <v>0</v>
      </c>
      <c r="AE514" s="128">
        <v>0</v>
      </c>
      <c r="AF514" s="202"/>
      <c r="AG514" s="49"/>
    </row>
    <row r="515" spans="1:33" s="222" customFormat="1">
      <c r="A515" s="21" t="s">
        <v>646</v>
      </c>
      <c r="B515" s="20" t="s">
        <v>701</v>
      </c>
      <c r="C515" s="12"/>
      <c r="D515" s="18">
        <v>227146</v>
      </c>
      <c r="E515" s="281">
        <v>8</v>
      </c>
      <c r="F515" s="194">
        <f t="shared" si="16"/>
        <v>202099</v>
      </c>
      <c r="G515" s="195">
        <f t="shared" si="20"/>
        <v>186963</v>
      </c>
      <c r="H515" s="202">
        <v>61045</v>
      </c>
      <c r="I515" s="14">
        <v>55639</v>
      </c>
      <c r="J515" s="202">
        <v>80893</v>
      </c>
      <c r="K515" s="15">
        <v>79494</v>
      </c>
      <c r="L515" s="203">
        <v>59148</v>
      </c>
      <c r="M515" s="110">
        <v>0</v>
      </c>
      <c r="N515" s="110">
        <v>1013</v>
      </c>
      <c r="O515" s="13">
        <v>51724</v>
      </c>
      <c r="P515" s="271">
        <v>0</v>
      </c>
      <c r="Q515" s="14">
        <v>106</v>
      </c>
      <c r="R515" s="202"/>
      <c r="S515" s="46"/>
      <c r="T515" s="196">
        <f t="shared" si="22"/>
        <v>0</v>
      </c>
      <c r="U515" s="197">
        <f t="shared" si="21"/>
        <v>0</v>
      </c>
      <c r="V515" s="202">
        <v>0</v>
      </c>
      <c r="W515" s="128">
        <v>0</v>
      </c>
      <c r="X515" s="202">
        <v>0</v>
      </c>
      <c r="Y515" s="189">
        <v>0</v>
      </c>
      <c r="Z515" s="203">
        <v>0</v>
      </c>
      <c r="AA515" s="110">
        <v>0</v>
      </c>
      <c r="AB515" s="110">
        <v>0</v>
      </c>
      <c r="AC515" s="271">
        <v>0</v>
      </c>
      <c r="AD515" s="271">
        <v>0</v>
      </c>
      <c r="AE515" s="128">
        <v>0</v>
      </c>
      <c r="AF515" s="202"/>
      <c r="AG515" s="49"/>
    </row>
    <row r="516" spans="1:33" s="222" customFormat="1">
      <c r="A516" s="21" t="s">
        <v>646</v>
      </c>
      <c r="B516" s="279" t="s">
        <v>702</v>
      </c>
      <c r="C516" s="280"/>
      <c r="D516" s="18">
        <v>224110</v>
      </c>
      <c r="E516" s="18">
        <v>8</v>
      </c>
      <c r="F516" s="194">
        <f t="shared" si="16"/>
        <v>179485</v>
      </c>
      <c r="G516" s="195">
        <f t="shared" si="20"/>
        <v>172233</v>
      </c>
      <c r="H516" s="202">
        <v>28456</v>
      </c>
      <c r="I516" s="14">
        <v>24052</v>
      </c>
      <c r="J516" s="202">
        <v>128606</v>
      </c>
      <c r="K516" s="14">
        <v>98352</v>
      </c>
      <c r="L516" s="203">
        <v>22191</v>
      </c>
      <c r="M516" s="110">
        <v>24</v>
      </c>
      <c r="N516" s="110">
        <v>208</v>
      </c>
      <c r="O516" s="13">
        <v>49220</v>
      </c>
      <c r="P516" s="272">
        <v>448</v>
      </c>
      <c r="Q516" s="156">
        <v>161</v>
      </c>
      <c r="R516" s="202"/>
      <c r="S516" s="46"/>
      <c r="T516" s="196">
        <f t="shared" si="22"/>
        <v>0</v>
      </c>
      <c r="U516" s="197">
        <f t="shared" si="21"/>
        <v>0</v>
      </c>
      <c r="V516" s="202">
        <v>0</v>
      </c>
      <c r="W516" s="128">
        <v>0</v>
      </c>
      <c r="X516" s="202">
        <v>0</v>
      </c>
      <c r="Y516" s="189">
        <v>0</v>
      </c>
      <c r="Z516" s="203">
        <v>0</v>
      </c>
      <c r="AA516" s="110">
        <v>0</v>
      </c>
      <c r="AB516" s="110">
        <v>0</v>
      </c>
      <c r="AC516" s="271">
        <v>0</v>
      </c>
      <c r="AD516" s="271">
        <v>0</v>
      </c>
      <c r="AE516" s="128">
        <v>0</v>
      </c>
      <c r="AF516" s="202"/>
      <c r="AG516" s="49"/>
    </row>
    <row r="517" spans="1:33" s="222" customFormat="1">
      <c r="A517" s="21" t="s">
        <v>646</v>
      </c>
      <c r="B517" s="20" t="s">
        <v>703</v>
      </c>
      <c r="C517" s="12"/>
      <c r="D517" s="18">
        <v>227191</v>
      </c>
      <c r="E517" s="18">
        <v>8</v>
      </c>
      <c r="F517" s="194">
        <f t="shared" si="16"/>
        <v>167692</v>
      </c>
      <c r="G517" s="195">
        <f t="shared" si="20"/>
        <v>166239</v>
      </c>
      <c r="H517" s="202">
        <v>118381</v>
      </c>
      <c r="I517" s="14">
        <v>112001</v>
      </c>
      <c r="J517" s="202">
        <v>1712</v>
      </c>
      <c r="K517" s="14">
        <v>1308</v>
      </c>
      <c r="L517" s="203">
        <v>47554</v>
      </c>
      <c r="M517" s="110">
        <v>0</v>
      </c>
      <c r="N517" s="110">
        <v>45</v>
      </c>
      <c r="O517" s="13">
        <v>52930</v>
      </c>
      <c r="P517" s="271">
        <v>0</v>
      </c>
      <c r="Q517" s="156">
        <v>0</v>
      </c>
      <c r="R517" s="202"/>
      <c r="S517" s="46"/>
      <c r="T517" s="196">
        <f t="shared" si="22"/>
        <v>0</v>
      </c>
      <c r="U517" s="197">
        <f t="shared" si="21"/>
        <v>0</v>
      </c>
      <c r="V517" s="202">
        <v>0</v>
      </c>
      <c r="W517" s="128">
        <v>0</v>
      </c>
      <c r="X517" s="202">
        <v>0</v>
      </c>
      <c r="Y517" s="189">
        <v>0</v>
      </c>
      <c r="Z517" s="203">
        <v>0</v>
      </c>
      <c r="AA517" s="110">
        <v>0</v>
      </c>
      <c r="AB517" s="110">
        <v>0</v>
      </c>
      <c r="AC517" s="271">
        <v>0</v>
      </c>
      <c r="AD517" s="271">
        <v>0</v>
      </c>
      <c r="AE517" s="128">
        <v>0</v>
      </c>
      <c r="AF517" s="202"/>
      <c r="AG517" s="49"/>
    </row>
    <row r="518" spans="1:33" s="222" customFormat="1">
      <c r="A518" s="21" t="s">
        <v>646</v>
      </c>
      <c r="B518" s="20" t="s">
        <v>704</v>
      </c>
      <c r="C518" s="12"/>
      <c r="D518" s="18">
        <v>420398</v>
      </c>
      <c r="E518" s="18">
        <v>8</v>
      </c>
      <c r="F518" s="194">
        <f t="shared" si="16"/>
        <v>290179</v>
      </c>
      <c r="G518" s="195">
        <f t="shared" si="20"/>
        <v>295384</v>
      </c>
      <c r="H518" s="202">
        <v>213807</v>
      </c>
      <c r="I518" s="15">
        <v>210864</v>
      </c>
      <c r="J518" s="202">
        <v>27651</v>
      </c>
      <c r="K518" s="14">
        <v>30309</v>
      </c>
      <c r="L518" s="203">
        <v>48721</v>
      </c>
      <c r="M518" s="110">
        <v>0</v>
      </c>
      <c r="N518" s="110">
        <v>0</v>
      </c>
      <c r="O518" s="13">
        <v>54211</v>
      </c>
      <c r="P518" s="271">
        <v>0</v>
      </c>
      <c r="Q518" s="128">
        <v>0</v>
      </c>
      <c r="R518" s="202"/>
      <c r="S518" s="46"/>
      <c r="T518" s="196">
        <f t="shared" si="22"/>
        <v>0</v>
      </c>
      <c r="U518" s="197">
        <f t="shared" si="21"/>
        <v>0</v>
      </c>
      <c r="V518" s="202">
        <v>0</v>
      </c>
      <c r="W518" s="128">
        <v>0</v>
      </c>
      <c r="X518" s="202">
        <v>0</v>
      </c>
      <c r="Y518" s="189">
        <v>0</v>
      </c>
      <c r="Z518" s="203">
        <v>0</v>
      </c>
      <c r="AA518" s="110">
        <v>0</v>
      </c>
      <c r="AB518" s="110">
        <v>0</v>
      </c>
      <c r="AC518" s="271">
        <v>0</v>
      </c>
      <c r="AD518" s="271">
        <v>0</v>
      </c>
      <c r="AE518" s="128">
        <v>0</v>
      </c>
      <c r="AF518" s="202"/>
      <c r="AG518" s="49"/>
    </row>
    <row r="519" spans="1:33" s="222" customFormat="1">
      <c r="A519" s="21" t="s">
        <v>646</v>
      </c>
      <c r="B519" s="20" t="s">
        <v>705</v>
      </c>
      <c r="C519" s="12"/>
      <c r="D519" s="18">
        <v>246354</v>
      </c>
      <c r="E519" s="18">
        <v>8</v>
      </c>
      <c r="F519" s="194">
        <f t="shared" si="16"/>
        <v>146814</v>
      </c>
      <c r="G519" s="195">
        <f t="shared" si="20"/>
        <v>157928</v>
      </c>
      <c r="H519" s="202">
        <v>86865</v>
      </c>
      <c r="I519" s="14">
        <v>97489</v>
      </c>
      <c r="J519" s="202">
        <v>3977</v>
      </c>
      <c r="K519" s="15">
        <v>3879</v>
      </c>
      <c r="L519" s="203">
        <v>54901</v>
      </c>
      <c r="M519" s="110">
        <v>57</v>
      </c>
      <c r="N519" s="110">
        <v>1014</v>
      </c>
      <c r="O519" s="11">
        <v>56560</v>
      </c>
      <c r="P519" s="272">
        <v>0</v>
      </c>
      <c r="Q519" s="14">
        <v>0</v>
      </c>
      <c r="R519" s="202"/>
      <c r="S519" s="46"/>
      <c r="T519" s="196">
        <f t="shared" si="22"/>
        <v>0</v>
      </c>
      <c r="U519" s="197">
        <f t="shared" si="21"/>
        <v>0</v>
      </c>
      <c r="V519" s="202">
        <v>0</v>
      </c>
      <c r="W519" s="128">
        <v>0</v>
      </c>
      <c r="X519" s="202">
        <v>0</v>
      </c>
      <c r="Y519" s="189">
        <v>0</v>
      </c>
      <c r="Z519" s="203">
        <v>0</v>
      </c>
      <c r="AA519" s="110">
        <v>0</v>
      </c>
      <c r="AB519" s="110">
        <v>0</v>
      </c>
      <c r="AC519" s="271">
        <v>0</v>
      </c>
      <c r="AD519" s="271">
        <v>0</v>
      </c>
      <c r="AE519" s="128">
        <v>0</v>
      </c>
      <c r="AF519" s="202"/>
      <c r="AG519" s="49"/>
    </row>
    <row r="520" spans="1:33" s="222" customFormat="1">
      <c r="A520" s="21" t="s">
        <v>646</v>
      </c>
      <c r="B520" s="20" t="s">
        <v>706</v>
      </c>
      <c r="C520" s="12"/>
      <c r="D520" s="18">
        <v>227766</v>
      </c>
      <c r="E520" s="18">
        <v>8</v>
      </c>
      <c r="F520" s="194">
        <f t="shared" si="16"/>
        <v>322325</v>
      </c>
      <c r="G520" s="195">
        <f t="shared" si="20"/>
        <v>322308</v>
      </c>
      <c r="H520" s="202">
        <v>221402</v>
      </c>
      <c r="I520" s="15">
        <v>211060</v>
      </c>
      <c r="J520" s="202">
        <v>781</v>
      </c>
      <c r="K520" s="14">
        <v>3458</v>
      </c>
      <c r="L520" s="203">
        <v>100142</v>
      </c>
      <c r="M520" s="110">
        <v>0</v>
      </c>
      <c r="N520" s="110">
        <v>0</v>
      </c>
      <c r="O520" s="13">
        <v>107790</v>
      </c>
      <c r="P520" s="271">
        <v>0</v>
      </c>
      <c r="Q520" s="128">
        <v>0</v>
      </c>
      <c r="R520" s="202"/>
      <c r="S520" s="46"/>
      <c r="T520" s="196">
        <f t="shared" si="22"/>
        <v>0</v>
      </c>
      <c r="U520" s="197">
        <f t="shared" si="21"/>
        <v>0</v>
      </c>
      <c r="V520" s="202">
        <v>0</v>
      </c>
      <c r="W520" s="128">
        <v>0</v>
      </c>
      <c r="X520" s="202">
        <v>0</v>
      </c>
      <c r="Y520" s="189">
        <v>0</v>
      </c>
      <c r="Z520" s="203">
        <v>0</v>
      </c>
      <c r="AA520" s="110">
        <v>0</v>
      </c>
      <c r="AB520" s="110">
        <v>0</v>
      </c>
      <c r="AC520" s="271">
        <v>0</v>
      </c>
      <c r="AD520" s="271">
        <v>0</v>
      </c>
      <c r="AE520" s="128">
        <v>0</v>
      </c>
      <c r="AF520" s="202"/>
      <c r="AG520" s="49"/>
    </row>
    <row r="521" spans="1:33" s="222" customFormat="1">
      <c r="A521" s="21" t="s">
        <v>646</v>
      </c>
      <c r="B521" s="20" t="s">
        <v>707</v>
      </c>
      <c r="C521" s="12"/>
      <c r="D521" s="18">
        <v>227924</v>
      </c>
      <c r="E521" s="18">
        <v>8</v>
      </c>
      <c r="F521" s="194">
        <f t="shared" si="16"/>
        <v>368361</v>
      </c>
      <c r="G521" s="195">
        <f t="shared" si="20"/>
        <v>348056</v>
      </c>
      <c r="H521" s="202">
        <v>257334</v>
      </c>
      <c r="I521" s="14">
        <v>235185</v>
      </c>
      <c r="J521" s="202">
        <v>14506</v>
      </c>
      <c r="K521" s="15">
        <v>14341</v>
      </c>
      <c r="L521" s="203">
        <v>96521</v>
      </c>
      <c r="M521" s="110">
        <v>0</v>
      </c>
      <c r="N521" s="110">
        <v>0</v>
      </c>
      <c r="O521" s="11">
        <v>98530</v>
      </c>
      <c r="P521" s="271">
        <v>0</v>
      </c>
      <c r="Q521" s="128">
        <v>0</v>
      </c>
      <c r="R521" s="202"/>
      <c r="S521" s="46"/>
      <c r="T521" s="196">
        <f t="shared" si="22"/>
        <v>0</v>
      </c>
      <c r="U521" s="197">
        <f t="shared" si="21"/>
        <v>0</v>
      </c>
      <c r="V521" s="202">
        <v>0</v>
      </c>
      <c r="W521" s="128">
        <v>0</v>
      </c>
      <c r="X521" s="202">
        <v>0</v>
      </c>
      <c r="Y521" s="189">
        <v>0</v>
      </c>
      <c r="Z521" s="203">
        <v>0</v>
      </c>
      <c r="AA521" s="110">
        <v>0</v>
      </c>
      <c r="AB521" s="110">
        <v>0</v>
      </c>
      <c r="AC521" s="271">
        <v>0</v>
      </c>
      <c r="AD521" s="271">
        <v>0</v>
      </c>
      <c r="AE521" s="128">
        <v>0</v>
      </c>
      <c r="AF521" s="202"/>
      <c r="AG521" s="49"/>
    </row>
    <row r="522" spans="1:33" s="222" customFormat="1">
      <c r="A522" s="21" t="s">
        <v>646</v>
      </c>
      <c r="B522" s="20" t="s">
        <v>708</v>
      </c>
      <c r="C522" s="12"/>
      <c r="D522" s="18">
        <v>227979</v>
      </c>
      <c r="E522" s="18">
        <v>8</v>
      </c>
      <c r="F522" s="194">
        <f t="shared" si="16"/>
        <v>559753</v>
      </c>
      <c r="G522" s="195">
        <f t="shared" si="20"/>
        <v>581128</v>
      </c>
      <c r="H522" s="202">
        <v>473954</v>
      </c>
      <c r="I522" s="15">
        <v>474313</v>
      </c>
      <c r="J522" s="202">
        <v>7466</v>
      </c>
      <c r="K522" s="14">
        <v>9176</v>
      </c>
      <c r="L522" s="203">
        <v>78261</v>
      </c>
      <c r="M522" s="110">
        <v>72</v>
      </c>
      <c r="N522" s="110">
        <v>0</v>
      </c>
      <c r="O522" s="13">
        <v>97585</v>
      </c>
      <c r="P522" s="272">
        <v>54</v>
      </c>
      <c r="Q522" s="128">
        <v>0</v>
      </c>
      <c r="R522" s="202"/>
      <c r="S522" s="46"/>
      <c r="T522" s="196">
        <f t="shared" si="22"/>
        <v>0</v>
      </c>
      <c r="U522" s="197">
        <f t="shared" si="21"/>
        <v>0</v>
      </c>
      <c r="V522" s="202">
        <v>0</v>
      </c>
      <c r="W522" s="128">
        <v>0</v>
      </c>
      <c r="X522" s="202">
        <v>0</v>
      </c>
      <c r="Y522" s="189">
        <v>0</v>
      </c>
      <c r="Z522" s="203">
        <v>0</v>
      </c>
      <c r="AA522" s="110">
        <v>0</v>
      </c>
      <c r="AB522" s="110">
        <v>0</v>
      </c>
      <c r="AC522" s="271">
        <v>0</v>
      </c>
      <c r="AD522" s="271">
        <v>0</v>
      </c>
      <c r="AE522" s="128">
        <v>0</v>
      </c>
      <c r="AF522" s="202"/>
      <c r="AG522" s="49"/>
    </row>
    <row r="523" spans="1:33" s="222" customFormat="1">
      <c r="A523" s="21" t="s">
        <v>646</v>
      </c>
      <c r="B523" s="20" t="s">
        <v>709</v>
      </c>
      <c r="C523" s="12"/>
      <c r="D523" s="18">
        <v>228158</v>
      </c>
      <c r="E523" s="18">
        <v>8</v>
      </c>
      <c r="F523" s="194">
        <f t="shared" si="16"/>
        <v>196906</v>
      </c>
      <c r="G523" s="195">
        <f t="shared" si="20"/>
        <v>192940</v>
      </c>
      <c r="H523" s="202">
        <v>87254</v>
      </c>
      <c r="I523" s="15">
        <v>85732</v>
      </c>
      <c r="J523" s="202">
        <v>67092</v>
      </c>
      <c r="K523" s="14">
        <v>61894</v>
      </c>
      <c r="L523" s="203">
        <v>40455</v>
      </c>
      <c r="M523" s="110">
        <v>2105</v>
      </c>
      <c r="N523" s="110">
        <v>0</v>
      </c>
      <c r="O523" s="13">
        <v>43559</v>
      </c>
      <c r="P523" s="13">
        <v>1755</v>
      </c>
      <c r="Q523" s="128">
        <v>0</v>
      </c>
      <c r="R523" s="202"/>
      <c r="S523" s="46"/>
      <c r="T523" s="196">
        <f t="shared" si="22"/>
        <v>0</v>
      </c>
      <c r="U523" s="197">
        <f t="shared" si="21"/>
        <v>0</v>
      </c>
      <c r="V523" s="202">
        <v>0</v>
      </c>
      <c r="W523" s="128">
        <v>0</v>
      </c>
      <c r="X523" s="202">
        <v>0</v>
      </c>
      <c r="Y523" s="189">
        <v>0</v>
      </c>
      <c r="Z523" s="203">
        <v>0</v>
      </c>
      <c r="AA523" s="110">
        <v>0</v>
      </c>
      <c r="AB523" s="110">
        <v>0</v>
      </c>
      <c r="AC523" s="271">
        <v>0</v>
      </c>
      <c r="AD523" s="271">
        <v>0</v>
      </c>
      <c r="AE523" s="128">
        <v>0</v>
      </c>
      <c r="AF523" s="202"/>
      <c r="AG523" s="49"/>
    </row>
    <row r="524" spans="1:33" s="222" customFormat="1">
      <c r="A524" s="21" t="s">
        <v>646</v>
      </c>
      <c r="B524" s="20" t="s">
        <v>710</v>
      </c>
      <c r="C524" s="12"/>
      <c r="D524" s="18">
        <v>227854</v>
      </c>
      <c r="E524" s="18">
        <v>8</v>
      </c>
      <c r="F524" s="194">
        <f t="shared" si="16"/>
        <v>184870</v>
      </c>
      <c r="G524" s="195">
        <f t="shared" si="20"/>
        <v>185893</v>
      </c>
      <c r="H524" s="202">
        <v>104150</v>
      </c>
      <c r="I524" s="15">
        <v>103649</v>
      </c>
      <c r="J524" s="202">
        <v>16142</v>
      </c>
      <c r="K524" s="14">
        <v>17397</v>
      </c>
      <c r="L524" s="203">
        <v>64578</v>
      </c>
      <c r="M524" s="110">
        <v>0</v>
      </c>
      <c r="N524" s="110">
        <v>0</v>
      </c>
      <c r="O524" s="11">
        <v>64847</v>
      </c>
      <c r="P524" s="271">
        <v>0</v>
      </c>
      <c r="Q524" s="128">
        <v>0</v>
      </c>
      <c r="R524" s="202"/>
      <c r="S524" s="46"/>
      <c r="T524" s="196">
        <f t="shared" si="22"/>
        <v>0</v>
      </c>
      <c r="U524" s="197">
        <f t="shared" si="21"/>
        <v>0</v>
      </c>
      <c r="V524" s="202">
        <v>0</v>
      </c>
      <c r="W524" s="128">
        <v>0</v>
      </c>
      <c r="X524" s="202">
        <v>0</v>
      </c>
      <c r="Y524" s="189">
        <v>0</v>
      </c>
      <c r="Z524" s="203">
        <v>0</v>
      </c>
      <c r="AA524" s="110">
        <v>0</v>
      </c>
      <c r="AB524" s="110">
        <v>0</v>
      </c>
      <c r="AC524" s="271">
        <v>0</v>
      </c>
      <c r="AD524" s="271">
        <v>0</v>
      </c>
      <c r="AE524" s="128">
        <v>0</v>
      </c>
      <c r="AF524" s="202"/>
      <c r="AG524" s="49"/>
    </row>
    <row r="525" spans="1:33" s="222" customFormat="1">
      <c r="A525" s="21" t="s">
        <v>646</v>
      </c>
      <c r="B525" s="20" t="s">
        <v>711</v>
      </c>
      <c r="C525" s="12"/>
      <c r="D525" s="18">
        <v>228547</v>
      </c>
      <c r="E525" s="18">
        <v>8</v>
      </c>
      <c r="F525" s="194">
        <f t="shared" si="16"/>
        <v>952369</v>
      </c>
      <c r="G525" s="195">
        <f t="shared" si="20"/>
        <v>933437</v>
      </c>
      <c r="H525" s="202">
        <v>739231</v>
      </c>
      <c r="I525" s="15">
        <v>729897</v>
      </c>
      <c r="J525" s="202">
        <v>41774</v>
      </c>
      <c r="K525" s="15">
        <v>43698</v>
      </c>
      <c r="L525" s="203">
        <v>171364</v>
      </c>
      <c r="M525" s="110">
        <v>0</v>
      </c>
      <c r="N525" s="110">
        <v>0</v>
      </c>
      <c r="O525" s="13">
        <v>159842</v>
      </c>
      <c r="P525" s="271">
        <v>0</v>
      </c>
      <c r="Q525" s="128">
        <v>0</v>
      </c>
      <c r="R525" s="202"/>
      <c r="S525" s="46"/>
      <c r="T525" s="196">
        <f t="shared" si="22"/>
        <v>0</v>
      </c>
      <c r="U525" s="197">
        <f t="shared" si="21"/>
        <v>0</v>
      </c>
      <c r="V525" s="202">
        <v>0</v>
      </c>
      <c r="W525" s="128">
        <v>0</v>
      </c>
      <c r="X525" s="202">
        <v>0</v>
      </c>
      <c r="Y525" s="189">
        <v>0</v>
      </c>
      <c r="Z525" s="203">
        <v>0</v>
      </c>
      <c r="AA525" s="110">
        <v>0</v>
      </c>
      <c r="AB525" s="110">
        <v>0</v>
      </c>
      <c r="AC525" s="271">
        <v>0</v>
      </c>
      <c r="AD525" s="271">
        <v>0</v>
      </c>
      <c r="AE525" s="128">
        <v>0</v>
      </c>
      <c r="AF525" s="202"/>
      <c r="AG525" s="49"/>
    </row>
    <row r="526" spans="1:33" s="222" customFormat="1">
      <c r="A526" s="21" t="s">
        <v>646</v>
      </c>
      <c r="B526" s="20" t="s">
        <v>712</v>
      </c>
      <c r="C526" s="19"/>
      <c r="D526" s="18">
        <v>225308</v>
      </c>
      <c r="E526" s="18">
        <v>8</v>
      </c>
      <c r="F526" s="194">
        <f t="shared" si="16"/>
        <v>141872</v>
      </c>
      <c r="G526" s="195">
        <f t="shared" si="20"/>
        <v>142834</v>
      </c>
      <c r="H526" s="202">
        <v>68558</v>
      </c>
      <c r="I526" s="15">
        <v>66925</v>
      </c>
      <c r="J526" s="202">
        <v>30649</v>
      </c>
      <c r="K526" s="15">
        <v>31134</v>
      </c>
      <c r="L526" s="203">
        <v>42665</v>
      </c>
      <c r="M526" s="110">
        <v>0</v>
      </c>
      <c r="N526" s="110">
        <v>0</v>
      </c>
      <c r="O526" s="11">
        <v>44775</v>
      </c>
      <c r="P526" s="271">
        <v>0</v>
      </c>
      <c r="Q526" s="128">
        <v>0</v>
      </c>
      <c r="R526" s="202"/>
      <c r="S526" s="46"/>
      <c r="T526" s="196">
        <f t="shared" si="22"/>
        <v>0</v>
      </c>
      <c r="U526" s="197">
        <f t="shared" si="21"/>
        <v>0</v>
      </c>
      <c r="V526" s="202">
        <v>0</v>
      </c>
      <c r="W526" s="128">
        <v>0</v>
      </c>
      <c r="X526" s="202">
        <v>0</v>
      </c>
      <c r="Y526" s="189">
        <v>0</v>
      </c>
      <c r="Z526" s="203">
        <v>0</v>
      </c>
      <c r="AA526" s="110">
        <v>0</v>
      </c>
      <c r="AB526" s="110">
        <v>0</v>
      </c>
      <c r="AC526" s="271">
        <v>0</v>
      </c>
      <c r="AD526" s="271">
        <v>0</v>
      </c>
      <c r="AE526" s="128">
        <v>0</v>
      </c>
      <c r="AF526" s="202"/>
      <c r="AG526" s="49"/>
    </row>
    <row r="527" spans="1:33" s="222" customFormat="1">
      <c r="A527" s="21" t="s">
        <v>646</v>
      </c>
      <c r="B527" s="20" t="s">
        <v>713</v>
      </c>
      <c r="C527" s="12"/>
      <c r="D527" s="18">
        <v>229355</v>
      </c>
      <c r="E527" s="18">
        <v>8</v>
      </c>
      <c r="F527" s="194">
        <f t="shared" si="16"/>
        <v>232370</v>
      </c>
      <c r="G527" s="195">
        <f t="shared" si="20"/>
        <v>232589</v>
      </c>
      <c r="H527" s="202">
        <v>144352</v>
      </c>
      <c r="I527" s="15">
        <v>141873</v>
      </c>
      <c r="J527" s="202">
        <v>17376</v>
      </c>
      <c r="K527" s="15">
        <v>17753</v>
      </c>
      <c r="L527" s="203">
        <v>70330</v>
      </c>
      <c r="M527" s="110">
        <v>180</v>
      </c>
      <c r="N527" s="110">
        <v>132</v>
      </c>
      <c r="O527" s="11">
        <v>72963</v>
      </c>
      <c r="P527" s="272">
        <v>0</v>
      </c>
      <c r="Q527" s="156">
        <v>0</v>
      </c>
      <c r="R527" s="202"/>
      <c r="S527" s="46"/>
      <c r="T527" s="196">
        <f t="shared" si="22"/>
        <v>0</v>
      </c>
      <c r="U527" s="197">
        <f t="shared" si="21"/>
        <v>0</v>
      </c>
      <c r="V527" s="202">
        <v>0</v>
      </c>
      <c r="W527" s="128">
        <v>0</v>
      </c>
      <c r="X527" s="202">
        <v>0</v>
      </c>
      <c r="Y527" s="189">
        <v>0</v>
      </c>
      <c r="Z527" s="203">
        <v>0</v>
      </c>
      <c r="AA527" s="110">
        <v>0</v>
      </c>
      <c r="AB527" s="110">
        <v>0</v>
      </c>
      <c r="AC527" s="271">
        <v>0</v>
      </c>
      <c r="AD527" s="271">
        <v>0</v>
      </c>
      <c r="AE527" s="128">
        <v>0</v>
      </c>
      <c r="AF527" s="202"/>
      <c r="AG527" s="49"/>
    </row>
    <row r="528" spans="1:33" s="222" customFormat="1">
      <c r="A528" s="21" t="s">
        <v>646</v>
      </c>
      <c r="B528" s="20" t="s">
        <v>714</v>
      </c>
      <c r="C528" s="12"/>
      <c r="D528" s="18">
        <v>222567</v>
      </c>
      <c r="E528" s="18">
        <v>9</v>
      </c>
      <c r="F528" s="194">
        <f t="shared" si="16"/>
        <v>97509</v>
      </c>
      <c r="G528" s="195">
        <f t="shared" si="20"/>
        <v>105783</v>
      </c>
      <c r="H528" s="202">
        <v>57209</v>
      </c>
      <c r="I528" s="15">
        <v>58351</v>
      </c>
      <c r="J528" s="202">
        <v>21048</v>
      </c>
      <c r="K528" s="14">
        <v>26162</v>
      </c>
      <c r="L528" s="203">
        <v>19252</v>
      </c>
      <c r="M528" s="110">
        <v>0</v>
      </c>
      <c r="N528" s="110">
        <v>0</v>
      </c>
      <c r="O528" s="13">
        <v>21270</v>
      </c>
      <c r="P528" s="271">
        <v>0</v>
      </c>
      <c r="Q528" s="128">
        <v>0</v>
      </c>
      <c r="R528" s="202"/>
      <c r="S528" s="46"/>
      <c r="T528" s="196">
        <f t="shared" si="22"/>
        <v>0</v>
      </c>
      <c r="U528" s="197">
        <f t="shared" si="21"/>
        <v>0</v>
      </c>
      <c r="V528" s="202">
        <v>0</v>
      </c>
      <c r="W528" s="128">
        <v>0</v>
      </c>
      <c r="X528" s="202">
        <v>0</v>
      </c>
      <c r="Y528" s="189">
        <v>0</v>
      </c>
      <c r="Z528" s="203">
        <v>0</v>
      </c>
      <c r="AA528" s="110">
        <v>0</v>
      </c>
      <c r="AB528" s="110">
        <v>0</v>
      </c>
      <c r="AC528" s="271">
        <v>0</v>
      </c>
      <c r="AD528" s="271">
        <v>0</v>
      </c>
      <c r="AE528" s="128">
        <v>0</v>
      </c>
      <c r="AF528" s="202"/>
      <c r="AG528" s="49"/>
    </row>
    <row r="529" spans="1:33" s="222" customFormat="1">
      <c r="A529" s="21" t="s">
        <v>646</v>
      </c>
      <c r="B529" s="20" t="s">
        <v>715</v>
      </c>
      <c r="C529" s="12"/>
      <c r="D529" s="18">
        <v>222822</v>
      </c>
      <c r="E529" s="18">
        <v>9</v>
      </c>
      <c r="F529" s="194">
        <f t="shared" si="16"/>
        <v>94800</v>
      </c>
      <c r="G529" s="195">
        <f t="shared" si="20"/>
        <v>96412</v>
      </c>
      <c r="H529" s="202">
        <v>51733</v>
      </c>
      <c r="I529" s="15">
        <v>49520</v>
      </c>
      <c r="J529" s="202">
        <v>10401</v>
      </c>
      <c r="K529" s="15">
        <v>10293</v>
      </c>
      <c r="L529" s="203">
        <v>23929</v>
      </c>
      <c r="M529" s="110">
        <v>8539</v>
      </c>
      <c r="N529" s="110">
        <v>198</v>
      </c>
      <c r="O529" s="13">
        <v>25867</v>
      </c>
      <c r="P529" s="13">
        <v>10714</v>
      </c>
      <c r="Q529" s="156">
        <v>18</v>
      </c>
      <c r="R529" s="202"/>
      <c r="S529" s="46"/>
      <c r="T529" s="196">
        <f t="shared" si="22"/>
        <v>0</v>
      </c>
      <c r="U529" s="197">
        <f t="shared" si="21"/>
        <v>0</v>
      </c>
      <c r="V529" s="202">
        <v>0</v>
      </c>
      <c r="W529" s="128">
        <v>0</v>
      </c>
      <c r="X529" s="202">
        <v>0</v>
      </c>
      <c r="Y529" s="189">
        <v>0</v>
      </c>
      <c r="Z529" s="203">
        <v>0</v>
      </c>
      <c r="AA529" s="110">
        <v>0</v>
      </c>
      <c r="AB529" s="110">
        <v>0</v>
      </c>
      <c r="AC529" s="271">
        <v>0</v>
      </c>
      <c r="AD529" s="271">
        <v>0</v>
      </c>
      <c r="AE529" s="128">
        <v>0</v>
      </c>
      <c r="AF529" s="202"/>
      <c r="AG529" s="49"/>
    </row>
    <row r="530" spans="1:33" s="222" customFormat="1">
      <c r="A530" s="21" t="s">
        <v>646</v>
      </c>
      <c r="B530" s="20" t="s">
        <v>716</v>
      </c>
      <c r="C530" s="12"/>
      <c r="D530" s="18">
        <v>223773</v>
      </c>
      <c r="E530" s="18">
        <v>9</v>
      </c>
      <c r="F530" s="194">
        <f t="shared" si="16"/>
        <v>106614</v>
      </c>
      <c r="G530" s="195">
        <f t="shared" si="20"/>
        <v>109084</v>
      </c>
      <c r="H530" s="202">
        <v>55632</v>
      </c>
      <c r="I530" s="15">
        <v>53033</v>
      </c>
      <c r="J530" s="202">
        <v>753</v>
      </c>
      <c r="K530" s="128">
        <v>782</v>
      </c>
      <c r="L530" s="203">
        <v>50229</v>
      </c>
      <c r="M530" s="110">
        <v>0</v>
      </c>
      <c r="N530" s="110">
        <v>0</v>
      </c>
      <c r="O530" s="13">
        <v>55269</v>
      </c>
      <c r="P530" s="271">
        <v>0</v>
      </c>
      <c r="Q530" s="128">
        <v>0</v>
      </c>
      <c r="R530" s="202"/>
      <c r="S530" s="46"/>
      <c r="T530" s="196">
        <f t="shared" si="22"/>
        <v>0</v>
      </c>
      <c r="U530" s="197">
        <f t="shared" si="21"/>
        <v>0</v>
      </c>
      <c r="V530" s="202">
        <v>0</v>
      </c>
      <c r="W530" s="128">
        <v>0</v>
      </c>
      <c r="X530" s="202">
        <v>0</v>
      </c>
      <c r="Y530" s="189">
        <v>0</v>
      </c>
      <c r="Z530" s="203">
        <v>0</v>
      </c>
      <c r="AA530" s="110">
        <v>0</v>
      </c>
      <c r="AB530" s="110">
        <v>0</v>
      </c>
      <c r="AC530" s="271">
        <v>0</v>
      </c>
      <c r="AD530" s="271">
        <v>0</v>
      </c>
      <c r="AE530" s="128">
        <v>0</v>
      </c>
      <c r="AF530" s="202"/>
      <c r="AG530" s="49"/>
    </row>
    <row r="531" spans="1:33" s="222" customFormat="1">
      <c r="A531" s="21" t="s">
        <v>646</v>
      </c>
      <c r="B531" s="20" t="s">
        <v>717</v>
      </c>
      <c r="C531" s="12"/>
      <c r="D531" s="18">
        <v>223898</v>
      </c>
      <c r="E531" s="18">
        <v>9</v>
      </c>
      <c r="F531" s="194">
        <f t="shared" si="16"/>
        <v>71066</v>
      </c>
      <c r="G531" s="195">
        <f t="shared" si="20"/>
        <v>66812</v>
      </c>
      <c r="H531" s="202">
        <v>10814</v>
      </c>
      <c r="I531" s="15">
        <v>10321</v>
      </c>
      <c r="J531" s="202">
        <v>36617</v>
      </c>
      <c r="K531" s="14">
        <v>32861</v>
      </c>
      <c r="L531" s="203">
        <v>23039</v>
      </c>
      <c r="M531" s="110">
        <v>596</v>
      </c>
      <c r="N531" s="110">
        <v>0</v>
      </c>
      <c r="O531" s="11">
        <v>23129</v>
      </c>
      <c r="P531" s="272">
        <v>501</v>
      </c>
      <c r="Q531" s="128">
        <v>0</v>
      </c>
      <c r="R531" s="202"/>
      <c r="S531" s="46"/>
      <c r="T531" s="196">
        <f t="shared" si="22"/>
        <v>0</v>
      </c>
      <c r="U531" s="197">
        <f t="shared" si="21"/>
        <v>0</v>
      </c>
      <c r="V531" s="202">
        <v>0</v>
      </c>
      <c r="W531" s="128">
        <v>0</v>
      </c>
      <c r="X531" s="202">
        <v>0</v>
      </c>
      <c r="Y531" s="189">
        <v>0</v>
      </c>
      <c r="Z531" s="203">
        <v>0</v>
      </c>
      <c r="AA531" s="110">
        <v>0</v>
      </c>
      <c r="AB531" s="110">
        <v>0</v>
      </c>
      <c r="AC531" s="271">
        <v>0</v>
      </c>
      <c r="AD531" s="271">
        <v>0</v>
      </c>
      <c r="AE531" s="128">
        <v>0</v>
      </c>
      <c r="AF531" s="202"/>
      <c r="AG531" s="49"/>
    </row>
    <row r="532" spans="1:33" s="222" customFormat="1">
      <c r="A532" s="21" t="s">
        <v>646</v>
      </c>
      <c r="B532" s="20" t="s">
        <v>718</v>
      </c>
      <c r="C532" s="12"/>
      <c r="D532" s="18">
        <v>223320</v>
      </c>
      <c r="E532" s="18">
        <v>9</v>
      </c>
      <c r="F532" s="194">
        <f t="shared" si="16"/>
        <v>75988</v>
      </c>
      <c r="G532" s="195">
        <f t="shared" si="20"/>
        <v>84095</v>
      </c>
      <c r="H532" s="202">
        <v>19866</v>
      </c>
      <c r="I532" s="14">
        <v>18213</v>
      </c>
      <c r="J532" s="202">
        <v>26399</v>
      </c>
      <c r="K532" s="14">
        <v>29731</v>
      </c>
      <c r="L532" s="203">
        <v>20233</v>
      </c>
      <c r="M532" s="110">
        <v>5666</v>
      </c>
      <c r="N532" s="110">
        <v>3824</v>
      </c>
      <c r="O532" s="13">
        <v>26571</v>
      </c>
      <c r="P532" s="13">
        <v>6707</v>
      </c>
      <c r="Q532" s="14">
        <v>2873</v>
      </c>
      <c r="R532" s="202"/>
      <c r="S532" s="46"/>
      <c r="T532" s="196">
        <f t="shared" si="22"/>
        <v>0</v>
      </c>
      <c r="U532" s="197">
        <f t="shared" si="21"/>
        <v>0</v>
      </c>
      <c r="V532" s="202">
        <v>0</v>
      </c>
      <c r="W532" s="128">
        <v>0</v>
      </c>
      <c r="X532" s="202">
        <v>0</v>
      </c>
      <c r="Y532" s="189">
        <v>0</v>
      </c>
      <c r="Z532" s="203">
        <v>0</v>
      </c>
      <c r="AA532" s="110">
        <v>0</v>
      </c>
      <c r="AB532" s="110">
        <v>0</v>
      </c>
      <c r="AC532" s="271">
        <v>0</v>
      </c>
      <c r="AD532" s="271">
        <v>0</v>
      </c>
      <c r="AE532" s="128">
        <v>0</v>
      </c>
      <c r="AF532" s="202"/>
      <c r="AG532" s="49"/>
    </row>
    <row r="533" spans="1:33" s="222" customFormat="1">
      <c r="A533" s="21" t="s">
        <v>646</v>
      </c>
      <c r="B533" s="20" t="s">
        <v>719</v>
      </c>
      <c r="C533" s="12"/>
      <c r="D533" s="18">
        <v>226408</v>
      </c>
      <c r="E533" s="18">
        <v>9</v>
      </c>
      <c r="F533" s="194">
        <f t="shared" si="16"/>
        <v>76265</v>
      </c>
      <c r="G533" s="195">
        <f t="shared" si="20"/>
        <v>76951</v>
      </c>
      <c r="H533" s="202">
        <v>51627</v>
      </c>
      <c r="I533" s="15">
        <v>52954</v>
      </c>
      <c r="J533" s="202">
        <v>9430</v>
      </c>
      <c r="K533" s="14">
        <v>8309</v>
      </c>
      <c r="L533" s="203">
        <v>15208</v>
      </c>
      <c r="M533" s="110">
        <v>0</v>
      </c>
      <c r="N533" s="110">
        <v>0</v>
      </c>
      <c r="O533" s="11">
        <v>15688</v>
      </c>
      <c r="P533" s="271">
        <v>0</v>
      </c>
      <c r="Q533" s="128">
        <v>0</v>
      </c>
      <c r="R533" s="202"/>
      <c r="S533" s="46"/>
      <c r="T533" s="196">
        <f t="shared" si="22"/>
        <v>0</v>
      </c>
      <c r="U533" s="197">
        <f t="shared" si="21"/>
        <v>0</v>
      </c>
      <c r="V533" s="202">
        <v>0</v>
      </c>
      <c r="W533" s="128">
        <v>0</v>
      </c>
      <c r="X533" s="202">
        <v>0</v>
      </c>
      <c r="Y533" s="189">
        <v>0</v>
      </c>
      <c r="Z533" s="203">
        <v>0</v>
      </c>
      <c r="AA533" s="110">
        <v>0</v>
      </c>
      <c r="AB533" s="110">
        <v>0</v>
      </c>
      <c r="AC533" s="271">
        <v>0</v>
      </c>
      <c r="AD533" s="271">
        <v>0</v>
      </c>
      <c r="AE533" s="128">
        <v>0</v>
      </c>
      <c r="AF533" s="202"/>
      <c r="AG533" s="49"/>
    </row>
    <row r="534" spans="1:33" s="222" customFormat="1">
      <c r="A534" s="21" t="s">
        <v>646</v>
      </c>
      <c r="B534" s="20" t="s">
        <v>720</v>
      </c>
      <c r="C534" s="12"/>
      <c r="D534" s="18">
        <v>225070</v>
      </c>
      <c r="E534" s="18">
        <v>9</v>
      </c>
      <c r="F534" s="194">
        <f t="shared" si="16"/>
        <v>91674</v>
      </c>
      <c r="G534" s="195">
        <f t="shared" si="20"/>
        <v>89166</v>
      </c>
      <c r="H534" s="202">
        <v>54793</v>
      </c>
      <c r="I534" s="14">
        <v>49901</v>
      </c>
      <c r="J534" s="202">
        <v>3561</v>
      </c>
      <c r="K534" s="14">
        <v>4878</v>
      </c>
      <c r="L534" s="203">
        <v>30443</v>
      </c>
      <c r="M534" s="110">
        <v>0</v>
      </c>
      <c r="N534" s="110">
        <v>2877</v>
      </c>
      <c r="O534" s="11">
        <v>31591</v>
      </c>
      <c r="P534" s="271">
        <v>0</v>
      </c>
      <c r="Q534" s="15">
        <v>2796</v>
      </c>
      <c r="R534" s="202"/>
      <c r="S534" s="46"/>
      <c r="T534" s="196">
        <f t="shared" si="22"/>
        <v>0</v>
      </c>
      <c r="U534" s="197">
        <f t="shared" si="21"/>
        <v>0</v>
      </c>
      <c r="V534" s="202">
        <v>0</v>
      </c>
      <c r="W534" s="128">
        <v>0</v>
      </c>
      <c r="X534" s="202">
        <v>0</v>
      </c>
      <c r="Y534" s="189">
        <v>0</v>
      </c>
      <c r="Z534" s="203">
        <v>0</v>
      </c>
      <c r="AA534" s="110">
        <v>0</v>
      </c>
      <c r="AB534" s="110">
        <v>0</v>
      </c>
      <c r="AC534" s="271">
        <v>0</v>
      </c>
      <c r="AD534" s="271">
        <v>0</v>
      </c>
      <c r="AE534" s="128">
        <v>0</v>
      </c>
      <c r="AF534" s="202"/>
      <c r="AG534" s="49"/>
    </row>
    <row r="535" spans="1:33" s="222" customFormat="1">
      <c r="A535" s="21" t="s">
        <v>646</v>
      </c>
      <c r="B535" s="20" t="s">
        <v>721</v>
      </c>
      <c r="C535" s="12"/>
      <c r="D535" s="18">
        <v>225371</v>
      </c>
      <c r="E535" s="18">
        <v>9</v>
      </c>
      <c r="F535" s="194">
        <f t="shared" si="16"/>
        <v>79611</v>
      </c>
      <c r="G535" s="195">
        <f t="shared" si="20"/>
        <v>80669</v>
      </c>
      <c r="H535" s="202">
        <v>14395</v>
      </c>
      <c r="I535" s="14">
        <v>13350</v>
      </c>
      <c r="J535" s="202">
        <v>33157</v>
      </c>
      <c r="K535" s="15">
        <v>32125</v>
      </c>
      <c r="L535" s="203">
        <v>30990</v>
      </c>
      <c r="M535" s="110">
        <v>1069</v>
      </c>
      <c r="N535" s="110">
        <v>0</v>
      </c>
      <c r="O535" s="13">
        <v>33871</v>
      </c>
      <c r="P535" s="13">
        <v>1323</v>
      </c>
      <c r="Q535" s="128">
        <v>0</v>
      </c>
      <c r="R535" s="202"/>
      <c r="S535" s="46"/>
      <c r="T535" s="196">
        <f t="shared" si="22"/>
        <v>0</v>
      </c>
      <c r="U535" s="197">
        <f t="shared" si="21"/>
        <v>0</v>
      </c>
      <c r="V535" s="202">
        <v>0</v>
      </c>
      <c r="W535" s="128">
        <v>0</v>
      </c>
      <c r="X535" s="202">
        <v>0</v>
      </c>
      <c r="Y535" s="189">
        <v>0</v>
      </c>
      <c r="Z535" s="203">
        <v>0</v>
      </c>
      <c r="AA535" s="110">
        <v>0</v>
      </c>
      <c r="AB535" s="110">
        <v>0</v>
      </c>
      <c r="AC535" s="271">
        <v>0</v>
      </c>
      <c r="AD535" s="271">
        <v>0</v>
      </c>
      <c r="AE535" s="128">
        <v>0</v>
      </c>
      <c r="AF535" s="202"/>
      <c r="AG535" s="49"/>
    </row>
    <row r="536" spans="1:33" s="222" customFormat="1">
      <c r="A536" s="21" t="s">
        <v>646</v>
      </c>
      <c r="B536" s="20" t="s">
        <v>722</v>
      </c>
      <c r="C536" s="12"/>
      <c r="D536" s="18">
        <v>225520</v>
      </c>
      <c r="E536" s="18">
        <v>9</v>
      </c>
      <c r="F536" s="194">
        <f t="shared" si="16"/>
        <v>60897</v>
      </c>
      <c r="G536" s="195">
        <f t="shared" si="20"/>
        <v>64360</v>
      </c>
      <c r="H536" s="202">
        <v>13706</v>
      </c>
      <c r="I536" s="15">
        <v>14125</v>
      </c>
      <c r="J536" s="202">
        <v>23049</v>
      </c>
      <c r="K536" s="14">
        <v>25488</v>
      </c>
      <c r="L536" s="203">
        <v>20538</v>
      </c>
      <c r="M536" s="110">
        <v>3604</v>
      </c>
      <c r="N536" s="110">
        <v>0</v>
      </c>
      <c r="O536" s="13">
        <v>22935</v>
      </c>
      <c r="P536" s="13">
        <v>1812</v>
      </c>
      <c r="Q536" s="128">
        <v>0</v>
      </c>
      <c r="R536" s="202"/>
      <c r="S536" s="46"/>
      <c r="T536" s="196">
        <f t="shared" si="22"/>
        <v>0</v>
      </c>
      <c r="U536" s="197">
        <f t="shared" si="21"/>
        <v>0</v>
      </c>
      <c r="V536" s="202">
        <v>0</v>
      </c>
      <c r="W536" s="128">
        <v>0</v>
      </c>
      <c r="X536" s="202">
        <v>0</v>
      </c>
      <c r="Y536" s="189">
        <v>0</v>
      </c>
      <c r="Z536" s="203">
        <v>0</v>
      </c>
      <c r="AA536" s="110">
        <v>0</v>
      </c>
      <c r="AB536" s="110">
        <v>0</v>
      </c>
      <c r="AC536" s="271">
        <v>0</v>
      </c>
      <c r="AD536" s="271">
        <v>0</v>
      </c>
      <c r="AE536" s="128">
        <v>0</v>
      </c>
      <c r="AF536" s="202"/>
      <c r="AG536" s="49"/>
    </row>
    <row r="537" spans="1:33" s="222" customFormat="1">
      <c r="A537" s="21" t="s">
        <v>646</v>
      </c>
      <c r="B537" s="20" t="s">
        <v>723</v>
      </c>
      <c r="C537" s="19"/>
      <c r="D537" s="18">
        <v>226019</v>
      </c>
      <c r="E537" s="282">
        <v>9</v>
      </c>
      <c r="F537" s="194">
        <f t="shared" si="16"/>
        <v>111572</v>
      </c>
      <c r="G537" s="195">
        <f t="shared" si="20"/>
        <v>110550</v>
      </c>
      <c r="H537" s="202">
        <v>65039</v>
      </c>
      <c r="I537" s="15">
        <v>62326</v>
      </c>
      <c r="J537" s="202">
        <v>30972</v>
      </c>
      <c r="K537" s="15">
        <v>30123</v>
      </c>
      <c r="L537" s="203">
        <v>15108</v>
      </c>
      <c r="M537" s="110">
        <v>453</v>
      </c>
      <c r="N537" s="110">
        <v>0</v>
      </c>
      <c r="O537" s="13">
        <v>17270</v>
      </c>
      <c r="P537" s="272">
        <v>831</v>
      </c>
      <c r="Q537" s="128">
        <v>0</v>
      </c>
      <c r="R537" s="202"/>
      <c r="S537" s="46"/>
      <c r="T537" s="196">
        <f t="shared" si="22"/>
        <v>0</v>
      </c>
      <c r="U537" s="197">
        <f t="shared" si="21"/>
        <v>0</v>
      </c>
      <c r="V537" s="202">
        <v>0</v>
      </c>
      <c r="W537" s="128">
        <v>0</v>
      </c>
      <c r="X537" s="202">
        <v>0</v>
      </c>
      <c r="Y537" s="189">
        <v>0</v>
      </c>
      <c r="Z537" s="203">
        <v>0</v>
      </c>
      <c r="AA537" s="110">
        <v>0</v>
      </c>
      <c r="AB537" s="110">
        <v>0</v>
      </c>
      <c r="AC537" s="271">
        <v>0</v>
      </c>
      <c r="AD537" s="271">
        <v>0</v>
      </c>
      <c r="AE537" s="128">
        <v>0</v>
      </c>
      <c r="AF537" s="202"/>
      <c r="AG537" s="49"/>
    </row>
    <row r="538" spans="1:33" s="222" customFormat="1">
      <c r="A538" s="21" t="s">
        <v>646</v>
      </c>
      <c r="B538" s="20" t="s">
        <v>724</v>
      </c>
      <c r="C538" s="12"/>
      <c r="D538" s="18">
        <v>441760</v>
      </c>
      <c r="E538" s="281">
        <v>9</v>
      </c>
      <c r="F538" s="194">
        <f t="shared" si="16"/>
        <v>59045</v>
      </c>
      <c r="G538" s="195">
        <f t="shared" si="20"/>
        <v>58211</v>
      </c>
      <c r="H538" s="202">
        <v>55145</v>
      </c>
      <c r="I538" s="14">
        <v>49715</v>
      </c>
      <c r="J538" s="202">
        <v>983</v>
      </c>
      <c r="K538" s="14">
        <v>2132</v>
      </c>
      <c r="L538" s="203">
        <v>2875</v>
      </c>
      <c r="M538" s="110">
        <v>42</v>
      </c>
      <c r="N538" s="110">
        <v>0</v>
      </c>
      <c r="O538" s="13">
        <v>6322</v>
      </c>
      <c r="P538" s="271">
        <v>42</v>
      </c>
      <c r="Q538" s="128">
        <v>0</v>
      </c>
      <c r="R538" s="202"/>
      <c r="S538" s="46"/>
      <c r="T538" s="196">
        <f t="shared" si="22"/>
        <v>0</v>
      </c>
      <c r="U538" s="197">
        <f t="shared" si="21"/>
        <v>0</v>
      </c>
      <c r="V538" s="202">
        <v>0</v>
      </c>
      <c r="W538" s="128">
        <v>0</v>
      </c>
      <c r="X538" s="202">
        <v>0</v>
      </c>
      <c r="Y538" s="189">
        <v>0</v>
      </c>
      <c r="Z538" s="203">
        <v>0</v>
      </c>
      <c r="AA538" s="110">
        <v>0</v>
      </c>
      <c r="AB538" s="110">
        <v>0</v>
      </c>
      <c r="AC538" s="271">
        <v>0</v>
      </c>
      <c r="AD538" s="271">
        <v>0</v>
      </c>
      <c r="AE538" s="128">
        <v>0</v>
      </c>
      <c r="AF538" s="202"/>
      <c r="AG538" s="49"/>
    </row>
    <row r="539" spans="1:33" s="222" customFormat="1" ht="15">
      <c r="A539" s="183" t="s">
        <v>646</v>
      </c>
      <c r="B539" s="20" t="s">
        <v>725</v>
      </c>
      <c r="C539" s="358" t="s">
        <v>861</v>
      </c>
      <c r="D539" s="18">
        <v>226116</v>
      </c>
      <c r="E539" s="359">
        <v>10</v>
      </c>
      <c r="F539" s="194">
        <f t="shared" si="16"/>
        <v>38977</v>
      </c>
      <c r="G539" s="195">
        <f t="shared" si="20"/>
        <v>41887</v>
      </c>
      <c r="H539" s="202">
        <v>28357</v>
      </c>
      <c r="I539" s="15">
        <v>28462</v>
      </c>
      <c r="J539" s="202">
        <v>4470</v>
      </c>
      <c r="K539" s="14">
        <v>7355</v>
      </c>
      <c r="L539" s="203">
        <v>6150</v>
      </c>
      <c r="M539" s="110">
        <v>0</v>
      </c>
      <c r="N539" s="110">
        <v>0</v>
      </c>
      <c r="O539" s="11">
        <v>6070</v>
      </c>
      <c r="P539" s="271">
        <v>0</v>
      </c>
      <c r="Q539" s="128">
        <v>0</v>
      </c>
      <c r="R539" s="202"/>
      <c r="S539" s="46"/>
      <c r="T539" s="196">
        <f t="shared" si="22"/>
        <v>0</v>
      </c>
      <c r="U539" s="197">
        <f t="shared" si="21"/>
        <v>0</v>
      </c>
      <c r="V539" s="202">
        <v>0</v>
      </c>
      <c r="W539" s="128">
        <v>0</v>
      </c>
      <c r="X539" s="202">
        <v>0</v>
      </c>
      <c r="Y539" s="189">
        <v>0</v>
      </c>
      <c r="Z539" s="203">
        <v>0</v>
      </c>
      <c r="AA539" s="110">
        <v>0</v>
      </c>
      <c r="AB539" s="110">
        <v>0</v>
      </c>
      <c r="AC539" s="271">
        <v>0</v>
      </c>
      <c r="AD539" s="271">
        <v>0</v>
      </c>
      <c r="AE539" s="128">
        <v>0</v>
      </c>
      <c r="AF539" s="202"/>
      <c r="AG539" s="49"/>
    </row>
    <row r="540" spans="1:33" s="222" customFormat="1" ht="15">
      <c r="A540" s="183" t="s">
        <v>646</v>
      </c>
      <c r="B540" s="20" t="s">
        <v>726</v>
      </c>
      <c r="C540" s="348" t="s">
        <v>873</v>
      </c>
      <c r="D540" s="18">
        <v>226204</v>
      </c>
      <c r="E540" s="18">
        <v>9</v>
      </c>
      <c r="F540" s="194">
        <f t="shared" si="16"/>
        <v>129988</v>
      </c>
      <c r="G540" s="195">
        <f t="shared" si="20"/>
        <v>148933</v>
      </c>
      <c r="H540" s="202">
        <v>88763</v>
      </c>
      <c r="I540" s="15">
        <v>84562</v>
      </c>
      <c r="J540" s="202">
        <v>23824</v>
      </c>
      <c r="K540" s="14">
        <v>42447</v>
      </c>
      <c r="L540" s="203">
        <v>17401</v>
      </c>
      <c r="M540" s="110">
        <v>0</v>
      </c>
      <c r="N540" s="110">
        <v>0</v>
      </c>
      <c r="O540" s="13">
        <v>21924</v>
      </c>
      <c r="P540" s="271">
        <v>0</v>
      </c>
      <c r="Q540" s="128">
        <v>0</v>
      </c>
      <c r="R540" s="202"/>
      <c r="S540" s="46"/>
      <c r="T540" s="196">
        <f t="shared" si="22"/>
        <v>0</v>
      </c>
      <c r="U540" s="197">
        <f t="shared" si="21"/>
        <v>0</v>
      </c>
      <c r="V540" s="202">
        <v>0</v>
      </c>
      <c r="W540" s="128">
        <v>0</v>
      </c>
      <c r="X540" s="202">
        <v>0</v>
      </c>
      <c r="Y540" s="189">
        <v>0</v>
      </c>
      <c r="Z540" s="203">
        <v>0</v>
      </c>
      <c r="AA540" s="110">
        <v>0</v>
      </c>
      <c r="AB540" s="110">
        <v>0</v>
      </c>
      <c r="AC540" s="271">
        <v>0</v>
      </c>
      <c r="AD540" s="271">
        <v>0</v>
      </c>
      <c r="AE540" s="128">
        <v>0</v>
      </c>
      <c r="AF540" s="202"/>
      <c r="AG540" s="49"/>
    </row>
    <row r="541" spans="1:33" s="222" customFormat="1" ht="15">
      <c r="A541" s="183" t="s">
        <v>646</v>
      </c>
      <c r="B541" s="279" t="s">
        <v>727</v>
      </c>
      <c r="C541" s="348" t="s">
        <v>873</v>
      </c>
      <c r="D541" s="18">
        <v>226930</v>
      </c>
      <c r="E541" s="18">
        <v>9</v>
      </c>
      <c r="F541" s="194">
        <f t="shared" si="16"/>
        <v>143841</v>
      </c>
      <c r="G541" s="195">
        <f t="shared" si="20"/>
        <v>148939</v>
      </c>
      <c r="H541" s="202">
        <v>99721</v>
      </c>
      <c r="I541" s="15">
        <v>102305</v>
      </c>
      <c r="J541" s="202">
        <v>0</v>
      </c>
      <c r="K541" s="156">
        <v>624</v>
      </c>
      <c r="L541" s="203">
        <v>44120</v>
      </c>
      <c r="M541" s="110">
        <v>0</v>
      </c>
      <c r="N541" s="110">
        <v>0</v>
      </c>
      <c r="O541" s="11">
        <v>46010</v>
      </c>
      <c r="P541" s="271">
        <v>0</v>
      </c>
      <c r="Q541" s="128">
        <v>0</v>
      </c>
      <c r="R541" s="202"/>
      <c r="S541" s="46"/>
      <c r="T541" s="196">
        <f t="shared" si="22"/>
        <v>0</v>
      </c>
      <c r="U541" s="197">
        <f t="shared" si="21"/>
        <v>0</v>
      </c>
      <c r="V541" s="202">
        <v>0</v>
      </c>
      <c r="W541" s="128">
        <v>0</v>
      </c>
      <c r="X541" s="202">
        <v>0</v>
      </c>
      <c r="Y541" s="189">
        <v>0</v>
      </c>
      <c r="Z541" s="203">
        <v>0</v>
      </c>
      <c r="AA541" s="110">
        <v>0</v>
      </c>
      <c r="AB541" s="110">
        <v>0</v>
      </c>
      <c r="AC541" s="271">
        <v>0</v>
      </c>
      <c r="AD541" s="271">
        <v>0</v>
      </c>
      <c r="AE541" s="128">
        <v>0</v>
      </c>
      <c r="AF541" s="202"/>
      <c r="AG541" s="49"/>
    </row>
    <row r="542" spans="1:33" s="222" customFormat="1">
      <c r="A542" s="183" t="s">
        <v>646</v>
      </c>
      <c r="B542" s="20" t="s">
        <v>728</v>
      </c>
      <c r="C542" s="12"/>
      <c r="D542" s="18">
        <v>227225</v>
      </c>
      <c r="E542" s="18">
        <v>9</v>
      </c>
      <c r="F542" s="194">
        <f t="shared" si="16"/>
        <v>56909</v>
      </c>
      <c r="G542" s="195">
        <f t="shared" si="20"/>
        <v>60231</v>
      </c>
      <c r="H542" s="202">
        <v>37207</v>
      </c>
      <c r="I542" s="15">
        <v>36206</v>
      </c>
      <c r="J542" s="202">
        <v>1812</v>
      </c>
      <c r="K542" s="14">
        <v>2515</v>
      </c>
      <c r="L542" s="203">
        <v>17890</v>
      </c>
      <c r="M542" s="110">
        <v>0</v>
      </c>
      <c r="N542" s="110">
        <v>0</v>
      </c>
      <c r="O542" s="13">
        <v>21510</v>
      </c>
      <c r="P542" s="271">
        <v>0</v>
      </c>
      <c r="Q542" s="128">
        <v>0</v>
      </c>
      <c r="R542" s="202"/>
      <c r="S542" s="46"/>
      <c r="T542" s="196">
        <f t="shared" si="22"/>
        <v>0</v>
      </c>
      <c r="U542" s="197">
        <f t="shared" si="21"/>
        <v>0</v>
      </c>
      <c r="V542" s="202">
        <v>0</v>
      </c>
      <c r="W542" s="128">
        <v>0</v>
      </c>
      <c r="X542" s="202">
        <v>0</v>
      </c>
      <c r="Y542" s="189">
        <v>0</v>
      </c>
      <c r="Z542" s="203">
        <v>0</v>
      </c>
      <c r="AA542" s="110">
        <v>0</v>
      </c>
      <c r="AB542" s="110">
        <v>0</v>
      </c>
      <c r="AC542" s="271">
        <v>0</v>
      </c>
      <c r="AD542" s="271">
        <v>0</v>
      </c>
      <c r="AE542" s="128">
        <v>0</v>
      </c>
      <c r="AF542" s="202"/>
      <c r="AG542" s="49"/>
    </row>
    <row r="543" spans="1:33" s="222" customFormat="1">
      <c r="A543" s="183" t="s">
        <v>646</v>
      </c>
      <c r="B543" s="20" t="s">
        <v>729</v>
      </c>
      <c r="C543" s="12"/>
      <c r="D543" s="18">
        <v>227304</v>
      </c>
      <c r="E543" s="18">
        <v>9</v>
      </c>
      <c r="F543" s="194">
        <f t="shared" si="16"/>
        <v>109738</v>
      </c>
      <c r="G543" s="195">
        <f t="shared" si="20"/>
        <v>108209</v>
      </c>
      <c r="H543" s="202">
        <v>54897</v>
      </c>
      <c r="I543" s="15">
        <v>55378</v>
      </c>
      <c r="J543" s="202">
        <v>7591</v>
      </c>
      <c r="K543" s="14">
        <v>9319</v>
      </c>
      <c r="L543" s="203">
        <v>47250</v>
      </c>
      <c r="M543" s="110">
        <v>0</v>
      </c>
      <c r="N543" s="110">
        <v>0</v>
      </c>
      <c r="O543" s="13">
        <v>43512</v>
      </c>
      <c r="P543" s="271">
        <v>0</v>
      </c>
      <c r="Q543" s="128">
        <v>0</v>
      </c>
      <c r="R543" s="202"/>
      <c r="S543" s="46"/>
      <c r="T543" s="196">
        <f t="shared" si="22"/>
        <v>0</v>
      </c>
      <c r="U543" s="197">
        <f t="shared" si="21"/>
        <v>0</v>
      </c>
      <c r="V543" s="202">
        <v>0</v>
      </c>
      <c r="W543" s="128">
        <v>0</v>
      </c>
      <c r="X543" s="202">
        <v>0</v>
      </c>
      <c r="Y543" s="189">
        <v>0</v>
      </c>
      <c r="Z543" s="203">
        <v>0</v>
      </c>
      <c r="AA543" s="110">
        <v>0</v>
      </c>
      <c r="AB543" s="110">
        <v>0</v>
      </c>
      <c r="AC543" s="271">
        <v>0</v>
      </c>
      <c r="AD543" s="271">
        <v>0</v>
      </c>
      <c r="AE543" s="128">
        <v>0</v>
      </c>
      <c r="AF543" s="202"/>
      <c r="AG543" s="49"/>
    </row>
    <row r="544" spans="1:33" s="222" customFormat="1">
      <c r="A544" s="183" t="s">
        <v>646</v>
      </c>
      <c r="B544" s="20" t="s">
        <v>730</v>
      </c>
      <c r="C544" s="12"/>
      <c r="D544" s="18">
        <v>227401</v>
      </c>
      <c r="E544" s="18">
        <v>9</v>
      </c>
      <c r="F544" s="194">
        <f t="shared" si="16"/>
        <v>106427</v>
      </c>
      <c r="G544" s="195">
        <f t="shared" si="20"/>
        <v>98644</v>
      </c>
      <c r="H544" s="202">
        <v>28915</v>
      </c>
      <c r="I544" s="14">
        <v>24421</v>
      </c>
      <c r="J544" s="202">
        <v>29589</v>
      </c>
      <c r="K544" s="14">
        <v>27945</v>
      </c>
      <c r="L544" s="203">
        <v>44358</v>
      </c>
      <c r="M544" s="110">
        <v>3565</v>
      </c>
      <c r="N544" s="110">
        <v>0</v>
      </c>
      <c r="O544" s="11">
        <v>42463</v>
      </c>
      <c r="P544" s="13">
        <v>3815</v>
      </c>
      <c r="Q544" s="128">
        <v>0</v>
      </c>
      <c r="R544" s="202"/>
      <c r="S544" s="46"/>
      <c r="T544" s="196">
        <f t="shared" si="22"/>
        <v>0</v>
      </c>
      <c r="U544" s="197">
        <f t="shared" si="21"/>
        <v>0</v>
      </c>
      <c r="V544" s="202">
        <v>0</v>
      </c>
      <c r="W544" s="128">
        <v>0</v>
      </c>
      <c r="X544" s="202">
        <v>0</v>
      </c>
      <c r="Y544" s="189">
        <v>0</v>
      </c>
      <c r="Z544" s="203">
        <v>0</v>
      </c>
      <c r="AA544" s="110">
        <v>0</v>
      </c>
      <c r="AB544" s="110">
        <v>0</v>
      </c>
      <c r="AC544" s="271">
        <v>0</v>
      </c>
      <c r="AD544" s="271">
        <v>0</v>
      </c>
      <c r="AE544" s="128">
        <v>0</v>
      </c>
      <c r="AF544" s="202"/>
      <c r="AG544" s="49"/>
    </row>
    <row r="545" spans="1:33" s="222" customFormat="1">
      <c r="A545" s="183" t="s">
        <v>646</v>
      </c>
      <c r="B545" s="20" t="s">
        <v>731</v>
      </c>
      <c r="C545" s="12"/>
      <c r="D545" s="18">
        <v>228316</v>
      </c>
      <c r="E545" s="18">
        <v>9</v>
      </c>
      <c r="F545" s="194">
        <f t="shared" si="16"/>
        <v>100657</v>
      </c>
      <c r="G545" s="195">
        <f t="shared" si="20"/>
        <v>104332</v>
      </c>
      <c r="H545" s="202">
        <v>22483</v>
      </c>
      <c r="I545" s="15">
        <v>21380</v>
      </c>
      <c r="J545" s="202">
        <v>51550</v>
      </c>
      <c r="K545" s="14">
        <v>56122</v>
      </c>
      <c r="L545" s="203">
        <v>10563</v>
      </c>
      <c r="M545" s="110">
        <v>16061</v>
      </c>
      <c r="N545" s="110">
        <v>0</v>
      </c>
      <c r="O545" s="11">
        <v>10981</v>
      </c>
      <c r="P545" s="11">
        <v>15849</v>
      </c>
      <c r="Q545" s="128">
        <v>0</v>
      </c>
      <c r="R545" s="202"/>
      <c r="S545" s="46"/>
      <c r="T545" s="196">
        <f t="shared" si="22"/>
        <v>0</v>
      </c>
      <c r="U545" s="197">
        <f t="shared" si="21"/>
        <v>0</v>
      </c>
      <c r="V545" s="202">
        <v>0</v>
      </c>
      <c r="W545" s="128">
        <v>0</v>
      </c>
      <c r="X545" s="202">
        <v>0</v>
      </c>
      <c r="Y545" s="189">
        <v>0</v>
      </c>
      <c r="Z545" s="203">
        <v>0</v>
      </c>
      <c r="AA545" s="110">
        <v>0</v>
      </c>
      <c r="AB545" s="110">
        <v>0</v>
      </c>
      <c r="AC545" s="271">
        <v>0</v>
      </c>
      <c r="AD545" s="271">
        <v>0</v>
      </c>
      <c r="AE545" s="128">
        <v>0</v>
      </c>
      <c r="AF545" s="202"/>
      <c r="AG545" s="49"/>
    </row>
    <row r="546" spans="1:33" s="222" customFormat="1">
      <c r="A546" s="183" t="s">
        <v>646</v>
      </c>
      <c r="B546" s="20" t="s">
        <v>732</v>
      </c>
      <c r="C546" s="12"/>
      <c r="D546" s="18">
        <v>228608</v>
      </c>
      <c r="E546" s="18">
        <v>9</v>
      </c>
      <c r="F546" s="194">
        <f t="shared" si="16"/>
        <v>103912</v>
      </c>
      <c r="G546" s="195">
        <f t="shared" si="20"/>
        <v>100313</v>
      </c>
      <c r="H546" s="202">
        <v>57273</v>
      </c>
      <c r="I546" s="14">
        <v>53849</v>
      </c>
      <c r="J546" s="202">
        <v>13414</v>
      </c>
      <c r="K546" s="14">
        <v>14640</v>
      </c>
      <c r="L546" s="203">
        <v>32975</v>
      </c>
      <c r="M546" s="110">
        <v>250</v>
      </c>
      <c r="N546" s="110">
        <v>0</v>
      </c>
      <c r="O546" s="11">
        <v>31533</v>
      </c>
      <c r="P546" s="272">
        <v>291</v>
      </c>
      <c r="Q546" s="128">
        <v>0</v>
      </c>
      <c r="R546" s="202"/>
      <c r="S546" s="46"/>
      <c r="T546" s="196">
        <f t="shared" si="22"/>
        <v>0</v>
      </c>
      <c r="U546" s="197">
        <f t="shared" si="21"/>
        <v>0</v>
      </c>
      <c r="V546" s="202">
        <v>0</v>
      </c>
      <c r="W546" s="128">
        <v>0</v>
      </c>
      <c r="X546" s="202">
        <v>0</v>
      </c>
      <c r="Y546" s="189">
        <v>0</v>
      </c>
      <c r="Z546" s="203">
        <v>0</v>
      </c>
      <c r="AA546" s="110">
        <v>0</v>
      </c>
      <c r="AB546" s="110">
        <v>0</v>
      </c>
      <c r="AC546" s="271">
        <v>0</v>
      </c>
      <c r="AD546" s="271">
        <v>0</v>
      </c>
      <c r="AE546" s="128">
        <v>0</v>
      </c>
      <c r="AF546" s="202"/>
      <c r="AG546" s="49"/>
    </row>
    <row r="547" spans="1:33" s="222" customFormat="1">
      <c r="A547" s="183" t="s">
        <v>646</v>
      </c>
      <c r="B547" s="20" t="s">
        <v>733</v>
      </c>
      <c r="C547" s="12"/>
      <c r="D547" s="18">
        <v>228699</v>
      </c>
      <c r="E547" s="18">
        <v>9</v>
      </c>
      <c r="F547" s="194">
        <f t="shared" si="16"/>
        <v>76128</v>
      </c>
      <c r="G547" s="195">
        <f t="shared" si="20"/>
        <v>74983</v>
      </c>
      <c r="H547" s="202">
        <v>56926</v>
      </c>
      <c r="I547" s="14">
        <v>50480</v>
      </c>
      <c r="J547" s="202">
        <v>8161</v>
      </c>
      <c r="K547" s="14">
        <v>12848</v>
      </c>
      <c r="L547" s="203">
        <v>10966</v>
      </c>
      <c r="M547" s="110">
        <v>0</v>
      </c>
      <c r="N547" s="110">
        <v>75</v>
      </c>
      <c r="O547" s="13">
        <v>11538</v>
      </c>
      <c r="P547" s="271">
        <v>0</v>
      </c>
      <c r="Q547" s="156">
        <v>117</v>
      </c>
      <c r="R547" s="202"/>
      <c r="S547" s="46"/>
      <c r="T547" s="196">
        <f t="shared" si="22"/>
        <v>0</v>
      </c>
      <c r="U547" s="197">
        <f t="shared" si="21"/>
        <v>0</v>
      </c>
      <c r="V547" s="202">
        <v>0</v>
      </c>
      <c r="W547" s="128">
        <v>0</v>
      </c>
      <c r="X547" s="202">
        <v>0</v>
      </c>
      <c r="Y547" s="189">
        <v>0</v>
      </c>
      <c r="Z547" s="203">
        <v>0</v>
      </c>
      <c r="AA547" s="110">
        <v>0</v>
      </c>
      <c r="AB547" s="110">
        <v>0</v>
      </c>
      <c r="AC547" s="271">
        <v>0</v>
      </c>
      <c r="AD547" s="271">
        <v>0</v>
      </c>
      <c r="AE547" s="128">
        <v>0</v>
      </c>
      <c r="AF547" s="202"/>
      <c r="AG547" s="49"/>
    </row>
    <row r="548" spans="1:33" s="222" customFormat="1">
      <c r="A548" s="183" t="s">
        <v>646</v>
      </c>
      <c r="B548" s="20" t="s">
        <v>734</v>
      </c>
      <c r="C548" s="19"/>
      <c r="D548" s="18">
        <v>229072</v>
      </c>
      <c r="E548" s="17">
        <v>9</v>
      </c>
      <c r="F548" s="194">
        <f t="shared" si="16"/>
        <v>70307</v>
      </c>
      <c r="G548" s="195">
        <f t="shared" si="20"/>
        <v>77121</v>
      </c>
      <c r="H548" s="202">
        <v>59886</v>
      </c>
      <c r="I548" s="14">
        <v>64300</v>
      </c>
      <c r="J548" s="202">
        <v>10391</v>
      </c>
      <c r="K548" s="14">
        <v>12785</v>
      </c>
      <c r="L548" s="203">
        <v>30</v>
      </c>
      <c r="M548" s="110">
        <v>0</v>
      </c>
      <c r="N548" s="110">
        <v>0</v>
      </c>
      <c r="O548" s="272">
        <v>36</v>
      </c>
      <c r="P548" s="271">
        <v>0</v>
      </c>
      <c r="Q548" s="128">
        <v>0</v>
      </c>
      <c r="R548" s="202"/>
      <c r="S548" s="46"/>
      <c r="T548" s="196">
        <f t="shared" si="22"/>
        <v>0</v>
      </c>
      <c r="U548" s="197">
        <f t="shared" si="21"/>
        <v>0</v>
      </c>
      <c r="V548" s="202">
        <v>0</v>
      </c>
      <c r="W548" s="128">
        <v>0</v>
      </c>
      <c r="X548" s="202">
        <v>0</v>
      </c>
      <c r="Y548" s="189">
        <v>0</v>
      </c>
      <c r="Z548" s="203">
        <v>0</v>
      </c>
      <c r="AA548" s="110">
        <v>0</v>
      </c>
      <c r="AB548" s="110">
        <v>0</v>
      </c>
      <c r="AC548" s="271">
        <v>0</v>
      </c>
      <c r="AD548" s="271">
        <v>0</v>
      </c>
      <c r="AE548" s="128">
        <v>0</v>
      </c>
      <c r="AF548" s="202"/>
      <c r="AG548" s="49"/>
    </row>
    <row r="549" spans="1:33" s="222" customFormat="1">
      <c r="A549" s="183" t="s">
        <v>646</v>
      </c>
      <c r="B549" s="20" t="s">
        <v>735</v>
      </c>
      <c r="C549" s="19"/>
      <c r="D549" s="18">
        <v>229319</v>
      </c>
      <c r="E549" s="18">
        <v>9</v>
      </c>
      <c r="F549" s="194">
        <f t="shared" si="16"/>
        <v>111588</v>
      </c>
      <c r="G549" s="195">
        <f t="shared" si="20"/>
        <v>115260</v>
      </c>
      <c r="H549" s="202">
        <v>95488</v>
      </c>
      <c r="I549" s="15">
        <v>93554</v>
      </c>
      <c r="J549" s="202">
        <v>9088</v>
      </c>
      <c r="K549" s="14">
        <v>14216</v>
      </c>
      <c r="L549" s="203">
        <v>7012</v>
      </c>
      <c r="M549" s="110">
        <v>0</v>
      </c>
      <c r="N549" s="110">
        <v>0</v>
      </c>
      <c r="O549" s="13">
        <v>7490</v>
      </c>
      <c r="P549" s="271">
        <v>0</v>
      </c>
      <c r="Q549" s="128">
        <v>0</v>
      </c>
      <c r="R549" s="202"/>
      <c r="S549" s="46"/>
      <c r="T549" s="196">
        <f t="shared" si="22"/>
        <v>0</v>
      </c>
      <c r="U549" s="197">
        <f t="shared" si="21"/>
        <v>0</v>
      </c>
      <c r="V549" s="202">
        <v>0</v>
      </c>
      <c r="W549" s="128">
        <v>0</v>
      </c>
      <c r="X549" s="202">
        <v>0</v>
      </c>
      <c r="Y549" s="189">
        <v>0</v>
      </c>
      <c r="Z549" s="203">
        <v>0</v>
      </c>
      <c r="AA549" s="110">
        <v>0</v>
      </c>
      <c r="AB549" s="110">
        <v>0</v>
      </c>
      <c r="AC549" s="271">
        <v>0</v>
      </c>
      <c r="AD549" s="271">
        <v>0</v>
      </c>
      <c r="AE549" s="128">
        <v>0</v>
      </c>
      <c r="AF549" s="202"/>
      <c r="AG549" s="49"/>
    </row>
    <row r="550" spans="1:33" s="222" customFormat="1">
      <c r="A550" s="183" t="s">
        <v>646</v>
      </c>
      <c r="B550" s="20" t="s">
        <v>736</v>
      </c>
      <c r="C550" s="19"/>
      <c r="D550" s="18">
        <v>228680</v>
      </c>
      <c r="E550" s="17">
        <v>9</v>
      </c>
      <c r="F550" s="194">
        <f t="shared" si="16"/>
        <v>111033</v>
      </c>
      <c r="G550" s="195">
        <f t="shared" si="20"/>
        <v>110929</v>
      </c>
      <c r="H550" s="202">
        <v>99315</v>
      </c>
      <c r="I550" s="15">
        <v>100846</v>
      </c>
      <c r="J550" s="202">
        <v>2966</v>
      </c>
      <c r="K550" s="14">
        <v>4301</v>
      </c>
      <c r="L550" s="203">
        <v>8752</v>
      </c>
      <c r="M550" s="110">
        <v>0</v>
      </c>
      <c r="N550" s="110">
        <v>0</v>
      </c>
      <c r="O550" s="13">
        <v>5782</v>
      </c>
      <c r="P550" s="271">
        <v>0</v>
      </c>
      <c r="Q550" s="128">
        <v>0</v>
      </c>
      <c r="R550" s="202"/>
      <c r="S550" s="46"/>
      <c r="T550" s="196">
        <f t="shared" si="22"/>
        <v>0</v>
      </c>
      <c r="U550" s="197">
        <f t="shared" si="21"/>
        <v>0</v>
      </c>
      <c r="V550" s="202">
        <v>0</v>
      </c>
      <c r="W550" s="128">
        <v>0</v>
      </c>
      <c r="X550" s="202">
        <v>0</v>
      </c>
      <c r="Y550" s="189">
        <v>0</v>
      </c>
      <c r="Z550" s="203">
        <v>0</v>
      </c>
      <c r="AA550" s="110">
        <v>0</v>
      </c>
      <c r="AB550" s="110">
        <v>0</v>
      </c>
      <c r="AC550" s="271">
        <v>0</v>
      </c>
      <c r="AD550" s="271">
        <v>0</v>
      </c>
      <c r="AE550" s="128">
        <v>0</v>
      </c>
      <c r="AF550" s="202"/>
      <c r="AG550" s="49"/>
    </row>
    <row r="551" spans="1:33" s="222" customFormat="1">
      <c r="A551" s="183" t="s">
        <v>646</v>
      </c>
      <c r="B551" s="20" t="s">
        <v>737</v>
      </c>
      <c r="C551" s="12"/>
      <c r="D551" s="18">
        <v>229504</v>
      </c>
      <c r="E551" s="281">
        <v>9</v>
      </c>
      <c r="F551" s="194">
        <f t="shared" si="16"/>
        <v>58321</v>
      </c>
      <c r="G551" s="195">
        <f t="shared" si="20"/>
        <v>58630</v>
      </c>
      <c r="H551" s="202">
        <v>9020</v>
      </c>
      <c r="I551" s="15">
        <v>8667</v>
      </c>
      <c r="J551" s="202">
        <v>29950</v>
      </c>
      <c r="K551" s="15">
        <v>29362</v>
      </c>
      <c r="L551" s="203">
        <v>15615</v>
      </c>
      <c r="M551" s="110">
        <v>3691</v>
      </c>
      <c r="N551" s="110">
        <v>45</v>
      </c>
      <c r="O551" s="13">
        <v>17113</v>
      </c>
      <c r="P551" s="13">
        <v>3431</v>
      </c>
      <c r="Q551" s="156">
        <v>57</v>
      </c>
      <c r="R551" s="202"/>
      <c r="S551" s="46"/>
      <c r="T551" s="196">
        <f t="shared" si="22"/>
        <v>0</v>
      </c>
      <c r="U551" s="197">
        <f t="shared" si="21"/>
        <v>0</v>
      </c>
      <c r="V551" s="202">
        <v>0</v>
      </c>
      <c r="W551" s="128">
        <v>0</v>
      </c>
      <c r="X551" s="202">
        <v>0</v>
      </c>
      <c r="Y551" s="189">
        <v>0</v>
      </c>
      <c r="Z551" s="203">
        <v>0</v>
      </c>
      <c r="AA551" s="110">
        <v>0</v>
      </c>
      <c r="AB551" s="110">
        <v>0</v>
      </c>
      <c r="AC551" s="271">
        <v>0</v>
      </c>
      <c r="AD551" s="271">
        <v>0</v>
      </c>
      <c r="AE551" s="128">
        <v>0</v>
      </c>
      <c r="AF551" s="202"/>
      <c r="AG551" s="49"/>
    </row>
    <row r="552" spans="1:33" s="222" customFormat="1">
      <c r="A552" s="183" t="s">
        <v>646</v>
      </c>
      <c r="B552" s="20" t="s">
        <v>738</v>
      </c>
      <c r="C552" s="12"/>
      <c r="D552" s="18">
        <v>229540</v>
      </c>
      <c r="E552" s="18">
        <v>9</v>
      </c>
      <c r="F552" s="194">
        <f t="shared" si="16"/>
        <v>70484</v>
      </c>
      <c r="G552" s="195">
        <f t="shared" si="20"/>
        <v>68422</v>
      </c>
      <c r="H552" s="202">
        <v>44908</v>
      </c>
      <c r="I552" s="15">
        <v>44702</v>
      </c>
      <c r="J552" s="202">
        <v>5398</v>
      </c>
      <c r="K552" s="14">
        <v>4077</v>
      </c>
      <c r="L552" s="203">
        <v>17129</v>
      </c>
      <c r="M552" s="110">
        <v>3049</v>
      </c>
      <c r="N552" s="110">
        <v>0</v>
      </c>
      <c r="O552" s="11">
        <v>16609</v>
      </c>
      <c r="P552" s="11">
        <v>3034</v>
      </c>
      <c r="Q552" s="128">
        <v>0</v>
      </c>
      <c r="R552" s="202"/>
      <c r="S552" s="46"/>
      <c r="T552" s="196">
        <f t="shared" si="22"/>
        <v>0</v>
      </c>
      <c r="U552" s="197">
        <f t="shared" si="21"/>
        <v>0</v>
      </c>
      <c r="V552" s="202">
        <v>0</v>
      </c>
      <c r="W552" s="128">
        <v>0</v>
      </c>
      <c r="X552" s="202">
        <v>0</v>
      </c>
      <c r="Y552" s="189">
        <v>0</v>
      </c>
      <c r="Z552" s="203">
        <v>0</v>
      </c>
      <c r="AA552" s="110">
        <v>0</v>
      </c>
      <c r="AB552" s="110">
        <v>0</v>
      </c>
      <c r="AC552" s="271">
        <v>0</v>
      </c>
      <c r="AD552" s="271">
        <v>0</v>
      </c>
      <c r="AE552" s="128">
        <v>0</v>
      </c>
      <c r="AF552" s="202"/>
      <c r="AG552" s="49"/>
    </row>
    <row r="553" spans="1:33" s="222" customFormat="1">
      <c r="A553" s="183" t="s">
        <v>646</v>
      </c>
      <c r="B553" s="20" t="s">
        <v>739</v>
      </c>
      <c r="C553" s="12"/>
      <c r="D553" s="18">
        <v>229799</v>
      </c>
      <c r="E553" s="18">
        <v>9</v>
      </c>
      <c r="F553" s="194">
        <f t="shared" si="16"/>
        <v>107408</v>
      </c>
      <c r="G553" s="195">
        <f t="shared" si="20"/>
        <v>107472</v>
      </c>
      <c r="H553" s="202">
        <v>58233</v>
      </c>
      <c r="I553" s="15">
        <v>59630</v>
      </c>
      <c r="J553" s="202">
        <v>15872</v>
      </c>
      <c r="K553" s="14">
        <v>13563</v>
      </c>
      <c r="L553" s="203">
        <v>32055</v>
      </c>
      <c r="M553" s="110">
        <v>1149</v>
      </c>
      <c r="N553" s="110">
        <v>99</v>
      </c>
      <c r="O553" s="11">
        <v>33016</v>
      </c>
      <c r="P553" s="13">
        <v>906</v>
      </c>
      <c r="Q553" s="156">
        <v>357</v>
      </c>
      <c r="R553" s="202"/>
      <c r="S553" s="46"/>
      <c r="T553" s="196">
        <f t="shared" si="22"/>
        <v>0</v>
      </c>
      <c r="U553" s="197">
        <f t="shared" si="21"/>
        <v>0</v>
      </c>
      <c r="V553" s="202">
        <v>0</v>
      </c>
      <c r="W553" s="128">
        <v>0</v>
      </c>
      <c r="X553" s="202">
        <v>0</v>
      </c>
      <c r="Y553" s="189">
        <v>0</v>
      </c>
      <c r="Z553" s="203">
        <v>0</v>
      </c>
      <c r="AA553" s="110">
        <v>0</v>
      </c>
      <c r="AB553" s="110">
        <v>0</v>
      </c>
      <c r="AC553" s="271">
        <v>0</v>
      </c>
      <c r="AD553" s="271">
        <v>0</v>
      </c>
      <c r="AE553" s="128">
        <v>0</v>
      </c>
      <c r="AF553" s="202"/>
      <c r="AG553" s="49"/>
    </row>
    <row r="554" spans="1:33" s="222" customFormat="1">
      <c r="A554" s="183" t="s">
        <v>646</v>
      </c>
      <c r="B554" s="20" t="s">
        <v>740</v>
      </c>
      <c r="C554" s="12"/>
      <c r="D554" s="18">
        <v>229841</v>
      </c>
      <c r="E554" s="18">
        <v>9</v>
      </c>
      <c r="F554" s="194">
        <f t="shared" si="16"/>
        <v>144513</v>
      </c>
      <c r="G554" s="195">
        <f t="shared" si="20"/>
        <v>143334</v>
      </c>
      <c r="H554" s="202">
        <v>35067</v>
      </c>
      <c r="I554" s="14">
        <v>33245</v>
      </c>
      <c r="J554" s="202">
        <v>81012</v>
      </c>
      <c r="K554" s="15">
        <v>82107</v>
      </c>
      <c r="L554" s="203">
        <v>26142</v>
      </c>
      <c r="M554" s="110">
        <v>2292</v>
      </c>
      <c r="N554" s="110">
        <v>0</v>
      </c>
      <c r="O554" s="11">
        <v>25026</v>
      </c>
      <c r="P554" s="13">
        <v>2956</v>
      </c>
      <c r="Q554" s="128">
        <v>0</v>
      </c>
      <c r="R554" s="202"/>
      <c r="S554" s="46"/>
      <c r="T554" s="196">
        <f t="shared" si="22"/>
        <v>0</v>
      </c>
      <c r="U554" s="197">
        <f t="shared" si="21"/>
        <v>0</v>
      </c>
      <c r="V554" s="202">
        <v>0</v>
      </c>
      <c r="W554" s="128">
        <v>0</v>
      </c>
      <c r="X554" s="202">
        <v>0</v>
      </c>
      <c r="Y554" s="189">
        <v>0</v>
      </c>
      <c r="Z554" s="203">
        <v>0</v>
      </c>
      <c r="AA554" s="110">
        <v>0</v>
      </c>
      <c r="AB554" s="110">
        <v>0</v>
      </c>
      <c r="AC554" s="271">
        <v>0</v>
      </c>
      <c r="AD554" s="271">
        <v>0</v>
      </c>
      <c r="AE554" s="128">
        <v>0</v>
      </c>
      <c r="AF554" s="202"/>
      <c r="AG554" s="49"/>
    </row>
    <row r="555" spans="1:33" s="222" customFormat="1">
      <c r="A555" s="183" t="s">
        <v>646</v>
      </c>
      <c r="B555" s="20" t="s">
        <v>741</v>
      </c>
      <c r="C555" s="12"/>
      <c r="D555" s="18">
        <v>223922</v>
      </c>
      <c r="E555" s="18">
        <v>10</v>
      </c>
      <c r="F555" s="194">
        <f t="shared" si="16"/>
        <v>27397</v>
      </c>
      <c r="G555" s="195">
        <f t="shared" si="20"/>
        <v>28964</v>
      </c>
      <c r="H555" s="202">
        <v>10735</v>
      </c>
      <c r="I555" s="14">
        <v>9827</v>
      </c>
      <c r="J555" s="202">
        <v>9336</v>
      </c>
      <c r="K555" s="15">
        <v>9441</v>
      </c>
      <c r="L555" s="203">
        <v>6608</v>
      </c>
      <c r="M555" s="110">
        <v>718</v>
      </c>
      <c r="N555" s="110">
        <v>0</v>
      </c>
      <c r="O555" s="13">
        <v>8954</v>
      </c>
      <c r="P555" s="271">
        <v>742</v>
      </c>
      <c r="Q555" s="128">
        <v>0</v>
      </c>
      <c r="R555" s="202"/>
      <c r="S555" s="46"/>
      <c r="T555" s="196">
        <f t="shared" ref="T555:T566" si="23">SUM(V555,X554,Z555,AA555,AB555,AF555)</f>
        <v>0</v>
      </c>
      <c r="U555" s="197">
        <f t="shared" si="21"/>
        <v>0</v>
      </c>
      <c r="V555" s="202">
        <v>0</v>
      </c>
      <c r="W555" s="128">
        <v>0</v>
      </c>
      <c r="X555" s="202">
        <v>0</v>
      </c>
      <c r="Y555" s="189">
        <v>0</v>
      </c>
      <c r="Z555" s="203">
        <v>0</v>
      </c>
      <c r="AA555" s="110">
        <v>0</v>
      </c>
      <c r="AB555" s="110">
        <v>0</v>
      </c>
      <c r="AC555" s="271">
        <v>0</v>
      </c>
      <c r="AD555" s="271">
        <v>0</v>
      </c>
      <c r="AE555" s="128">
        <v>0</v>
      </c>
      <c r="AF555" s="202"/>
      <c r="AG555" s="49"/>
    </row>
    <row r="556" spans="1:33" s="222" customFormat="1">
      <c r="A556" s="183" t="s">
        <v>646</v>
      </c>
      <c r="B556" s="20" t="s">
        <v>742</v>
      </c>
      <c r="C556" s="12"/>
      <c r="D556" s="18">
        <v>224891</v>
      </c>
      <c r="E556" s="18">
        <v>10</v>
      </c>
      <c r="F556" s="194">
        <f t="shared" si="16"/>
        <v>26286</v>
      </c>
      <c r="G556" s="195">
        <f t="shared" si="20"/>
        <v>27725</v>
      </c>
      <c r="H556" s="202">
        <v>16684</v>
      </c>
      <c r="I556" s="15">
        <v>16180</v>
      </c>
      <c r="J556" s="202">
        <v>2998</v>
      </c>
      <c r="K556" s="14">
        <v>3818</v>
      </c>
      <c r="L556" s="203">
        <v>2170</v>
      </c>
      <c r="M556" s="110">
        <v>496</v>
      </c>
      <c r="N556" s="110">
        <v>3938</v>
      </c>
      <c r="O556" s="13">
        <v>2928</v>
      </c>
      <c r="P556" s="272">
        <v>51</v>
      </c>
      <c r="Q556" s="14">
        <v>4748</v>
      </c>
      <c r="R556" s="202"/>
      <c r="S556" s="46"/>
      <c r="T556" s="196">
        <f t="shared" si="23"/>
        <v>0</v>
      </c>
      <c r="U556" s="197">
        <f t="shared" si="21"/>
        <v>0</v>
      </c>
      <c r="V556" s="202">
        <v>0</v>
      </c>
      <c r="W556" s="128">
        <v>0</v>
      </c>
      <c r="X556" s="202">
        <v>0</v>
      </c>
      <c r="Y556" s="189">
        <v>0</v>
      </c>
      <c r="Z556" s="203">
        <v>0</v>
      </c>
      <c r="AA556" s="110">
        <v>0</v>
      </c>
      <c r="AB556" s="110">
        <v>0</v>
      </c>
      <c r="AC556" s="271">
        <v>0</v>
      </c>
      <c r="AD556" s="271">
        <v>0</v>
      </c>
      <c r="AE556" s="128">
        <v>0</v>
      </c>
      <c r="AF556" s="202"/>
      <c r="AG556" s="49"/>
    </row>
    <row r="557" spans="1:33" s="222" customFormat="1">
      <c r="A557" s="183" t="s">
        <v>646</v>
      </c>
      <c r="B557" s="20" t="s">
        <v>743</v>
      </c>
      <c r="C557" s="12"/>
      <c r="D557" s="18">
        <v>224961</v>
      </c>
      <c r="E557" s="18">
        <v>10</v>
      </c>
      <c r="F557" s="194">
        <f t="shared" si="16"/>
        <v>41499</v>
      </c>
      <c r="G557" s="195">
        <f t="shared" si="20"/>
        <v>41820</v>
      </c>
      <c r="H557" s="202">
        <v>26622</v>
      </c>
      <c r="I557" s="15">
        <v>26419</v>
      </c>
      <c r="J557" s="202">
        <v>276</v>
      </c>
      <c r="K557" s="156">
        <v>186</v>
      </c>
      <c r="L557" s="203">
        <v>14598</v>
      </c>
      <c r="M557" s="110">
        <v>0</v>
      </c>
      <c r="N557" s="110">
        <v>3</v>
      </c>
      <c r="O557" s="11">
        <v>15215</v>
      </c>
      <c r="P557" s="271">
        <v>0</v>
      </c>
      <c r="Q557" s="156">
        <v>0</v>
      </c>
      <c r="R557" s="202"/>
      <c r="S557" s="46"/>
      <c r="T557" s="196">
        <f t="shared" si="23"/>
        <v>0</v>
      </c>
      <c r="U557" s="197">
        <f t="shared" si="21"/>
        <v>0</v>
      </c>
      <c r="V557" s="202">
        <v>0</v>
      </c>
      <c r="W557" s="128">
        <v>0</v>
      </c>
      <c r="X557" s="202">
        <v>0</v>
      </c>
      <c r="Y557" s="189">
        <v>0</v>
      </c>
      <c r="Z557" s="203">
        <v>0</v>
      </c>
      <c r="AA557" s="110">
        <v>0</v>
      </c>
      <c r="AB557" s="110">
        <v>0</v>
      </c>
      <c r="AC557" s="271">
        <v>0</v>
      </c>
      <c r="AD557" s="271">
        <v>0</v>
      </c>
      <c r="AE557" s="128">
        <v>0</v>
      </c>
      <c r="AF557" s="202"/>
      <c r="AG557" s="49"/>
    </row>
    <row r="558" spans="1:33" s="222" customFormat="1">
      <c r="A558" s="183" t="s">
        <v>646</v>
      </c>
      <c r="B558" s="20" t="s">
        <v>744</v>
      </c>
      <c r="C558" s="12"/>
      <c r="D558" s="18">
        <v>226107</v>
      </c>
      <c r="E558" s="281">
        <v>10</v>
      </c>
      <c r="F558" s="194">
        <f t="shared" si="16"/>
        <v>45884</v>
      </c>
      <c r="G558" s="195">
        <f t="shared" si="20"/>
        <v>45710</v>
      </c>
      <c r="H558" s="202">
        <v>31793</v>
      </c>
      <c r="I558" s="14">
        <v>30151</v>
      </c>
      <c r="J558" s="202">
        <v>1991</v>
      </c>
      <c r="K558" s="14">
        <v>1891</v>
      </c>
      <c r="L558" s="203">
        <v>12100</v>
      </c>
      <c r="M558" s="110">
        <v>0</v>
      </c>
      <c r="N558" s="110">
        <v>0</v>
      </c>
      <c r="O558" s="13">
        <v>13668</v>
      </c>
      <c r="P558" s="271">
        <v>0</v>
      </c>
      <c r="Q558" s="128">
        <v>0</v>
      </c>
      <c r="R558" s="202"/>
      <c r="S558" s="46"/>
      <c r="T558" s="196">
        <f t="shared" si="23"/>
        <v>0</v>
      </c>
      <c r="U558" s="197">
        <f t="shared" si="21"/>
        <v>0</v>
      </c>
      <c r="V558" s="202">
        <v>0</v>
      </c>
      <c r="W558" s="128">
        <v>0</v>
      </c>
      <c r="X558" s="202">
        <v>0</v>
      </c>
      <c r="Y558" s="189">
        <v>0</v>
      </c>
      <c r="Z558" s="203">
        <v>0</v>
      </c>
      <c r="AA558" s="110">
        <v>0</v>
      </c>
      <c r="AB558" s="110">
        <v>0</v>
      </c>
      <c r="AC558" s="271">
        <v>0</v>
      </c>
      <c r="AD558" s="271">
        <v>0</v>
      </c>
      <c r="AE558" s="128">
        <v>0</v>
      </c>
      <c r="AF558" s="202"/>
      <c r="AG558" s="49"/>
    </row>
    <row r="559" spans="1:33" s="222" customFormat="1">
      <c r="A559" s="183" t="s">
        <v>646</v>
      </c>
      <c r="B559" s="20" t="s">
        <v>745</v>
      </c>
      <c r="C559" s="12"/>
      <c r="D559" s="282" t="s">
        <v>746</v>
      </c>
      <c r="E559" s="281">
        <v>10</v>
      </c>
      <c r="F559" s="194">
        <f t="shared" si="16"/>
        <v>43121</v>
      </c>
      <c r="G559" s="195">
        <f t="shared" si="20"/>
        <v>55613</v>
      </c>
      <c r="H559" s="202">
        <v>36350</v>
      </c>
      <c r="I559" s="14">
        <v>44078</v>
      </c>
      <c r="J559" s="202">
        <v>0</v>
      </c>
      <c r="K559" s="128">
        <v>0</v>
      </c>
      <c r="L559" s="203">
        <v>6771</v>
      </c>
      <c r="M559" s="110">
        <v>0</v>
      </c>
      <c r="N559" s="110">
        <v>0</v>
      </c>
      <c r="O559" s="13">
        <v>11535</v>
      </c>
      <c r="P559" s="271">
        <v>0</v>
      </c>
      <c r="Q559" s="128">
        <v>0</v>
      </c>
      <c r="R559" s="202"/>
      <c r="S559" s="46"/>
      <c r="T559" s="196">
        <f t="shared" si="23"/>
        <v>0</v>
      </c>
      <c r="U559" s="197">
        <f t="shared" si="21"/>
        <v>0</v>
      </c>
      <c r="V559" s="202">
        <v>0</v>
      </c>
      <c r="W559" s="128">
        <v>0</v>
      </c>
      <c r="X559" s="202">
        <v>0</v>
      </c>
      <c r="Y559" s="189">
        <v>0</v>
      </c>
      <c r="Z559" s="203">
        <v>0</v>
      </c>
      <c r="AA559" s="110">
        <v>0</v>
      </c>
      <c r="AB559" s="110">
        <v>0</v>
      </c>
      <c r="AC559" s="271">
        <v>0</v>
      </c>
      <c r="AD559" s="271">
        <v>0</v>
      </c>
      <c r="AE559" s="128">
        <v>0</v>
      </c>
      <c r="AF559" s="202"/>
      <c r="AG559" s="49"/>
    </row>
    <row r="560" spans="1:33" s="222" customFormat="1">
      <c r="A560" s="183" t="s">
        <v>646</v>
      </c>
      <c r="B560" s="20" t="s">
        <v>747</v>
      </c>
      <c r="C560" s="12"/>
      <c r="D560" s="18">
        <v>227386</v>
      </c>
      <c r="E560" s="18">
        <v>10</v>
      </c>
      <c r="F560" s="194">
        <f t="shared" si="16"/>
        <v>56665</v>
      </c>
      <c r="G560" s="195">
        <f t="shared" si="20"/>
        <v>57116</v>
      </c>
      <c r="H560" s="202">
        <v>22581</v>
      </c>
      <c r="I560" s="15">
        <v>22515</v>
      </c>
      <c r="J560" s="202">
        <v>9024</v>
      </c>
      <c r="K560" s="14">
        <v>7538</v>
      </c>
      <c r="L560" s="203">
        <v>24118</v>
      </c>
      <c r="M560" s="110">
        <v>942</v>
      </c>
      <c r="N560" s="110">
        <v>0</v>
      </c>
      <c r="O560" s="13">
        <v>26189</v>
      </c>
      <c r="P560" s="272">
        <v>874</v>
      </c>
      <c r="Q560" s="128">
        <v>0</v>
      </c>
      <c r="R560" s="202"/>
      <c r="S560" s="46"/>
      <c r="T560" s="196">
        <f t="shared" si="23"/>
        <v>0</v>
      </c>
      <c r="U560" s="197">
        <f t="shared" si="21"/>
        <v>0</v>
      </c>
      <c r="V560" s="202">
        <v>0</v>
      </c>
      <c r="W560" s="128">
        <v>0</v>
      </c>
      <c r="X560" s="202">
        <v>0</v>
      </c>
      <c r="Y560" s="189">
        <v>0</v>
      </c>
      <c r="Z560" s="203">
        <v>0</v>
      </c>
      <c r="AA560" s="110">
        <v>0</v>
      </c>
      <c r="AB560" s="110">
        <v>0</v>
      </c>
      <c r="AC560" s="271">
        <v>0</v>
      </c>
      <c r="AD560" s="271">
        <v>0</v>
      </c>
      <c r="AE560" s="128">
        <v>0</v>
      </c>
      <c r="AF560" s="202"/>
      <c r="AG560" s="49"/>
    </row>
    <row r="561" spans="1:33" s="222" customFormat="1">
      <c r="A561" s="183" t="s">
        <v>646</v>
      </c>
      <c r="B561" s="20" t="s">
        <v>748</v>
      </c>
      <c r="C561" s="12"/>
      <c r="D561" s="18">
        <v>227687</v>
      </c>
      <c r="E561" s="18">
        <v>10</v>
      </c>
      <c r="F561" s="194">
        <f t="shared" si="16"/>
        <v>44412</v>
      </c>
      <c r="G561" s="195">
        <f t="shared" si="20"/>
        <v>45356</v>
      </c>
      <c r="H561" s="202">
        <v>12491</v>
      </c>
      <c r="I561" s="14">
        <v>11274</v>
      </c>
      <c r="J561" s="202">
        <v>17785</v>
      </c>
      <c r="K561" s="15">
        <v>17950</v>
      </c>
      <c r="L561" s="203">
        <v>11423</v>
      </c>
      <c r="M561" s="110">
        <v>2203</v>
      </c>
      <c r="N561" s="110">
        <v>510</v>
      </c>
      <c r="O561" s="13">
        <v>13214</v>
      </c>
      <c r="P561" s="13">
        <v>2902</v>
      </c>
      <c r="Q561" s="156">
        <v>16</v>
      </c>
      <c r="R561" s="202"/>
      <c r="S561" s="46"/>
      <c r="T561" s="196">
        <f t="shared" si="23"/>
        <v>0</v>
      </c>
      <c r="U561" s="197">
        <f t="shared" si="21"/>
        <v>0</v>
      </c>
      <c r="V561" s="202">
        <v>0</v>
      </c>
      <c r="W561" s="128">
        <v>0</v>
      </c>
      <c r="X561" s="202">
        <v>0</v>
      </c>
      <c r="Y561" s="189">
        <v>0</v>
      </c>
      <c r="Z561" s="203">
        <v>0</v>
      </c>
      <c r="AA561" s="110">
        <v>0</v>
      </c>
      <c r="AB561" s="110">
        <v>0</v>
      </c>
      <c r="AC561" s="271">
        <v>0</v>
      </c>
      <c r="AD561" s="271">
        <v>0</v>
      </c>
      <c r="AE561" s="128">
        <v>0</v>
      </c>
      <c r="AF561" s="202"/>
      <c r="AG561" s="49"/>
    </row>
    <row r="562" spans="1:33" s="222" customFormat="1">
      <c r="A562" s="183" t="s">
        <v>646</v>
      </c>
      <c r="B562" s="20" t="s">
        <v>749</v>
      </c>
      <c r="C562" s="12"/>
      <c r="D562" s="18">
        <v>382911</v>
      </c>
      <c r="E562" s="18">
        <v>10</v>
      </c>
      <c r="F562" s="194">
        <f t="shared" si="16"/>
        <v>2340</v>
      </c>
      <c r="G562" s="195">
        <f t="shared" si="20"/>
        <v>2223</v>
      </c>
      <c r="H562" s="202">
        <v>2199</v>
      </c>
      <c r="I562" s="14">
        <v>2038</v>
      </c>
      <c r="J562" s="202">
        <v>0</v>
      </c>
      <c r="K562" s="156">
        <v>36</v>
      </c>
      <c r="L562" s="203">
        <v>30</v>
      </c>
      <c r="M562" s="110">
        <v>111</v>
      </c>
      <c r="N562" s="110">
        <v>0</v>
      </c>
      <c r="O562" s="272">
        <v>0</v>
      </c>
      <c r="P562" s="272">
        <v>149</v>
      </c>
      <c r="Q562" s="128">
        <v>0</v>
      </c>
      <c r="R562" s="202"/>
      <c r="S562" s="46"/>
      <c r="T562" s="196">
        <f t="shared" si="23"/>
        <v>0</v>
      </c>
      <c r="U562" s="197">
        <f t="shared" si="21"/>
        <v>0</v>
      </c>
      <c r="V562" s="202">
        <v>0</v>
      </c>
      <c r="W562" s="128">
        <v>0</v>
      </c>
      <c r="X562" s="202">
        <v>0</v>
      </c>
      <c r="Y562" s="189">
        <v>0</v>
      </c>
      <c r="Z562" s="203">
        <v>0</v>
      </c>
      <c r="AA562" s="110">
        <v>0</v>
      </c>
      <c r="AB562" s="110">
        <v>0</v>
      </c>
      <c r="AC562" s="271">
        <v>0</v>
      </c>
      <c r="AD562" s="271">
        <v>0</v>
      </c>
      <c r="AE562" s="128">
        <v>0</v>
      </c>
      <c r="AF562" s="202"/>
      <c r="AG562" s="49"/>
    </row>
    <row r="563" spans="1:33" s="222" customFormat="1">
      <c r="A563" s="183" t="s">
        <v>646</v>
      </c>
      <c r="B563" s="20" t="s">
        <v>750</v>
      </c>
      <c r="C563" s="12"/>
      <c r="D563" s="18">
        <v>408394</v>
      </c>
      <c r="E563" s="18">
        <v>10</v>
      </c>
      <c r="F563" s="194">
        <f t="shared" si="16"/>
        <v>18559</v>
      </c>
      <c r="G563" s="195">
        <f t="shared" si="20"/>
        <v>20976</v>
      </c>
      <c r="H563" s="16">
        <v>10471</v>
      </c>
      <c r="I563" s="14">
        <v>13949</v>
      </c>
      <c r="J563" s="16">
        <v>2591</v>
      </c>
      <c r="K563" s="14">
        <v>2360</v>
      </c>
      <c r="L563" s="203">
        <v>5497</v>
      </c>
      <c r="M563" s="110">
        <v>0</v>
      </c>
      <c r="N563" s="110">
        <v>0</v>
      </c>
      <c r="O563" s="13">
        <v>4667</v>
      </c>
      <c r="P563" s="271">
        <v>0</v>
      </c>
      <c r="Q563" s="128">
        <v>0</v>
      </c>
      <c r="R563" s="202"/>
      <c r="S563" s="46"/>
      <c r="T563" s="196">
        <f t="shared" si="23"/>
        <v>0</v>
      </c>
      <c r="U563" s="197">
        <f t="shared" si="21"/>
        <v>0</v>
      </c>
      <c r="V563" s="16">
        <v>0</v>
      </c>
      <c r="W563" s="128">
        <v>0</v>
      </c>
      <c r="X563" s="202">
        <v>0</v>
      </c>
      <c r="Y563" s="189">
        <v>0</v>
      </c>
      <c r="Z563" s="203">
        <v>0</v>
      </c>
      <c r="AA563" s="110">
        <v>0</v>
      </c>
      <c r="AB563" s="110">
        <v>0</v>
      </c>
      <c r="AC563" s="271">
        <v>0</v>
      </c>
      <c r="AD563" s="271">
        <v>0</v>
      </c>
      <c r="AE563" s="128">
        <v>0</v>
      </c>
      <c r="AF563" s="202"/>
      <c r="AG563" s="49"/>
    </row>
    <row r="564" spans="1:33" s="222" customFormat="1">
      <c r="A564" s="183" t="s">
        <v>646</v>
      </c>
      <c r="B564" s="20" t="s">
        <v>751</v>
      </c>
      <c r="C564" s="12"/>
      <c r="D564" s="18">
        <v>229328</v>
      </c>
      <c r="E564" s="281">
        <v>10</v>
      </c>
      <c r="F564" s="194">
        <f t="shared" si="16"/>
        <v>27430</v>
      </c>
      <c r="G564" s="195">
        <f t="shared" si="20"/>
        <v>27876</v>
      </c>
      <c r="H564" s="16">
        <v>6333</v>
      </c>
      <c r="I564" s="14">
        <v>5500</v>
      </c>
      <c r="J564" s="16">
        <v>5741</v>
      </c>
      <c r="K564" s="14">
        <v>5286</v>
      </c>
      <c r="L564" s="203">
        <v>15356</v>
      </c>
      <c r="M564" s="110">
        <v>0</v>
      </c>
      <c r="N564" s="110">
        <v>0</v>
      </c>
      <c r="O564" s="13">
        <v>17090</v>
      </c>
      <c r="P564" s="271">
        <v>0</v>
      </c>
      <c r="Q564" s="128">
        <v>0</v>
      </c>
      <c r="R564" s="202"/>
      <c r="S564" s="46"/>
      <c r="T564" s="196">
        <f t="shared" si="23"/>
        <v>0</v>
      </c>
      <c r="U564" s="197">
        <f t="shared" si="21"/>
        <v>0</v>
      </c>
      <c r="V564" s="16">
        <v>0</v>
      </c>
      <c r="W564" s="128">
        <v>0</v>
      </c>
      <c r="X564" s="202">
        <v>0</v>
      </c>
      <c r="Y564" s="189">
        <v>0</v>
      </c>
      <c r="Z564" s="203">
        <v>0</v>
      </c>
      <c r="AA564" s="110">
        <v>0</v>
      </c>
      <c r="AB564" s="110">
        <v>0</v>
      </c>
      <c r="AC564" s="271">
        <v>0</v>
      </c>
      <c r="AD564" s="271">
        <v>0</v>
      </c>
      <c r="AE564" s="128">
        <v>0</v>
      </c>
      <c r="AF564" s="202"/>
      <c r="AG564" s="49"/>
    </row>
    <row r="565" spans="1:33" s="222" customFormat="1">
      <c r="A565" s="183" t="s">
        <v>646</v>
      </c>
      <c r="B565" s="20" t="s">
        <v>752</v>
      </c>
      <c r="C565" s="12"/>
      <c r="D565" s="18">
        <v>229832</v>
      </c>
      <c r="E565" s="18">
        <v>10</v>
      </c>
      <c r="F565" s="194">
        <f t="shared" si="16"/>
        <v>43561</v>
      </c>
      <c r="G565" s="195">
        <f t="shared" si="20"/>
        <v>45744</v>
      </c>
      <c r="H565" s="16">
        <v>12761</v>
      </c>
      <c r="I565" s="15">
        <v>12341</v>
      </c>
      <c r="J565" s="16">
        <v>6811</v>
      </c>
      <c r="K565" s="15">
        <v>6992</v>
      </c>
      <c r="L565" s="203">
        <v>21058</v>
      </c>
      <c r="M565" s="110">
        <v>2928</v>
      </c>
      <c r="N565" s="110">
        <v>3</v>
      </c>
      <c r="O565" s="13">
        <v>22963</v>
      </c>
      <c r="P565" s="13">
        <v>3312</v>
      </c>
      <c r="Q565" s="156">
        <v>136</v>
      </c>
      <c r="R565" s="202"/>
      <c r="S565" s="46"/>
      <c r="T565" s="196">
        <f t="shared" si="23"/>
        <v>0</v>
      </c>
      <c r="U565" s="197">
        <f t="shared" si="21"/>
        <v>0</v>
      </c>
      <c r="V565" s="16">
        <v>0</v>
      </c>
      <c r="W565" s="128">
        <v>0</v>
      </c>
      <c r="X565" s="202">
        <v>0</v>
      </c>
      <c r="Y565" s="189">
        <v>0</v>
      </c>
      <c r="Z565" s="203">
        <v>0</v>
      </c>
      <c r="AA565" s="110">
        <v>0</v>
      </c>
      <c r="AB565" s="110">
        <v>0</v>
      </c>
      <c r="AC565" s="271">
        <v>0</v>
      </c>
      <c r="AD565" s="271">
        <v>0</v>
      </c>
      <c r="AE565" s="128">
        <v>0</v>
      </c>
      <c r="AF565" s="202"/>
      <c r="AG565" s="49"/>
    </row>
    <row r="566" spans="1:33" s="222" customFormat="1">
      <c r="A566" s="283" t="s">
        <v>646</v>
      </c>
      <c r="B566" s="284" t="s">
        <v>753</v>
      </c>
      <c r="C566" s="285" t="s">
        <v>754</v>
      </c>
      <c r="D566" s="275">
        <v>443711</v>
      </c>
      <c r="E566" s="275">
        <v>99</v>
      </c>
      <c r="F566" s="194">
        <f t="shared" si="16"/>
        <v>44047</v>
      </c>
      <c r="G566" s="195">
        <f t="shared" si="20"/>
        <v>50174</v>
      </c>
      <c r="H566" s="202">
        <v>23223</v>
      </c>
      <c r="I566" s="14">
        <v>25224</v>
      </c>
      <c r="J566" s="202">
        <v>144</v>
      </c>
      <c r="K566" s="156">
        <v>57</v>
      </c>
      <c r="L566" s="203">
        <v>20680</v>
      </c>
      <c r="M566" s="110">
        <v>0</v>
      </c>
      <c r="N566" s="110">
        <v>0</v>
      </c>
      <c r="O566" s="13">
        <v>24893</v>
      </c>
      <c r="P566" s="271">
        <v>0</v>
      </c>
      <c r="Q566" s="128">
        <v>0</v>
      </c>
      <c r="R566" s="202"/>
      <c r="S566" s="46"/>
      <c r="T566" s="196">
        <f t="shared" si="23"/>
        <v>8177</v>
      </c>
      <c r="U566" s="197">
        <f t="shared" si="21"/>
        <v>14751</v>
      </c>
      <c r="V566" s="202">
        <v>5705</v>
      </c>
      <c r="W566" s="14">
        <v>1572</v>
      </c>
      <c r="X566" s="202">
        <v>45</v>
      </c>
      <c r="Y566" s="115">
        <v>9061</v>
      </c>
      <c r="Z566" s="203">
        <v>2472</v>
      </c>
      <c r="AA566" s="110">
        <v>0</v>
      </c>
      <c r="AB566" s="110">
        <v>0</v>
      </c>
      <c r="AC566" s="13">
        <v>4118</v>
      </c>
      <c r="AD566" s="271">
        <v>0</v>
      </c>
      <c r="AE566" s="128">
        <v>0</v>
      </c>
      <c r="AF566" s="202"/>
      <c r="AG566" s="49"/>
    </row>
    <row r="567" spans="1:33" s="222" customFormat="1">
      <c r="A567" s="286" t="s">
        <v>646</v>
      </c>
      <c r="B567" s="287" t="s">
        <v>755</v>
      </c>
      <c r="C567" s="288" t="s">
        <v>756</v>
      </c>
      <c r="D567" s="282" t="s">
        <v>757</v>
      </c>
      <c r="E567" s="286">
        <v>99</v>
      </c>
      <c r="F567" s="286"/>
      <c r="G567" s="195"/>
      <c r="H567" s="202"/>
      <c r="I567" s="128">
        <v>0</v>
      </c>
      <c r="J567" s="202"/>
      <c r="K567" s="14">
        <v>1273</v>
      </c>
      <c r="L567" s="203"/>
      <c r="M567" s="110"/>
      <c r="N567" s="110"/>
      <c r="O567" s="13">
        <v>1293</v>
      </c>
      <c r="P567" s="271">
        <v>0</v>
      </c>
      <c r="Q567" s="128">
        <v>0</v>
      </c>
      <c r="R567" s="202"/>
      <c r="S567" s="46"/>
      <c r="T567" s="196"/>
      <c r="U567" s="197"/>
      <c r="V567" s="202"/>
      <c r="W567" s="15">
        <v>0</v>
      </c>
      <c r="X567" s="202">
        <v>0</v>
      </c>
      <c r="Y567" s="189">
        <v>0</v>
      </c>
      <c r="Z567" s="203"/>
      <c r="AA567" s="110"/>
      <c r="AB567" s="110"/>
      <c r="AC567" s="271">
        <v>0</v>
      </c>
      <c r="AD567" s="271">
        <v>0</v>
      </c>
      <c r="AE567" s="128">
        <v>0</v>
      </c>
      <c r="AF567" s="202"/>
      <c r="AG567" s="49"/>
    </row>
    <row r="568" spans="1:33" s="222" customFormat="1">
      <c r="A568" s="286" t="s">
        <v>646</v>
      </c>
      <c r="B568" s="287" t="s">
        <v>758</v>
      </c>
      <c r="C568" s="288" t="s">
        <v>756</v>
      </c>
      <c r="D568" s="282" t="s">
        <v>759</v>
      </c>
      <c r="E568" s="286">
        <v>99</v>
      </c>
      <c r="F568" s="286"/>
      <c r="G568" s="128"/>
      <c r="I568" s="14">
        <v>2830</v>
      </c>
      <c r="K568" s="128">
        <v>0</v>
      </c>
      <c r="M568" s="128"/>
      <c r="N568" s="128"/>
      <c r="O568" s="128">
        <v>0</v>
      </c>
      <c r="P568" s="128">
        <v>0</v>
      </c>
      <c r="Q568" s="128">
        <v>0</v>
      </c>
      <c r="S568" s="128"/>
      <c r="U568" s="128"/>
      <c r="W568" s="128">
        <v>0</v>
      </c>
      <c r="Y568" s="128">
        <v>0</v>
      </c>
      <c r="AA568" s="128"/>
      <c r="AB568" s="128"/>
      <c r="AC568" s="128">
        <v>0</v>
      </c>
      <c r="AD568" s="128">
        <v>0</v>
      </c>
      <c r="AE568" s="128">
        <v>0</v>
      </c>
    </row>
    <row r="569" spans="1:33" s="192" customFormat="1" ht="13.5" customHeight="1">
      <c r="A569" s="5" t="s">
        <v>463</v>
      </c>
      <c r="B569" s="4" t="s">
        <v>464</v>
      </c>
      <c r="C569" s="3"/>
      <c r="D569" s="2">
        <v>232186</v>
      </c>
      <c r="E569" s="2">
        <v>1</v>
      </c>
      <c r="F569" s="194">
        <f t="shared" si="16"/>
        <v>640392.5</v>
      </c>
      <c r="G569" s="195">
        <f t="shared" si="20"/>
        <v>664410.5</v>
      </c>
      <c r="H569" s="202">
        <v>566794</v>
      </c>
      <c r="I569" s="56">
        <v>580186</v>
      </c>
      <c r="J569" s="202">
        <v>16657.5</v>
      </c>
      <c r="K569" s="56">
        <v>16411.5</v>
      </c>
      <c r="L569" s="203">
        <v>53093</v>
      </c>
      <c r="M569" s="110">
        <v>3848</v>
      </c>
      <c r="N569" s="110">
        <v>0</v>
      </c>
      <c r="O569" s="111">
        <v>63494</v>
      </c>
      <c r="P569" s="111">
        <v>4319</v>
      </c>
      <c r="Q569" s="55">
        <v>0</v>
      </c>
      <c r="R569" s="202"/>
      <c r="S569" s="46"/>
      <c r="T569" s="196">
        <f t="shared" si="17"/>
        <v>163297.5</v>
      </c>
      <c r="U569" s="197">
        <f t="shared" si="21"/>
        <v>163197.29999999999</v>
      </c>
      <c r="V569" s="202">
        <v>123903</v>
      </c>
      <c r="W569" s="56">
        <v>123276.3</v>
      </c>
      <c r="X569" s="202">
        <v>18649.5</v>
      </c>
      <c r="Y569" s="115">
        <v>16771.5</v>
      </c>
      <c r="Z569" s="203">
        <v>16474</v>
      </c>
      <c r="AA569" s="110">
        <v>4271</v>
      </c>
      <c r="AB569" s="110">
        <v>0</v>
      </c>
      <c r="AC569" s="111">
        <v>17321.5</v>
      </c>
      <c r="AD569" s="111">
        <v>5828</v>
      </c>
      <c r="AE569" s="55">
        <v>0</v>
      </c>
      <c r="AF569" s="202"/>
      <c r="AG569" s="49"/>
    </row>
    <row r="570" spans="1:33" s="222" customFormat="1">
      <c r="A570" s="5" t="s">
        <v>463</v>
      </c>
      <c r="B570" s="4" t="s">
        <v>465</v>
      </c>
      <c r="C570" s="3"/>
      <c r="D570" s="2">
        <v>232982</v>
      </c>
      <c r="E570" s="2">
        <v>1</v>
      </c>
      <c r="F570" s="194">
        <f t="shared" si="16"/>
        <v>525590</v>
      </c>
      <c r="G570" s="195">
        <f t="shared" si="20"/>
        <v>522046</v>
      </c>
      <c r="H570" s="202">
        <v>423384</v>
      </c>
      <c r="I570" s="56">
        <v>402965</v>
      </c>
      <c r="J570" s="202">
        <v>199</v>
      </c>
      <c r="K570" s="115">
        <v>600</v>
      </c>
      <c r="L570" s="203">
        <v>79297</v>
      </c>
      <c r="M570" s="110">
        <v>22267</v>
      </c>
      <c r="N570" s="110">
        <v>443</v>
      </c>
      <c r="O570" s="111">
        <v>95460</v>
      </c>
      <c r="P570" s="47">
        <v>22748</v>
      </c>
      <c r="Q570" s="117">
        <v>273</v>
      </c>
      <c r="R570" s="202"/>
      <c r="S570" s="46"/>
      <c r="T570" s="196">
        <f t="shared" si="17"/>
        <v>68227</v>
      </c>
      <c r="U570" s="197">
        <f t="shared" si="21"/>
        <v>66269</v>
      </c>
      <c r="V570" s="202">
        <v>38646</v>
      </c>
      <c r="W570" s="115">
        <v>35786</v>
      </c>
      <c r="X570" s="202">
        <v>499</v>
      </c>
      <c r="Y570" s="115">
        <v>682</v>
      </c>
      <c r="Z570" s="203">
        <v>14937</v>
      </c>
      <c r="AA570" s="110">
        <v>11455</v>
      </c>
      <c r="AB570" s="110">
        <v>2690</v>
      </c>
      <c r="AC570" s="111">
        <v>16174</v>
      </c>
      <c r="AD570" s="47">
        <v>11237</v>
      </c>
      <c r="AE570" s="117">
        <v>2390</v>
      </c>
      <c r="AF570" s="202"/>
      <c r="AG570" s="49"/>
    </row>
    <row r="571" spans="1:33" s="222" customFormat="1">
      <c r="A571" s="5" t="s">
        <v>463</v>
      </c>
      <c r="B571" s="4" t="s">
        <v>466</v>
      </c>
      <c r="C571" s="3"/>
      <c r="D571" s="2">
        <v>234076</v>
      </c>
      <c r="E571" s="2">
        <v>1</v>
      </c>
      <c r="F571" s="194">
        <f t="shared" si="16"/>
        <v>488511.5</v>
      </c>
      <c r="G571" s="195">
        <f t="shared" si="20"/>
        <v>490977</v>
      </c>
      <c r="H571" s="202">
        <v>452901.5</v>
      </c>
      <c r="I571" s="56">
        <v>461361</v>
      </c>
      <c r="J571" s="202">
        <v>30700</v>
      </c>
      <c r="K571" s="115">
        <v>23703</v>
      </c>
      <c r="L571" s="203">
        <v>4181</v>
      </c>
      <c r="M571" s="110">
        <v>729</v>
      </c>
      <c r="N571" s="110">
        <v>0</v>
      </c>
      <c r="O571" s="111">
        <v>5022</v>
      </c>
      <c r="P571" s="111">
        <v>891</v>
      </c>
      <c r="Q571" s="55">
        <v>0</v>
      </c>
      <c r="R571" s="202"/>
      <c r="S571" s="46"/>
      <c r="T571" s="196">
        <f t="shared" si="17"/>
        <v>180840.5</v>
      </c>
      <c r="U571" s="197">
        <f t="shared" si="21"/>
        <v>182309</v>
      </c>
      <c r="V571" s="202">
        <v>165167.5</v>
      </c>
      <c r="W571" s="56">
        <v>164835</v>
      </c>
      <c r="X571" s="202">
        <v>8244</v>
      </c>
      <c r="Y571" s="56">
        <v>7889.5</v>
      </c>
      <c r="Z571" s="203">
        <v>6933</v>
      </c>
      <c r="AA571" s="110">
        <v>496</v>
      </c>
      <c r="AB571" s="110">
        <v>0</v>
      </c>
      <c r="AC571" s="111">
        <v>8411.5</v>
      </c>
      <c r="AD571" s="111">
        <v>1173</v>
      </c>
      <c r="AE571" s="55">
        <v>0</v>
      </c>
      <c r="AF571" s="202"/>
      <c r="AG571" s="49"/>
    </row>
    <row r="572" spans="1:33" s="222" customFormat="1">
      <c r="A572" s="5" t="s">
        <v>463</v>
      </c>
      <c r="B572" s="4" t="s">
        <v>467</v>
      </c>
      <c r="C572" s="131"/>
      <c r="D572" s="2">
        <v>234030</v>
      </c>
      <c r="E572" s="132">
        <v>1</v>
      </c>
      <c r="F572" s="194">
        <f t="shared" si="16"/>
        <v>661120</v>
      </c>
      <c r="G572" s="195">
        <f t="shared" si="20"/>
        <v>656069</v>
      </c>
      <c r="H572" s="202">
        <v>603853</v>
      </c>
      <c r="I572" s="56">
        <v>597274</v>
      </c>
      <c r="J572" s="202">
        <v>7038</v>
      </c>
      <c r="K572" s="56">
        <v>7031</v>
      </c>
      <c r="L572" s="203">
        <v>49209</v>
      </c>
      <c r="M572" s="110">
        <v>1020</v>
      </c>
      <c r="N572" s="110">
        <v>0</v>
      </c>
      <c r="O572" s="47">
        <v>51359</v>
      </c>
      <c r="P572" s="111">
        <v>405</v>
      </c>
      <c r="Q572" s="55">
        <v>0</v>
      </c>
      <c r="R572" s="202"/>
      <c r="S572" s="46"/>
      <c r="T572" s="196">
        <f t="shared" si="17"/>
        <v>133350.5</v>
      </c>
      <c r="U572" s="197">
        <f t="shared" si="21"/>
        <v>132818</v>
      </c>
      <c r="V572" s="202">
        <v>117076.5</v>
      </c>
      <c r="W572" s="56">
        <v>117527</v>
      </c>
      <c r="X572" s="202">
        <v>5375</v>
      </c>
      <c r="Y572" s="115">
        <v>5009</v>
      </c>
      <c r="Z572" s="203">
        <v>9591</v>
      </c>
      <c r="AA572" s="110">
        <v>1308</v>
      </c>
      <c r="AB572" s="110">
        <v>0</v>
      </c>
      <c r="AC572" s="47">
        <v>9201</v>
      </c>
      <c r="AD572" s="111">
        <v>1081</v>
      </c>
      <c r="AE572" s="55">
        <v>0</v>
      </c>
      <c r="AF572" s="202"/>
      <c r="AG572" s="49"/>
    </row>
    <row r="573" spans="1:33" s="222" customFormat="1">
      <c r="A573" s="5" t="s">
        <v>463</v>
      </c>
      <c r="B573" s="4" t="s">
        <v>468</v>
      </c>
      <c r="C573" s="3"/>
      <c r="D573" s="2">
        <v>233921</v>
      </c>
      <c r="E573" s="2">
        <v>1</v>
      </c>
      <c r="F573" s="194">
        <f t="shared" si="16"/>
        <v>783258</v>
      </c>
      <c r="G573" s="195">
        <f t="shared" si="20"/>
        <v>802141</v>
      </c>
      <c r="H573" s="202">
        <v>762143</v>
      </c>
      <c r="I573" s="56">
        <v>778112</v>
      </c>
      <c r="J573" s="202">
        <v>361</v>
      </c>
      <c r="K573" s="115">
        <v>214</v>
      </c>
      <c r="L573" s="203">
        <v>20007</v>
      </c>
      <c r="M573" s="110">
        <v>747</v>
      </c>
      <c r="N573" s="110">
        <v>0</v>
      </c>
      <c r="O573" s="111">
        <v>23150</v>
      </c>
      <c r="P573" s="111">
        <v>665</v>
      </c>
      <c r="Q573" s="55">
        <v>0</v>
      </c>
      <c r="R573" s="202"/>
      <c r="S573" s="46"/>
      <c r="T573" s="196">
        <f t="shared" si="17"/>
        <v>145110</v>
      </c>
      <c r="U573" s="197">
        <f t="shared" si="21"/>
        <v>149300</v>
      </c>
      <c r="V573" s="202">
        <v>112137</v>
      </c>
      <c r="W573" s="56">
        <v>115779</v>
      </c>
      <c r="X573" s="202">
        <v>19941</v>
      </c>
      <c r="Y573" s="56">
        <v>19638</v>
      </c>
      <c r="Z573" s="203">
        <v>9100</v>
      </c>
      <c r="AA573" s="110">
        <v>3932</v>
      </c>
      <c r="AB573" s="110">
        <v>0</v>
      </c>
      <c r="AC573" s="111">
        <v>9949</v>
      </c>
      <c r="AD573" s="47">
        <v>3934</v>
      </c>
      <c r="AE573" s="55">
        <v>0</v>
      </c>
      <c r="AF573" s="202"/>
      <c r="AG573" s="49"/>
    </row>
    <row r="574" spans="1:33" s="222" customFormat="1">
      <c r="A574" s="5" t="s">
        <v>463</v>
      </c>
      <c r="B574" s="4" t="s">
        <v>469</v>
      </c>
      <c r="C574" s="3"/>
      <c r="D574" s="2">
        <v>231624</v>
      </c>
      <c r="E574" s="2">
        <v>2</v>
      </c>
      <c r="F574" s="194">
        <f t="shared" si="16"/>
        <v>186329.9</v>
      </c>
      <c r="G574" s="195">
        <f t="shared" si="20"/>
        <v>186363.6</v>
      </c>
      <c r="H574" s="202">
        <v>181770</v>
      </c>
      <c r="I574" s="56">
        <v>181414</v>
      </c>
      <c r="J574" s="202">
        <v>4495.8999999999996</v>
      </c>
      <c r="K574" s="56">
        <v>4498.6000000000004</v>
      </c>
      <c r="L574" s="203">
        <v>64</v>
      </c>
      <c r="M574" s="110">
        <v>0</v>
      </c>
      <c r="N574" s="110">
        <v>0</v>
      </c>
      <c r="O574" s="111">
        <v>396</v>
      </c>
      <c r="P574" s="111">
        <v>55</v>
      </c>
      <c r="Q574" s="55">
        <v>0</v>
      </c>
      <c r="R574" s="202"/>
      <c r="S574" s="46"/>
      <c r="T574" s="196">
        <f t="shared" si="17"/>
        <v>54717</v>
      </c>
      <c r="U574" s="197">
        <f t="shared" si="21"/>
        <v>57893</v>
      </c>
      <c r="V574" s="202">
        <v>49339</v>
      </c>
      <c r="W574" s="56">
        <v>50255.5</v>
      </c>
      <c r="X574" s="202">
        <v>4732</v>
      </c>
      <c r="Y574" s="115">
        <v>5229.5</v>
      </c>
      <c r="Z574" s="203">
        <v>589</v>
      </c>
      <c r="AA574" s="110">
        <v>57</v>
      </c>
      <c r="AB574" s="110">
        <v>0</v>
      </c>
      <c r="AC574" s="111">
        <v>2408</v>
      </c>
      <c r="AD574" s="111">
        <v>0</v>
      </c>
      <c r="AE574" s="55">
        <v>0</v>
      </c>
      <c r="AF574" s="202"/>
      <c r="AG574" s="49"/>
    </row>
    <row r="575" spans="1:33" s="222" customFormat="1">
      <c r="A575" s="5" t="s">
        <v>463</v>
      </c>
      <c r="B575" s="4" t="s">
        <v>470</v>
      </c>
      <c r="C575" s="3"/>
      <c r="D575" s="2">
        <v>232423</v>
      </c>
      <c r="E575" s="2">
        <v>3</v>
      </c>
      <c r="F575" s="194">
        <f t="shared" si="16"/>
        <v>572719</v>
      </c>
      <c r="G575" s="195">
        <f t="shared" si="20"/>
        <v>581349</v>
      </c>
      <c r="H575" s="202">
        <v>537641</v>
      </c>
      <c r="I575" s="56">
        <v>546202</v>
      </c>
      <c r="J575" s="202">
        <v>11641</v>
      </c>
      <c r="K575" s="115">
        <v>10735</v>
      </c>
      <c r="L575" s="203">
        <v>23431</v>
      </c>
      <c r="M575" s="110">
        <v>6</v>
      </c>
      <c r="N575" s="110">
        <v>0</v>
      </c>
      <c r="O575" s="47">
        <v>24412</v>
      </c>
      <c r="P575" s="111">
        <v>0</v>
      </c>
      <c r="Q575" s="55">
        <v>0</v>
      </c>
      <c r="R575" s="202"/>
      <c r="S575" s="46"/>
      <c r="T575" s="196">
        <f t="shared" si="17"/>
        <v>35255</v>
      </c>
      <c r="U575" s="197">
        <f t="shared" si="21"/>
        <v>35245</v>
      </c>
      <c r="V575" s="202">
        <v>27896</v>
      </c>
      <c r="W575" s="56">
        <v>26943</v>
      </c>
      <c r="X575" s="202">
        <v>2898</v>
      </c>
      <c r="Y575" s="56">
        <v>2931</v>
      </c>
      <c r="Z575" s="203">
        <v>4455</v>
      </c>
      <c r="AA575" s="110">
        <v>6</v>
      </c>
      <c r="AB575" s="110">
        <v>0</v>
      </c>
      <c r="AC575" s="111">
        <v>5371</v>
      </c>
      <c r="AD575" s="111">
        <v>0</v>
      </c>
      <c r="AE575" s="55">
        <v>0</v>
      </c>
      <c r="AF575" s="202"/>
      <c r="AG575" s="49"/>
    </row>
    <row r="576" spans="1:33" s="222" customFormat="1">
      <c r="A576" s="5" t="s">
        <v>463</v>
      </c>
      <c r="B576" s="4" t="s">
        <v>471</v>
      </c>
      <c r="C576" s="131"/>
      <c r="D576" s="2">
        <v>232566</v>
      </c>
      <c r="E576" s="178">
        <v>3</v>
      </c>
      <c r="F576" s="194">
        <f t="shared" si="16"/>
        <v>135420</v>
      </c>
      <c r="G576" s="195">
        <f t="shared" si="20"/>
        <v>132132.5</v>
      </c>
      <c r="H576" s="202">
        <v>120926</v>
      </c>
      <c r="I576" s="56">
        <v>116915.5</v>
      </c>
      <c r="J576" s="202">
        <v>1199</v>
      </c>
      <c r="K576" s="115">
        <v>1924</v>
      </c>
      <c r="L576" s="203">
        <v>13117</v>
      </c>
      <c r="M576" s="110">
        <v>178</v>
      </c>
      <c r="N576" s="110">
        <v>0</v>
      </c>
      <c r="O576" s="47">
        <v>13203</v>
      </c>
      <c r="P576" s="111">
        <v>90</v>
      </c>
      <c r="Q576" s="55">
        <v>0</v>
      </c>
      <c r="R576" s="202"/>
      <c r="S576" s="46"/>
      <c r="T576" s="196">
        <f t="shared" si="17"/>
        <v>8616</v>
      </c>
      <c r="U576" s="197">
        <f t="shared" si="21"/>
        <v>8217</v>
      </c>
      <c r="V576" s="202">
        <v>3960</v>
      </c>
      <c r="W576" s="115">
        <v>3481</v>
      </c>
      <c r="X576" s="202">
        <v>857</v>
      </c>
      <c r="Y576" s="115">
        <v>1426</v>
      </c>
      <c r="Z576" s="203">
        <v>3745</v>
      </c>
      <c r="AA576" s="110">
        <v>54</v>
      </c>
      <c r="AB576" s="110">
        <v>0</v>
      </c>
      <c r="AC576" s="111">
        <v>3157</v>
      </c>
      <c r="AD576" s="111">
        <v>153</v>
      </c>
      <c r="AE576" s="55">
        <v>0</v>
      </c>
      <c r="AF576" s="202"/>
      <c r="AG576" s="49"/>
    </row>
    <row r="577" spans="1:33" s="222" customFormat="1">
      <c r="A577" s="5" t="s">
        <v>463</v>
      </c>
      <c r="B577" s="4" t="s">
        <v>472</v>
      </c>
      <c r="C577" s="3"/>
      <c r="D577" s="2">
        <v>232937</v>
      </c>
      <c r="E577" s="2">
        <v>3</v>
      </c>
      <c r="F577" s="194">
        <f t="shared" si="16"/>
        <v>135495</v>
      </c>
      <c r="G577" s="195">
        <f t="shared" si="20"/>
        <v>128336</v>
      </c>
      <c r="H577" s="202">
        <v>106682</v>
      </c>
      <c r="I577" s="115">
        <v>99458</v>
      </c>
      <c r="J577" s="202">
        <v>2993</v>
      </c>
      <c r="K577" s="115">
        <v>3264</v>
      </c>
      <c r="L577" s="203">
        <v>25820</v>
      </c>
      <c r="M577" s="110">
        <v>0</v>
      </c>
      <c r="N577" s="110">
        <v>0</v>
      </c>
      <c r="O577" s="47">
        <v>25614</v>
      </c>
      <c r="P577" s="47">
        <v>0</v>
      </c>
      <c r="Q577" s="55">
        <v>0</v>
      </c>
      <c r="R577" s="202"/>
      <c r="S577" s="46"/>
      <c r="T577" s="196">
        <f t="shared" si="17"/>
        <v>11019</v>
      </c>
      <c r="U577" s="197">
        <f t="shared" si="21"/>
        <v>11338</v>
      </c>
      <c r="V577" s="202">
        <v>8793</v>
      </c>
      <c r="W577" s="56">
        <v>8917</v>
      </c>
      <c r="X577" s="202">
        <v>0</v>
      </c>
      <c r="Y577" s="56">
        <v>0</v>
      </c>
      <c r="Z577" s="203">
        <v>2226</v>
      </c>
      <c r="AA577" s="110">
        <v>0</v>
      </c>
      <c r="AB577" s="110">
        <v>0</v>
      </c>
      <c r="AC577" s="111">
        <v>2421</v>
      </c>
      <c r="AD577" s="47">
        <v>0</v>
      </c>
      <c r="AE577" s="55">
        <v>0</v>
      </c>
      <c r="AF577" s="202"/>
      <c r="AG577" s="49"/>
    </row>
    <row r="578" spans="1:33" s="222" customFormat="1" ht="15">
      <c r="A578" s="5" t="s">
        <v>463</v>
      </c>
      <c r="B578" s="4" t="s">
        <v>473</v>
      </c>
      <c r="C578" s="346" t="s">
        <v>842</v>
      </c>
      <c r="D578" s="2">
        <v>233277</v>
      </c>
      <c r="E578" s="178">
        <v>3</v>
      </c>
      <c r="F578" s="194">
        <f t="shared" si="16"/>
        <v>262500</v>
      </c>
      <c r="G578" s="195">
        <f t="shared" si="20"/>
        <v>254959</v>
      </c>
      <c r="H578" s="202">
        <v>232515</v>
      </c>
      <c r="I578" s="56">
        <v>225818</v>
      </c>
      <c r="J578" s="202">
        <v>4432</v>
      </c>
      <c r="K578" s="115">
        <v>3987</v>
      </c>
      <c r="L578" s="203">
        <v>23462</v>
      </c>
      <c r="M578" s="110">
        <v>2091</v>
      </c>
      <c r="N578" s="110">
        <v>0</v>
      </c>
      <c r="O578" s="47">
        <v>23340</v>
      </c>
      <c r="P578" s="111">
        <v>1814</v>
      </c>
      <c r="Q578" s="55">
        <v>0</v>
      </c>
      <c r="R578" s="202"/>
      <c r="S578" s="46"/>
      <c r="T578" s="196">
        <f t="shared" si="17"/>
        <v>19200</v>
      </c>
      <c r="U578" s="197">
        <f t="shared" si="21"/>
        <v>19458</v>
      </c>
      <c r="V578" s="202">
        <v>11302</v>
      </c>
      <c r="W578" s="56">
        <v>11161</v>
      </c>
      <c r="X578" s="202">
        <v>3771</v>
      </c>
      <c r="Y578" s="56">
        <v>3955</v>
      </c>
      <c r="Z578" s="203">
        <v>2003</v>
      </c>
      <c r="AA578" s="110">
        <v>2124</v>
      </c>
      <c r="AB578" s="110">
        <v>0</v>
      </c>
      <c r="AC578" s="111">
        <v>2658</v>
      </c>
      <c r="AD578" s="111">
        <v>1684</v>
      </c>
      <c r="AE578" s="55">
        <v>0</v>
      </c>
      <c r="AF578" s="202"/>
      <c r="AG578" s="49"/>
    </row>
    <row r="579" spans="1:33" s="222" customFormat="1" ht="15">
      <c r="A579" s="5" t="s">
        <v>463</v>
      </c>
      <c r="B579" s="4" t="s">
        <v>474</v>
      </c>
      <c r="C579" s="346"/>
      <c r="D579" s="2">
        <v>232681</v>
      </c>
      <c r="E579" s="178">
        <v>3</v>
      </c>
      <c r="F579" s="194">
        <f t="shared" si="16"/>
        <v>119302</v>
      </c>
      <c r="G579" s="195">
        <f t="shared" si="20"/>
        <v>120594</v>
      </c>
      <c r="H579" s="202">
        <v>113055</v>
      </c>
      <c r="I579" s="56">
        <v>113630</v>
      </c>
      <c r="J579" s="202">
        <v>0</v>
      </c>
      <c r="K579" s="56">
        <v>0</v>
      </c>
      <c r="L579" s="203">
        <v>6046</v>
      </c>
      <c r="M579" s="110">
        <v>201</v>
      </c>
      <c r="N579" s="110">
        <v>0</v>
      </c>
      <c r="O579" s="111">
        <v>6806</v>
      </c>
      <c r="P579" s="111">
        <v>158</v>
      </c>
      <c r="Q579" s="55">
        <v>0</v>
      </c>
      <c r="R579" s="202"/>
      <c r="S579" s="46"/>
      <c r="T579" s="196">
        <f t="shared" si="17"/>
        <v>5651.4</v>
      </c>
      <c r="U579" s="197">
        <f t="shared" si="21"/>
        <v>5559</v>
      </c>
      <c r="V579" s="202">
        <v>3789</v>
      </c>
      <c r="W579" s="115">
        <v>4140.6000000000004</v>
      </c>
      <c r="X579" s="202">
        <v>0</v>
      </c>
      <c r="Y579" s="56">
        <v>0</v>
      </c>
      <c r="Z579" s="203">
        <v>1859.4</v>
      </c>
      <c r="AA579" s="110">
        <v>3</v>
      </c>
      <c r="AB579" s="110">
        <v>0</v>
      </c>
      <c r="AC579" s="111">
        <v>1406.4</v>
      </c>
      <c r="AD579" s="111">
        <v>12</v>
      </c>
      <c r="AE579" s="55">
        <v>0</v>
      </c>
      <c r="AF579" s="202"/>
      <c r="AG579" s="49"/>
    </row>
    <row r="580" spans="1:33" s="222" customFormat="1" ht="15">
      <c r="A580" s="5" t="s">
        <v>463</v>
      </c>
      <c r="B580" s="4" t="s">
        <v>475</v>
      </c>
      <c r="C580" s="346"/>
      <c r="D580" s="2">
        <v>234155</v>
      </c>
      <c r="E580" s="178">
        <v>3</v>
      </c>
      <c r="F580" s="194">
        <f t="shared" si="16"/>
        <v>132793</v>
      </c>
      <c r="G580" s="195">
        <f t="shared" si="20"/>
        <v>126013.9</v>
      </c>
      <c r="H580" s="202">
        <v>126286</v>
      </c>
      <c r="I580" s="56">
        <v>121306.9</v>
      </c>
      <c r="J580" s="202">
        <v>6026</v>
      </c>
      <c r="K580" s="115">
        <v>3668</v>
      </c>
      <c r="L580" s="203">
        <v>481</v>
      </c>
      <c r="M580" s="110">
        <v>0</v>
      </c>
      <c r="N580" s="110">
        <v>0</v>
      </c>
      <c r="O580" s="111">
        <v>1039</v>
      </c>
      <c r="P580" s="47">
        <v>0</v>
      </c>
      <c r="Q580" s="55">
        <v>0</v>
      </c>
      <c r="R580" s="202"/>
      <c r="S580" s="46"/>
      <c r="T580" s="196">
        <f t="shared" si="17"/>
        <v>7595</v>
      </c>
      <c r="U580" s="197">
        <f t="shared" si="21"/>
        <v>7008</v>
      </c>
      <c r="V580" s="202">
        <v>7415</v>
      </c>
      <c r="W580" s="115">
        <v>6996</v>
      </c>
      <c r="X580" s="202">
        <v>180</v>
      </c>
      <c r="Y580" s="115">
        <v>6</v>
      </c>
      <c r="Z580" s="203"/>
      <c r="AA580" s="110"/>
      <c r="AB580" s="110"/>
      <c r="AC580" s="111">
        <v>6</v>
      </c>
      <c r="AD580" s="47">
        <v>0</v>
      </c>
      <c r="AE580" s="55">
        <v>0</v>
      </c>
      <c r="AF580" s="202"/>
      <c r="AG580" s="49"/>
    </row>
    <row r="581" spans="1:33" s="222" customFormat="1" ht="15">
      <c r="A581" s="5" t="s">
        <v>463</v>
      </c>
      <c r="B581" s="4" t="s">
        <v>476</v>
      </c>
      <c r="C581" s="346" t="s">
        <v>868</v>
      </c>
      <c r="D581" s="2">
        <v>231712</v>
      </c>
      <c r="E581" s="2">
        <v>5</v>
      </c>
      <c r="F581" s="194">
        <f t="shared" si="16"/>
        <v>147791</v>
      </c>
      <c r="G581" s="195">
        <f t="shared" si="20"/>
        <v>145990</v>
      </c>
      <c r="H581" s="202">
        <v>147167</v>
      </c>
      <c r="I581" s="56">
        <v>145310</v>
      </c>
      <c r="J581" s="202">
        <v>624</v>
      </c>
      <c r="K581" s="115">
        <v>680</v>
      </c>
      <c r="L581" s="203">
        <v>0</v>
      </c>
      <c r="M581" s="110">
        <v>0</v>
      </c>
      <c r="N581" s="110">
        <v>0</v>
      </c>
      <c r="O581" s="47">
        <v>0</v>
      </c>
      <c r="P581" s="47">
        <v>0</v>
      </c>
      <c r="Q581" s="55">
        <v>0</v>
      </c>
      <c r="R581" s="202"/>
      <c r="S581" s="46"/>
      <c r="T581" s="196">
        <f t="shared" si="17"/>
        <v>3282</v>
      </c>
      <c r="U581" s="197">
        <f t="shared" si="21"/>
        <v>3280</v>
      </c>
      <c r="V581" s="202">
        <v>3208</v>
      </c>
      <c r="W581" s="56">
        <v>3235</v>
      </c>
      <c r="X581" s="202">
        <v>74</v>
      </c>
      <c r="Y581" s="115">
        <v>45</v>
      </c>
      <c r="Z581" s="203"/>
      <c r="AA581" s="110"/>
      <c r="AB581" s="110"/>
      <c r="AC581" s="47">
        <v>0</v>
      </c>
      <c r="AD581" s="47">
        <v>0</v>
      </c>
      <c r="AE581" s="55">
        <v>0</v>
      </c>
      <c r="AF581" s="202"/>
      <c r="AG581" s="49"/>
    </row>
    <row r="582" spans="1:33" s="222" customFormat="1" ht="15">
      <c r="A582" s="5" t="s">
        <v>463</v>
      </c>
      <c r="B582" s="4" t="s">
        <v>477</v>
      </c>
      <c r="C582" s="346"/>
      <c r="D582" s="2">
        <v>233897</v>
      </c>
      <c r="E582" s="2">
        <v>6</v>
      </c>
      <c r="F582" s="194">
        <f t="shared" si="16"/>
        <v>51940</v>
      </c>
      <c r="G582" s="195">
        <f t="shared" si="20"/>
        <v>49831</v>
      </c>
      <c r="H582" s="202">
        <v>41813</v>
      </c>
      <c r="I582" s="56">
        <v>40021</v>
      </c>
      <c r="J582" s="202">
        <v>0</v>
      </c>
      <c r="K582" s="56">
        <v>0</v>
      </c>
      <c r="L582" s="203">
        <v>10127</v>
      </c>
      <c r="M582" s="110">
        <v>0</v>
      </c>
      <c r="N582" s="110">
        <v>0</v>
      </c>
      <c r="O582" s="47">
        <v>9810</v>
      </c>
      <c r="P582" s="47">
        <v>0</v>
      </c>
      <c r="Q582" s="55">
        <v>0</v>
      </c>
      <c r="R582" s="202"/>
      <c r="S582" s="46"/>
      <c r="T582" s="196">
        <f t="shared" si="17"/>
        <v>0</v>
      </c>
      <c r="U582" s="197">
        <f t="shared" si="21"/>
        <v>0</v>
      </c>
      <c r="V582" s="202"/>
      <c r="W582" s="56"/>
      <c r="X582" s="202"/>
      <c r="Y582" s="56"/>
      <c r="Z582" s="203"/>
      <c r="AA582" s="110"/>
      <c r="AB582" s="110"/>
      <c r="AC582" s="47"/>
      <c r="AD582" s="47"/>
      <c r="AE582" s="55"/>
      <c r="AF582" s="202"/>
      <c r="AG582" s="49"/>
    </row>
    <row r="583" spans="1:33" s="222" customFormat="1" ht="15">
      <c r="A583" s="5" t="s">
        <v>463</v>
      </c>
      <c r="B583" s="4" t="s">
        <v>478</v>
      </c>
      <c r="C583" s="346" t="s">
        <v>850</v>
      </c>
      <c r="D583" s="2">
        <v>232414</v>
      </c>
      <c r="E583" s="2">
        <v>8</v>
      </c>
      <c r="F583" s="194">
        <f t="shared" ref="F583:F652" si="24">SUM(H583,J583,L583,M583,N583,R583)</f>
        <v>216026</v>
      </c>
      <c r="G583" s="195">
        <f t="shared" si="20"/>
        <v>199882</v>
      </c>
      <c r="H583" s="202">
        <v>134176</v>
      </c>
      <c r="I583" s="115">
        <v>120995</v>
      </c>
      <c r="J583" s="202">
        <v>7784</v>
      </c>
      <c r="K583" s="115">
        <v>8783</v>
      </c>
      <c r="L583" s="203">
        <v>74015</v>
      </c>
      <c r="M583" s="110">
        <v>51</v>
      </c>
      <c r="N583" s="110">
        <v>0</v>
      </c>
      <c r="O583" s="111">
        <v>69894</v>
      </c>
      <c r="P583" s="111">
        <v>210</v>
      </c>
      <c r="Q583" s="55">
        <v>0</v>
      </c>
      <c r="R583" s="202"/>
      <c r="S583" s="46"/>
      <c r="T583" s="196">
        <f t="shared" ref="T583:T652" si="25">SUM(V583,X583,Z583,AA583,AB583,AF583)</f>
        <v>0</v>
      </c>
      <c r="U583" s="197">
        <f t="shared" si="21"/>
        <v>0</v>
      </c>
      <c r="V583" s="202"/>
      <c r="W583" s="56"/>
      <c r="X583" s="202"/>
      <c r="Y583" s="56"/>
      <c r="Z583" s="203"/>
      <c r="AA583" s="110"/>
      <c r="AB583" s="110"/>
      <c r="AC583" s="47"/>
      <c r="AD583" s="47"/>
      <c r="AE583" s="55"/>
      <c r="AF583" s="202"/>
      <c r="AG583" s="49"/>
    </row>
    <row r="584" spans="1:33" s="222" customFormat="1" ht="15">
      <c r="A584" s="5" t="s">
        <v>463</v>
      </c>
      <c r="B584" s="4" t="s">
        <v>479</v>
      </c>
      <c r="C584" s="346" t="s">
        <v>850</v>
      </c>
      <c r="D584" s="2">
        <v>232450</v>
      </c>
      <c r="E584" s="2">
        <v>8</v>
      </c>
      <c r="F584" s="194">
        <f t="shared" si="24"/>
        <v>165394</v>
      </c>
      <c r="G584" s="195">
        <f t="shared" ref="G584:G652" si="26">SUM(I584,K584,O584,P584,Q584,S584)</f>
        <v>163021</v>
      </c>
      <c r="H584" s="202">
        <v>93977</v>
      </c>
      <c r="I584" s="56">
        <v>89583</v>
      </c>
      <c r="J584" s="202">
        <v>21092</v>
      </c>
      <c r="K584" s="115">
        <v>23201</v>
      </c>
      <c r="L584" s="203">
        <v>50183</v>
      </c>
      <c r="M584" s="110">
        <v>142</v>
      </c>
      <c r="N584" s="110">
        <v>0</v>
      </c>
      <c r="O584" s="47">
        <v>50150</v>
      </c>
      <c r="P584" s="111">
        <v>87</v>
      </c>
      <c r="Q584" s="55">
        <v>0</v>
      </c>
      <c r="R584" s="202"/>
      <c r="S584" s="46"/>
      <c r="T584" s="196">
        <f t="shared" si="25"/>
        <v>0</v>
      </c>
      <c r="U584" s="197">
        <f t="shared" ref="U584:U652" si="27">SUM(W584,Y584,AC584,AD584,AE584,AG584)</f>
        <v>0</v>
      </c>
      <c r="V584" s="202"/>
      <c r="W584" s="56"/>
      <c r="X584" s="202"/>
      <c r="Y584" s="56"/>
      <c r="Z584" s="203"/>
      <c r="AA584" s="110"/>
      <c r="AB584" s="110"/>
      <c r="AC584" s="47"/>
      <c r="AD584" s="47"/>
      <c r="AE584" s="55"/>
      <c r="AF584" s="202"/>
      <c r="AG584" s="49"/>
    </row>
    <row r="585" spans="1:33" s="222" customFormat="1" ht="15">
      <c r="A585" s="5" t="s">
        <v>463</v>
      </c>
      <c r="B585" s="4" t="s">
        <v>480</v>
      </c>
      <c r="C585" s="346"/>
      <c r="D585" s="2">
        <v>232946</v>
      </c>
      <c r="E585" s="2">
        <v>8</v>
      </c>
      <c r="F585" s="194">
        <f t="shared" si="24"/>
        <v>1037235.5</v>
      </c>
      <c r="G585" s="195">
        <f t="shared" si="26"/>
        <v>1002472.5</v>
      </c>
      <c r="H585" s="202">
        <v>726162.5</v>
      </c>
      <c r="I585" s="56">
        <v>700777.5</v>
      </c>
      <c r="J585" s="202">
        <v>63202</v>
      </c>
      <c r="K585" s="115">
        <v>67143</v>
      </c>
      <c r="L585" s="203">
        <v>246995</v>
      </c>
      <c r="M585" s="110">
        <v>876</v>
      </c>
      <c r="N585" s="110">
        <v>0</v>
      </c>
      <c r="O585" s="111">
        <v>233006</v>
      </c>
      <c r="P585" s="111">
        <v>1546</v>
      </c>
      <c r="Q585" s="55">
        <v>0</v>
      </c>
      <c r="R585" s="202"/>
      <c r="S585" s="46"/>
      <c r="T585" s="196">
        <f t="shared" si="25"/>
        <v>0</v>
      </c>
      <c r="U585" s="197">
        <f t="shared" si="27"/>
        <v>0</v>
      </c>
      <c r="V585" s="202"/>
      <c r="W585" s="56"/>
      <c r="X585" s="202"/>
      <c r="Y585" s="56"/>
      <c r="Z585" s="203"/>
      <c r="AA585" s="110"/>
      <c r="AB585" s="110"/>
      <c r="AC585" s="47"/>
      <c r="AD585" s="47"/>
      <c r="AE585" s="55"/>
      <c r="AF585" s="202"/>
      <c r="AG585" s="49"/>
    </row>
    <row r="586" spans="1:33" s="222" customFormat="1" ht="15">
      <c r="A586" s="5" t="s">
        <v>463</v>
      </c>
      <c r="B586" s="4" t="s">
        <v>481</v>
      </c>
      <c r="C586" s="346" t="s">
        <v>850</v>
      </c>
      <c r="D586" s="2">
        <v>233754</v>
      </c>
      <c r="E586" s="2">
        <v>8</v>
      </c>
      <c r="F586" s="194">
        <f t="shared" si="24"/>
        <v>186552</v>
      </c>
      <c r="G586" s="195">
        <f t="shared" si="26"/>
        <v>175424</v>
      </c>
      <c r="H586" s="202">
        <v>122594</v>
      </c>
      <c r="I586" s="115">
        <v>109936</v>
      </c>
      <c r="J586" s="202">
        <v>10663</v>
      </c>
      <c r="K586" s="115">
        <v>9254</v>
      </c>
      <c r="L586" s="203">
        <v>52795</v>
      </c>
      <c r="M586" s="110">
        <v>500</v>
      </c>
      <c r="N586" s="110">
        <v>0</v>
      </c>
      <c r="O586" s="111">
        <v>55878</v>
      </c>
      <c r="P586" s="111">
        <v>356</v>
      </c>
      <c r="Q586" s="55">
        <v>0</v>
      </c>
      <c r="R586" s="202"/>
      <c r="S586" s="46"/>
      <c r="T586" s="196">
        <f t="shared" si="25"/>
        <v>0</v>
      </c>
      <c r="U586" s="197">
        <f t="shared" si="27"/>
        <v>0</v>
      </c>
      <c r="V586" s="202"/>
      <c r="W586" s="56"/>
      <c r="X586" s="202"/>
      <c r="Y586" s="56"/>
      <c r="Z586" s="203"/>
      <c r="AA586" s="110"/>
      <c r="AB586" s="110"/>
      <c r="AC586" s="47"/>
      <c r="AD586" s="47"/>
      <c r="AE586" s="55"/>
      <c r="AF586" s="202"/>
      <c r="AG586" s="49"/>
    </row>
    <row r="587" spans="1:33" s="222" customFormat="1" ht="15">
      <c r="A587" s="5" t="s">
        <v>463</v>
      </c>
      <c r="B587" s="4" t="s">
        <v>482</v>
      </c>
      <c r="C587" s="346"/>
      <c r="D587" s="2">
        <v>233772</v>
      </c>
      <c r="E587" s="2">
        <v>8</v>
      </c>
      <c r="F587" s="194">
        <f t="shared" si="24"/>
        <v>542389</v>
      </c>
      <c r="G587" s="195">
        <f t="shared" si="26"/>
        <v>500999</v>
      </c>
      <c r="H587" s="202">
        <v>355019</v>
      </c>
      <c r="I587" s="115">
        <v>317431</v>
      </c>
      <c r="J587" s="202">
        <v>29980</v>
      </c>
      <c r="K587" s="56">
        <v>29914</v>
      </c>
      <c r="L587" s="203">
        <v>157268</v>
      </c>
      <c r="M587" s="110">
        <v>122</v>
      </c>
      <c r="N587" s="110">
        <v>0</v>
      </c>
      <c r="O587" s="47">
        <v>153524</v>
      </c>
      <c r="P587" s="111">
        <v>130</v>
      </c>
      <c r="Q587" s="55">
        <v>0</v>
      </c>
      <c r="R587" s="202"/>
      <c r="S587" s="46"/>
      <c r="T587" s="196">
        <f t="shared" si="25"/>
        <v>0</v>
      </c>
      <c r="U587" s="197">
        <f t="shared" si="27"/>
        <v>0</v>
      </c>
      <c r="V587" s="202"/>
      <c r="W587" s="56"/>
      <c r="X587" s="202"/>
      <c r="Y587" s="56"/>
      <c r="Z587" s="203"/>
      <c r="AA587" s="110"/>
      <c r="AB587" s="110"/>
      <c r="AC587" s="47"/>
      <c r="AD587" s="47"/>
      <c r="AE587" s="55"/>
      <c r="AF587" s="202"/>
      <c r="AG587" s="49"/>
    </row>
    <row r="588" spans="1:33" s="222" customFormat="1" ht="15">
      <c r="A588" s="5" t="s">
        <v>463</v>
      </c>
      <c r="B588" s="4" t="s">
        <v>483</v>
      </c>
      <c r="C588" s="346" t="s">
        <v>874</v>
      </c>
      <c r="D588" s="2">
        <v>231536</v>
      </c>
      <c r="E588" s="2">
        <v>9</v>
      </c>
      <c r="F588" s="194">
        <f t="shared" si="24"/>
        <v>82046</v>
      </c>
      <c r="G588" s="195">
        <f t="shared" si="26"/>
        <v>76637</v>
      </c>
      <c r="H588" s="202">
        <v>42502</v>
      </c>
      <c r="I588" s="115">
        <v>39625</v>
      </c>
      <c r="J588" s="202">
        <v>8570</v>
      </c>
      <c r="K588" s="115">
        <v>8107</v>
      </c>
      <c r="L588" s="203">
        <v>30974</v>
      </c>
      <c r="M588" s="110">
        <v>0</v>
      </c>
      <c r="N588" s="110">
        <v>0</v>
      </c>
      <c r="O588" s="111">
        <v>28905</v>
      </c>
      <c r="P588" s="47">
        <v>0</v>
      </c>
      <c r="Q588" s="55">
        <v>0</v>
      </c>
      <c r="R588" s="202"/>
      <c r="S588" s="46"/>
      <c r="T588" s="196">
        <f t="shared" si="25"/>
        <v>0</v>
      </c>
      <c r="U588" s="197">
        <f t="shared" si="27"/>
        <v>0</v>
      </c>
      <c r="V588" s="202"/>
      <c r="W588" s="56"/>
      <c r="X588" s="202"/>
      <c r="Y588" s="56"/>
      <c r="Z588" s="203"/>
      <c r="AA588" s="110"/>
      <c r="AB588" s="110"/>
      <c r="AC588" s="47"/>
      <c r="AD588" s="47"/>
      <c r="AE588" s="55"/>
      <c r="AF588" s="202"/>
      <c r="AG588" s="49"/>
    </row>
    <row r="589" spans="1:33" s="222" customFormat="1" ht="15">
      <c r="A589" s="5" t="s">
        <v>463</v>
      </c>
      <c r="B589" s="4" t="s">
        <v>484</v>
      </c>
      <c r="C589" s="346" t="s">
        <v>874</v>
      </c>
      <c r="D589" s="2">
        <v>231697</v>
      </c>
      <c r="E589" s="2">
        <v>9</v>
      </c>
      <c r="F589" s="194">
        <f t="shared" si="24"/>
        <v>77861</v>
      </c>
      <c r="G589" s="195">
        <f t="shared" si="26"/>
        <v>75380</v>
      </c>
      <c r="H589" s="202">
        <v>46321</v>
      </c>
      <c r="I589" s="115">
        <v>42513</v>
      </c>
      <c r="J589" s="202">
        <v>13673</v>
      </c>
      <c r="K589" s="56">
        <v>13556</v>
      </c>
      <c r="L589" s="203">
        <v>13893</v>
      </c>
      <c r="M589" s="110">
        <v>3974</v>
      </c>
      <c r="N589" s="110">
        <v>0</v>
      </c>
      <c r="O589" s="111">
        <v>15348</v>
      </c>
      <c r="P589" s="47">
        <v>3963</v>
      </c>
      <c r="Q589" s="55">
        <v>0</v>
      </c>
      <c r="R589" s="202"/>
      <c r="S589" s="46"/>
      <c r="T589" s="196">
        <f t="shared" si="25"/>
        <v>0</v>
      </c>
      <c r="U589" s="197">
        <f t="shared" si="27"/>
        <v>0</v>
      </c>
      <c r="V589" s="202"/>
      <c r="W589" s="56"/>
      <c r="X589" s="202"/>
      <c r="Y589" s="56"/>
      <c r="Z589" s="203"/>
      <c r="AA589" s="110"/>
      <c r="AB589" s="110"/>
      <c r="AC589" s="47"/>
      <c r="AD589" s="47"/>
      <c r="AE589" s="55"/>
      <c r="AF589" s="202"/>
      <c r="AG589" s="49"/>
    </row>
    <row r="590" spans="1:33" s="222" customFormat="1" ht="15">
      <c r="A590" s="5" t="s">
        <v>463</v>
      </c>
      <c r="B590" s="4" t="s">
        <v>485</v>
      </c>
      <c r="C590" s="346" t="s">
        <v>874</v>
      </c>
      <c r="D590" s="2">
        <v>231882</v>
      </c>
      <c r="E590" s="2">
        <v>9</v>
      </c>
      <c r="F590" s="194">
        <f t="shared" si="24"/>
        <v>69094</v>
      </c>
      <c r="G590" s="195">
        <f t="shared" si="26"/>
        <v>64255</v>
      </c>
      <c r="H590" s="202">
        <v>42504</v>
      </c>
      <c r="I590" s="115">
        <v>35695</v>
      </c>
      <c r="J590" s="202">
        <v>18551</v>
      </c>
      <c r="K590" s="115">
        <v>20783</v>
      </c>
      <c r="L590" s="203">
        <v>7640</v>
      </c>
      <c r="M590" s="110">
        <v>399</v>
      </c>
      <c r="N590" s="110">
        <v>0</v>
      </c>
      <c r="O590" s="111">
        <v>7249</v>
      </c>
      <c r="P590" s="111">
        <v>528</v>
      </c>
      <c r="Q590" s="55">
        <v>0</v>
      </c>
      <c r="R590" s="202"/>
      <c r="S590" s="46"/>
      <c r="T590" s="196">
        <f t="shared" si="25"/>
        <v>0</v>
      </c>
      <c r="U590" s="197">
        <f t="shared" si="27"/>
        <v>0</v>
      </c>
      <c r="V590" s="202"/>
      <c r="W590" s="56"/>
      <c r="X590" s="202"/>
      <c r="Y590" s="56"/>
      <c r="Z590" s="203"/>
      <c r="AA590" s="110"/>
      <c r="AB590" s="110"/>
      <c r="AC590" s="47"/>
      <c r="AD590" s="47"/>
      <c r="AE590" s="55"/>
      <c r="AF590" s="202"/>
      <c r="AG590" s="49"/>
    </row>
    <row r="591" spans="1:33" s="222" customFormat="1" ht="15">
      <c r="A591" s="5" t="s">
        <v>463</v>
      </c>
      <c r="B591" s="4" t="s">
        <v>486</v>
      </c>
      <c r="C591" s="346"/>
      <c r="D591" s="2">
        <v>232195</v>
      </c>
      <c r="E591" s="2">
        <v>9</v>
      </c>
      <c r="F591" s="194">
        <f t="shared" si="24"/>
        <v>133098</v>
      </c>
      <c r="G591" s="195">
        <f t="shared" si="26"/>
        <v>125770</v>
      </c>
      <c r="H591" s="202">
        <v>69833</v>
      </c>
      <c r="I591" s="56">
        <v>66381</v>
      </c>
      <c r="J591" s="202">
        <v>18683</v>
      </c>
      <c r="K591" s="115">
        <v>15742</v>
      </c>
      <c r="L591" s="203">
        <v>32182</v>
      </c>
      <c r="M591" s="110">
        <v>12400</v>
      </c>
      <c r="N591" s="110">
        <v>0</v>
      </c>
      <c r="O591" s="47">
        <v>31223</v>
      </c>
      <c r="P591" s="47">
        <v>12424</v>
      </c>
      <c r="Q591" s="55">
        <v>0</v>
      </c>
      <c r="R591" s="202"/>
      <c r="S591" s="46"/>
      <c r="T591" s="196">
        <f t="shared" si="25"/>
        <v>0</v>
      </c>
      <c r="U591" s="197">
        <f t="shared" si="27"/>
        <v>0</v>
      </c>
      <c r="V591" s="202"/>
      <c r="W591" s="56"/>
      <c r="X591" s="202"/>
      <c r="Y591" s="56"/>
      <c r="Z591" s="203"/>
      <c r="AA591" s="110"/>
      <c r="AB591" s="110"/>
      <c r="AC591" s="47"/>
      <c r="AD591" s="47"/>
      <c r="AE591" s="55"/>
      <c r="AF591" s="202"/>
      <c r="AG591" s="49"/>
    </row>
    <row r="592" spans="1:33" s="222" customFormat="1" ht="15">
      <c r="A592" s="5" t="s">
        <v>463</v>
      </c>
      <c r="B592" s="4" t="s">
        <v>487</v>
      </c>
      <c r="C592" s="346"/>
      <c r="D592" s="2">
        <v>232575</v>
      </c>
      <c r="E592" s="2">
        <v>9</v>
      </c>
      <c r="F592" s="194">
        <f t="shared" si="24"/>
        <v>120566</v>
      </c>
      <c r="G592" s="195">
        <f t="shared" si="26"/>
        <v>117955</v>
      </c>
      <c r="H592" s="202">
        <v>51499</v>
      </c>
      <c r="I592" s="115">
        <v>46265</v>
      </c>
      <c r="J592" s="202">
        <v>25659</v>
      </c>
      <c r="K592" s="115">
        <v>29822</v>
      </c>
      <c r="L592" s="203">
        <v>35326</v>
      </c>
      <c r="M592" s="110">
        <v>8082</v>
      </c>
      <c r="N592" s="110">
        <v>0</v>
      </c>
      <c r="O592" s="47">
        <v>34095</v>
      </c>
      <c r="P592" s="47">
        <v>7773</v>
      </c>
      <c r="Q592" s="55">
        <v>0</v>
      </c>
      <c r="R592" s="202"/>
      <c r="S592" s="46"/>
      <c r="T592" s="196">
        <f t="shared" si="25"/>
        <v>0</v>
      </c>
      <c r="U592" s="197">
        <f t="shared" si="27"/>
        <v>0</v>
      </c>
      <c r="V592" s="202"/>
      <c r="W592" s="56"/>
      <c r="X592" s="202"/>
      <c r="Y592" s="56"/>
      <c r="Z592" s="203"/>
      <c r="AA592" s="110"/>
      <c r="AB592" s="110"/>
      <c r="AC592" s="47"/>
      <c r="AD592" s="47"/>
      <c r="AE592" s="55"/>
      <c r="AF592" s="202"/>
      <c r="AG592" s="49"/>
    </row>
    <row r="593" spans="1:33" s="222" customFormat="1" ht="15">
      <c r="A593" s="5" t="s">
        <v>463</v>
      </c>
      <c r="B593" s="4" t="s">
        <v>488</v>
      </c>
      <c r="C593" s="346" t="s">
        <v>874</v>
      </c>
      <c r="D593" s="2">
        <v>232867</v>
      </c>
      <c r="E593" s="2">
        <v>9</v>
      </c>
      <c r="F593" s="194">
        <f t="shared" si="24"/>
        <v>85602</v>
      </c>
      <c r="G593" s="195">
        <f t="shared" si="26"/>
        <v>84669</v>
      </c>
      <c r="H593" s="202">
        <v>25278</v>
      </c>
      <c r="I593" s="115">
        <v>22487</v>
      </c>
      <c r="J593" s="202">
        <v>29231</v>
      </c>
      <c r="K593" s="56">
        <v>30174</v>
      </c>
      <c r="L593" s="203">
        <v>30118</v>
      </c>
      <c r="M593" s="110">
        <v>975</v>
      </c>
      <c r="N593" s="110">
        <v>0</v>
      </c>
      <c r="O593" s="47">
        <v>31077</v>
      </c>
      <c r="P593" s="47">
        <v>931</v>
      </c>
      <c r="Q593" s="55">
        <v>0</v>
      </c>
      <c r="R593" s="202"/>
      <c r="S593" s="46"/>
      <c r="T593" s="196">
        <f t="shared" si="25"/>
        <v>0</v>
      </c>
      <c r="U593" s="197">
        <f t="shared" si="27"/>
        <v>0</v>
      </c>
      <c r="V593" s="202"/>
      <c r="W593" s="56"/>
      <c r="X593" s="202"/>
      <c r="Y593" s="56"/>
      <c r="Z593" s="203"/>
      <c r="AA593" s="110"/>
      <c r="AB593" s="110"/>
      <c r="AC593" s="47"/>
      <c r="AD593" s="47"/>
      <c r="AE593" s="55"/>
      <c r="AF593" s="202"/>
      <c r="AG593" s="49"/>
    </row>
    <row r="594" spans="1:33" s="222" customFormat="1" ht="15">
      <c r="A594" s="5" t="s">
        <v>463</v>
      </c>
      <c r="B594" s="239" t="s">
        <v>489</v>
      </c>
      <c r="C594" s="346" t="s">
        <v>851</v>
      </c>
      <c r="D594" s="2">
        <v>233019</v>
      </c>
      <c r="E594" s="2">
        <v>9</v>
      </c>
      <c r="F594" s="194">
        <f t="shared" si="24"/>
        <v>58866</v>
      </c>
      <c r="G594" s="195">
        <f t="shared" si="26"/>
        <v>53178</v>
      </c>
      <c r="H594" s="202">
        <v>28015</v>
      </c>
      <c r="I594" s="115">
        <v>22645</v>
      </c>
      <c r="J594" s="202">
        <v>11760</v>
      </c>
      <c r="K594" s="115">
        <v>9692</v>
      </c>
      <c r="L594" s="203">
        <v>17796</v>
      </c>
      <c r="M594" s="110">
        <v>1295</v>
      </c>
      <c r="N594" s="110">
        <v>0</v>
      </c>
      <c r="O594" s="47">
        <v>17978</v>
      </c>
      <c r="P594" s="111">
        <v>2863</v>
      </c>
      <c r="Q594" s="55">
        <v>0</v>
      </c>
      <c r="R594" s="202"/>
      <c r="S594" s="46"/>
      <c r="T594" s="196">
        <f t="shared" si="25"/>
        <v>0</v>
      </c>
      <c r="U594" s="197">
        <f t="shared" si="27"/>
        <v>0</v>
      </c>
      <c r="V594" s="202"/>
      <c r="W594" s="56"/>
      <c r="X594" s="202"/>
      <c r="Y594" s="56"/>
      <c r="Z594" s="203"/>
      <c r="AA594" s="110"/>
      <c r="AB594" s="110"/>
      <c r="AC594" s="47"/>
      <c r="AD594" s="47"/>
      <c r="AE594" s="55"/>
      <c r="AF594" s="202"/>
      <c r="AG594" s="49"/>
    </row>
    <row r="595" spans="1:33" s="222" customFormat="1" ht="15">
      <c r="A595" s="5" t="s">
        <v>463</v>
      </c>
      <c r="B595" s="4" t="s">
        <v>490</v>
      </c>
      <c r="C595" s="346" t="s">
        <v>874</v>
      </c>
      <c r="D595" s="2">
        <v>233116</v>
      </c>
      <c r="E595" s="2">
        <v>9</v>
      </c>
      <c r="F595" s="194">
        <f t="shared" si="24"/>
        <v>89302</v>
      </c>
      <c r="G595" s="195">
        <f t="shared" si="26"/>
        <v>89759</v>
      </c>
      <c r="H595" s="202">
        <v>52981</v>
      </c>
      <c r="I595" s="56">
        <v>53168</v>
      </c>
      <c r="J595" s="202">
        <v>17132</v>
      </c>
      <c r="K595" s="115">
        <v>17999</v>
      </c>
      <c r="L595" s="203">
        <v>18270</v>
      </c>
      <c r="M595" s="110">
        <v>919</v>
      </c>
      <c r="N595" s="110">
        <v>0</v>
      </c>
      <c r="O595" s="47">
        <v>17905</v>
      </c>
      <c r="P595" s="111">
        <v>687</v>
      </c>
      <c r="Q595" s="55">
        <v>0</v>
      </c>
      <c r="R595" s="202"/>
      <c r="S595" s="46"/>
      <c r="T595" s="196">
        <f t="shared" si="25"/>
        <v>0</v>
      </c>
      <c r="U595" s="197">
        <f t="shared" si="27"/>
        <v>0</v>
      </c>
      <c r="V595" s="202"/>
      <c r="W595" s="56"/>
      <c r="X595" s="202"/>
      <c r="Y595" s="56"/>
      <c r="Z595" s="203"/>
      <c r="AA595" s="110"/>
      <c r="AB595" s="110"/>
      <c r="AC595" s="47"/>
      <c r="AD595" s="47"/>
      <c r="AE595" s="55"/>
      <c r="AF595" s="202"/>
      <c r="AG595" s="49"/>
    </row>
    <row r="596" spans="1:33" s="222" customFormat="1" ht="15">
      <c r="A596" s="5" t="s">
        <v>463</v>
      </c>
      <c r="B596" s="4" t="s">
        <v>491</v>
      </c>
      <c r="C596" s="346" t="s">
        <v>874</v>
      </c>
      <c r="D596" s="2">
        <v>233639</v>
      </c>
      <c r="E596" s="2">
        <v>9</v>
      </c>
      <c r="F596" s="194">
        <f t="shared" si="24"/>
        <v>90202</v>
      </c>
      <c r="G596" s="195">
        <f t="shared" si="26"/>
        <v>78764</v>
      </c>
      <c r="H596" s="202">
        <v>22582</v>
      </c>
      <c r="I596" s="115">
        <v>20073</v>
      </c>
      <c r="J596" s="202">
        <v>40713</v>
      </c>
      <c r="K596" s="115">
        <v>33046</v>
      </c>
      <c r="L596" s="203">
        <v>25680</v>
      </c>
      <c r="M596" s="110">
        <v>1227</v>
      </c>
      <c r="N596" s="110">
        <v>0</v>
      </c>
      <c r="O596" s="47">
        <v>24621</v>
      </c>
      <c r="P596" s="111">
        <v>1024</v>
      </c>
      <c r="Q596" s="55">
        <v>0</v>
      </c>
      <c r="R596" s="202"/>
      <c r="S596" s="46"/>
      <c r="T596" s="196">
        <f t="shared" si="25"/>
        <v>0</v>
      </c>
      <c r="U596" s="197">
        <f t="shared" si="27"/>
        <v>0</v>
      </c>
      <c r="V596" s="202"/>
      <c r="W596" s="56"/>
      <c r="X596" s="202"/>
      <c r="Y596" s="56"/>
      <c r="Z596" s="203"/>
      <c r="AA596" s="110"/>
      <c r="AB596" s="110"/>
      <c r="AC596" s="47"/>
      <c r="AD596" s="47"/>
      <c r="AE596" s="55"/>
      <c r="AF596" s="202"/>
      <c r="AG596" s="49"/>
    </row>
    <row r="597" spans="1:33" s="222" customFormat="1" ht="15">
      <c r="A597" s="5" t="s">
        <v>463</v>
      </c>
      <c r="B597" s="4" t="s">
        <v>492</v>
      </c>
      <c r="C597" s="346"/>
      <c r="D597" s="2">
        <v>233949</v>
      </c>
      <c r="E597" s="2">
        <v>9</v>
      </c>
      <c r="F597" s="194">
        <f t="shared" si="24"/>
        <v>143601</v>
      </c>
      <c r="G597" s="195">
        <f t="shared" si="26"/>
        <v>137381</v>
      </c>
      <c r="H597" s="202">
        <v>79231</v>
      </c>
      <c r="I597" s="115">
        <v>72154</v>
      </c>
      <c r="J597" s="202">
        <v>29609</v>
      </c>
      <c r="K597" s="115">
        <v>32519</v>
      </c>
      <c r="L597" s="203">
        <v>25319</v>
      </c>
      <c r="M597" s="110">
        <v>9442</v>
      </c>
      <c r="N597" s="110">
        <v>0</v>
      </c>
      <c r="O597" s="47">
        <v>24395</v>
      </c>
      <c r="P597" s="111">
        <v>8313</v>
      </c>
      <c r="Q597" s="55">
        <v>0</v>
      </c>
      <c r="R597" s="202"/>
      <c r="S597" s="46"/>
      <c r="T597" s="196">
        <f t="shared" si="25"/>
        <v>0</v>
      </c>
      <c r="U597" s="197">
        <f t="shared" si="27"/>
        <v>0</v>
      </c>
      <c r="V597" s="202"/>
      <c r="W597" s="56"/>
      <c r="X597" s="202"/>
      <c r="Y597" s="56"/>
      <c r="Z597" s="203"/>
      <c r="AA597" s="110"/>
      <c r="AB597" s="110"/>
      <c r="AC597" s="47"/>
      <c r="AD597" s="47"/>
      <c r="AE597" s="55"/>
      <c r="AF597" s="202"/>
      <c r="AG597" s="49"/>
    </row>
    <row r="598" spans="1:33" s="222" customFormat="1" ht="15">
      <c r="A598" s="5" t="s">
        <v>463</v>
      </c>
      <c r="B598" s="4" t="s">
        <v>493</v>
      </c>
      <c r="C598" s="346" t="s">
        <v>851</v>
      </c>
      <c r="D598" s="2">
        <v>234377</v>
      </c>
      <c r="E598" s="2">
        <v>9</v>
      </c>
      <c r="F598" s="194">
        <f t="shared" si="24"/>
        <v>55632</v>
      </c>
      <c r="G598" s="195">
        <f t="shared" si="26"/>
        <v>52131</v>
      </c>
      <c r="H598" s="202">
        <v>10146</v>
      </c>
      <c r="I598" s="115">
        <v>8938</v>
      </c>
      <c r="J598" s="202">
        <v>16403</v>
      </c>
      <c r="K598" s="115">
        <v>15388</v>
      </c>
      <c r="L598" s="203">
        <v>22790</v>
      </c>
      <c r="M598" s="110">
        <v>6293</v>
      </c>
      <c r="N598" s="110">
        <v>0</v>
      </c>
      <c r="O598" s="47">
        <v>22771</v>
      </c>
      <c r="P598" s="111">
        <v>5034</v>
      </c>
      <c r="Q598" s="55">
        <v>0</v>
      </c>
      <c r="R598" s="202"/>
      <c r="S598" s="46"/>
      <c r="T598" s="196">
        <f t="shared" si="25"/>
        <v>0</v>
      </c>
      <c r="U598" s="197">
        <f t="shared" si="27"/>
        <v>0</v>
      </c>
      <c r="V598" s="202"/>
      <c r="W598" s="56"/>
      <c r="X598" s="202"/>
      <c r="Y598" s="56"/>
      <c r="Z598" s="203"/>
      <c r="AA598" s="110"/>
      <c r="AB598" s="110"/>
      <c r="AC598" s="47"/>
      <c r="AD598" s="47"/>
      <c r="AE598" s="55"/>
      <c r="AF598" s="202"/>
      <c r="AG598" s="49"/>
    </row>
    <row r="599" spans="1:33" s="222" customFormat="1">
      <c r="A599" s="5" t="s">
        <v>463</v>
      </c>
      <c r="B599" s="4" t="s">
        <v>494</v>
      </c>
      <c r="C599" s="3"/>
      <c r="D599" s="2">
        <v>231873</v>
      </c>
      <c r="E599" s="2">
        <v>10</v>
      </c>
      <c r="F599" s="194">
        <f t="shared" si="24"/>
        <v>21682</v>
      </c>
      <c r="G599" s="195">
        <f t="shared" si="26"/>
        <v>22561</v>
      </c>
      <c r="H599" s="202">
        <v>9526</v>
      </c>
      <c r="I599" s="56">
        <v>9429</v>
      </c>
      <c r="J599" s="202">
        <v>6405</v>
      </c>
      <c r="K599" s="115">
        <v>7019</v>
      </c>
      <c r="L599" s="203">
        <v>2865</v>
      </c>
      <c r="M599" s="110">
        <v>2886</v>
      </c>
      <c r="N599" s="110">
        <v>0</v>
      </c>
      <c r="O599" s="111">
        <v>3334</v>
      </c>
      <c r="P599" s="47">
        <v>2779</v>
      </c>
      <c r="Q599" s="55">
        <v>0</v>
      </c>
      <c r="R599" s="202"/>
      <c r="S599" s="46"/>
      <c r="T599" s="196">
        <f t="shared" si="25"/>
        <v>0</v>
      </c>
      <c r="U599" s="197">
        <f t="shared" si="27"/>
        <v>0</v>
      </c>
      <c r="V599" s="202"/>
      <c r="W599" s="56"/>
      <c r="X599" s="202"/>
      <c r="Y599" s="56"/>
      <c r="Z599" s="203"/>
      <c r="AA599" s="110"/>
      <c r="AB599" s="110"/>
      <c r="AC599" s="47"/>
      <c r="AD599" s="47"/>
      <c r="AE599" s="55"/>
      <c r="AF599" s="202"/>
      <c r="AG599" s="49"/>
    </row>
    <row r="600" spans="1:33" s="222" customFormat="1">
      <c r="A600" s="5" t="s">
        <v>463</v>
      </c>
      <c r="B600" s="4" t="s">
        <v>495</v>
      </c>
      <c r="C600" s="3"/>
      <c r="D600" s="2">
        <v>232052</v>
      </c>
      <c r="E600" s="2">
        <v>10</v>
      </c>
      <c r="F600" s="194">
        <f t="shared" si="24"/>
        <v>13777</v>
      </c>
      <c r="G600" s="195">
        <f t="shared" si="26"/>
        <v>11911</v>
      </c>
      <c r="H600" s="202">
        <v>9270</v>
      </c>
      <c r="I600" s="115">
        <v>7785</v>
      </c>
      <c r="J600" s="202">
        <v>2592</v>
      </c>
      <c r="K600" s="115">
        <v>2276</v>
      </c>
      <c r="L600" s="203">
        <v>1915</v>
      </c>
      <c r="M600" s="110">
        <v>0</v>
      </c>
      <c r="N600" s="110">
        <v>0</v>
      </c>
      <c r="O600" s="47">
        <v>1850</v>
      </c>
      <c r="P600" s="47">
        <v>0</v>
      </c>
      <c r="Q600" s="55">
        <v>0</v>
      </c>
      <c r="R600" s="202"/>
      <c r="S600" s="46"/>
      <c r="T600" s="196">
        <f t="shared" si="25"/>
        <v>0</v>
      </c>
      <c r="U600" s="197">
        <f t="shared" si="27"/>
        <v>0</v>
      </c>
      <c r="V600" s="202"/>
      <c r="W600" s="56"/>
      <c r="X600" s="202"/>
      <c r="Y600" s="56"/>
      <c r="Z600" s="203"/>
      <c r="AA600" s="110"/>
      <c r="AB600" s="110"/>
      <c r="AC600" s="47"/>
      <c r="AD600" s="47"/>
      <c r="AE600" s="55"/>
      <c r="AF600" s="202"/>
      <c r="AG600" s="49"/>
    </row>
    <row r="601" spans="1:33" s="222" customFormat="1">
      <c r="A601" s="5" t="s">
        <v>463</v>
      </c>
      <c r="B601" s="4" t="s">
        <v>496</v>
      </c>
      <c r="C601" s="131"/>
      <c r="D601" s="2">
        <v>232788</v>
      </c>
      <c r="E601" s="132">
        <v>10</v>
      </c>
      <c r="F601" s="194">
        <f t="shared" si="24"/>
        <v>53121</v>
      </c>
      <c r="G601" s="195">
        <f t="shared" si="26"/>
        <v>52294</v>
      </c>
      <c r="H601" s="202">
        <v>25243</v>
      </c>
      <c r="I601" s="56">
        <v>25056</v>
      </c>
      <c r="J601" s="202">
        <v>8619</v>
      </c>
      <c r="K601" s="115">
        <v>9540</v>
      </c>
      <c r="L601" s="203">
        <v>17827</v>
      </c>
      <c r="M601" s="110">
        <v>1432</v>
      </c>
      <c r="N601" s="110">
        <v>0</v>
      </c>
      <c r="O601" s="111">
        <v>15769</v>
      </c>
      <c r="P601" s="111">
        <v>1929</v>
      </c>
      <c r="Q601" s="55">
        <v>0</v>
      </c>
      <c r="R601" s="202"/>
      <c r="S601" s="46"/>
      <c r="T601" s="196">
        <f t="shared" si="25"/>
        <v>0</v>
      </c>
      <c r="U601" s="197">
        <f t="shared" si="27"/>
        <v>0</v>
      </c>
      <c r="V601" s="202"/>
      <c r="W601" s="56"/>
      <c r="X601" s="202"/>
      <c r="Y601" s="56"/>
      <c r="Z601" s="203"/>
      <c r="AA601" s="110"/>
      <c r="AB601" s="110"/>
      <c r="AC601" s="47"/>
      <c r="AD601" s="47"/>
      <c r="AE601" s="55"/>
      <c r="AF601" s="202"/>
      <c r="AG601" s="49"/>
    </row>
    <row r="602" spans="1:33" s="222" customFormat="1">
      <c r="A602" s="5" t="s">
        <v>463</v>
      </c>
      <c r="B602" s="4" t="s">
        <v>497</v>
      </c>
      <c r="C602" s="3"/>
      <c r="D602" s="2">
        <v>233037</v>
      </c>
      <c r="E602" s="2">
        <v>10</v>
      </c>
      <c r="F602" s="194">
        <f t="shared" si="24"/>
        <v>24286</v>
      </c>
      <c r="G602" s="195">
        <f t="shared" si="26"/>
        <v>25306</v>
      </c>
      <c r="H602" s="202">
        <v>9718</v>
      </c>
      <c r="I602" s="115">
        <v>8219</v>
      </c>
      <c r="J602" s="202">
        <v>4485</v>
      </c>
      <c r="K602" s="115">
        <v>6433</v>
      </c>
      <c r="L602" s="203">
        <v>7227</v>
      </c>
      <c r="M602" s="110">
        <v>2856</v>
      </c>
      <c r="N602" s="110">
        <v>0</v>
      </c>
      <c r="O602" s="111">
        <v>9304</v>
      </c>
      <c r="P602" s="111">
        <v>1350</v>
      </c>
      <c r="Q602" s="55">
        <v>0</v>
      </c>
      <c r="R602" s="202"/>
      <c r="S602" s="46"/>
      <c r="T602" s="196">
        <f t="shared" si="25"/>
        <v>0</v>
      </c>
      <c r="U602" s="197">
        <f t="shared" si="27"/>
        <v>0</v>
      </c>
      <c r="V602" s="202"/>
      <c r="W602" s="56"/>
      <c r="X602" s="202"/>
      <c r="Y602" s="56"/>
      <c r="Z602" s="203"/>
      <c r="AA602" s="110"/>
      <c r="AB602" s="110"/>
      <c r="AC602" s="47"/>
      <c r="AD602" s="47"/>
      <c r="AE602" s="55"/>
      <c r="AF602" s="202"/>
      <c r="AG602" s="49"/>
    </row>
    <row r="603" spans="1:33" s="222" customFormat="1">
      <c r="A603" s="5" t="s">
        <v>463</v>
      </c>
      <c r="B603" s="4" t="s">
        <v>498</v>
      </c>
      <c r="C603" s="3"/>
      <c r="D603" s="2">
        <v>233310</v>
      </c>
      <c r="E603" s="2">
        <v>10</v>
      </c>
      <c r="F603" s="194">
        <f t="shared" si="24"/>
        <v>55958</v>
      </c>
      <c r="G603" s="195">
        <f t="shared" si="26"/>
        <v>56613</v>
      </c>
      <c r="H603" s="202">
        <v>12635</v>
      </c>
      <c r="I603" s="56">
        <v>12218</v>
      </c>
      <c r="J603" s="202">
        <v>17430</v>
      </c>
      <c r="K603" s="115">
        <v>18772</v>
      </c>
      <c r="L603" s="203">
        <v>15897</v>
      </c>
      <c r="M603" s="110">
        <v>9996</v>
      </c>
      <c r="N603" s="110">
        <v>0</v>
      </c>
      <c r="O603" s="47">
        <v>15158</v>
      </c>
      <c r="P603" s="47">
        <v>10465</v>
      </c>
      <c r="Q603" s="55">
        <v>0</v>
      </c>
      <c r="R603" s="202"/>
      <c r="S603" s="46"/>
      <c r="T603" s="196">
        <f t="shared" si="25"/>
        <v>0</v>
      </c>
      <c r="U603" s="197">
        <f t="shared" si="27"/>
        <v>0</v>
      </c>
      <c r="V603" s="202"/>
      <c r="W603" s="56"/>
      <c r="X603" s="202"/>
      <c r="Y603" s="56"/>
      <c r="Z603" s="203"/>
      <c r="AA603" s="110"/>
      <c r="AB603" s="110"/>
      <c r="AC603" s="47"/>
      <c r="AD603" s="47"/>
      <c r="AE603" s="55"/>
      <c r="AF603" s="202"/>
      <c r="AG603" s="49"/>
    </row>
    <row r="604" spans="1:33" s="222" customFormat="1">
      <c r="A604" s="5" t="s">
        <v>463</v>
      </c>
      <c r="B604" s="4" t="s">
        <v>499</v>
      </c>
      <c r="C604" s="3"/>
      <c r="D604" s="2">
        <v>233338</v>
      </c>
      <c r="E604" s="2">
        <v>10</v>
      </c>
      <c r="F604" s="194">
        <f t="shared" si="24"/>
        <v>34309</v>
      </c>
      <c r="G604" s="195">
        <f t="shared" si="26"/>
        <v>38959</v>
      </c>
      <c r="H604" s="202">
        <v>25365</v>
      </c>
      <c r="I604" s="56">
        <v>25932</v>
      </c>
      <c r="J604" s="202">
        <v>5688</v>
      </c>
      <c r="K604" s="115">
        <v>8796</v>
      </c>
      <c r="L604" s="203">
        <v>3256</v>
      </c>
      <c r="M604" s="110">
        <v>0</v>
      </c>
      <c r="N604" s="110">
        <v>0</v>
      </c>
      <c r="O604" s="111">
        <v>4231</v>
      </c>
      <c r="P604" s="47">
        <v>0</v>
      </c>
      <c r="Q604" s="55">
        <v>0</v>
      </c>
      <c r="R604" s="202"/>
      <c r="S604" s="46"/>
      <c r="T604" s="196">
        <f t="shared" si="25"/>
        <v>0</v>
      </c>
      <c r="U604" s="197">
        <f t="shared" si="27"/>
        <v>0</v>
      </c>
      <c r="V604" s="202"/>
      <c r="W604" s="56"/>
      <c r="X604" s="202"/>
      <c r="Y604" s="56"/>
      <c r="Z604" s="203"/>
      <c r="AA604" s="110"/>
      <c r="AB604" s="110"/>
      <c r="AC604" s="47"/>
      <c r="AD604" s="47"/>
      <c r="AE604" s="55"/>
      <c r="AF604" s="202"/>
      <c r="AG604" s="49"/>
    </row>
    <row r="605" spans="1:33" s="222" customFormat="1">
      <c r="A605" s="5" t="s">
        <v>463</v>
      </c>
      <c r="B605" s="4" t="s">
        <v>500</v>
      </c>
      <c r="C605" s="131"/>
      <c r="D605" s="2">
        <v>233648</v>
      </c>
      <c r="E605" s="134">
        <v>10</v>
      </c>
      <c r="F605" s="194">
        <f t="shared" si="24"/>
        <v>54150</v>
      </c>
      <c r="G605" s="195">
        <f t="shared" si="26"/>
        <v>53980</v>
      </c>
      <c r="H605" s="202">
        <v>20141</v>
      </c>
      <c r="I605" s="115">
        <v>18190</v>
      </c>
      <c r="J605" s="202">
        <v>9369</v>
      </c>
      <c r="K605" s="56">
        <v>9641</v>
      </c>
      <c r="L605" s="203">
        <v>20476</v>
      </c>
      <c r="M605" s="110">
        <v>4164</v>
      </c>
      <c r="N605" s="110">
        <v>0</v>
      </c>
      <c r="O605" s="47">
        <v>20507</v>
      </c>
      <c r="P605" s="111">
        <v>5642</v>
      </c>
      <c r="Q605" s="55">
        <v>0</v>
      </c>
      <c r="R605" s="202"/>
      <c r="S605" s="46"/>
      <c r="T605" s="196">
        <f t="shared" si="25"/>
        <v>0</v>
      </c>
      <c r="U605" s="197">
        <f t="shared" si="27"/>
        <v>0</v>
      </c>
      <c r="V605" s="202"/>
      <c r="W605" s="56"/>
      <c r="X605" s="202"/>
      <c r="Y605" s="56"/>
      <c r="Z605" s="203"/>
      <c r="AA605" s="110"/>
      <c r="AB605" s="110"/>
      <c r="AC605" s="47"/>
      <c r="AD605" s="47"/>
      <c r="AE605" s="55"/>
      <c r="AF605" s="202"/>
      <c r="AG605" s="49"/>
    </row>
    <row r="606" spans="1:33" s="222" customFormat="1">
      <c r="A606" s="5" t="s">
        <v>463</v>
      </c>
      <c r="B606" s="4" t="s">
        <v>501</v>
      </c>
      <c r="C606" s="3"/>
      <c r="D606" s="2">
        <v>233903</v>
      </c>
      <c r="E606" s="2">
        <v>10</v>
      </c>
      <c r="F606" s="194">
        <f t="shared" si="24"/>
        <v>46853</v>
      </c>
      <c r="G606" s="195">
        <f t="shared" si="26"/>
        <v>45505</v>
      </c>
      <c r="H606" s="202">
        <v>21629</v>
      </c>
      <c r="I606" s="115">
        <v>19743</v>
      </c>
      <c r="J606" s="202">
        <v>8303</v>
      </c>
      <c r="K606" s="56">
        <v>8313</v>
      </c>
      <c r="L606" s="203">
        <v>15244</v>
      </c>
      <c r="M606" s="110">
        <v>1677</v>
      </c>
      <c r="N606" s="110">
        <v>0</v>
      </c>
      <c r="O606" s="47">
        <v>15939</v>
      </c>
      <c r="P606" s="111">
        <v>1510</v>
      </c>
      <c r="Q606" s="55">
        <v>0</v>
      </c>
      <c r="R606" s="202"/>
      <c r="S606" s="46"/>
      <c r="T606" s="196">
        <f t="shared" si="25"/>
        <v>0</v>
      </c>
      <c r="U606" s="197">
        <f t="shared" si="27"/>
        <v>0</v>
      </c>
      <c r="V606" s="202"/>
      <c r="W606" s="56"/>
      <c r="X606" s="202"/>
      <c r="Y606" s="56"/>
      <c r="Z606" s="203"/>
      <c r="AA606" s="110"/>
      <c r="AB606" s="110"/>
      <c r="AC606" s="47"/>
      <c r="AD606" s="47"/>
      <c r="AE606" s="55"/>
      <c r="AF606" s="202"/>
      <c r="AG606" s="49"/>
    </row>
    <row r="607" spans="1:33" s="192" customFormat="1" ht="15" customHeight="1">
      <c r="A607" s="263" t="s">
        <v>502</v>
      </c>
      <c r="B607" s="264" t="s">
        <v>619</v>
      </c>
      <c r="C607" s="265"/>
      <c r="D607" s="266">
        <v>237729</v>
      </c>
      <c r="E607" s="266">
        <v>14</v>
      </c>
      <c r="F607" s="194">
        <f t="shared" si="24"/>
        <v>0</v>
      </c>
      <c r="G607" s="195">
        <f t="shared" si="26"/>
        <v>0</v>
      </c>
      <c r="H607" s="108"/>
      <c r="I607" s="267"/>
      <c r="J607" s="108"/>
      <c r="K607" s="268"/>
      <c r="L607" s="108"/>
      <c r="M607" s="108"/>
      <c r="N607" s="108"/>
      <c r="O607" s="267"/>
      <c r="P607" s="267"/>
      <c r="Q607" s="268"/>
      <c r="R607" s="108"/>
      <c r="S607" s="268"/>
      <c r="T607" s="196">
        <f t="shared" si="25"/>
        <v>0</v>
      </c>
      <c r="U607" s="197">
        <f t="shared" si="27"/>
        <v>0</v>
      </c>
      <c r="V607" s="108"/>
      <c r="W607" s="267"/>
      <c r="X607" s="109"/>
      <c r="Y607" s="268"/>
      <c r="Z607" s="108"/>
      <c r="AA607" s="108"/>
      <c r="AB607" s="108"/>
      <c r="AC607" s="267"/>
      <c r="AD607" s="267"/>
      <c r="AE607" s="268"/>
      <c r="AF607" s="108"/>
      <c r="AG607" s="267"/>
    </row>
    <row r="608" spans="1:33" s="192" customFormat="1" ht="14.45" customHeight="1">
      <c r="A608" s="263" t="s">
        <v>502</v>
      </c>
      <c r="B608" s="264" t="s">
        <v>620</v>
      </c>
      <c r="C608" s="265"/>
      <c r="D608" s="266">
        <v>237172</v>
      </c>
      <c r="E608" s="266">
        <v>14</v>
      </c>
      <c r="F608" s="194">
        <f t="shared" si="24"/>
        <v>0</v>
      </c>
      <c r="G608" s="195">
        <f t="shared" si="26"/>
        <v>0</v>
      </c>
      <c r="H608" s="108"/>
      <c r="I608" s="267"/>
      <c r="J608" s="108"/>
      <c r="K608" s="268"/>
      <c r="L608" s="108"/>
      <c r="M608" s="108"/>
      <c r="N608" s="108"/>
      <c r="O608" s="267"/>
      <c r="P608" s="267"/>
      <c r="Q608" s="268"/>
      <c r="R608" s="108"/>
      <c r="S608" s="268"/>
      <c r="T608" s="196">
        <f t="shared" si="25"/>
        <v>0</v>
      </c>
      <c r="U608" s="197">
        <f t="shared" si="27"/>
        <v>0</v>
      </c>
      <c r="V608" s="108"/>
      <c r="W608" s="267"/>
      <c r="X608" s="109"/>
      <c r="Y608" s="268"/>
      <c r="Z608" s="108"/>
      <c r="AA608" s="108"/>
      <c r="AB608" s="108"/>
      <c r="AC608" s="267"/>
      <c r="AD608" s="267"/>
      <c r="AE608" s="268"/>
      <c r="AF608" s="108"/>
      <c r="AG608" s="267"/>
    </row>
    <row r="609" spans="1:33" s="192" customFormat="1" ht="14.45" customHeight="1">
      <c r="A609" s="269" t="s">
        <v>502</v>
      </c>
      <c r="B609" s="265" t="s">
        <v>621</v>
      </c>
      <c r="C609" s="265"/>
      <c r="D609" s="266">
        <v>237224</v>
      </c>
      <c r="E609" s="266">
        <v>14</v>
      </c>
      <c r="F609" s="194">
        <f t="shared" si="24"/>
        <v>0</v>
      </c>
      <c r="G609" s="195">
        <f t="shared" si="26"/>
        <v>0</v>
      </c>
      <c r="H609" s="108"/>
      <c r="I609" s="267"/>
      <c r="J609" s="108"/>
      <c r="K609" s="268"/>
      <c r="L609" s="108"/>
      <c r="M609" s="108"/>
      <c r="N609" s="108"/>
      <c r="O609" s="267"/>
      <c r="P609" s="267"/>
      <c r="Q609" s="268"/>
      <c r="R609" s="108"/>
      <c r="S609" s="268"/>
      <c r="T609" s="196">
        <f t="shared" si="25"/>
        <v>0</v>
      </c>
      <c r="U609" s="197">
        <f t="shared" si="27"/>
        <v>0</v>
      </c>
      <c r="V609" s="108"/>
      <c r="W609" s="267"/>
      <c r="X609" s="109"/>
      <c r="Y609" s="268"/>
      <c r="Z609" s="108"/>
      <c r="AA609" s="108"/>
      <c r="AB609" s="108"/>
      <c r="AC609" s="267"/>
      <c r="AD609" s="267"/>
      <c r="AE609" s="268"/>
      <c r="AF609" s="108"/>
      <c r="AG609" s="267"/>
    </row>
    <row r="610" spans="1:33" s="192" customFormat="1" ht="14.45" customHeight="1">
      <c r="A610" s="269" t="s">
        <v>502</v>
      </c>
      <c r="B610" s="264" t="s">
        <v>622</v>
      </c>
      <c r="C610" s="265"/>
      <c r="D610" s="266">
        <v>237242</v>
      </c>
      <c r="E610" s="266">
        <v>14</v>
      </c>
      <c r="F610" s="194">
        <f t="shared" si="24"/>
        <v>0</v>
      </c>
      <c r="G610" s="195">
        <f t="shared" si="26"/>
        <v>0</v>
      </c>
      <c r="H610" s="108"/>
      <c r="I610" s="267"/>
      <c r="J610" s="108"/>
      <c r="K610" s="268"/>
      <c r="L610" s="108"/>
      <c r="M610" s="108"/>
      <c r="N610" s="108"/>
      <c r="O610" s="267"/>
      <c r="P610" s="267"/>
      <c r="Q610" s="268"/>
      <c r="R610" s="108"/>
      <c r="S610" s="268"/>
      <c r="T610" s="196">
        <f t="shared" si="25"/>
        <v>0</v>
      </c>
      <c r="U610" s="197">
        <f t="shared" si="27"/>
        <v>0</v>
      </c>
      <c r="V610" s="108"/>
      <c r="W610" s="267"/>
      <c r="X610" s="109"/>
      <c r="Y610" s="268"/>
      <c r="Z610" s="108"/>
      <c r="AA610" s="108"/>
      <c r="AB610" s="108"/>
      <c r="AC610" s="267"/>
      <c r="AD610" s="267"/>
      <c r="AE610" s="268"/>
      <c r="AF610" s="108"/>
      <c r="AG610" s="267"/>
    </row>
    <row r="611" spans="1:33" s="192" customFormat="1" ht="14.45" customHeight="1">
      <c r="A611" s="263" t="s">
        <v>502</v>
      </c>
      <c r="B611" s="264" t="s">
        <v>623</v>
      </c>
      <c r="C611" s="265"/>
      <c r="D611" s="266">
        <v>430795</v>
      </c>
      <c r="E611" s="266">
        <v>14</v>
      </c>
      <c r="F611" s="194">
        <f t="shared" si="24"/>
        <v>0</v>
      </c>
      <c r="G611" s="195">
        <f t="shared" si="26"/>
        <v>0</v>
      </c>
      <c r="H611" s="108"/>
      <c r="I611" s="267"/>
      <c r="J611" s="108"/>
      <c r="K611" s="268"/>
      <c r="L611" s="108"/>
      <c r="M611" s="108"/>
      <c r="N611" s="108"/>
      <c r="O611" s="267"/>
      <c r="P611" s="267"/>
      <c r="Q611" s="268"/>
      <c r="R611" s="108"/>
      <c r="S611" s="268"/>
      <c r="T611" s="196">
        <f t="shared" si="25"/>
        <v>0</v>
      </c>
      <c r="U611" s="197">
        <f t="shared" si="27"/>
        <v>0</v>
      </c>
      <c r="V611" s="108"/>
      <c r="W611" s="267"/>
      <c r="X611" s="109"/>
      <c r="Y611" s="268"/>
      <c r="Z611" s="108"/>
      <c r="AA611" s="108"/>
      <c r="AB611" s="108"/>
      <c r="AC611" s="267"/>
      <c r="AD611" s="267"/>
      <c r="AE611" s="268"/>
      <c r="AF611" s="108"/>
      <c r="AG611" s="267"/>
    </row>
    <row r="612" spans="1:33" s="192" customFormat="1" ht="14.45" customHeight="1">
      <c r="A612" s="263" t="s">
        <v>502</v>
      </c>
      <c r="B612" s="265" t="s">
        <v>624</v>
      </c>
      <c r="C612" s="265"/>
      <c r="D612" s="266">
        <v>413176</v>
      </c>
      <c r="E612" s="266">
        <v>14</v>
      </c>
      <c r="F612" s="194">
        <f t="shared" si="24"/>
        <v>0</v>
      </c>
      <c r="G612" s="195">
        <f t="shared" si="26"/>
        <v>0</v>
      </c>
      <c r="H612" s="108"/>
      <c r="I612" s="267"/>
      <c r="J612" s="108"/>
      <c r="K612" s="268"/>
      <c r="L612" s="108"/>
      <c r="M612" s="108"/>
      <c r="N612" s="108"/>
      <c r="O612" s="267"/>
      <c r="P612" s="267"/>
      <c r="Q612" s="268"/>
      <c r="R612" s="108"/>
      <c r="S612" s="268"/>
      <c r="T612" s="196">
        <f t="shared" si="25"/>
        <v>0</v>
      </c>
      <c r="U612" s="197">
        <f t="shared" si="27"/>
        <v>0</v>
      </c>
      <c r="V612" s="108"/>
      <c r="W612" s="267"/>
      <c r="X612" s="109"/>
      <c r="Y612" s="268"/>
      <c r="Z612" s="108"/>
      <c r="AA612" s="108"/>
      <c r="AB612" s="108"/>
      <c r="AC612" s="267"/>
      <c r="AD612" s="267"/>
      <c r="AE612" s="268"/>
      <c r="AF612" s="108"/>
      <c r="AG612" s="267"/>
    </row>
    <row r="613" spans="1:33" s="192" customFormat="1" ht="14.45" customHeight="1">
      <c r="A613" s="269" t="s">
        <v>502</v>
      </c>
      <c r="B613" s="265" t="s">
        <v>625</v>
      </c>
      <c r="C613" s="265"/>
      <c r="D613" s="266">
        <v>237844</v>
      </c>
      <c r="E613" s="266">
        <v>14</v>
      </c>
      <c r="F613" s="194">
        <f t="shared" si="24"/>
        <v>0</v>
      </c>
      <c r="G613" s="195">
        <f t="shared" si="26"/>
        <v>0</v>
      </c>
      <c r="H613" s="108"/>
      <c r="I613" s="267"/>
      <c r="J613" s="108"/>
      <c r="K613" s="268"/>
      <c r="L613" s="108"/>
      <c r="M613" s="108"/>
      <c r="N613" s="108"/>
      <c r="O613" s="267"/>
      <c r="P613" s="267"/>
      <c r="Q613" s="268"/>
      <c r="R613" s="108"/>
      <c r="S613" s="268"/>
      <c r="T613" s="196">
        <f t="shared" si="25"/>
        <v>0</v>
      </c>
      <c r="U613" s="197">
        <f t="shared" si="27"/>
        <v>0</v>
      </c>
      <c r="V613" s="108"/>
      <c r="W613" s="267"/>
      <c r="X613" s="109"/>
      <c r="Y613" s="268"/>
      <c r="Z613" s="108"/>
      <c r="AA613" s="108"/>
      <c r="AB613" s="108"/>
      <c r="AC613" s="267"/>
      <c r="AD613" s="267"/>
      <c r="AE613" s="268"/>
      <c r="AF613" s="108"/>
      <c r="AG613" s="267"/>
    </row>
    <row r="614" spans="1:33" s="192" customFormat="1" ht="14.45" customHeight="1">
      <c r="A614" s="269" t="s">
        <v>502</v>
      </c>
      <c r="B614" s="265" t="s">
        <v>626</v>
      </c>
      <c r="C614" s="265"/>
      <c r="D614" s="266">
        <v>431169</v>
      </c>
      <c r="E614" s="266">
        <v>14</v>
      </c>
      <c r="F614" s="194">
        <f t="shared" si="24"/>
        <v>0</v>
      </c>
      <c r="G614" s="195">
        <f t="shared" si="26"/>
        <v>0</v>
      </c>
      <c r="H614" s="108"/>
      <c r="I614" s="267"/>
      <c r="J614" s="108"/>
      <c r="K614" s="268"/>
      <c r="L614" s="108"/>
      <c r="M614" s="108"/>
      <c r="N614" s="108"/>
      <c r="O614" s="267"/>
      <c r="P614" s="267"/>
      <c r="Q614" s="268"/>
      <c r="R614" s="108"/>
      <c r="S614" s="268"/>
      <c r="T614" s="196">
        <f t="shared" si="25"/>
        <v>0</v>
      </c>
      <c r="U614" s="197">
        <f t="shared" si="27"/>
        <v>0</v>
      </c>
      <c r="V614" s="108"/>
      <c r="W614" s="267"/>
      <c r="X614" s="109"/>
      <c r="Y614" s="268"/>
      <c r="Z614" s="108"/>
      <c r="AA614" s="108"/>
      <c r="AB614" s="108"/>
      <c r="AC614" s="267"/>
      <c r="AD614" s="267"/>
      <c r="AE614" s="268"/>
      <c r="AF614" s="108"/>
      <c r="AG614" s="267"/>
    </row>
    <row r="615" spans="1:33" s="192" customFormat="1" ht="14.45" customHeight="1">
      <c r="A615" s="263" t="s">
        <v>502</v>
      </c>
      <c r="B615" s="265" t="s">
        <v>627</v>
      </c>
      <c r="C615" s="265"/>
      <c r="D615" s="266">
        <v>237473</v>
      </c>
      <c r="E615" s="266">
        <v>14</v>
      </c>
      <c r="F615" s="194">
        <f t="shared" si="24"/>
        <v>0</v>
      </c>
      <c r="G615" s="195">
        <f t="shared" si="26"/>
        <v>0</v>
      </c>
      <c r="H615" s="108"/>
      <c r="I615" s="267"/>
      <c r="J615" s="108"/>
      <c r="K615" s="268"/>
      <c r="L615" s="108"/>
      <c r="M615" s="108"/>
      <c r="N615" s="108"/>
      <c r="O615" s="267"/>
      <c r="P615" s="267"/>
      <c r="Q615" s="268"/>
      <c r="R615" s="108"/>
      <c r="S615" s="268"/>
      <c r="T615" s="196">
        <f t="shared" si="25"/>
        <v>0</v>
      </c>
      <c r="U615" s="197">
        <f t="shared" si="27"/>
        <v>0</v>
      </c>
      <c r="V615" s="108"/>
      <c r="W615" s="267"/>
      <c r="X615" s="109"/>
      <c r="Y615" s="268"/>
      <c r="Z615" s="108"/>
      <c r="AA615" s="108"/>
      <c r="AB615" s="108"/>
      <c r="AC615" s="267"/>
      <c r="AD615" s="267"/>
      <c r="AE615" s="268"/>
      <c r="AF615" s="108"/>
      <c r="AG615" s="267"/>
    </row>
    <row r="616" spans="1:33" s="192" customFormat="1" ht="14.45" customHeight="1">
      <c r="A616" s="269" t="s">
        <v>502</v>
      </c>
      <c r="B616" s="265" t="s">
        <v>628</v>
      </c>
      <c r="C616" s="265"/>
      <c r="D616" s="266">
        <v>446349</v>
      </c>
      <c r="E616" s="266">
        <v>14</v>
      </c>
      <c r="F616" s="194">
        <f t="shared" si="24"/>
        <v>0</v>
      </c>
      <c r="G616" s="195">
        <f t="shared" si="26"/>
        <v>0</v>
      </c>
      <c r="H616" s="108"/>
      <c r="I616" s="267"/>
      <c r="J616" s="108"/>
      <c r="K616" s="268"/>
      <c r="L616" s="108"/>
      <c r="M616" s="108"/>
      <c r="N616" s="108"/>
      <c r="O616" s="267"/>
      <c r="P616" s="267"/>
      <c r="Q616" s="268"/>
      <c r="R616" s="108"/>
      <c r="S616" s="268"/>
      <c r="T616" s="196">
        <f t="shared" si="25"/>
        <v>0</v>
      </c>
      <c r="U616" s="197">
        <f t="shared" si="27"/>
        <v>0</v>
      </c>
      <c r="V616" s="108"/>
      <c r="W616" s="267"/>
      <c r="X616" s="109"/>
      <c r="Y616" s="268"/>
      <c r="Z616" s="108"/>
      <c r="AA616" s="108"/>
      <c r="AB616" s="108"/>
      <c r="AC616" s="267"/>
      <c r="AD616" s="267"/>
      <c r="AE616" s="268"/>
      <c r="AF616" s="108"/>
      <c r="AG616" s="267"/>
    </row>
    <row r="617" spans="1:33" s="192" customFormat="1" ht="14.45" customHeight="1">
      <c r="A617" s="269" t="s">
        <v>502</v>
      </c>
      <c r="B617" s="265" t="s">
        <v>629</v>
      </c>
      <c r="C617" s="265"/>
      <c r="D617" s="266">
        <v>237516</v>
      </c>
      <c r="E617" s="266">
        <v>14</v>
      </c>
      <c r="F617" s="194">
        <f t="shared" si="24"/>
        <v>0</v>
      </c>
      <c r="G617" s="195">
        <f t="shared" si="26"/>
        <v>0</v>
      </c>
      <c r="H617" s="108"/>
      <c r="I617" s="267"/>
      <c r="J617" s="108"/>
      <c r="K617" s="268"/>
      <c r="L617" s="108"/>
      <c r="M617" s="108"/>
      <c r="N617" s="108"/>
      <c r="O617" s="267"/>
      <c r="P617" s="267"/>
      <c r="Q617" s="268"/>
      <c r="R617" s="108"/>
      <c r="S617" s="268"/>
      <c r="T617" s="196">
        <f t="shared" si="25"/>
        <v>0</v>
      </c>
      <c r="U617" s="197">
        <f t="shared" si="27"/>
        <v>0</v>
      </c>
      <c r="V617" s="108"/>
      <c r="W617" s="267"/>
      <c r="X617" s="109"/>
      <c r="Y617" s="268"/>
      <c r="Z617" s="108"/>
      <c r="AA617" s="108"/>
      <c r="AB617" s="108"/>
      <c r="AC617" s="267"/>
      <c r="AD617" s="267"/>
      <c r="AE617" s="268"/>
      <c r="AF617" s="108"/>
      <c r="AG617" s="267"/>
    </row>
    <row r="618" spans="1:33" s="192" customFormat="1" ht="14.45" customHeight="1">
      <c r="A618" s="269" t="s">
        <v>502</v>
      </c>
      <c r="B618" s="265" t="s">
        <v>630</v>
      </c>
      <c r="C618" s="265"/>
      <c r="D618" s="266">
        <v>237534</v>
      </c>
      <c r="E618" s="266">
        <v>14</v>
      </c>
      <c r="F618" s="194">
        <f t="shared" si="24"/>
        <v>0</v>
      </c>
      <c r="G618" s="195">
        <f t="shared" si="26"/>
        <v>0</v>
      </c>
      <c r="H618" s="108"/>
      <c r="I618" s="267"/>
      <c r="J618" s="108"/>
      <c r="K618" s="268"/>
      <c r="L618" s="108"/>
      <c r="M618" s="108"/>
      <c r="N618" s="108"/>
      <c r="O618" s="267"/>
      <c r="P618" s="267"/>
      <c r="Q618" s="268"/>
      <c r="R618" s="108"/>
      <c r="S618" s="268"/>
      <c r="T618" s="196">
        <f t="shared" si="25"/>
        <v>0</v>
      </c>
      <c r="U618" s="197">
        <f t="shared" si="27"/>
        <v>0</v>
      </c>
      <c r="V618" s="108"/>
      <c r="W618" s="267"/>
      <c r="X618" s="109"/>
      <c r="Y618" s="268"/>
      <c r="Z618" s="108"/>
      <c r="AA618" s="108"/>
      <c r="AB618" s="108"/>
      <c r="AC618" s="267"/>
      <c r="AD618" s="267"/>
      <c r="AE618" s="268"/>
      <c r="AF618" s="108"/>
      <c r="AG618" s="267"/>
    </row>
    <row r="619" spans="1:33" s="192" customFormat="1" ht="14.45" customHeight="1">
      <c r="A619" s="263" t="s">
        <v>502</v>
      </c>
      <c r="B619" s="264" t="s">
        <v>631</v>
      </c>
      <c r="C619" s="265"/>
      <c r="D619" s="266">
        <v>237543</v>
      </c>
      <c r="E619" s="266">
        <v>14</v>
      </c>
      <c r="F619" s="194">
        <f t="shared" si="24"/>
        <v>0</v>
      </c>
      <c r="G619" s="195">
        <f t="shared" si="26"/>
        <v>0</v>
      </c>
      <c r="H619" s="108"/>
      <c r="I619" s="267"/>
      <c r="J619" s="108"/>
      <c r="K619" s="268"/>
      <c r="L619" s="108"/>
      <c r="M619" s="108"/>
      <c r="N619" s="108"/>
      <c r="O619" s="267"/>
      <c r="P619" s="267"/>
      <c r="Q619" s="268"/>
      <c r="R619" s="108"/>
      <c r="S619" s="268"/>
      <c r="T619" s="196">
        <f t="shared" si="25"/>
        <v>0</v>
      </c>
      <c r="U619" s="197">
        <f t="shared" si="27"/>
        <v>0</v>
      </c>
      <c r="V619" s="108"/>
      <c r="W619" s="267"/>
      <c r="X619" s="109"/>
      <c r="Y619" s="268"/>
      <c r="Z619" s="108"/>
      <c r="AA619" s="108"/>
      <c r="AB619" s="108"/>
      <c r="AC619" s="267"/>
      <c r="AD619" s="267"/>
      <c r="AE619" s="268"/>
      <c r="AF619" s="108"/>
      <c r="AG619" s="267"/>
    </row>
    <row r="620" spans="1:33" s="192" customFormat="1" ht="14.45" customHeight="1">
      <c r="A620" s="269" t="s">
        <v>502</v>
      </c>
      <c r="B620" s="265" t="s">
        <v>632</v>
      </c>
      <c r="C620" s="265"/>
      <c r="D620" s="266">
        <v>368647</v>
      </c>
      <c r="E620" s="266">
        <v>14</v>
      </c>
      <c r="F620" s="194">
        <f t="shared" si="24"/>
        <v>0</v>
      </c>
      <c r="G620" s="195">
        <f t="shared" si="26"/>
        <v>0</v>
      </c>
      <c r="H620" s="108"/>
      <c r="I620" s="267"/>
      <c r="J620" s="108"/>
      <c r="K620" s="268"/>
      <c r="L620" s="108"/>
      <c r="M620" s="108"/>
      <c r="N620" s="108"/>
      <c r="O620" s="267"/>
      <c r="P620" s="267"/>
      <c r="Q620" s="268"/>
      <c r="R620" s="108"/>
      <c r="S620" s="268"/>
      <c r="T620" s="196">
        <f t="shared" si="25"/>
        <v>0</v>
      </c>
      <c r="U620" s="197">
        <f t="shared" si="27"/>
        <v>0</v>
      </c>
      <c r="V620" s="108"/>
      <c r="W620" s="267"/>
      <c r="X620" s="109"/>
      <c r="Y620" s="268"/>
      <c r="Z620" s="108"/>
      <c r="AA620" s="108"/>
      <c r="AB620" s="108"/>
      <c r="AC620" s="267"/>
      <c r="AD620" s="267"/>
      <c r="AE620" s="268"/>
      <c r="AF620" s="108"/>
      <c r="AG620" s="267"/>
    </row>
    <row r="621" spans="1:33" s="192" customFormat="1" ht="14.45" customHeight="1">
      <c r="A621" s="269" t="s">
        <v>502</v>
      </c>
      <c r="B621" s="265" t="s">
        <v>633</v>
      </c>
      <c r="C621" s="265"/>
      <c r="D621" s="266">
        <v>237561</v>
      </c>
      <c r="E621" s="266">
        <v>14</v>
      </c>
      <c r="F621" s="194">
        <f t="shared" si="24"/>
        <v>0</v>
      </c>
      <c r="G621" s="195">
        <f t="shared" si="26"/>
        <v>0</v>
      </c>
      <c r="H621" s="108"/>
      <c r="I621" s="267"/>
      <c r="J621" s="108"/>
      <c r="K621" s="268"/>
      <c r="L621" s="108"/>
      <c r="M621" s="108"/>
      <c r="N621" s="108"/>
      <c r="O621" s="267"/>
      <c r="P621" s="267"/>
      <c r="Q621" s="268"/>
      <c r="R621" s="108"/>
      <c r="S621" s="268"/>
      <c r="T621" s="196">
        <f t="shared" si="25"/>
        <v>0</v>
      </c>
      <c r="U621" s="197">
        <f t="shared" si="27"/>
        <v>0</v>
      </c>
      <c r="V621" s="108"/>
      <c r="W621" s="267"/>
      <c r="X621" s="109"/>
      <c r="Y621" s="268"/>
      <c r="Z621" s="108"/>
      <c r="AA621" s="108"/>
      <c r="AB621" s="108"/>
      <c r="AC621" s="267"/>
      <c r="AD621" s="267"/>
      <c r="AE621" s="268"/>
      <c r="AF621" s="108"/>
      <c r="AG621" s="267"/>
    </row>
    <row r="622" spans="1:33" s="192" customFormat="1" ht="14.45" customHeight="1">
      <c r="A622" s="269" t="s">
        <v>502</v>
      </c>
      <c r="B622" s="264" t="s">
        <v>634</v>
      </c>
      <c r="C622" s="265"/>
      <c r="D622" s="266">
        <v>419420</v>
      </c>
      <c r="E622" s="266">
        <v>14</v>
      </c>
      <c r="F622" s="194">
        <f t="shared" si="24"/>
        <v>0</v>
      </c>
      <c r="G622" s="195">
        <f t="shared" si="26"/>
        <v>0</v>
      </c>
      <c r="H622" s="108"/>
      <c r="I622" s="267"/>
      <c r="J622" s="108"/>
      <c r="K622" s="268"/>
      <c r="L622" s="108"/>
      <c r="M622" s="108"/>
      <c r="N622" s="108"/>
      <c r="O622" s="267"/>
      <c r="P622" s="267"/>
      <c r="Q622" s="268"/>
      <c r="R622" s="108"/>
      <c r="S622" s="268"/>
      <c r="T622" s="196">
        <f t="shared" si="25"/>
        <v>0</v>
      </c>
      <c r="U622" s="197">
        <f t="shared" si="27"/>
        <v>0</v>
      </c>
      <c r="V622" s="108"/>
      <c r="W622" s="267"/>
      <c r="X622" s="109"/>
      <c r="Y622" s="268"/>
      <c r="Z622" s="108"/>
      <c r="AA622" s="108"/>
      <c r="AB622" s="108"/>
      <c r="AC622" s="267"/>
      <c r="AD622" s="267"/>
      <c r="AE622" s="268"/>
      <c r="AF622" s="108"/>
      <c r="AG622" s="267"/>
    </row>
    <row r="623" spans="1:33" s="192" customFormat="1" ht="14.45" customHeight="1">
      <c r="A623" s="269" t="s">
        <v>502</v>
      </c>
      <c r="B623" s="264" t="s">
        <v>635</v>
      </c>
      <c r="C623" s="265"/>
      <c r="D623" s="266">
        <v>237491</v>
      </c>
      <c r="E623" s="266">
        <v>14</v>
      </c>
      <c r="F623" s="194">
        <f t="shared" si="24"/>
        <v>0</v>
      </c>
      <c r="G623" s="195">
        <f t="shared" si="26"/>
        <v>0</v>
      </c>
      <c r="H623" s="108"/>
      <c r="I623" s="267"/>
      <c r="J623" s="108"/>
      <c r="K623" s="268"/>
      <c r="L623" s="108"/>
      <c r="M623" s="108"/>
      <c r="N623" s="108"/>
      <c r="O623" s="267"/>
      <c r="P623" s="267"/>
      <c r="Q623" s="268"/>
      <c r="R623" s="108"/>
      <c r="S623" s="268"/>
      <c r="T623" s="196">
        <f t="shared" si="25"/>
        <v>0</v>
      </c>
      <c r="U623" s="197">
        <f t="shared" si="27"/>
        <v>0</v>
      </c>
      <c r="V623" s="108"/>
      <c r="W623" s="267"/>
      <c r="X623" s="109"/>
      <c r="Y623" s="268"/>
      <c r="Z623" s="108"/>
      <c r="AA623" s="108"/>
      <c r="AB623" s="108"/>
      <c r="AC623" s="267"/>
      <c r="AD623" s="267"/>
      <c r="AE623" s="268"/>
      <c r="AF623" s="108"/>
      <c r="AG623" s="267"/>
    </row>
    <row r="624" spans="1:33" s="192" customFormat="1" ht="14.45" customHeight="1">
      <c r="A624" s="269" t="s">
        <v>502</v>
      </c>
      <c r="B624" s="265" t="s">
        <v>636</v>
      </c>
      <c r="C624" s="265"/>
      <c r="D624" s="266">
        <v>364575</v>
      </c>
      <c r="E624" s="266">
        <v>14</v>
      </c>
      <c r="F624" s="194">
        <f t="shared" si="24"/>
        <v>0</v>
      </c>
      <c r="G624" s="195">
        <f t="shared" si="26"/>
        <v>0</v>
      </c>
      <c r="H624" s="108"/>
      <c r="I624" s="267"/>
      <c r="J624" s="108"/>
      <c r="K624" s="268"/>
      <c r="L624" s="108"/>
      <c r="M624" s="108"/>
      <c r="N624" s="108"/>
      <c r="O624" s="267"/>
      <c r="P624" s="267"/>
      <c r="Q624" s="268"/>
      <c r="R624" s="108"/>
      <c r="S624" s="268"/>
      <c r="T624" s="196">
        <f t="shared" si="25"/>
        <v>0</v>
      </c>
      <c r="U624" s="197">
        <f t="shared" si="27"/>
        <v>0</v>
      </c>
      <c r="V624" s="108"/>
      <c r="W624" s="267"/>
      <c r="X624" s="109"/>
      <c r="Y624" s="268"/>
      <c r="Z624" s="108"/>
      <c r="AA624" s="108"/>
      <c r="AB624" s="108"/>
      <c r="AC624" s="267"/>
      <c r="AD624" s="267"/>
      <c r="AE624" s="268"/>
      <c r="AF624" s="108"/>
      <c r="AG624" s="267"/>
    </row>
    <row r="625" spans="1:33" s="192" customFormat="1" ht="14.45" customHeight="1">
      <c r="A625" s="269" t="s">
        <v>502</v>
      </c>
      <c r="B625" s="265" t="s">
        <v>637</v>
      </c>
      <c r="C625" s="265"/>
      <c r="D625" s="266">
        <v>441894</v>
      </c>
      <c r="E625" s="266">
        <v>14</v>
      </c>
      <c r="F625" s="194">
        <f t="shared" si="24"/>
        <v>0</v>
      </c>
      <c r="G625" s="195">
        <f t="shared" si="26"/>
        <v>0</v>
      </c>
      <c r="H625" s="108"/>
      <c r="I625" s="267"/>
      <c r="J625" s="108"/>
      <c r="K625" s="268"/>
      <c r="L625" s="108"/>
      <c r="M625" s="108"/>
      <c r="N625" s="108"/>
      <c r="O625" s="267"/>
      <c r="P625" s="267"/>
      <c r="Q625" s="268"/>
      <c r="R625" s="108"/>
      <c r="S625" s="268"/>
      <c r="T625" s="196">
        <f t="shared" si="25"/>
        <v>0</v>
      </c>
      <c r="U625" s="197">
        <f t="shared" si="27"/>
        <v>0</v>
      </c>
      <c r="V625" s="108"/>
      <c r="W625" s="267"/>
      <c r="X625" s="109"/>
      <c r="Y625" s="268"/>
      <c r="Z625" s="108"/>
      <c r="AA625" s="108"/>
      <c r="AB625" s="108"/>
      <c r="AC625" s="267"/>
      <c r="AD625" s="267"/>
      <c r="AE625" s="268"/>
      <c r="AF625" s="108"/>
      <c r="AG625" s="267"/>
    </row>
    <row r="626" spans="1:33" s="192" customFormat="1" ht="14.45" customHeight="1">
      <c r="A626" s="269" t="s">
        <v>502</v>
      </c>
      <c r="B626" s="265" t="s">
        <v>638</v>
      </c>
      <c r="C626" s="265"/>
      <c r="D626" s="266">
        <v>419031</v>
      </c>
      <c r="E626" s="266">
        <v>14</v>
      </c>
      <c r="F626" s="194">
        <f t="shared" si="24"/>
        <v>0</v>
      </c>
      <c r="G626" s="195">
        <f t="shared" si="26"/>
        <v>0</v>
      </c>
      <c r="H626" s="108"/>
      <c r="I626" s="267"/>
      <c r="J626" s="108"/>
      <c r="K626" s="268"/>
      <c r="L626" s="108"/>
      <c r="M626" s="108"/>
      <c r="N626" s="108"/>
      <c r="O626" s="267"/>
      <c r="P626" s="267"/>
      <c r="Q626" s="268"/>
      <c r="R626" s="108"/>
      <c r="S626" s="268"/>
      <c r="T626" s="196">
        <f t="shared" si="25"/>
        <v>0</v>
      </c>
      <c r="U626" s="197">
        <f t="shared" si="27"/>
        <v>0</v>
      </c>
      <c r="V626" s="108"/>
      <c r="W626" s="267"/>
      <c r="X626" s="109"/>
      <c r="Y626" s="268"/>
      <c r="Z626" s="108"/>
      <c r="AA626" s="108"/>
      <c r="AB626" s="108"/>
      <c r="AC626" s="267"/>
      <c r="AD626" s="267"/>
      <c r="AE626" s="268"/>
      <c r="AF626" s="108"/>
      <c r="AG626" s="267"/>
    </row>
    <row r="627" spans="1:33" s="192" customFormat="1" ht="14.45" customHeight="1">
      <c r="A627" s="269" t="s">
        <v>502</v>
      </c>
      <c r="B627" s="265" t="s">
        <v>639</v>
      </c>
      <c r="C627" s="265"/>
      <c r="D627" s="266" t="s">
        <v>640</v>
      </c>
      <c r="E627" s="266">
        <v>14</v>
      </c>
      <c r="F627" s="194">
        <f t="shared" si="24"/>
        <v>0</v>
      </c>
      <c r="G627" s="195">
        <f t="shared" si="26"/>
        <v>0</v>
      </c>
      <c r="H627" s="108"/>
      <c r="I627" s="267"/>
      <c r="J627" s="108"/>
      <c r="K627" s="268"/>
      <c r="L627" s="108"/>
      <c r="M627" s="108"/>
      <c r="N627" s="108"/>
      <c r="O627" s="267"/>
      <c r="P627" s="267"/>
      <c r="Q627" s="268"/>
      <c r="R627" s="108"/>
      <c r="S627" s="268"/>
      <c r="T627" s="196">
        <f t="shared" si="25"/>
        <v>0</v>
      </c>
      <c r="U627" s="197">
        <f t="shared" si="27"/>
        <v>0</v>
      </c>
      <c r="V627" s="108"/>
      <c r="W627" s="267"/>
      <c r="X627" s="109"/>
      <c r="Y627" s="268"/>
      <c r="Z627" s="108"/>
      <c r="AA627" s="108"/>
      <c r="AB627" s="108"/>
      <c r="AC627" s="267"/>
      <c r="AD627" s="267"/>
      <c r="AE627" s="268"/>
      <c r="AF627" s="108"/>
      <c r="AG627" s="267"/>
    </row>
    <row r="628" spans="1:33" s="192" customFormat="1" ht="14.45" customHeight="1">
      <c r="A628" s="269" t="s">
        <v>502</v>
      </c>
      <c r="B628" s="265" t="s">
        <v>641</v>
      </c>
      <c r="C628" s="265"/>
      <c r="D628" s="266" t="s">
        <v>640</v>
      </c>
      <c r="E628" s="266">
        <v>15</v>
      </c>
      <c r="F628" s="194">
        <f t="shared" si="24"/>
        <v>0</v>
      </c>
      <c r="G628" s="195">
        <f t="shared" si="26"/>
        <v>0</v>
      </c>
      <c r="H628" s="108"/>
      <c r="I628" s="267"/>
      <c r="J628" s="108"/>
      <c r="K628" s="268"/>
      <c r="L628" s="108"/>
      <c r="M628" s="108"/>
      <c r="N628" s="108"/>
      <c r="O628" s="267"/>
      <c r="P628" s="267"/>
      <c r="Q628" s="268"/>
      <c r="R628" s="108"/>
      <c r="S628" s="268"/>
      <c r="T628" s="196">
        <f t="shared" si="25"/>
        <v>0</v>
      </c>
      <c r="U628" s="197">
        <f t="shared" si="27"/>
        <v>0</v>
      </c>
      <c r="V628" s="108"/>
      <c r="W628" s="267"/>
      <c r="X628" s="109"/>
      <c r="Y628" s="268"/>
      <c r="Z628" s="108"/>
      <c r="AA628" s="108"/>
      <c r="AB628" s="108"/>
      <c r="AC628" s="267"/>
      <c r="AD628" s="267"/>
      <c r="AE628" s="268"/>
      <c r="AF628" s="108"/>
      <c r="AG628" s="267"/>
    </row>
    <row r="629" spans="1:33" s="192" customFormat="1" ht="14.45" customHeight="1">
      <c r="A629" s="269" t="s">
        <v>502</v>
      </c>
      <c r="B629" s="265" t="s">
        <v>642</v>
      </c>
      <c r="C629" s="265"/>
      <c r="D629" s="266" t="s">
        <v>640</v>
      </c>
      <c r="E629" s="266">
        <v>15</v>
      </c>
      <c r="F629" s="194">
        <f t="shared" si="24"/>
        <v>0</v>
      </c>
      <c r="G629" s="195">
        <f t="shared" si="26"/>
        <v>0</v>
      </c>
      <c r="H629" s="108"/>
      <c r="I629" s="267"/>
      <c r="J629" s="108"/>
      <c r="K629" s="268"/>
      <c r="L629" s="108"/>
      <c r="M629" s="108"/>
      <c r="N629" s="108"/>
      <c r="O629" s="267"/>
      <c r="P629" s="267"/>
      <c r="Q629" s="268"/>
      <c r="R629" s="108"/>
      <c r="S629" s="268"/>
      <c r="T629" s="196">
        <f t="shared" si="25"/>
        <v>0</v>
      </c>
      <c r="U629" s="197">
        <f t="shared" si="27"/>
        <v>0</v>
      </c>
      <c r="V629" s="108"/>
      <c r="W629" s="267"/>
      <c r="X629" s="109"/>
      <c r="Y629" s="268"/>
      <c r="Z629" s="108"/>
      <c r="AA629" s="108"/>
      <c r="AB629" s="108"/>
      <c r="AC629" s="267"/>
      <c r="AD629" s="267"/>
      <c r="AE629" s="268"/>
      <c r="AF629" s="108"/>
      <c r="AG629" s="267"/>
    </row>
    <row r="630" spans="1:33" s="192" customFormat="1" ht="14.45" customHeight="1">
      <c r="A630" s="263" t="s">
        <v>502</v>
      </c>
      <c r="B630" s="265" t="s">
        <v>643</v>
      </c>
      <c r="C630" s="265"/>
      <c r="D630" s="266" t="s">
        <v>640</v>
      </c>
      <c r="E630" s="266">
        <v>15</v>
      </c>
      <c r="F630" s="194">
        <f t="shared" si="24"/>
        <v>0</v>
      </c>
      <c r="G630" s="195">
        <f t="shared" si="26"/>
        <v>0</v>
      </c>
      <c r="H630" s="108"/>
      <c r="I630" s="267"/>
      <c r="J630" s="108"/>
      <c r="K630" s="268"/>
      <c r="L630" s="108"/>
      <c r="M630" s="108"/>
      <c r="N630" s="108"/>
      <c r="O630" s="267"/>
      <c r="P630" s="267"/>
      <c r="Q630" s="268"/>
      <c r="R630" s="108"/>
      <c r="S630" s="268"/>
      <c r="T630" s="196">
        <f t="shared" si="25"/>
        <v>0</v>
      </c>
      <c r="U630" s="197">
        <f t="shared" si="27"/>
        <v>0</v>
      </c>
      <c r="V630" s="108"/>
      <c r="W630" s="267"/>
      <c r="X630" s="109"/>
      <c r="Y630" s="268"/>
      <c r="Z630" s="108"/>
      <c r="AA630" s="108"/>
      <c r="AB630" s="108"/>
      <c r="AC630" s="267"/>
      <c r="AD630" s="267"/>
      <c r="AE630" s="268"/>
      <c r="AF630" s="108"/>
      <c r="AG630" s="267"/>
    </row>
    <row r="631" spans="1:33" s="222" customFormat="1">
      <c r="A631" s="269" t="s">
        <v>502</v>
      </c>
      <c r="B631" s="265" t="s">
        <v>644</v>
      </c>
      <c r="C631" s="265"/>
      <c r="D631" s="266" t="s">
        <v>640</v>
      </c>
      <c r="E631" s="266">
        <v>15</v>
      </c>
      <c r="F631" s="194">
        <f t="shared" si="24"/>
        <v>0</v>
      </c>
      <c r="G631" s="195">
        <f t="shared" si="26"/>
        <v>0</v>
      </c>
      <c r="H631" s="108"/>
      <c r="I631" s="267"/>
      <c r="J631" s="108"/>
      <c r="K631" s="268"/>
      <c r="L631" s="108"/>
      <c r="M631" s="108"/>
      <c r="N631" s="108"/>
      <c r="O631" s="267"/>
      <c r="P631" s="267"/>
      <c r="Q631" s="268"/>
      <c r="R631" s="108"/>
      <c r="S631" s="268"/>
      <c r="T631" s="196">
        <f t="shared" si="25"/>
        <v>0</v>
      </c>
      <c r="U631" s="197">
        <f t="shared" si="27"/>
        <v>0</v>
      </c>
      <c r="V631" s="108"/>
      <c r="W631" s="267"/>
      <c r="X631" s="109"/>
      <c r="Y631" s="268"/>
      <c r="Z631" s="108"/>
      <c r="AA631" s="108"/>
      <c r="AB631" s="108"/>
      <c r="AC631" s="267"/>
      <c r="AD631" s="267"/>
      <c r="AE631" s="268"/>
      <c r="AF631" s="108"/>
      <c r="AG631" s="267"/>
    </row>
    <row r="632" spans="1:33" s="222" customFormat="1">
      <c r="A632" s="263" t="s">
        <v>502</v>
      </c>
      <c r="B632" s="265" t="s">
        <v>645</v>
      </c>
      <c r="C632" s="265"/>
      <c r="D632" s="266">
        <v>238096</v>
      </c>
      <c r="E632" s="266">
        <v>15</v>
      </c>
      <c r="F632" s="194">
        <f t="shared" si="24"/>
        <v>0</v>
      </c>
      <c r="G632" s="195">
        <f t="shared" si="26"/>
        <v>0</v>
      </c>
      <c r="H632" s="108"/>
      <c r="I632" s="267"/>
      <c r="J632" s="108"/>
      <c r="K632" s="268"/>
      <c r="L632" s="108"/>
      <c r="M632" s="108"/>
      <c r="N632" s="108"/>
      <c r="O632" s="267"/>
      <c r="P632" s="267"/>
      <c r="Q632" s="268"/>
      <c r="R632" s="108"/>
      <c r="S632" s="268"/>
      <c r="T632" s="196">
        <f t="shared" si="25"/>
        <v>0</v>
      </c>
      <c r="U632" s="197">
        <f t="shared" si="27"/>
        <v>0</v>
      </c>
      <c r="V632" s="108"/>
      <c r="W632" s="267"/>
      <c r="X632" s="109"/>
      <c r="Y632" s="268"/>
      <c r="Z632" s="108"/>
      <c r="AA632" s="108"/>
      <c r="AB632" s="108"/>
      <c r="AC632" s="267"/>
      <c r="AD632" s="267"/>
      <c r="AE632" s="268"/>
      <c r="AF632" s="108"/>
      <c r="AG632" s="267"/>
    </row>
    <row r="633" spans="1:33" s="192" customFormat="1" ht="13.5" customHeight="1">
      <c r="A633" s="182" t="s">
        <v>502</v>
      </c>
      <c r="B633" s="176" t="s">
        <v>503</v>
      </c>
      <c r="C633" s="179"/>
      <c r="D633" s="175">
        <v>238032</v>
      </c>
      <c r="E633" s="175">
        <v>1</v>
      </c>
      <c r="F633" s="194">
        <f t="shared" si="24"/>
        <v>657473</v>
      </c>
      <c r="G633" s="195">
        <f t="shared" si="26"/>
        <v>650502</v>
      </c>
      <c r="H633" s="202">
        <v>591651</v>
      </c>
      <c r="I633" s="56">
        <v>580662</v>
      </c>
      <c r="J633" s="202">
        <v>1018</v>
      </c>
      <c r="K633" s="115">
        <v>1093</v>
      </c>
      <c r="L633" s="203">
        <v>62074</v>
      </c>
      <c r="M633" s="110">
        <v>4</v>
      </c>
      <c r="N633" s="110">
        <v>2726</v>
      </c>
      <c r="O633" s="47">
        <v>64955</v>
      </c>
      <c r="P633" s="111">
        <v>0</v>
      </c>
      <c r="Q633" s="117">
        <v>3792</v>
      </c>
      <c r="R633" s="202"/>
      <c r="S633" s="46">
        <v>0</v>
      </c>
      <c r="T633" s="196">
        <f t="shared" si="25"/>
        <v>98656</v>
      </c>
      <c r="U633" s="197">
        <f t="shared" si="27"/>
        <v>94979</v>
      </c>
      <c r="V633" s="202">
        <v>66150</v>
      </c>
      <c r="W633" s="56">
        <v>63100</v>
      </c>
      <c r="X633" s="202">
        <v>3687</v>
      </c>
      <c r="Y633" s="115">
        <v>2859</v>
      </c>
      <c r="Z633" s="203">
        <v>28188</v>
      </c>
      <c r="AA633" s="110">
        <v>218</v>
      </c>
      <c r="AB633" s="110">
        <v>413</v>
      </c>
      <c r="AC633" s="47">
        <v>28405</v>
      </c>
      <c r="AD633" s="111">
        <v>3</v>
      </c>
      <c r="AE633" s="117">
        <v>612</v>
      </c>
      <c r="AF633" s="202"/>
      <c r="AG633" s="49">
        <v>0</v>
      </c>
    </row>
    <row r="634" spans="1:33" s="222" customFormat="1">
      <c r="A634" s="182" t="s">
        <v>502</v>
      </c>
      <c r="B634" s="176" t="s">
        <v>504</v>
      </c>
      <c r="C634" s="179"/>
      <c r="D634" s="175">
        <v>237525</v>
      </c>
      <c r="E634" s="175">
        <v>3</v>
      </c>
      <c r="F634" s="194">
        <f t="shared" si="24"/>
        <v>265653</v>
      </c>
      <c r="G634" s="195">
        <f t="shared" si="26"/>
        <v>264382</v>
      </c>
      <c r="H634" s="202">
        <v>209848</v>
      </c>
      <c r="I634" s="56">
        <v>203793</v>
      </c>
      <c r="J634" s="202">
        <v>20373</v>
      </c>
      <c r="K634" s="115">
        <v>22061</v>
      </c>
      <c r="L634" s="203">
        <v>33679</v>
      </c>
      <c r="M634" s="110">
        <v>1753</v>
      </c>
      <c r="N634" s="110"/>
      <c r="O634" s="47">
        <v>34898</v>
      </c>
      <c r="P634" s="111">
        <f>3320+310</f>
        <v>3630</v>
      </c>
      <c r="Q634" s="55">
        <v>0</v>
      </c>
      <c r="R634" s="202"/>
      <c r="S634" s="46">
        <v>0</v>
      </c>
      <c r="T634" s="196">
        <f t="shared" si="25"/>
        <v>65963</v>
      </c>
      <c r="U634" s="197">
        <f t="shared" si="27"/>
        <v>70208</v>
      </c>
      <c r="V634" s="202">
        <v>30967</v>
      </c>
      <c r="W634" s="115">
        <v>36662</v>
      </c>
      <c r="X634" s="202">
        <v>18894</v>
      </c>
      <c r="Y634" s="115">
        <v>17661</v>
      </c>
      <c r="Z634" s="203">
        <v>15677</v>
      </c>
      <c r="AA634" s="110">
        <v>425</v>
      </c>
      <c r="AB634" s="110"/>
      <c r="AC634" s="47">
        <v>15040</v>
      </c>
      <c r="AD634" s="111">
        <f>338+507</f>
        <v>845</v>
      </c>
      <c r="AE634" s="55">
        <v>0</v>
      </c>
      <c r="AF634" s="202"/>
      <c r="AG634" s="49">
        <v>0</v>
      </c>
    </row>
    <row r="635" spans="1:33" s="222" customFormat="1">
      <c r="A635" s="182" t="s">
        <v>502</v>
      </c>
      <c r="B635" s="176" t="s">
        <v>505</v>
      </c>
      <c r="C635" s="179"/>
      <c r="D635" s="175">
        <v>237367</v>
      </c>
      <c r="E635" s="175">
        <v>5</v>
      </c>
      <c r="F635" s="194">
        <f t="shared" si="24"/>
        <v>101747</v>
      </c>
      <c r="G635" s="195">
        <f t="shared" si="26"/>
        <v>104251</v>
      </c>
      <c r="H635" s="202">
        <v>77131</v>
      </c>
      <c r="I635" s="56">
        <v>78761</v>
      </c>
      <c r="J635" s="202">
        <v>7741</v>
      </c>
      <c r="K635" s="115">
        <v>6198</v>
      </c>
      <c r="L635" s="203">
        <v>16875</v>
      </c>
      <c r="M635" s="110"/>
      <c r="N635" s="110"/>
      <c r="O635" s="111">
        <v>19292</v>
      </c>
      <c r="P635" s="47">
        <v>0</v>
      </c>
      <c r="Q635" s="55">
        <v>0</v>
      </c>
      <c r="R635" s="202"/>
      <c r="S635" s="46">
        <v>0</v>
      </c>
      <c r="T635" s="196">
        <f t="shared" si="25"/>
        <v>3843</v>
      </c>
      <c r="U635" s="197">
        <f t="shared" si="27"/>
        <v>4331</v>
      </c>
      <c r="V635" s="202">
        <v>746</v>
      </c>
      <c r="W635" s="115">
        <v>1105</v>
      </c>
      <c r="X635" s="202"/>
      <c r="Y635" s="115">
        <v>245</v>
      </c>
      <c r="Z635" s="203">
        <v>3097</v>
      </c>
      <c r="AA635" s="110"/>
      <c r="AB635" s="110"/>
      <c r="AC635" s="47">
        <v>2981</v>
      </c>
      <c r="AD635" s="47">
        <v>0</v>
      </c>
      <c r="AE635" s="55">
        <v>0</v>
      </c>
      <c r="AF635" s="202"/>
      <c r="AG635" s="49">
        <v>0</v>
      </c>
    </row>
    <row r="636" spans="1:33" s="222" customFormat="1">
      <c r="A636" s="182" t="s">
        <v>502</v>
      </c>
      <c r="B636" s="176" t="s">
        <v>506</v>
      </c>
      <c r="C636" s="179"/>
      <c r="D636" s="175">
        <v>237792</v>
      </c>
      <c r="E636" s="240">
        <v>5</v>
      </c>
      <c r="F636" s="194">
        <f t="shared" si="24"/>
        <v>96671</v>
      </c>
      <c r="G636" s="195">
        <f t="shared" si="26"/>
        <v>91003</v>
      </c>
      <c r="H636" s="202">
        <v>92096</v>
      </c>
      <c r="I636" s="115">
        <v>84445</v>
      </c>
      <c r="J636" s="202">
        <v>0</v>
      </c>
      <c r="K636" s="56">
        <v>0</v>
      </c>
      <c r="L636" s="203">
        <v>4575</v>
      </c>
      <c r="M636" s="110"/>
      <c r="N636" s="110"/>
      <c r="O636" s="111">
        <v>6558</v>
      </c>
      <c r="P636" s="47">
        <v>0</v>
      </c>
      <c r="Q636" s="55">
        <v>0</v>
      </c>
      <c r="R636" s="202"/>
      <c r="S636" s="46">
        <v>0</v>
      </c>
      <c r="T636" s="196">
        <f t="shared" si="25"/>
        <v>4212</v>
      </c>
      <c r="U636" s="197">
        <f t="shared" si="27"/>
        <v>5339</v>
      </c>
      <c r="V636" s="202">
        <v>3357</v>
      </c>
      <c r="W636" s="115">
        <v>4503</v>
      </c>
      <c r="X636" s="202"/>
      <c r="Y636" s="56">
        <v>0</v>
      </c>
      <c r="Z636" s="203">
        <v>855</v>
      </c>
      <c r="AA636" s="110"/>
      <c r="AB636" s="110"/>
      <c r="AC636" s="47">
        <v>836</v>
      </c>
      <c r="AD636" s="47">
        <v>0</v>
      </c>
      <c r="AE636" s="55">
        <v>0</v>
      </c>
      <c r="AF636" s="202"/>
      <c r="AG636" s="49">
        <v>0</v>
      </c>
    </row>
    <row r="637" spans="1:33" s="222" customFormat="1">
      <c r="A637" s="182" t="s">
        <v>502</v>
      </c>
      <c r="B637" s="176" t="s">
        <v>507</v>
      </c>
      <c r="C637" s="179"/>
      <c r="D637" s="175">
        <v>237215</v>
      </c>
      <c r="E637" s="175">
        <v>6</v>
      </c>
      <c r="F637" s="194">
        <f t="shared" si="24"/>
        <v>39479</v>
      </c>
      <c r="G637" s="195">
        <f t="shared" si="26"/>
        <v>37239</v>
      </c>
      <c r="H637" s="202">
        <v>19445</v>
      </c>
      <c r="I637" s="115">
        <v>17710</v>
      </c>
      <c r="J637" s="202">
        <v>3422</v>
      </c>
      <c r="K637" s="115">
        <v>3125</v>
      </c>
      <c r="L637" s="203">
        <v>12793</v>
      </c>
      <c r="M637" s="110">
        <v>3819</v>
      </c>
      <c r="N637" s="110"/>
      <c r="O637" s="111">
        <v>13469</v>
      </c>
      <c r="P637" s="111">
        <f>2177+758</f>
        <v>2935</v>
      </c>
      <c r="Q637" s="55">
        <v>0</v>
      </c>
      <c r="R637" s="202"/>
      <c r="S637" s="46">
        <v>0</v>
      </c>
      <c r="T637" s="196">
        <f t="shared" si="25"/>
        <v>0</v>
      </c>
      <c r="U637" s="197">
        <f t="shared" si="27"/>
        <v>0</v>
      </c>
      <c r="V637" s="202"/>
      <c r="W637" s="56"/>
      <c r="X637" s="202"/>
      <c r="Y637" s="56"/>
      <c r="Z637" s="203"/>
      <c r="AA637" s="110"/>
      <c r="AB637" s="110"/>
      <c r="AC637" s="47"/>
      <c r="AD637" s="47"/>
      <c r="AE637" s="55"/>
      <c r="AF637" s="202"/>
      <c r="AG637" s="49"/>
    </row>
    <row r="638" spans="1:33" s="222" customFormat="1" ht="15">
      <c r="A638" s="182" t="s">
        <v>502</v>
      </c>
      <c r="B638" s="176" t="s">
        <v>508</v>
      </c>
      <c r="C638" s="360" t="s">
        <v>872</v>
      </c>
      <c r="D638" s="175">
        <v>237330</v>
      </c>
      <c r="E638" s="241">
        <v>5</v>
      </c>
      <c r="F638" s="194">
        <f t="shared" si="24"/>
        <v>62917</v>
      </c>
      <c r="G638" s="195">
        <f t="shared" si="26"/>
        <v>61027</v>
      </c>
      <c r="H638" s="202">
        <v>45384</v>
      </c>
      <c r="I638" s="115">
        <v>42219</v>
      </c>
      <c r="J638" s="202">
        <v>7938</v>
      </c>
      <c r="K638" s="115">
        <v>7166</v>
      </c>
      <c r="L638" s="203">
        <v>9462</v>
      </c>
      <c r="M638" s="110">
        <v>69</v>
      </c>
      <c r="N638" s="110">
        <v>64</v>
      </c>
      <c r="O638" s="111">
        <v>11555</v>
      </c>
      <c r="P638" s="111">
        <f>51+36</f>
        <v>87</v>
      </c>
      <c r="Q638" s="117">
        <v>0</v>
      </c>
      <c r="R638" s="202"/>
      <c r="S638" s="46">
        <v>0</v>
      </c>
      <c r="T638" s="196">
        <f t="shared" si="25"/>
        <v>6111</v>
      </c>
      <c r="U638" s="197">
        <f t="shared" si="27"/>
        <v>6084</v>
      </c>
      <c r="V638" s="202">
        <v>144</v>
      </c>
      <c r="W638" s="115">
        <v>369</v>
      </c>
      <c r="X638" s="202"/>
      <c r="Y638" s="56">
        <v>0</v>
      </c>
      <c r="Z638" s="203">
        <v>5967</v>
      </c>
      <c r="AA638" s="110"/>
      <c r="AB638" s="110"/>
      <c r="AC638" s="47">
        <v>5715</v>
      </c>
      <c r="AD638" s="47">
        <v>0</v>
      </c>
      <c r="AE638" s="55">
        <v>0</v>
      </c>
      <c r="AF638" s="202"/>
      <c r="AG638" s="49">
        <v>0</v>
      </c>
    </row>
    <row r="639" spans="1:33" s="222" customFormat="1" ht="15">
      <c r="A639" s="182" t="s">
        <v>502</v>
      </c>
      <c r="B639" s="176" t="s">
        <v>509</v>
      </c>
      <c r="C639" s="356"/>
      <c r="D639" s="175">
        <v>237385</v>
      </c>
      <c r="E639" s="175">
        <v>6</v>
      </c>
      <c r="F639" s="194">
        <f t="shared" si="24"/>
        <v>37395</v>
      </c>
      <c r="G639" s="195">
        <f t="shared" si="26"/>
        <v>36516</v>
      </c>
      <c r="H639" s="202">
        <v>29210</v>
      </c>
      <c r="I639" s="56">
        <v>29398</v>
      </c>
      <c r="J639" s="202">
        <v>3082</v>
      </c>
      <c r="K639" s="115">
        <v>2694</v>
      </c>
      <c r="L639" s="203">
        <v>5103</v>
      </c>
      <c r="M639" s="110"/>
      <c r="N639" s="110"/>
      <c r="O639" s="111">
        <v>4424</v>
      </c>
      <c r="P639" s="47">
        <v>0</v>
      </c>
      <c r="Q639" s="55">
        <v>0</v>
      </c>
      <c r="R639" s="202"/>
      <c r="S639" s="46">
        <v>0</v>
      </c>
      <c r="T639" s="196">
        <f t="shared" si="25"/>
        <v>0</v>
      </c>
      <c r="U639" s="197">
        <f t="shared" si="27"/>
        <v>0</v>
      </c>
      <c r="V639" s="202"/>
      <c r="W639" s="56"/>
      <c r="X639" s="202"/>
      <c r="Y639" s="56"/>
      <c r="Z639" s="203"/>
      <c r="AA639" s="110"/>
      <c r="AB639" s="110"/>
      <c r="AC639" s="47"/>
      <c r="AD639" s="47"/>
      <c r="AE639" s="55"/>
      <c r="AF639" s="202"/>
      <c r="AG639" s="49"/>
    </row>
    <row r="640" spans="1:33" s="222" customFormat="1" ht="15">
      <c r="A640" s="182" t="s">
        <v>502</v>
      </c>
      <c r="B640" s="176" t="s">
        <v>510</v>
      </c>
      <c r="C640" s="360" t="s">
        <v>872</v>
      </c>
      <c r="D640" s="175">
        <v>237932</v>
      </c>
      <c r="E640" s="241">
        <v>5</v>
      </c>
      <c r="F640" s="194">
        <f t="shared" si="24"/>
        <v>66054</v>
      </c>
      <c r="G640" s="195">
        <f t="shared" si="26"/>
        <v>61051</v>
      </c>
      <c r="H640" s="202">
        <v>56055</v>
      </c>
      <c r="I640" s="115">
        <v>52133</v>
      </c>
      <c r="J640" s="202">
        <v>3432</v>
      </c>
      <c r="K640" s="115">
        <v>2504</v>
      </c>
      <c r="L640" s="203">
        <v>6567</v>
      </c>
      <c r="M640" s="110"/>
      <c r="N640" s="110"/>
      <c r="O640" s="47">
        <v>6414</v>
      </c>
      <c r="P640" s="47">
        <v>0</v>
      </c>
      <c r="Q640" s="55">
        <v>0</v>
      </c>
      <c r="R640" s="202"/>
      <c r="S640" s="46">
        <v>0</v>
      </c>
      <c r="T640" s="196">
        <f t="shared" si="25"/>
        <v>4392</v>
      </c>
      <c r="U640" s="197">
        <f t="shared" si="27"/>
        <v>4194</v>
      </c>
      <c r="V640" s="202">
        <v>2067</v>
      </c>
      <c r="W640" s="56">
        <v>2016</v>
      </c>
      <c r="X640" s="202">
        <v>1479</v>
      </c>
      <c r="Y640" s="115">
        <v>1188</v>
      </c>
      <c r="Z640" s="203">
        <v>846</v>
      </c>
      <c r="AA640" s="110"/>
      <c r="AB640" s="110"/>
      <c r="AC640" s="111">
        <v>990</v>
      </c>
      <c r="AD640" s="47">
        <v>0</v>
      </c>
      <c r="AE640" s="55">
        <v>0</v>
      </c>
      <c r="AF640" s="202"/>
      <c r="AG640" s="49">
        <v>0</v>
      </c>
    </row>
    <row r="641" spans="1:33" s="222" customFormat="1">
      <c r="A641" s="182" t="s">
        <v>502</v>
      </c>
      <c r="B641" s="176" t="s">
        <v>511</v>
      </c>
      <c r="C641" s="179"/>
      <c r="D641" s="175">
        <v>237899</v>
      </c>
      <c r="E641" s="175">
        <v>6</v>
      </c>
      <c r="F641" s="194">
        <f t="shared" si="24"/>
        <v>67364</v>
      </c>
      <c r="G641" s="195">
        <f t="shared" si="26"/>
        <v>65642</v>
      </c>
      <c r="H641" s="202">
        <v>46501</v>
      </c>
      <c r="I641" s="115">
        <v>42208</v>
      </c>
      <c r="J641" s="202">
        <v>4739</v>
      </c>
      <c r="K641" s="115">
        <v>7680</v>
      </c>
      <c r="L641" s="203">
        <v>16124</v>
      </c>
      <c r="M641" s="110"/>
      <c r="N641" s="110"/>
      <c r="O641" s="47">
        <v>15754</v>
      </c>
      <c r="P641" s="47">
        <v>0</v>
      </c>
      <c r="Q641" s="55">
        <v>0</v>
      </c>
      <c r="R641" s="202"/>
      <c r="S641" s="46">
        <v>0</v>
      </c>
      <c r="T641" s="196">
        <f t="shared" si="25"/>
        <v>855</v>
      </c>
      <c r="U641" s="197">
        <f t="shared" si="27"/>
        <v>1265</v>
      </c>
      <c r="V641" s="202">
        <v>684</v>
      </c>
      <c r="W641" s="115">
        <v>845</v>
      </c>
      <c r="X641" s="202"/>
      <c r="Y641" s="115">
        <v>108</v>
      </c>
      <c r="Z641" s="203">
        <v>171</v>
      </c>
      <c r="AA641" s="110"/>
      <c r="AB641" s="110"/>
      <c r="AC641" s="111">
        <v>312</v>
      </c>
      <c r="AD641" s="47">
        <v>0</v>
      </c>
      <c r="AE641" s="55">
        <v>0</v>
      </c>
      <c r="AF641" s="202"/>
      <c r="AG641" s="49">
        <v>0</v>
      </c>
    </row>
    <row r="642" spans="1:33" s="222" customFormat="1">
      <c r="A642" s="182" t="s">
        <v>502</v>
      </c>
      <c r="B642" s="176" t="s">
        <v>512</v>
      </c>
      <c r="C642" s="174"/>
      <c r="D642" s="175">
        <v>237686</v>
      </c>
      <c r="E642" s="241">
        <v>6</v>
      </c>
      <c r="F642" s="194">
        <f t="shared" si="24"/>
        <v>60616</v>
      </c>
      <c r="G642" s="195">
        <f t="shared" si="26"/>
        <v>57695</v>
      </c>
      <c r="H642" s="202">
        <v>37360</v>
      </c>
      <c r="I642" s="115">
        <v>33433</v>
      </c>
      <c r="J642" s="202">
        <v>7291</v>
      </c>
      <c r="K642" s="115">
        <v>6295</v>
      </c>
      <c r="L642" s="203">
        <v>9690</v>
      </c>
      <c r="M642" s="110"/>
      <c r="N642" s="110">
        <v>6275</v>
      </c>
      <c r="O642" s="111">
        <v>17718</v>
      </c>
      <c r="P642" s="47">
        <v>0</v>
      </c>
      <c r="Q642" s="117">
        <v>249</v>
      </c>
      <c r="R642" s="202"/>
      <c r="S642" s="46">
        <v>0</v>
      </c>
      <c r="T642" s="196">
        <f t="shared" si="25"/>
        <v>0</v>
      </c>
      <c r="U642" s="197">
        <f t="shared" si="27"/>
        <v>0</v>
      </c>
      <c r="V642" s="202"/>
      <c r="W642" s="56"/>
      <c r="X642" s="202"/>
      <c r="Y642" s="56"/>
      <c r="Z642" s="203"/>
      <c r="AA642" s="110"/>
      <c r="AB642" s="110"/>
      <c r="AC642" s="47"/>
      <c r="AD642" s="47"/>
      <c r="AE642" s="55"/>
      <c r="AF642" s="202"/>
      <c r="AG642" s="49"/>
    </row>
    <row r="643" spans="1:33" s="222" customFormat="1">
      <c r="A643" s="182" t="s">
        <v>502</v>
      </c>
      <c r="B643" s="176" t="s">
        <v>513</v>
      </c>
      <c r="C643" s="179"/>
      <c r="D643" s="175">
        <v>237950</v>
      </c>
      <c r="E643" s="175">
        <v>6</v>
      </c>
      <c r="F643" s="194">
        <f t="shared" si="24"/>
        <v>32817</v>
      </c>
      <c r="G643" s="195">
        <f t="shared" si="26"/>
        <v>32663</v>
      </c>
      <c r="H643" s="202">
        <v>27210</v>
      </c>
      <c r="I643" s="56">
        <v>27114</v>
      </c>
      <c r="J643" s="202">
        <v>834</v>
      </c>
      <c r="K643" s="115">
        <v>453</v>
      </c>
      <c r="L643" s="203">
        <v>4773</v>
      </c>
      <c r="M643" s="110"/>
      <c r="N643" s="110"/>
      <c r="O643" s="111">
        <v>5096</v>
      </c>
      <c r="P643" s="47">
        <v>0</v>
      </c>
      <c r="Q643" s="55">
        <v>0</v>
      </c>
      <c r="R643" s="202"/>
      <c r="S643" s="46">
        <v>0</v>
      </c>
      <c r="T643" s="196">
        <f t="shared" si="25"/>
        <v>0</v>
      </c>
      <c r="U643" s="197">
        <f t="shared" si="27"/>
        <v>0</v>
      </c>
      <c r="V643" s="202"/>
      <c r="W643" s="56"/>
      <c r="X643" s="202"/>
      <c r="Y643" s="56"/>
      <c r="Z643" s="203"/>
      <c r="AA643" s="110"/>
      <c r="AB643" s="110"/>
      <c r="AC643" s="47"/>
      <c r="AD643" s="47"/>
      <c r="AE643" s="55"/>
      <c r="AF643" s="202"/>
      <c r="AG643" s="49"/>
    </row>
    <row r="644" spans="1:33" s="222" customFormat="1">
      <c r="A644" s="182" t="s">
        <v>502</v>
      </c>
      <c r="B644" s="242" t="s">
        <v>514</v>
      </c>
      <c r="C644" s="243"/>
      <c r="D644" s="175">
        <v>237701</v>
      </c>
      <c r="E644" s="175">
        <v>7</v>
      </c>
      <c r="F644" s="194">
        <f t="shared" si="24"/>
        <v>37552</v>
      </c>
      <c r="G644" s="195">
        <f t="shared" si="26"/>
        <v>34802</v>
      </c>
      <c r="H644" s="202">
        <v>31629</v>
      </c>
      <c r="I644" s="115">
        <v>29351</v>
      </c>
      <c r="J644" s="202">
        <v>2339</v>
      </c>
      <c r="K644" s="56">
        <v>2400</v>
      </c>
      <c r="L644" s="203">
        <v>3584</v>
      </c>
      <c r="M644" s="110"/>
      <c r="N644" s="110"/>
      <c r="O644" s="111">
        <v>3051</v>
      </c>
      <c r="P644" s="47">
        <v>0</v>
      </c>
      <c r="Q644" s="55">
        <v>0</v>
      </c>
      <c r="R644" s="202"/>
      <c r="S644" s="46">
        <v>0</v>
      </c>
      <c r="T644" s="196">
        <f t="shared" si="25"/>
        <v>0</v>
      </c>
      <c r="U644" s="197">
        <f t="shared" si="27"/>
        <v>0</v>
      </c>
      <c r="V644" s="202"/>
      <c r="W644" s="56"/>
      <c r="X644" s="202"/>
      <c r="Y644" s="56"/>
      <c r="Z644" s="203"/>
      <c r="AA644" s="110"/>
      <c r="AB644" s="110"/>
      <c r="AC644" s="47"/>
      <c r="AD644" s="47"/>
      <c r="AE644" s="55"/>
      <c r="AF644" s="202"/>
      <c r="AG644" s="49"/>
    </row>
    <row r="645" spans="1:33" s="222" customFormat="1" ht="15">
      <c r="A645" s="182" t="s">
        <v>502</v>
      </c>
      <c r="B645" s="176" t="s">
        <v>515</v>
      </c>
      <c r="C645" s="360" t="s">
        <v>861</v>
      </c>
      <c r="D645" s="175">
        <v>447582</v>
      </c>
      <c r="E645" s="241">
        <v>10</v>
      </c>
      <c r="F645" s="194">
        <f t="shared" si="24"/>
        <v>42596</v>
      </c>
      <c r="G645" s="195">
        <f t="shared" si="26"/>
        <v>36968</v>
      </c>
      <c r="H645" s="202">
        <v>26671</v>
      </c>
      <c r="I645" s="115">
        <v>23169</v>
      </c>
      <c r="J645" s="202">
        <v>469</v>
      </c>
      <c r="K645" s="115">
        <v>0</v>
      </c>
      <c r="L645" s="203">
        <v>11531</v>
      </c>
      <c r="M645" s="110">
        <v>3925</v>
      </c>
      <c r="N645" s="110"/>
      <c r="O645" s="47">
        <v>11436</v>
      </c>
      <c r="P645" s="111">
        <v>2363</v>
      </c>
      <c r="Q645" s="55">
        <v>0</v>
      </c>
      <c r="R645" s="202"/>
      <c r="S645" s="46">
        <v>0</v>
      </c>
      <c r="T645" s="196">
        <f t="shared" si="25"/>
        <v>0</v>
      </c>
      <c r="U645" s="197">
        <f t="shared" si="27"/>
        <v>0</v>
      </c>
      <c r="V645" s="202"/>
      <c r="W645" s="56"/>
      <c r="X645" s="202"/>
      <c r="Y645" s="56"/>
      <c r="Z645" s="203"/>
      <c r="AA645" s="110"/>
      <c r="AB645" s="110"/>
      <c r="AC645" s="47"/>
      <c r="AD645" s="47"/>
      <c r="AE645" s="55"/>
      <c r="AF645" s="202"/>
      <c r="AG645" s="49"/>
    </row>
    <row r="646" spans="1:33" s="222" customFormat="1" ht="15">
      <c r="A646" s="182" t="s">
        <v>502</v>
      </c>
      <c r="B646" s="242" t="s">
        <v>516</v>
      </c>
      <c r="C646" s="360" t="s">
        <v>861</v>
      </c>
      <c r="D646" s="175">
        <v>443492</v>
      </c>
      <c r="E646" s="241">
        <v>10</v>
      </c>
      <c r="F646" s="194">
        <f t="shared" si="24"/>
        <v>44759</v>
      </c>
      <c r="G646" s="195">
        <f t="shared" si="26"/>
        <v>41041</v>
      </c>
      <c r="H646" s="202">
        <v>20364</v>
      </c>
      <c r="I646" s="115">
        <v>16911</v>
      </c>
      <c r="J646" s="202">
        <v>17802</v>
      </c>
      <c r="K646" s="115">
        <v>16613</v>
      </c>
      <c r="L646" s="203">
        <v>6593</v>
      </c>
      <c r="M646" s="110"/>
      <c r="N646" s="110"/>
      <c r="O646" s="111">
        <v>7517</v>
      </c>
      <c r="P646" s="47">
        <v>0</v>
      </c>
      <c r="Q646" s="55">
        <v>0</v>
      </c>
      <c r="R646" s="202"/>
      <c r="S646" s="46">
        <v>0</v>
      </c>
      <c r="T646" s="196">
        <f t="shared" si="25"/>
        <v>0</v>
      </c>
      <c r="U646" s="197">
        <f t="shared" si="27"/>
        <v>0</v>
      </c>
      <c r="V646" s="202"/>
      <c r="W646" s="56"/>
      <c r="X646" s="202"/>
      <c r="Y646" s="56"/>
      <c r="Z646" s="203"/>
      <c r="AA646" s="110"/>
      <c r="AB646" s="110"/>
      <c r="AC646" s="47"/>
      <c r="AD646" s="47"/>
      <c r="AE646" s="55"/>
      <c r="AF646" s="202"/>
      <c r="AG646" s="49"/>
    </row>
    <row r="647" spans="1:33" s="222" customFormat="1">
      <c r="A647" s="182" t="s">
        <v>502</v>
      </c>
      <c r="B647" s="176" t="s">
        <v>517</v>
      </c>
      <c r="C647" s="179"/>
      <c r="D647" s="175">
        <v>446774</v>
      </c>
      <c r="E647" s="175">
        <v>10</v>
      </c>
      <c r="F647" s="194">
        <f t="shared" si="24"/>
        <v>60038</v>
      </c>
      <c r="G647" s="195">
        <f t="shared" si="26"/>
        <v>58674</v>
      </c>
      <c r="H647" s="202">
        <v>33664</v>
      </c>
      <c r="I647" s="56">
        <v>32943</v>
      </c>
      <c r="J647" s="202">
        <v>12108</v>
      </c>
      <c r="K647" s="56">
        <v>11526</v>
      </c>
      <c r="L647" s="203">
        <v>14266</v>
      </c>
      <c r="M647" s="110"/>
      <c r="N647" s="110"/>
      <c r="O647" s="47">
        <v>14205</v>
      </c>
      <c r="P647" s="47">
        <v>0</v>
      </c>
      <c r="Q647" s="55">
        <v>0</v>
      </c>
      <c r="R647" s="202"/>
      <c r="S647" s="46">
        <v>0</v>
      </c>
      <c r="T647" s="196">
        <f t="shared" si="25"/>
        <v>0</v>
      </c>
      <c r="U647" s="197">
        <f t="shared" si="27"/>
        <v>0</v>
      </c>
      <c r="V647" s="202"/>
      <c r="W647" s="56"/>
      <c r="X647" s="202"/>
      <c r="Y647" s="56"/>
      <c r="Z647" s="203"/>
      <c r="AA647" s="110"/>
      <c r="AB647" s="110"/>
      <c r="AC647" s="47"/>
      <c r="AD647" s="47"/>
      <c r="AE647" s="55"/>
      <c r="AF647" s="202"/>
      <c r="AG647" s="49"/>
    </row>
    <row r="648" spans="1:33" s="222" customFormat="1">
      <c r="A648" s="182" t="s">
        <v>502</v>
      </c>
      <c r="B648" s="244" t="s">
        <v>518</v>
      </c>
      <c r="C648" s="179" t="s">
        <v>519</v>
      </c>
      <c r="D648" s="245">
        <v>484932</v>
      </c>
      <c r="E648" s="175">
        <v>10</v>
      </c>
      <c r="F648" s="194">
        <f t="shared" si="24"/>
        <v>43469</v>
      </c>
      <c r="G648" s="195">
        <f t="shared" si="26"/>
        <v>41698</v>
      </c>
      <c r="H648" s="169">
        <v>35432</v>
      </c>
      <c r="I648" s="246">
        <v>33965</v>
      </c>
      <c r="J648" s="169">
        <v>645</v>
      </c>
      <c r="K648" s="115">
        <v>460</v>
      </c>
      <c r="L648" s="170">
        <v>7392</v>
      </c>
      <c r="M648" s="170"/>
      <c r="N648" s="170"/>
      <c r="O648" s="47">
        <v>7273</v>
      </c>
      <c r="P648" s="47">
        <v>0</v>
      </c>
      <c r="Q648" s="55">
        <v>0</v>
      </c>
      <c r="R648" s="202"/>
      <c r="S648" s="46">
        <v>0</v>
      </c>
      <c r="T648" s="196">
        <f t="shared" si="25"/>
        <v>0</v>
      </c>
      <c r="U648" s="197">
        <f t="shared" si="27"/>
        <v>0</v>
      </c>
      <c r="V648" s="169"/>
      <c r="W648" s="246"/>
      <c r="X648" s="169"/>
      <c r="Y648" s="246"/>
      <c r="Z648" s="170"/>
      <c r="AA648" s="170"/>
      <c r="AB648" s="170"/>
      <c r="AC648" s="47"/>
      <c r="AD648" s="47"/>
      <c r="AE648" s="55"/>
      <c r="AF648" s="202"/>
      <c r="AG648" s="49"/>
    </row>
    <row r="649" spans="1:33" s="222" customFormat="1">
      <c r="A649" s="182" t="s">
        <v>502</v>
      </c>
      <c r="B649" s="176" t="s">
        <v>520</v>
      </c>
      <c r="C649" s="179"/>
      <c r="D649" s="175">
        <v>438708</v>
      </c>
      <c r="E649" s="175">
        <v>10</v>
      </c>
      <c r="F649" s="194">
        <f t="shared" si="24"/>
        <v>13604</v>
      </c>
      <c r="G649" s="195">
        <f t="shared" si="26"/>
        <v>11326</v>
      </c>
      <c r="H649" s="202">
        <v>5936</v>
      </c>
      <c r="I649" s="115">
        <v>4753</v>
      </c>
      <c r="J649" s="202">
        <v>3923</v>
      </c>
      <c r="K649" s="115">
        <v>3225</v>
      </c>
      <c r="L649" s="203">
        <v>3745</v>
      </c>
      <c r="M649" s="110"/>
      <c r="N649" s="110"/>
      <c r="O649" s="111">
        <v>3348</v>
      </c>
      <c r="P649" s="47">
        <v>0</v>
      </c>
      <c r="Q649" s="55">
        <v>0</v>
      </c>
      <c r="R649" s="202"/>
      <c r="S649" s="46">
        <v>0</v>
      </c>
      <c r="T649" s="196">
        <f t="shared" si="25"/>
        <v>0</v>
      </c>
      <c r="U649" s="197">
        <f t="shared" si="27"/>
        <v>0</v>
      </c>
      <c r="V649" s="202"/>
      <c r="W649" s="56"/>
      <c r="X649" s="202"/>
      <c r="Y649" s="56"/>
      <c r="Z649" s="203"/>
      <c r="AA649" s="110"/>
      <c r="AB649" s="110"/>
      <c r="AC649" s="47"/>
      <c r="AD649" s="47"/>
      <c r="AE649" s="55"/>
      <c r="AF649" s="202"/>
      <c r="AG649" s="49"/>
    </row>
    <row r="650" spans="1:33" s="222" customFormat="1">
      <c r="A650" s="182" t="s">
        <v>502</v>
      </c>
      <c r="B650" s="176" t="s">
        <v>521</v>
      </c>
      <c r="C650" s="179"/>
      <c r="D650" s="175">
        <v>444954</v>
      </c>
      <c r="E650" s="175">
        <v>10</v>
      </c>
      <c r="F650" s="194">
        <f t="shared" si="24"/>
        <v>45274</v>
      </c>
      <c r="G650" s="195">
        <f t="shared" si="26"/>
        <v>45643</v>
      </c>
      <c r="H650" s="202">
        <v>25162</v>
      </c>
      <c r="I650" s="56">
        <v>25789</v>
      </c>
      <c r="J650" s="202">
        <v>8848</v>
      </c>
      <c r="K650" s="56">
        <v>8524</v>
      </c>
      <c r="L650" s="203">
        <v>11264</v>
      </c>
      <c r="M650" s="110"/>
      <c r="N650" s="110"/>
      <c r="O650" s="47">
        <v>11330</v>
      </c>
      <c r="P650" s="47">
        <v>0</v>
      </c>
      <c r="Q650" s="55">
        <v>0</v>
      </c>
      <c r="R650" s="202"/>
      <c r="S650" s="46">
        <v>0</v>
      </c>
      <c r="T650" s="196">
        <f t="shared" si="25"/>
        <v>0</v>
      </c>
      <c r="U650" s="197">
        <f t="shared" si="27"/>
        <v>0</v>
      </c>
      <c r="V650" s="202"/>
      <c r="W650" s="56"/>
      <c r="X650" s="202"/>
      <c r="Y650" s="56"/>
      <c r="Z650" s="203"/>
      <c r="AA650" s="110"/>
      <c r="AB650" s="110"/>
      <c r="AC650" s="47"/>
      <c r="AD650" s="47"/>
      <c r="AE650" s="55"/>
      <c r="AF650" s="202"/>
      <c r="AG650" s="49"/>
    </row>
    <row r="651" spans="1:33" s="222" customFormat="1">
      <c r="A651" s="182" t="s">
        <v>502</v>
      </c>
      <c r="B651" s="176" t="s">
        <v>522</v>
      </c>
      <c r="C651" s="179"/>
      <c r="D651" s="175">
        <v>237817</v>
      </c>
      <c r="E651" s="175">
        <v>10</v>
      </c>
      <c r="F651" s="194">
        <f t="shared" si="24"/>
        <v>37461</v>
      </c>
      <c r="G651" s="195">
        <f t="shared" si="26"/>
        <v>38388</v>
      </c>
      <c r="H651" s="202">
        <v>23695</v>
      </c>
      <c r="I651" s="56">
        <v>23322</v>
      </c>
      <c r="J651" s="202">
        <v>1414</v>
      </c>
      <c r="K651" s="115">
        <v>1196</v>
      </c>
      <c r="L651" s="203">
        <v>8919</v>
      </c>
      <c r="M651" s="110">
        <v>3433</v>
      </c>
      <c r="N651" s="110"/>
      <c r="O651" s="111">
        <v>11388</v>
      </c>
      <c r="P651" s="111">
        <f>2356+126</f>
        <v>2482</v>
      </c>
      <c r="Q651" s="55">
        <v>0</v>
      </c>
      <c r="R651" s="202"/>
      <c r="S651" s="46">
        <v>0</v>
      </c>
      <c r="T651" s="196">
        <f t="shared" si="25"/>
        <v>0</v>
      </c>
      <c r="U651" s="197">
        <f t="shared" si="27"/>
        <v>0</v>
      </c>
      <c r="V651" s="202"/>
      <c r="W651" s="56"/>
      <c r="X651" s="202"/>
      <c r="Y651" s="56"/>
      <c r="Z651" s="203"/>
      <c r="AA651" s="110"/>
      <c r="AB651" s="110"/>
      <c r="AC651" s="47"/>
      <c r="AD651" s="47"/>
      <c r="AE651" s="55"/>
      <c r="AF651" s="202"/>
      <c r="AG651" s="49"/>
    </row>
    <row r="652" spans="1:33" s="222" customFormat="1">
      <c r="A652" s="182" t="s">
        <v>502</v>
      </c>
      <c r="B652" s="176" t="s">
        <v>523</v>
      </c>
      <c r="C652" s="174"/>
      <c r="D652" s="175">
        <v>238014</v>
      </c>
      <c r="E652" s="184">
        <v>10</v>
      </c>
      <c r="F652" s="194">
        <f t="shared" si="24"/>
        <v>39484</v>
      </c>
      <c r="G652" s="195">
        <f t="shared" si="26"/>
        <v>37817</v>
      </c>
      <c r="H652" s="202">
        <v>27897</v>
      </c>
      <c r="I652" s="115">
        <v>25674</v>
      </c>
      <c r="J652" s="202">
        <v>0</v>
      </c>
      <c r="K652" s="56">
        <v>0</v>
      </c>
      <c r="L652" s="203">
        <v>10036</v>
      </c>
      <c r="M652" s="110">
        <v>1551</v>
      </c>
      <c r="N652" s="110"/>
      <c r="O652" s="47">
        <v>10011</v>
      </c>
      <c r="P652" s="111">
        <v>2132</v>
      </c>
      <c r="Q652" s="55">
        <v>0</v>
      </c>
      <c r="R652" s="202"/>
      <c r="S652" s="46">
        <v>0</v>
      </c>
      <c r="T652" s="196">
        <f t="shared" si="25"/>
        <v>0</v>
      </c>
      <c r="U652" s="197">
        <f t="shared" si="27"/>
        <v>0</v>
      </c>
      <c r="V652" s="202"/>
      <c r="W652" s="56"/>
      <c r="X652" s="202"/>
      <c r="Y652" s="56"/>
      <c r="Z652" s="203"/>
      <c r="AA652" s="110"/>
      <c r="AB652" s="110"/>
      <c r="AC652" s="47"/>
      <c r="AD652" s="47"/>
      <c r="AE652" s="55"/>
      <c r="AF652" s="202"/>
      <c r="AG652" s="49"/>
    </row>
    <row r="653" spans="1:33">
      <c r="A653" s="58"/>
      <c r="B653" s="123"/>
      <c r="C653" s="123"/>
      <c r="D653" s="123"/>
      <c r="E653" s="123"/>
      <c r="G653" s="123"/>
      <c r="I653" s="123"/>
      <c r="M653" s="123"/>
      <c r="N653" s="123"/>
      <c r="O653" s="123"/>
      <c r="Q653" s="123"/>
      <c r="S653" s="123"/>
      <c r="U653" s="123"/>
      <c r="W653" s="123"/>
      <c r="AA653" s="123"/>
      <c r="AB653" s="123"/>
      <c r="AC653" s="123"/>
      <c r="AE653" s="123"/>
    </row>
    <row r="654" spans="1:33">
      <c r="A654" s="58"/>
      <c r="B654" s="123"/>
      <c r="C654" s="123"/>
      <c r="D654" s="123"/>
      <c r="E654" s="123"/>
      <c r="G654" s="123"/>
      <c r="I654" s="123"/>
      <c r="M654" s="123"/>
      <c r="N654" s="123"/>
      <c r="O654" s="123"/>
      <c r="Q654" s="123"/>
      <c r="S654" s="123"/>
      <c r="U654" s="123"/>
      <c r="W654" s="123"/>
      <c r="AA654" s="123"/>
      <c r="AB654" s="123"/>
      <c r="AC654" s="123"/>
      <c r="AE654" s="123"/>
    </row>
    <row r="655" spans="1:33">
      <c r="A655" s="58"/>
      <c r="B655" s="123"/>
      <c r="C655" s="123"/>
      <c r="D655" s="123"/>
      <c r="E655" s="123"/>
      <c r="G655" s="123"/>
      <c r="I655" s="123"/>
      <c r="M655" s="123"/>
      <c r="N655" s="123"/>
      <c r="O655" s="123"/>
      <c r="Q655" s="123"/>
      <c r="S655" s="123"/>
      <c r="U655" s="123"/>
      <c r="W655" s="123"/>
      <c r="AA655" s="123"/>
      <c r="AB655" s="123"/>
      <c r="AC655" s="123"/>
      <c r="AE655" s="123"/>
    </row>
    <row r="656" spans="1:33">
      <c r="A656" s="58"/>
      <c r="B656" s="123"/>
      <c r="C656" s="123"/>
      <c r="D656" s="123"/>
      <c r="E656" s="123"/>
      <c r="G656" s="123"/>
      <c r="I656" s="123"/>
      <c r="M656" s="123"/>
      <c r="N656" s="123"/>
      <c r="O656" s="123"/>
      <c r="Q656" s="123"/>
      <c r="S656" s="123"/>
      <c r="U656" s="123"/>
      <c r="W656" s="123"/>
      <c r="AA656" s="123"/>
      <c r="AB656" s="123"/>
      <c r="AC656" s="123"/>
      <c r="AE656" s="123"/>
    </row>
    <row r="657" spans="1:31">
      <c r="A657" s="58"/>
      <c r="B657" s="123"/>
      <c r="C657" s="123"/>
      <c r="D657" s="123"/>
      <c r="E657" s="123"/>
      <c r="G657" s="123"/>
      <c r="I657" s="123"/>
      <c r="M657" s="123"/>
      <c r="N657" s="123"/>
      <c r="O657" s="123"/>
      <c r="Q657" s="123"/>
      <c r="S657" s="123"/>
      <c r="U657" s="123"/>
      <c r="W657" s="123"/>
      <c r="AA657" s="123"/>
      <c r="AB657" s="123"/>
      <c r="AC657" s="123"/>
      <c r="AE657" s="123"/>
    </row>
    <row r="658" spans="1:31">
      <c r="A658" s="58"/>
      <c r="B658" s="123"/>
      <c r="C658" s="123"/>
      <c r="D658" s="123"/>
      <c r="E658" s="123"/>
      <c r="G658" s="123"/>
      <c r="I658" s="123"/>
      <c r="M658" s="123"/>
      <c r="N658" s="123"/>
      <c r="O658" s="123"/>
      <c r="Q658" s="123"/>
      <c r="S658" s="123"/>
      <c r="U658" s="123"/>
      <c r="W658" s="123"/>
      <c r="AA658" s="123"/>
      <c r="AB658" s="123"/>
      <c r="AC658" s="123"/>
      <c r="AE658" s="123"/>
    </row>
    <row r="659" spans="1:31">
      <c r="A659" s="58"/>
      <c r="B659" s="123"/>
      <c r="C659" s="123"/>
      <c r="D659" s="123"/>
      <c r="E659" s="123"/>
      <c r="G659" s="123"/>
      <c r="I659" s="123"/>
      <c r="M659" s="123"/>
      <c r="N659" s="123"/>
      <c r="O659" s="123"/>
      <c r="Q659" s="123"/>
      <c r="S659" s="123"/>
      <c r="U659" s="123"/>
      <c r="W659" s="123"/>
      <c r="AA659" s="123"/>
      <c r="AB659" s="123"/>
      <c r="AC659" s="123"/>
      <c r="AE659" s="123"/>
    </row>
    <row r="660" spans="1:31">
      <c r="A660" s="58"/>
      <c r="B660" s="123"/>
      <c r="C660" s="123"/>
      <c r="D660" s="123"/>
      <c r="E660" s="123"/>
      <c r="G660" s="123"/>
      <c r="I660" s="123"/>
      <c r="M660" s="123"/>
      <c r="N660" s="123"/>
      <c r="O660" s="123"/>
      <c r="Q660" s="123"/>
      <c r="S660" s="123"/>
      <c r="U660" s="123"/>
      <c r="W660" s="123"/>
      <c r="AA660" s="123"/>
      <c r="AB660" s="123"/>
      <c r="AC660" s="123"/>
      <c r="AE660" s="123"/>
    </row>
    <row r="661" spans="1:31">
      <c r="A661" s="58"/>
      <c r="B661" s="123"/>
      <c r="C661" s="123"/>
      <c r="D661" s="123"/>
      <c r="E661" s="123"/>
      <c r="G661" s="123"/>
      <c r="I661" s="123"/>
      <c r="M661" s="123"/>
      <c r="N661" s="123"/>
      <c r="O661" s="123"/>
      <c r="Q661" s="123"/>
      <c r="S661" s="123"/>
      <c r="U661" s="123"/>
      <c r="W661" s="123"/>
      <c r="AA661" s="123"/>
      <c r="AB661" s="123"/>
      <c r="AC661" s="123"/>
      <c r="AE661" s="123"/>
    </row>
    <row r="662" spans="1:31">
      <c r="A662" s="58"/>
      <c r="B662" s="123"/>
      <c r="C662" s="123"/>
      <c r="D662" s="123"/>
      <c r="E662" s="123"/>
      <c r="G662" s="123"/>
      <c r="I662" s="123"/>
      <c r="M662" s="123"/>
      <c r="N662" s="123"/>
      <c r="O662" s="123"/>
      <c r="Q662" s="123"/>
      <c r="S662" s="123"/>
      <c r="U662" s="123"/>
      <c r="W662" s="123"/>
      <c r="AA662" s="123"/>
      <c r="AB662" s="123"/>
      <c r="AC662" s="123"/>
      <c r="AE662" s="123"/>
    </row>
    <row r="663" spans="1:31">
      <c r="A663" s="58"/>
      <c r="B663" s="123"/>
      <c r="C663" s="123"/>
      <c r="D663" s="123"/>
      <c r="E663" s="123"/>
      <c r="G663" s="123"/>
      <c r="I663" s="123"/>
      <c r="M663" s="123"/>
      <c r="N663" s="123"/>
      <c r="O663" s="123"/>
      <c r="Q663" s="123"/>
      <c r="S663" s="123"/>
      <c r="U663" s="123"/>
      <c r="W663" s="123"/>
      <c r="AA663" s="123"/>
      <c r="AB663" s="123"/>
      <c r="AC663" s="123"/>
      <c r="AE663" s="123"/>
    </row>
    <row r="664" spans="1:31">
      <c r="A664" s="58"/>
      <c r="B664" s="123"/>
      <c r="C664" s="123"/>
      <c r="D664" s="123"/>
      <c r="E664" s="123"/>
      <c r="G664" s="123"/>
      <c r="I664" s="123"/>
      <c r="M664" s="123"/>
      <c r="N664" s="123"/>
      <c r="O664" s="123"/>
      <c r="Q664" s="123"/>
      <c r="S664" s="123"/>
      <c r="U664" s="123"/>
      <c r="W664" s="123"/>
      <c r="AA664" s="123"/>
      <c r="AB664" s="123"/>
      <c r="AC664" s="123"/>
      <c r="AE664" s="123"/>
    </row>
    <row r="665" spans="1:31">
      <c r="A665" s="58"/>
      <c r="B665" s="123"/>
      <c r="C665" s="123"/>
      <c r="D665" s="123"/>
      <c r="E665" s="123"/>
      <c r="G665" s="123"/>
      <c r="I665" s="123"/>
      <c r="M665" s="123"/>
      <c r="N665" s="123"/>
      <c r="O665" s="123"/>
      <c r="Q665" s="123"/>
      <c r="S665" s="123"/>
      <c r="U665" s="123"/>
      <c r="W665" s="123"/>
      <c r="AA665" s="123"/>
      <c r="AB665" s="123"/>
      <c r="AC665" s="123"/>
      <c r="AE665" s="123"/>
    </row>
    <row r="666" spans="1:31">
      <c r="A666" s="58"/>
      <c r="B666" s="123"/>
      <c r="C666" s="123"/>
      <c r="D666" s="123"/>
      <c r="E666" s="123"/>
      <c r="G666" s="123"/>
      <c r="I666" s="123"/>
      <c r="M666" s="123"/>
      <c r="N666" s="123"/>
      <c r="O666" s="123"/>
      <c r="Q666" s="123"/>
      <c r="S666" s="123"/>
      <c r="U666" s="123"/>
      <c r="W666" s="123"/>
      <c r="AA666" s="123"/>
      <c r="AB666" s="123"/>
      <c r="AC666" s="123"/>
      <c r="AE666" s="123"/>
    </row>
    <row r="667" spans="1:31">
      <c r="A667" s="58"/>
      <c r="B667" s="123"/>
      <c r="C667" s="123"/>
      <c r="D667" s="123"/>
      <c r="E667" s="123"/>
      <c r="G667" s="123"/>
      <c r="I667" s="123"/>
      <c r="M667" s="123"/>
      <c r="N667" s="123"/>
      <c r="O667" s="123"/>
      <c r="Q667" s="123"/>
      <c r="S667" s="123"/>
      <c r="U667" s="123"/>
      <c r="W667" s="123"/>
      <c r="AA667" s="123"/>
      <c r="AB667" s="123"/>
      <c r="AC667" s="123"/>
      <c r="AE667" s="123"/>
    </row>
    <row r="668" spans="1:31">
      <c r="A668" s="58"/>
      <c r="B668" s="123"/>
      <c r="C668" s="123"/>
      <c r="D668" s="123"/>
      <c r="E668" s="123"/>
      <c r="G668" s="123"/>
      <c r="I668" s="123"/>
      <c r="M668" s="123"/>
      <c r="N668" s="123"/>
      <c r="O668" s="123"/>
      <c r="Q668" s="123"/>
      <c r="S668" s="123"/>
      <c r="U668" s="123"/>
      <c r="W668" s="123"/>
      <c r="AA668" s="123"/>
      <c r="AB668" s="123"/>
      <c r="AC668" s="123"/>
      <c r="AE668" s="123"/>
    </row>
    <row r="669" spans="1:31">
      <c r="A669" s="58"/>
      <c r="B669" s="123"/>
      <c r="C669" s="123"/>
      <c r="D669" s="123"/>
      <c r="E669" s="123"/>
      <c r="G669" s="123"/>
      <c r="I669" s="123"/>
      <c r="M669" s="123"/>
      <c r="N669" s="123"/>
      <c r="O669" s="123"/>
      <c r="Q669" s="123"/>
      <c r="S669" s="123"/>
      <c r="U669" s="123"/>
      <c r="W669" s="123"/>
      <c r="AA669" s="123"/>
      <c r="AB669" s="123"/>
      <c r="AC669" s="123"/>
      <c r="AE669" s="123"/>
    </row>
    <row r="670" spans="1:31">
      <c r="A670" s="58"/>
      <c r="B670" s="123"/>
      <c r="C670" s="123"/>
      <c r="D670" s="123"/>
      <c r="E670" s="123"/>
      <c r="G670" s="123"/>
      <c r="I670" s="123"/>
      <c r="M670" s="123"/>
      <c r="N670" s="123"/>
      <c r="O670" s="123"/>
      <c r="Q670" s="123"/>
      <c r="S670" s="123"/>
      <c r="U670" s="123"/>
      <c r="W670" s="123"/>
      <c r="AA670" s="123"/>
      <c r="AB670" s="123"/>
      <c r="AC670" s="123"/>
      <c r="AE670" s="123"/>
    </row>
    <row r="671" spans="1:31">
      <c r="A671" s="58"/>
      <c r="B671" s="123"/>
      <c r="C671" s="123"/>
      <c r="D671" s="123"/>
      <c r="E671" s="123"/>
      <c r="G671" s="123"/>
      <c r="I671" s="123"/>
      <c r="M671" s="123"/>
      <c r="N671" s="123"/>
      <c r="O671" s="123"/>
      <c r="Q671" s="123"/>
      <c r="S671" s="123"/>
      <c r="U671" s="123"/>
      <c r="W671" s="123"/>
      <c r="AA671" s="123"/>
      <c r="AB671" s="123"/>
      <c r="AC671" s="123"/>
      <c r="AE671" s="123"/>
    </row>
    <row r="672" spans="1:31">
      <c r="A672" s="58"/>
      <c r="B672" s="123"/>
      <c r="C672" s="123"/>
      <c r="D672" s="123"/>
      <c r="E672" s="123"/>
      <c r="G672" s="123"/>
      <c r="I672" s="123"/>
      <c r="M672" s="123"/>
      <c r="N672" s="123"/>
      <c r="O672" s="123"/>
      <c r="Q672" s="123"/>
      <c r="S672" s="123"/>
      <c r="U672" s="123"/>
      <c r="W672" s="123"/>
      <c r="AA672" s="123"/>
      <c r="AB672" s="123"/>
      <c r="AC672" s="123"/>
      <c r="AE672" s="123"/>
    </row>
    <row r="673" spans="1:31">
      <c r="A673" s="58"/>
      <c r="B673" s="123"/>
      <c r="C673" s="123"/>
      <c r="D673" s="123"/>
      <c r="E673" s="123"/>
      <c r="G673" s="123"/>
      <c r="I673" s="123"/>
      <c r="M673" s="123"/>
      <c r="N673" s="123"/>
      <c r="O673" s="123"/>
      <c r="Q673" s="123"/>
      <c r="S673" s="123"/>
      <c r="U673" s="123"/>
      <c r="W673" s="123"/>
      <c r="AA673" s="123"/>
      <c r="AB673" s="123"/>
      <c r="AC673" s="123"/>
      <c r="AE673" s="123"/>
    </row>
    <row r="674" spans="1:31">
      <c r="A674" s="58"/>
      <c r="B674" s="123"/>
      <c r="C674" s="123"/>
      <c r="D674" s="123"/>
      <c r="E674" s="123"/>
      <c r="G674" s="123"/>
      <c r="I674" s="123"/>
      <c r="M674" s="123"/>
      <c r="N674" s="123"/>
      <c r="O674" s="123"/>
      <c r="Q674" s="123"/>
      <c r="S674" s="123"/>
      <c r="U674" s="123"/>
      <c r="W674" s="123"/>
      <c r="AA674" s="123"/>
      <c r="AB674" s="123"/>
      <c r="AC674" s="123"/>
      <c r="AE674" s="123"/>
    </row>
    <row r="675" spans="1:31">
      <c r="A675" s="58"/>
      <c r="B675" s="123"/>
      <c r="C675" s="123"/>
      <c r="D675" s="123"/>
      <c r="E675" s="123"/>
      <c r="G675" s="123"/>
      <c r="I675" s="123"/>
      <c r="M675" s="123"/>
      <c r="N675" s="123"/>
      <c r="O675" s="123"/>
      <c r="Q675" s="123"/>
      <c r="S675" s="123"/>
      <c r="U675" s="123"/>
      <c r="W675" s="123"/>
      <c r="AA675" s="123"/>
      <c r="AB675" s="123"/>
      <c r="AC675" s="123"/>
      <c r="AE675" s="123"/>
    </row>
    <row r="676" spans="1:31">
      <c r="A676" s="58"/>
      <c r="B676" s="123"/>
      <c r="C676" s="123"/>
      <c r="D676" s="123"/>
      <c r="E676" s="123"/>
      <c r="G676" s="123"/>
      <c r="I676" s="123"/>
      <c r="M676" s="123"/>
      <c r="N676" s="123"/>
      <c r="O676" s="123"/>
      <c r="Q676" s="123"/>
      <c r="S676" s="123"/>
      <c r="U676" s="123"/>
      <c r="W676" s="123"/>
      <c r="AA676" s="123"/>
      <c r="AB676" s="123"/>
      <c r="AC676" s="123"/>
      <c r="AE676" s="123"/>
    </row>
    <row r="677" spans="1:31">
      <c r="A677" s="58"/>
      <c r="B677" s="123"/>
      <c r="C677" s="123"/>
      <c r="D677" s="123"/>
      <c r="E677" s="123"/>
      <c r="G677" s="123"/>
      <c r="I677" s="123"/>
      <c r="M677" s="123"/>
      <c r="N677" s="123"/>
      <c r="O677" s="123"/>
      <c r="Q677" s="123"/>
      <c r="S677" s="123"/>
      <c r="U677" s="123"/>
      <c r="W677" s="123"/>
      <c r="AA677" s="123"/>
      <c r="AB677" s="123"/>
      <c r="AC677" s="123"/>
      <c r="AE677" s="123"/>
    </row>
    <row r="678" spans="1:31">
      <c r="A678" s="58"/>
      <c r="B678" s="123"/>
      <c r="C678" s="123"/>
      <c r="D678" s="123"/>
      <c r="E678" s="123"/>
      <c r="G678" s="123"/>
      <c r="I678" s="123"/>
      <c r="M678" s="123"/>
      <c r="N678" s="123"/>
      <c r="O678" s="123"/>
      <c r="Q678" s="123"/>
      <c r="S678" s="123"/>
      <c r="U678" s="123"/>
      <c r="W678" s="123"/>
      <c r="AA678" s="123"/>
      <c r="AB678" s="123"/>
      <c r="AC678" s="123"/>
      <c r="AE678" s="123"/>
    </row>
    <row r="679" spans="1:31">
      <c r="A679" s="58"/>
      <c r="B679" s="123"/>
      <c r="C679" s="123"/>
      <c r="D679" s="123"/>
      <c r="E679" s="123"/>
      <c r="G679" s="123"/>
      <c r="I679" s="123"/>
      <c r="M679" s="123"/>
      <c r="N679" s="123"/>
      <c r="O679" s="123"/>
      <c r="Q679" s="123"/>
      <c r="S679" s="123"/>
      <c r="U679" s="123"/>
      <c r="W679" s="123"/>
      <c r="AA679" s="123"/>
      <c r="AB679" s="123"/>
      <c r="AC679" s="123"/>
      <c r="AE679" s="123"/>
    </row>
    <row r="680" spans="1:31">
      <c r="A680" s="58"/>
      <c r="B680" s="123"/>
      <c r="C680" s="123"/>
      <c r="D680" s="123"/>
      <c r="E680" s="123"/>
      <c r="G680" s="123"/>
      <c r="I680" s="123"/>
      <c r="M680" s="123"/>
      <c r="N680" s="123"/>
      <c r="O680" s="123"/>
      <c r="Q680" s="123"/>
      <c r="S680" s="123"/>
      <c r="U680" s="123"/>
      <c r="W680" s="123"/>
      <c r="AA680" s="123"/>
      <c r="AB680" s="123"/>
      <c r="AC680" s="123"/>
      <c r="AE680" s="123"/>
    </row>
    <row r="681" spans="1:31">
      <c r="A681" s="58"/>
      <c r="B681" s="123"/>
      <c r="C681" s="123"/>
      <c r="D681" s="123"/>
      <c r="E681" s="123"/>
      <c r="G681" s="123"/>
      <c r="I681" s="123"/>
      <c r="M681" s="123"/>
      <c r="N681" s="123"/>
      <c r="O681" s="123"/>
      <c r="Q681" s="123"/>
      <c r="S681" s="123"/>
      <c r="U681" s="123"/>
      <c r="W681" s="123"/>
      <c r="AA681" s="123"/>
      <c r="AB681" s="123"/>
      <c r="AC681" s="123"/>
      <c r="AE681" s="123"/>
    </row>
    <row r="682" spans="1:31">
      <c r="A682" s="58"/>
      <c r="B682" s="123"/>
      <c r="C682" s="123"/>
      <c r="D682" s="123"/>
      <c r="E682" s="123"/>
      <c r="G682" s="123"/>
      <c r="I682" s="123"/>
      <c r="M682" s="123"/>
      <c r="N682" s="123"/>
      <c r="O682" s="123"/>
      <c r="Q682" s="123"/>
      <c r="S682" s="123"/>
      <c r="U682" s="123"/>
      <c r="W682" s="123"/>
      <c r="AA682" s="123"/>
      <c r="AB682" s="123"/>
      <c r="AC682" s="123"/>
      <c r="AE682" s="123"/>
    </row>
    <row r="683" spans="1:31">
      <c r="A683" s="58"/>
      <c r="B683" s="123"/>
      <c r="C683" s="123"/>
      <c r="D683" s="123"/>
      <c r="E683" s="123"/>
      <c r="G683" s="123"/>
      <c r="I683" s="123"/>
      <c r="M683" s="123"/>
      <c r="N683" s="123"/>
      <c r="O683" s="123"/>
      <c r="Q683" s="123"/>
      <c r="S683" s="123"/>
      <c r="U683" s="123"/>
      <c r="W683" s="123"/>
      <c r="AA683" s="123"/>
      <c r="AB683" s="123"/>
      <c r="AC683" s="123"/>
      <c r="AE683" s="123"/>
    </row>
    <row r="684" spans="1:31">
      <c r="A684" s="58"/>
      <c r="B684" s="123"/>
      <c r="C684" s="123"/>
      <c r="D684" s="123"/>
      <c r="E684" s="123"/>
      <c r="G684" s="123"/>
      <c r="I684" s="123"/>
      <c r="M684" s="123"/>
      <c r="N684" s="123"/>
      <c r="O684" s="123"/>
      <c r="Q684" s="123"/>
      <c r="S684" s="123"/>
      <c r="U684" s="123"/>
      <c r="W684" s="123"/>
      <c r="AA684" s="123"/>
      <c r="AB684" s="123"/>
      <c r="AC684" s="123"/>
      <c r="AE684" s="123"/>
    </row>
    <row r="685" spans="1:31">
      <c r="A685" s="58"/>
      <c r="B685" s="123"/>
      <c r="C685" s="123"/>
      <c r="D685" s="123"/>
      <c r="E685" s="123"/>
      <c r="G685" s="123"/>
      <c r="I685" s="123"/>
      <c r="M685" s="123"/>
      <c r="N685" s="123"/>
      <c r="O685" s="123"/>
      <c r="Q685" s="123"/>
      <c r="S685" s="123"/>
      <c r="U685" s="123"/>
      <c r="W685" s="123"/>
      <c r="AA685" s="123"/>
      <c r="AB685" s="123"/>
      <c r="AC685" s="123"/>
      <c r="AE685" s="123"/>
    </row>
    <row r="686" spans="1:31">
      <c r="A686" s="58"/>
      <c r="B686" s="123"/>
      <c r="C686" s="123"/>
      <c r="D686" s="123"/>
      <c r="E686" s="123"/>
      <c r="G686" s="123"/>
      <c r="I686" s="123"/>
      <c r="M686" s="123"/>
      <c r="N686" s="123"/>
      <c r="O686" s="123"/>
      <c r="Q686" s="123"/>
      <c r="S686" s="123"/>
      <c r="U686" s="123"/>
      <c r="W686" s="123"/>
      <c r="AA686" s="123"/>
      <c r="AB686" s="123"/>
      <c r="AC686" s="123"/>
      <c r="AE686" s="123"/>
    </row>
    <row r="687" spans="1:31">
      <c r="A687" s="58"/>
      <c r="B687" s="123"/>
      <c r="C687" s="123"/>
      <c r="D687" s="123"/>
      <c r="E687" s="123"/>
      <c r="G687" s="123"/>
      <c r="I687" s="123"/>
      <c r="M687" s="123"/>
      <c r="N687" s="123"/>
      <c r="O687" s="123"/>
      <c r="Q687" s="123"/>
      <c r="S687" s="123"/>
      <c r="U687" s="123"/>
      <c r="W687" s="123"/>
      <c r="AA687" s="123"/>
      <c r="AB687" s="123"/>
      <c r="AC687" s="123"/>
      <c r="AE687" s="123"/>
    </row>
    <row r="688" spans="1:31">
      <c r="A688" s="58"/>
      <c r="B688" s="123"/>
      <c r="C688" s="123"/>
      <c r="D688" s="123"/>
      <c r="E688" s="123"/>
      <c r="G688" s="123"/>
      <c r="I688" s="123"/>
      <c r="M688" s="123"/>
      <c r="N688" s="123"/>
      <c r="O688" s="123"/>
      <c r="Q688" s="123"/>
      <c r="S688" s="123"/>
      <c r="U688" s="123"/>
      <c r="W688" s="123"/>
      <c r="AA688" s="123"/>
      <c r="AB688" s="123"/>
      <c r="AC688" s="123"/>
      <c r="AE688" s="123"/>
    </row>
    <row r="689" spans="1:31">
      <c r="A689" s="58"/>
      <c r="B689" s="123"/>
      <c r="C689" s="123"/>
      <c r="D689" s="123"/>
      <c r="E689" s="123"/>
      <c r="G689" s="123"/>
      <c r="I689" s="123"/>
      <c r="M689" s="123"/>
      <c r="N689" s="123"/>
      <c r="O689" s="123"/>
      <c r="Q689" s="123"/>
      <c r="S689" s="123"/>
      <c r="U689" s="123"/>
      <c r="W689" s="123"/>
      <c r="AA689" s="123"/>
      <c r="AB689" s="123"/>
      <c r="AC689" s="123"/>
      <c r="AE689" s="123"/>
    </row>
    <row r="690" spans="1:31">
      <c r="A690" s="58"/>
      <c r="B690" s="123"/>
      <c r="C690" s="123"/>
      <c r="D690" s="123"/>
      <c r="E690" s="123"/>
      <c r="G690" s="123"/>
      <c r="I690" s="123"/>
      <c r="M690" s="123"/>
      <c r="N690" s="123"/>
      <c r="O690" s="123"/>
      <c r="Q690" s="123"/>
      <c r="S690" s="123"/>
      <c r="U690" s="123"/>
      <c r="W690" s="123"/>
      <c r="AA690" s="123"/>
      <c r="AB690" s="123"/>
      <c r="AC690" s="123"/>
      <c r="AE690" s="123"/>
    </row>
    <row r="691" spans="1:31">
      <c r="A691" s="58"/>
      <c r="B691" s="123"/>
      <c r="C691" s="123"/>
      <c r="D691" s="123"/>
      <c r="E691" s="123"/>
      <c r="G691" s="123"/>
      <c r="I691" s="123"/>
      <c r="M691" s="123"/>
      <c r="N691" s="123"/>
      <c r="O691" s="123"/>
      <c r="Q691" s="123"/>
      <c r="S691" s="123"/>
      <c r="U691" s="123"/>
      <c r="W691" s="123"/>
      <c r="AA691" s="123"/>
      <c r="AB691" s="123"/>
      <c r="AC691" s="123"/>
      <c r="AE691" s="123"/>
    </row>
    <row r="692" spans="1:31">
      <c r="A692" s="58"/>
      <c r="B692" s="123"/>
      <c r="C692" s="123"/>
      <c r="D692" s="123"/>
      <c r="E692" s="123"/>
      <c r="G692" s="123"/>
      <c r="I692" s="123"/>
      <c r="M692" s="123"/>
      <c r="N692" s="123"/>
      <c r="O692" s="123"/>
      <c r="Q692" s="123"/>
      <c r="S692" s="123"/>
      <c r="U692" s="123"/>
      <c r="W692" s="123"/>
      <c r="AA692" s="123"/>
      <c r="AB692" s="123"/>
      <c r="AC692" s="123"/>
      <c r="AE692" s="123"/>
    </row>
    <row r="693" spans="1:31">
      <c r="A693" s="58"/>
      <c r="B693" s="123"/>
      <c r="C693" s="123"/>
      <c r="D693" s="123"/>
      <c r="E693" s="123"/>
      <c r="G693" s="123"/>
      <c r="I693" s="123"/>
      <c r="M693" s="123"/>
      <c r="N693" s="123"/>
      <c r="O693" s="123"/>
      <c r="Q693" s="123"/>
      <c r="S693" s="123"/>
      <c r="U693" s="123"/>
      <c r="W693" s="123"/>
      <c r="AA693" s="123"/>
      <c r="AB693" s="123"/>
      <c r="AC693" s="123"/>
      <c r="AE693" s="123"/>
    </row>
    <row r="694" spans="1:31">
      <c r="A694" s="58"/>
      <c r="B694" s="123"/>
      <c r="C694" s="123"/>
      <c r="D694" s="123"/>
      <c r="E694" s="123"/>
      <c r="G694" s="123"/>
      <c r="I694" s="123"/>
      <c r="M694" s="123"/>
      <c r="N694" s="123"/>
      <c r="O694" s="123"/>
      <c r="Q694" s="123"/>
      <c r="S694" s="123"/>
      <c r="U694" s="123"/>
      <c r="W694" s="123"/>
      <c r="AA694" s="123"/>
      <c r="AB694" s="123"/>
      <c r="AC694" s="123"/>
      <c r="AE694" s="123"/>
    </row>
    <row r="695" spans="1:31">
      <c r="A695" s="58"/>
      <c r="B695" s="123"/>
      <c r="C695" s="123"/>
      <c r="D695" s="123"/>
      <c r="E695" s="123"/>
      <c r="G695" s="123"/>
      <c r="I695" s="123"/>
      <c r="M695" s="123"/>
      <c r="N695" s="123"/>
      <c r="O695" s="123"/>
      <c r="Q695" s="123"/>
      <c r="S695" s="123"/>
      <c r="U695" s="123"/>
      <c r="W695" s="123"/>
      <c r="AA695" s="123"/>
      <c r="AB695" s="123"/>
      <c r="AC695" s="123"/>
      <c r="AE695" s="123"/>
    </row>
    <row r="696" spans="1:31">
      <c r="A696" s="58"/>
      <c r="B696" s="123"/>
      <c r="C696" s="123"/>
      <c r="D696" s="123"/>
      <c r="E696" s="123"/>
      <c r="G696" s="123"/>
      <c r="I696" s="123"/>
      <c r="M696" s="123"/>
      <c r="N696" s="123"/>
      <c r="O696" s="123"/>
      <c r="Q696" s="123"/>
      <c r="S696" s="123"/>
      <c r="U696" s="123"/>
      <c r="W696" s="123"/>
      <c r="AA696" s="123"/>
      <c r="AB696" s="123"/>
      <c r="AC696" s="123"/>
      <c r="AE696" s="123"/>
    </row>
    <row r="697" spans="1:31">
      <c r="A697" s="58"/>
      <c r="B697" s="123"/>
      <c r="C697" s="123"/>
      <c r="D697" s="123"/>
      <c r="E697" s="123"/>
      <c r="G697" s="123"/>
      <c r="I697" s="123"/>
      <c r="M697" s="123"/>
      <c r="N697" s="123"/>
      <c r="O697" s="123"/>
      <c r="Q697" s="123"/>
      <c r="S697" s="123"/>
      <c r="U697" s="123"/>
      <c r="W697" s="123"/>
      <c r="AA697" s="123"/>
      <c r="AB697" s="123"/>
      <c r="AC697" s="123"/>
      <c r="AE697" s="123"/>
    </row>
    <row r="698" spans="1:31">
      <c r="A698" s="58"/>
      <c r="B698" s="123"/>
      <c r="C698" s="123"/>
      <c r="D698" s="123"/>
      <c r="E698" s="123"/>
      <c r="G698" s="123"/>
      <c r="I698" s="123"/>
      <c r="M698" s="123"/>
      <c r="N698" s="123"/>
      <c r="O698" s="123"/>
      <c r="Q698" s="123"/>
      <c r="S698" s="123"/>
      <c r="U698" s="123"/>
      <c r="W698" s="123"/>
      <c r="AA698" s="123"/>
      <c r="AB698" s="123"/>
      <c r="AC698" s="123"/>
      <c r="AE698" s="123"/>
    </row>
    <row r="699" spans="1:31">
      <c r="A699" s="58"/>
      <c r="B699" s="123"/>
      <c r="C699" s="123"/>
      <c r="D699" s="123"/>
      <c r="E699" s="123"/>
      <c r="G699" s="123"/>
      <c r="I699" s="123"/>
      <c r="M699" s="123"/>
      <c r="N699" s="123"/>
      <c r="O699" s="123"/>
      <c r="Q699" s="123"/>
      <c r="S699" s="123"/>
      <c r="U699" s="123"/>
      <c r="W699" s="123"/>
      <c r="AA699" s="123"/>
      <c r="AB699" s="123"/>
      <c r="AC699" s="123"/>
      <c r="AE699" s="123"/>
    </row>
    <row r="700" spans="1:31">
      <c r="A700" s="58"/>
      <c r="B700" s="123"/>
      <c r="C700" s="123"/>
      <c r="D700" s="123"/>
      <c r="E700" s="123"/>
      <c r="G700" s="123"/>
      <c r="I700" s="123"/>
      <c r="M700" s="123"/>
      <c r="N700" s="123"/>
      <c r="O700" s="123"/>
      <c r="Q700" s="123"/>
      <c r="S700" s="123"/>
      <c r="U700" s="123"/>
      <c r="W700" s="123"/>
      <c r="AA700" s="123"/>
      <c r="AB700" s="123"/>
      <c r="AC700" s="123"/>
      <c r="AE700" s="123"/>
    </row>
    <row r="701" spans="1:31">
      <c r="A701" s="58"/>
      <c r="B701" s="123"/>
      <c r="C701" s="123"/>
      <c r="D701" s="123"/>
      <c r="E701" s="123"/>
      <c r="G701" s="123"/>
      <c r="I701" s="123"/>
      <c r="M701" s="123"/>
      <c r="N701" s="123"/>
      <c r="O701" s="123"/>
      <c r="Q701" s="123"/>
      <c r="S701" s="123"/>
      <c r="U701" s="123"/>
      <c r="W701" s="123"/>
      <c r="AA701" s="123"/>
      <c r="AB701" s="123"/>
      <c r="AC701" s="123"/>
      <c r="AE701" s="123"/>
    </row>
    <row r="702" spans="1:31">
      <c r="A702" s="58"/>
      <c r="B702" s="123"/>
      <c r="C702" s="123"/>
      <c r="D702" s="123"/>
      <c r="E702" s="123"/>
      <c r="G702" s="123"/>
      <c r="I702" s="123"/>
      <c r="M702" s="123"/>
      <c r="N702" s="123"/>
      <c r="O702" s="123"/>
      <c r="Q702" s="123"/>
      <c r="S702" s="123"/>
      <c r="U702" s="123"/>
      <c r="W702" s="123"/>
      <c r="AA702" s="123"/>
      <c r="AB702" s="123"/>
      <c r="AC702" s="123"/>
      <c r="AE702" s="123"/>
    </row>
    <row r="703" spans="1:31">
      <c r="A703" s="58"/>
      <c r="B703" s="123"/>
      <c r="C703" s="123"/>
      <c r="D703" s="123"/>
      <c r="E703" s="123"/>
      <c r="G703" s="123"/>
      <c r="I703" s="123"/>
      <c r="M703" s="123"/>
      <c r="N703" s="123"/>
      <c r="O703" s="123"/>
      <c r="Q703" s="123"/>
      <c r="S703" s="123"/>
      <c r="U703" s="123"/>
      <c r="W703" s="123"/>
      <c r="AA703" s="123"/>
      <c r="AB703" s="123"/>
      <c r="AC703" s="123"/>
      <c r="AE703" s="123"/>
    </row>
    <row r="704" spans="1:31">
      <c r="A704" s="58"/>
      <c r="B704" s="123"/>
      <c r="C704" s="123"/>
      <c r="D704" s="123"/>
      <c r="E704" s="123"/>
      <c r="G704" s="123"/>
      <c r="I704" s="123"/>
      <c r="M704" s="123"/>
      <c r="N704" s="123"/>
      <c r="O704" s="123"/>
      <c r="Q704" s="123"/>
      <c r="S704" s="123"/>
      <c r="U704" s="123"/>
      <c r="W704" s="123"/>
      <c r="AA704" s="123"/>
      <c r="AB704" s="123"/>
      <c r="AC704" s="123"/>
      <c r="AE704" s="123"/>
    </row>
    <row r="705" spans="1:31">
      <c r="A705" s="58"/>
      <c r="B705" s="123"/>
      <c r="C705" s="123"/>
      <c r="D705" s="123"/>
      <c r="E705" s="123"/>
      <c r="G705" s="123"/>
      <c r="I705" s="123"/>
      <c r="M705" s="123"/>
      <c r="N705" s="123"/>
      <c r="O705" s="123"/>
      <c r="Q705" s="123"/>
      <c r="S705" s="123"/>
      <c r="U705" s="123"/>
      <c r="W705" s="123"/>
      <c r="AA705" s="123"/>
      <c r="AB705" s="123"/>
      <c r="AC705" s="123"/>
      <c r="AE705" s="123"/>
    </row>
    <row r="706" spans="1:31">
      <c r="A706" s="58"/>
      <c r="B706" s="123"/>
      <c r="C706" s="123"/>
      <c r="D706" s="123"/>
      <c r="E706" s="123"/>
      <c r="G706" s="123"/>
      <c r="I706" s="123"/>
      <c r="M706" s="123"/>
      <c r="N706" s="123"/>
      <c r="O706" s="123"/>
      <c r="Q706" s="123"/>
      <c r="S706" s="123"/>
      <c r="U706" s="123"/>
      <c r="W706" s="123"/>
      <c r="AA706" s="123"/>
      <c r="AB706" s="123"/>
      <c r="AC706" s="123"/>
      <c r="AE706" s="123"/>
    </row>
    <row r="707" spans="1:31">
      <c r="A707" s="58"/>
      <c r="B707" s="123"/>
      <c r="C707" s="123"/>
      <c r="D707" s="123"/>
      <c r="E707" s="123"/>
      <c r="G707" s="123"/>
      <c r="I707" s="123"/>
      <c r="M707" s="123"/>
      <c r="N707" s="123"/>
      <c r="O707" s="123"/>
      <c r="Q707" s="123"/>
      <c r="S707" s="123"/>
      <c r="U707" s="123"/>
      <c r="W707" s="123"/>
      <c r="AA707" s="123"/>
      <c r="AB707" s="123"/>
      <c r="AC707" s="123"/>
      <c r="AE707" s="123"/>
    </row>
    <row r="708" spans="1:31">
      <c r="A708" s="58"/>
      <c r="B708" s="123"/>
      <c r="C708" s="123"/>
      <c r="D708" s="123"/>
      <c r="E708" s="123"/>
      <c r="G708" s="123"/>
      <c r="I708" s="123"/>
      <c r="M708" s="123"/>
      <c r="N708" s="123"/>
      <c r="O708" s="123"/>
      <c r="Q708" s="123"/>
      <c r="S708" s="123"/>
      <c r="U708" s="123"/>
      <c r="W708" s="123"/>
      <c r="AA708" s="123"/>
      <c r="AB708" s="123"/>
      <c r="AC708" s="123"/>
      <c r="AE708" s="123"/>
    </row>
    <row r="709" spans="1:31">
      <c r="A709" s="58"/>
      <c r="B709" s="123"/>
      <c r="C709" s="123"/>
      <c r="D709" s="123"/>
      <c r="E709" s="123"/>
      <c r="G709" s="123"/>
      <c r="I709" s="123"/>
      <c r="M709" s="123"/>
      <c r="N709" s="123"/>
      <c r="O709" s="123"/>
      <c r="Q709" s="123"/>
      <c r="S709" s="123"/>
      <c r="U709" s="123"/>
      <c r="W709" s="123"/>
      <c r="AA709" s="123"/>
      <c r="AB709" s="123"/>
      <c r="AC709" s="123"/>
      <c r="AE709" s="123"/>
    </row>
    <row r="710" spans="1:31">
      <c r="A710" s="58"/>
      <c r="B710" s="123"/>
      <c r="C710" s="123"/>
      <c r="D710" s="123"/>
      <c r="E710" s="123"/>
      <c r="G710" s="123"/>
      <c r="I710" s="123"/>
      <c r="M710" s="123"/>
      <c r="N710" s="123"/>
      <c r="O710" s="123"/>
      <c r="Q710" s="123"/>
      <c r="S710" s="123"/>
      <c r="U710" s="123"/>
      <c r="W710" s="123"/>
      <c r="AA710" s="123"/>
      <c r="AB710" s="123"/>
      <c r="AC710" s="123"/>
      <c r="AE710" s="123"/>
    </row>
    <row r="711" spans="1:31">
      <c r="A711" s="58"/>
      <c r="B711" s="123"/>
      <c r="C711" s="123"/>
      <c r="D711" s="123"/>
      <c r="E711" s="123"/>
      <c r="G711" s="123"/>
      <c r="I711" s="123"/>
      <c r="M711" s="123"/>
      <c r="N711" s="123"/>
      <c r="O711" s="123"/>
      <c r="Q711" s="123"/>
      <c r="S711" s="123"/>
      <c r="U711" s="123"/>
      <c r="W711" s="123"/>
      <c r="AA711" s="123"/>
      <c r="AB711" s="123"/>
      <c r="AC711" s="123"/>
      <c r="AE711" s="123"/>
    </row>
    <row r="712" spans="1:31">
      <c r="A712" s="58"/>
      <c r="B712" s="123"/>
      <c r="C712" s="123"/>
      <c r="D712" s="123"/>
      <c r="E712" s="123"/>
      <c r="G712" s="123"/>
      <c r="I712" s="123"/>
      <c r="M712" s="123"/>
      <c r="N712" s="123"/>
      <c r="O712" s="123"/>
      <c r="Q712" s="123"/>
      <c r="S712" s="123"/>
      <c r="U712" s="123"/>
      <c r="W712" s="123"/>
      <c r="AA712" s="123"/>
      <c r="AB712" s="123"/>
      <c r="AC712" s="123"/>
      <c r="AE712" s="123"/>
    </row>
    <row r="713" spans="1:31">
      <c r="A713" s="58"/>
      <c r="B713" s="123"/>
      <c r="C713" s="123"/>
      <c r="D713" s="123"/>
      <c r="E713" s="123"/>
      <c r="G713" s="123"/>
      <c r="I713" s="123"/>
      <c r="M713" s="123"/>
      <c r="N713" s="123"/>
      <c r="O713" s="123"/>
      <c r="Q713" s="123"/>
      <c r="S713" s="123"/>
      <c r="U713" s="123"/>
      <c r="W713" s="123"/>
      <c r="AA713" s="123"/>
      <c r="AB713" s="123"/>
      <c r="AC713" s="123"/>
      <c r="AE713" s="123"/>
    </row>
    <row r="714" spans="1:31">
      <c r="A714" s="58"/>
      <c r="B714" s="123"/>
      <c r="C714" s="123"/>
      <c r="D714" s="123"/>
      <c r="E714" s="123"/>
      <c r="G714" s="123"/>
      <c r="I714" s="123"/>
      <c r="M714" s="123"/>
      <c r="N714" s="123"/>
      <c r="O714" s="123"/>
      <c r="Q714" s="123"/>
      <c r="S714" s="123"/>
      <c r="U714" s="123"/>
      <c r="W714" s="123"/>
      <c r="AA714" s="123"/>
      <c r="AB714" s="123"/>
      <c r="AC714" s="123"/>
      <c r="AE714" s="123"/>
    </row>
    <row r="715" spans="1:31">
      <c r="A715" s="58"/>
      <c r="B715" s="123"/>
      <c r="C715" s="123"/>
      <c r="D715" s="123"/>
      <c r="E715" s="123"/>
      <c r="G715" s="123"/>
      <c r="I715" s="123"/>
      <c r="M715" s="123"/>
      <c r="N715" s="123"/>
      <c r="O715" s="123"/>
      <c r="Q715" s="123"/>
      <c r="S715" s="123"/>
      <c r="U715" s="123"/>
      <c r="W715" s="123"/>
      <c r="AA715" s="123"/>
      <c r="AB715" s="123"/>
      <c r="AC715" s="123"/>
      <c r="AE715" s="123"/>
    </row>
    <row r="716" spans="1:31">
      <c r="A716" s="58"/>
      <c r="B716" s="123"/>
      <c r="C716" s="123"/>
      <c r="D716" s="123"/>
      <c r="E716" s="123"/>
      <c r="G716" s="123"/>
      <c r="I716" s="123"/>
      <c r="M716" s="123"/>
      <c r="N716" s="123"/>
      <c r="O716" s="123"/>
      <c r="Q716" s="123"/>
      <c r="S716" s="123"/>
      <c r="U716" s="123"/>
      <c r="W716" s="123"/>
      <c r="AA716" s="123"/>
      <c r="AB716" s="123"/>
      <c r="AC716" s="123"/>
      <c r="AE716" s="123"/>
    </row>
    <row r="717" spans="1:31">
      <c r="A717" s="58"/>
      <c r="B717" s="123"/>
      <c r="C717" s="123"/>
      <c r="D717" s="123"/>
      <c r="E717" s="123"/>
      <c r="G717" s="123"/>
      <c r="I717" s="123"/>
      <c r="M717" s="123"/>
      <c r="N717" s="123"/>
      <c r="O717" s="123"/>
      <c r="Q717" s="123"/>
      <c r="S717" s="123"/>
      <c r="U717" s="123"/>
      <c r="W717" s="123"/>
      <c r="AA717" s="123"/>
      <c r="AB717" s="123"/>
      <c r="AC717" s="123"/>
      <c r="AE717" s="123"/>
    </row>
    <row r="718" spans="1:31">
      <c r="A718" s="58"/>
      <c r="B718" s="123"/>
      <c r="C718" s="123"/>
      <c r="D718" s="123"/>
      <c r="E718" s="123"/>
      <c r="G718" s="123"/>
      <c r="I718" s="123"/>
      <c r="M718" s="123"/>
      <c r="N718" s="123"/>
      <c r="O718" s="123"/>
      <c r="Q718" s="123"/>
      <c r="S718" s="123"/>
      <c r="U718" s="123"/>
      <c r="W718" s="123"/>
      <c r="AA718" s="123"/>
      <c r="AB718" s="123"/>
      <c r="AC718" s="123"/>
      <c r="AE718" s="123"/>
    </row>
    <row r="719" spans="1:31">
      <c r="A719" s="58"/>
      <c r="B719" s="123"/>
      <c r="C719" s="123"/>
      <c r="D719" s="123"/>
      <c r="E719" s="123"/>
      <c r="G719" s="123"/>
      <c r="I719" s="123"/>
      <c r="M719" s="123"/>
      <c r="N719" s="123"/>
      <c r="O719" s="123"/>
      <c r="Q719" s="123"/>
      <c r="S719" s="123"/>
      <c r="U719" s="123"/>
      <c r="W719" s="123"/>
      <c r="AA719" s="123"/>
      <c r="AB719" s="123"/>
      <c r="AC719" s="123"/>
      <c r="AE719" s="123"/>
    </row>
    <row r="720" spans="1:31">
      <c r="A720" s="58"/>
      <c r="B720" s="123"/>
      <c r="C720" s="123"/>
      <c r="D720" s="123"/>
      <c r="E720" s="123"/>
      <c r="G720" s="123"/>
      <c r="I720" s="123"/>
      <c r="M720" s="123"/>
      <c r="N720" s="123"/>
      <c r="O720" s="123"/>
      <c r="Q720" s="123"/>
      <c r="S720" s="123"/>
      <c r="U720" s="123"/>
      <c r="W720" s="123"/>
      <c r="AA720" s="123"/>
      <c r="AB720" s="123"/>
      <c r="AC720" s="123"/>
      <c r="AE720" s="123"/>
    </row>
    <row r="721" spans="1:31">
      <c r="A721" s="58"/>
      <c r="B721" s="123"/>
      <c r="C721" s="123"/>
      <c r="D721" s="123"/>
      <c r="E721" s="123"/>
      <c r="G721" s="123"/>
      <c r="I721" s="123"/>
      <c r="M721" s="123"/>
      <c r="N721" s="123"/>
      <c r="O721" s="123"/>
      <c r="Q721" s="123"/>
      <c r="S721" s="123"/>
      <c r="U721" s="123"/>
      <c r="W721" s="123"/>
      <c r="AA721" s="123"/>
      <c r="AB721" s="123"/>
      <c r="AC721" s="123"/>
      <c r="AE721" s="123"/>
    </row>
    <row r="722" spans="1:31">
      <c r="A722" s="58"/>
      <c r="B722" s="123"/>
      <c r="C722" s="123"/>
      <c r="D722" s="123"/>
      <c r="E722" s="123"/>
      <c r="G722" s="123"/>
      <c r="I722" s="123"/>
      <c r="M722" s="123"/>
      <c r="N722" s="123"/>
      <c r="O722" s="123"/>
      <c r="Q722" s="123"/>
      <c r="S722" s="123"/>
      <c r="U722" s="123"/>
      <c r="W722" s="123"/>
      <c r="AA722" s="123"/>
      <c r="AB722" s="123"/>
      <c r="AC722" s="123"/>
      <c r="AE722" s="123"/>
    </row>
    <row r="723" spans="1:31">
      <c r="A723" s="58"/>
      <c r="B723" s="123"/>
      <c r="C723" s="123"/>
      <c r="D723" s="123"/>
      <c r="E723" s="123"/>
      <c r="G723" s="123"/>
      <c r="I723" s="123"/>
      <c r="M723" s="123"/>
      <c r="N723" s="123"/>
      <c r="O723" s="123"/>
      <c r="Q723" s="123"/>
      <c r="S723" s="123"/>
      <c r="U723" s="123"/>
      <c r="W723" s="123"/>
      <c r="AA723" s="123"/>
      <c r="AB723" s="123"/>
      <c r="AC723" s="123"/>
      <c r="AE723" s="123"/>
    </row>
    <row r="724" spans="1:31">
      <c r="A724" s="58"/>
      <c r="B724" s="123"/>
      <c r="C724" s="123"/>
      <c r="D724" s="123"/>
      <c r="E724" s="123"/>
      <c r="G724" s="123"/>
      <c r="I724" s="123"/>
      <c r="M724" s="123"/>
      <c r="N724" s="123"/>
      <c r="O724" s="123"/>
      <c r="Q724" s="123"/>
      <c r="S724" s="123"/>
      <c r="U724" s="123"/>
      <c r="W724" s="123"/>
      <c r="AA724" s="123"/>
      <c r="AB724" s="123"/>
      <c r="AC724" s="123"/>
      <c r="AE724" s="123"/>
    </row>
    <row r="725" spans="1:31">
      <c r="A725" s="58"/>
      <c r="B725" s="123"/>
      <c r="C725" s="123"/>
      <c r="D725" s="123"/>
      <c r="E725" s="123"/>
      <c r="G725" s="123"/>
      <c r="I725" s="123"/>
      <c r="M725" s="123"/>
      <c r="N725" s="123"/>
      <c r="O725" s="123"/>
      <c r="Q725" s="123"/>
      <c r="S725" s="123"/>
      <c r="U725" s="123"/>
      <c r="W725" s="123"/>
      <c r="AA725" s="123"/>
      <c r="AB725" s="123"/>
      <c r="AC725" s="123"/>
      <c r="AE725" s="123"/>
    </row>
    <row r="726" spans="1:31">
      <c r="A726" s="58"/>
      <c r="B726" s="123"/>
      <c r="C726" s="123"/>
      <c r="D726" s="123"/>
      <c r="E726" s="123"/>
      <c r="G726" s="123"/>
      <c r="I726" s="123"/>
      <c r="M726" s="123"/>
      <c r="N726" s="123"/>
      <c r="O726" s="123"/>
      <c r="Q726" s="123"/>
      <c r="S726" s="123"/>
      <c r="U726" s="123"/>
      <c r="W726" s="123"/>
      <c r="AA726" s="123"/>
      <c r="AB726" s="123"/>
      <c r="AC726" s="123"/>
      <c r="AE726" s="123"/>
    </row>
    <row r="727" spans="1:31">
      <c r="A727" s="58"/>
      <c r="B727" s="123"/>
      <c r="C727" s="123"/>
      <c r="D727" s="123"/>
      <c r="E727" s="123"/>
      <c r="G727" s="123"/>
      <c r="I727" s="123"/>
      <c r="M727" s="123"/>
      <c r="N727" s="123"/>
      <c r="O727" s="123"/>
      <c r="Q727" s="123"/>
      <c r="S727" s="123"/>
      <c r="U727" s="123"/>
      <c r="W727" s="123"/>
      <c r="AA727" s="123"/>
      <c r="AB727" s="123"/>
      <c r="AC727" s="123"/>
      <c r="AE727" s="123"/>
    </row>
    <row r="728" spans="1:31">
      <c r="A728" s="58"/>
      <c r="B728" s="123"/>
      <c r="C728" s="123"/>
      <c r="D728" s="123"/>
      <c r="E728" s="123"/>
      <c r="G728" s="123"/>
      <c r="I728" s="123"/>
      <c r="M728" s="123"/>
      <c r="N728" s="123"/>
      <c r="O728" s="123"/>
      <c r="Q728" s="123"/>
      <c r="S728" s="123"/>
      <c r="U728" s="123"/>
      <c r="W728" s="123"/>
      <c r="AA728" s="123"/>
      <c r="AB728" s="123"/>
      <c r="AC728" s="123"/>
      <c r="AE728" s="123"/>
    </row>
    <row r="729" spans="1:31">
      <c r="A729" s="58"/>
      <c r="B729" s="123"/>
      <c r="C729" s="123"/>
      <c r="D729" s="123"/>
      <c r="E729" s="123"/>
      <c r="G729" s="123"/>
      <c r="I729" s="123"/>
      <c r="M729" s="123"/>
      <c r="N729" s="123"/>
      <c r="O729" s="123"/>
      <c r="Q729" s="123"/>
      <c r="S729" s="123"/>
      <c r="U729" s="123"/>
      <c r="W729" s="123"/>
      <c r="AA729" s="123"/>
      <c r="AB729" s="123"/>
      <c r="AC729" s="123"/>
      <c r="AE729" s="123"/>
    </row>
    <row r="730" spans="1:31">
      <c r="A730" s="58"/>
      <c r="B730" s="123"/>
      <c r="C730" s="123"/>
      <c r="D730" s="123"/>
      <c r="E730" s="123"/>
      <c r="G730" s="123"/>
      <c r="I730" s="123"/>
      <c r="M730" s="123"/>
      <c r="N730" s="123"/>
      <c r="O730" s="123"/>
      <c r="Q730" s="123"/>
      <c r="S730" s="123"/>
      <c r="U730" s="123"/>
      <c r="W730" s="123"/>
      <c r="AA730" s="123"/>
      <c r="AB730" s="123"/>
      <c r="AC730" s="123"/>
      <c r="AE730" s="123"/>
    </row>
    <row r="731" spans="1:31">
      <c r="A731" s="58"/>
      <c r="B731" s="123"/>
      <c r="C731" s="123"/>
      <c r="D731" s="123"/>
      <c r="E731" s="123"/>
      <c r="G731" s="123"/>
      <c r="I731" s="123"/>
      <c r="M731" s="123"/>
      <c r="N731" s="123"/>
      <c r="O731" s="123"/>
      <c r="Q731" s="123"/>
      <c r="S731" s="123"/>
      <c r="U731" s="123"/>
      <c r="W731" s="123"/>
      <c r="AA731" s="123"/>
      <c r="AB731" s="123"/>
      <c r="AC731" s="123"/>
      <c r="AE731" s="123"/>
    </row>
    <row r="732" spans="1:31">
      <c r="A732" s="58"/>
      <c r="B732" s="123"/>
      <c r="C732" s="123"/>
      <c r="D732" s="123"/>
      <c r="E732" s="123"/>
      <c r="G732" s="123"/>
      <c r="I732" s="123"/>
      <c r="M732" s="123"/>
      <c r="N732" s="123"/>
      <c r="O732" s="123"/>
      <c r="Q732" s="123"/>
      <c r="S732" s="123"/>
      <c r="U732" s="123"/>
      <c r="W732" s="123"/>
      <c r="AA732" s="123"/>
      <c r="AB732" s="123"/>
      <c r="AC732" s="123"/>
      <c r="AE732" s="123"/>
    </row>
    <row r="733" spans="1:31">
      <c r="A733" s="58"/>
      <c r="B733" s="123"/>
      <c r="C733" s="123"/>
      <c r="D733" s="123"/>
      <c r="E733" s="123"/>
      <c r="G733" s="123"/>
      <c r="I733" s="123"/>
      <c r="M733" s="123"/>
      <c r="N733" s="123"/>
      <c r="O733" s="123"/>
      <c r="Q733" s="123"/>
      <c r="S733" s="123"/>
      <c r="U733" s="123"/>
      <c r="W733" s="123"/>
      <c r="AA733" s="123"/>
      <c r="AB733" s="123"/>
      <c r="AC733" s="123"/>
      <c r="AE733" s="123"/>
    </row>
    <row r="734" spans="1:31">
      <c r="A734" s="58"/>
      <c r="B734" s="123"/>
      <c r="C734" s="123"/>
      <c r="D734" s="123"/>
      <c r="E734" s="123"/>
      <c r="G734" s="123"/>
      <c r="I734" s="123"/>
      <c r="M734" s="123"/>
      <c r="N734" s="123"/>
      <c r="O734" s="123"/>
      <c r="Q734" s="123"/>
      <c r="S734" s="123"/>
      <c r="U734" s="123"/>
      <c r="W734" s="123"/>
      <c r="AA734" s="123"/>
      <c r="AB734" s="123"/>
      <c r="AC734" s="123"/>
      <c r="AE734" s="123"/>
    </row>
    <row r="735" spans="1:31">
      <c r="A735" s="58"/>
      <c r="B735" s="123"/>
      <c r="C735" s="123"/>
      <c r="D735" s="123"/>
      <c r="E735" s="123"/>
      <c r="G735" s="123"/>
      <c r="I735" s="123"/>
      <c r="M735" s="123"/>
      <c r="N735" s="123"/>
      <c r="O735" s="123"/>
      <c r="Q735" s="123"/>
      <c r="S735" s="123"/>
      <c r="U735" s="123"/>
      <c r="W735" s="123"/>
      <c r="AA735" s="123"/>
      <c r="AB735" s="123"/>
      <c r="AC735" s="123"/>
      <c r="AE735" s="123"/>
    </row>
    <row r="736" spans="1:31">
      <c r="A736" s="58"/>
      <c r="B736" s="123"/>
      <c r="C736" s="123"/>
      <c r="D736" s="123"/>
      <c r="E736" s="123"/>
      <c r="G736" s="123"/>
      <c r="I736" s="123"/>
      <c r="M736" s="123"/>
      <c r="N736" s="123"/>
      <c r="O736" s="123"/>
      <c r="Q736" s="123"/>
      <c r="S736" s="123"/>
      <c r="U736" s="123"/>
      <c r="W736" s="123"/>
      <c r="AA736" s="123"/>
      <c r="AB736" s="123"/>
      <c r="AC736" s="123"/>
      <c r="AE736" s="123"/>
    </row>
    <row r="737" spans="1:31">
      <c r="A737" s="58"/>
      <c r="B737" s="123"/>
      <c r="C737" s="123"/>
      <c r="D737" s="123"/>
      <c r="E737" s="123"/>
      <c r="G737" s="123"/>
      <c r="I737" s="123"/>
      <c r="M737" s="123"/>
      <c r="N737" s="123"/>
      <c r="O737" s="123"/>
      <c r="Q737" s="123"/>
      <c r="S737" s="123"/>
      <c r="U737" s="123"/>
      <c r="W737" s="123"/>
      <c r="AA737" s="123"/>
      <c r="AB737" s="123"/>
      <c r="AC737" s="123"/>
      <c r="AE737" s="123"/>
    </row>
    <row r="738" spans="1:31">
      <c r="A738" s="58"/>
      <c r="B738" s="123"/>
      <c r="C738" s="123"/>
      <c r="D738" s="123"/>
      <c r="E738" s="123"/>
      <c r="G738" s="123"/>
      <c r="I738" s="123"/>
      <c r="M738" s="123"/>
      <c r="N738" s="123"/>
      <c r="O738" s="123"/>
      <c r="Q738" s="123"/>
      <c r="S738" s="123"/>
      <c r="U738" s="123"/>
      <c r="W738" s="123"/>
      <c r="AA738" s="123"/>
      <c r="AB738" s="123"/>
      <c r="AC738" s="123"/>
      <c r="AE738" s="123"/>
    </row>
    <row r="739" spans="1:31">
      <c r="A739" s="58"/>
      <c r="B739" s="123"/>
      <c r="C739" s="123"/>
      <c r="D739" s="123"/>
      <c r="E739" s="123"/>
      <c r="G739" s="123"/>
      <c r="I739" s="123"/>
      <c r="M739" s="123"/>
      <c r="N739" s="123"/>
      <c r="O739" s="123"/>
      <c r="Q739" s="123"/>
      <c r="S739" s="123"/>
      <c r="U739" s="123"/>
      <c r="W739" s="123"/>
      <c r="AA739" s="123"/>
      <c r="AB739" s="123"/>
      <c r="AC739" s="123"/>
      <c r="AE739" s="123"/>
    </row>
    <row r="740" spans="1:31">
      <c r="A740" s="58"/>
      <c r="B740" s="123"/>
      <c r="C740" s="123"/>
      <c r="D740" s="123"/>
      <c r="E740" s="123"/>
      <c r="G740" s="123"/>
      <c r="I740" s="123"/>
      <c r="M740" s="123"/>
      <c r="N740" s="123"/>
      <c r="O740" s="123"/>
      <c r="Q740" s="123"/>
      <c r="S740" s="123"/>
      <c r="U740" s="123"/>
      <c r="W740" s="123"/>
      <c r="AA740" s="123"/>
      <c r="AB740" s="123"/>
      <c r="AC740" s="123"/>
      <c r="AE740" s="123"/>
    </row>
    <row r="741" spans="1:31">
      <c r="A741" s="58"/>
      <c r="B741" s="123"/>
      <c r="C741" s="123"/>
      <c r="D741" s="123"/>
      <c r="E741" s="123"/>
      <c r="G741" s="123"/>
      <c r="I741" s="123"/>
      <c r="M741" s="123"/>
      <c r="N741" s="123"/>
      <c r="O741" s="123"/>
      <c r="Q741" s="123"/>
      <c r="S741" s="123"/>
      <c r="U741" s="123"/>
      <c r="W741" s="123"/>
      <c r="AA741" s="123"/>
      <c r="AB741" s="123"/>
      <c r="AC741" s="123"/>
      <c r="AE741" s="123"/>
    </row>
    <row r="742" spans="1:31">
      <c r="A742" s="58"/>
      <c r="B742" s="123"/>
      <c r="C742" s="123"/>
      <c r="D742" s="123"/>
      <c r="E742" s="123"/>
      <c r="G742" s="123"/>
      <c r="I742" s="123"/>
      <c r="M742" s="123"/>
      <c r="N742" s="123"/>
      <c r="O742" s="123"/>
      <c r="Q742" s="123"/>
      <c r="S742" s="123"/>
      <c r="U742" s="123"/>
      <c r="W742" s="123"/>
      <c r="AA742" s="123"/>
      <c r="AB742" s="123"/>
      <c r="AC742" s="123"/>
      <c r="AE742" s="123"/>
    </row>
    <row r="743" spans="1:31">
      <c r="A743" s="58"/>
      <c r="B743" s="123"/>
      <c r="C743" s="123"/>
      <c r="D743" s="123"/>
      <c r="E743" s="123"/>
      <c r="G743" s="123"/>
      <c r="I743" s="123"/>
      <c r="M743" s="123"/>
      <c r="N743" s="123"/>
      <c r="O743" s="123"/>
      <c r="Q743" s="123"/>
      <c r="S743" s="123"/>
      <c r="U743" s="123"/>
      <c r="W743" s="123"/>
      <c r="AA743" s="123"/>
      <c r="AB743" s="123"/>
      <c r="AC743" s="123"/>
      <c r="AE743" s="123"/>
    </row>
    <row r="744" spans="1:31">
      <c r="A744" s="58"/>
      <c r="B744" s="123"/>
      <c r="C744" s="123"/>
      <c r="D744" s="123"/>
      <c r="E744" s="123"/>
      <c r="G744" s="123"/>
      <c r="I744" s="123"/>
      <c r="M744" s="123"/>
      <c r="N744" s="123"/>
      <c r="O744" s="123"/>
      <c r="Q744" s="123"/>
      <c r="S744" s="123"/>
      <c r="U744" s="123"/>
      <c r="W744" s="123"/>
      <c r="AA744" s="123"/>
      <c r="AB744" s="123"/>
      <c r="AC744" s="123"/>
      <c r="AE744" s="123"/>
    </row>
    <row r="745" spans="1:31">
      <c r="A745" s="58"/>
      <c r="B745" s="123"/>
      <c r="C745" s="123"/>
      <c r="D745" s="123"/>
      <c r="E745" s="123"/>
      <c r="G745" s="123"/>
      <c r="I745" s="123"/>
      <c r="M745" s="123"/>
      <c r="N745" s="123"/>
      <c r="O745" s="123"/>
      <c r="Q745" s="123"/>
      <c r="S745" s="123"/>
      <c r="U745" s="123"/>
      <c r="W745" s="123"/>
      <c r="AA745" s="123"/>
      <c r="AB745" s="123"/>
      <c r="AC745" s="123"/>
      <c r="AE745" s="123"/>
    </row>
    <row r="746" spans="1:31">
      <c r="A746" s="58"/>
      <c r="B746" s="123"/>
      <c r="C746" s="123"/>
      <c r="D746" s="123"/>
      <c r="E746" s="123"/>
      <c r="G746" s="123"/>
      <c r="I746" s="123"/>
      <c r="M746" s="123"/>
      <c r="N746" s="123"/>
      <c r="O746" s="123"/>
      <c r="Q746" s="123"/>
      <c r="S746" s="123"/>
      <c r="U746" s="123"/>
      <c r="W746" s="123"/>
      <c r="AA746" s="123"/>
      <c r="AB746" s="123"/>
      <c r="AC746" s="123"/>
      <c r="AE746" s="123"/>
    </row>
    <row r="747" spans="1:31">
      <c r="A747" s="58"/>
      <c r="B747" s="123"/>
      <c r="C747" s="123"/>
      <c r="D747" s="123"/>
      <c r="E747" s="123"/>
      <c r="G747" s="123"/>
      <c r="I747" s="123"/>
      <c r="M747" s="123"/>
      <c r="N747" s="123"/>
      <c r="O747" s="123"/>
      <c r="Q747" s="123"/>
      <c r="S747" s="123"/>
      <c r="U747" s="123"/>
      <c r="W747" s="123"/>
      <c r="AA747" s="123"/>
      <c r="AB747" s="123"/>
      <c r="AC747" s="123"/>
      <c r="AE747" s="123"/>
    </row>
    <row r="748" spans="1:31">
      <c r="A748" s="58"/>
      <c r="B748" s="123"/>
      <c r="C748" s="123"/>
      <c r="D748" s="123"/>
      <c r="E748" s="123"/>
      <c r="G748" s="123"/>
      <c r="I748" s="123"/>
      <c r="M748" s="123"/>
      <c r="N748" s="123"/>
      <c r="O748" s="123"/>
      <c r="Q748" s="123"/>
      <c r="S748" s="123"/>
      <c r="U748" s="123"/>
      <c r="W748" s="123"/>
      <c r="AA748" s="123"/>
      <c r="AB748" s="123"/>
      <c r="AC748" s="123"/>
      <c r="AE748" s="123"/>
    </row>
    <row r="749" spans="1:31">
      <c r="A749" s="58"/>
      <c r="B749" s="123"/>
      <c r="C749" s="123"/>
      <c r="D749" s="123"/>
      <c r="E749" s="123"/>
      <c r="G749" s="123"/>
      <c r="I749" s="123"/>
      <c r="M749" s="123"/>
      <c r="N749" s="123"/>
      <c r="O749" s="123"/>
      <c r="Q749" s="123"/>
      <c r="S749" s="123"/>
      <c r="U749" s="123"/>
      <c r="W749" s="123"/>
      <c r="AA749" s="123"/>
      <c r="AB749" s="123"/>
      <c r="AC749" s="123"/>
      <c r="AE749" s="123"/>
    </row>
    <row r="750" spans="1:31">
      <c r="A750" s="58"/>
      <c r="B750" s="123"/>
      <c r="C750" s="123"/>
      <c r="D750" s="123"/>
      <c r="E750" s="123"/>
      <c r="G750" s="123"/>
      <c r="I750" s="123"/>
      <c r="M750" s="123"/>
      <c r="N750" s="123"/>
      <c r="O750" s="123"/>
      <c r="Q750" s="123"/>
      <c r="S750" s="123"/>
      <c r="U750" s="123"/>
      <c r="W750" s="123"/>
      <c r="AA750" s="123"/>
      <c r="AB750" s="123"/>
      <c r="AC750" s="123"/>
      <c r="AE750" s="123"/>
    </row>
    <row r="751" spans="1:31">
      <c r="A751" s="58"/>
      <c r="B751" s="123"/>
      <c r="C751" s="123"/>
      <c r="D751" s="123"/>
      <c r="E751" s="123"/>
      <c r="G751" s="123"/>
      <c r="I751" s="123"/>
      <c r="M751" s="123"/>
      <c r="N751" s="123"/>
      <c r="O751" s="123"/>
      <c r="Q751" s="123"/>
      <c r="S751" s="123"/>
      <c r="U751" s="123"/>
      <c r="W751" s="123"/>
      <c r="AA751" s="123"/>
      <c r="AB751" s="123"/>
      <c r="AC751" s="123"/>
      <c r="AE751" s="123"/>
    </row>
    <row r="752" spans="1:31">
      <c r="A752" s="58"/>
      <c r="B752" s="123"/>
      <c r="C752" s="123"/>
      <c r="D752" s="123"/>
      <c r="E752" s="123"/>
      <c r="G752" s="123"/>
      <c r="I752" s="123"/>
      <c r="M752" s="123"/>
      <c r="N752" s="123"/>
      <c r="O752" s="123"/>
      <c r="Q752" s="123"/>
      <c r="S752" s="123"/>
      <c r="U752" s="123"/>
      <c r="W752" s="123"/>
      <c r="AA752" s="123"/>
      <c r="AB752" s="123"/>
      <c r="AC752" s="123"/>
      <c r="AE752" s="123"/>
    </row>
    <row r="753" spans="1:31">
      <c r="A753" s="58"/>
      <c r="B753" s="123"/>
      <c r="C753" s="123"/>
      <c r="D753" s="123"/>
      <c r="E753" s="123"/>
      <c r="G753" s="123"/>
      <c r="I753" s="123"/>
      <c r="M753" s="123"/>
      <c r="N753" s="123"/>
      <c r="O753" s="123"/>
      <c r="Q753" s="123"/>
      <c r="S753" s="123"/>
      <c r="U753" s="123"/>
      <c r="W753" s="123"/>
      <c r="AA753" s="123"/>
      <c r="AB753" s="123"/>
      <c r="AC753" s="123"/>
      <c r="AE753" s="123"/>
    </row>
    <row r="754" spans="1:31">
      <c r="A754" s="58"/>
      <c r="B754" s="123"/>
      <c r="C754" s="123"/>
      <c r="D754" s="123"/>
      <c r="E754" s="123"/>
      <c r="G754" s="123"/>
      <c r="I754" s="123"/>
      <c r="M754" s="123"/>
      <c r="N754" s="123"/>
      <c r="O754" s="123"/>
      <c r="Q754" s="123"/>
      <c r="S754" s="123"/>
      <c r="U754" s="123"/>
      <c r="W754" s="123"/>
      <c r="AA754" s="123"/>
      <c r="AB754" s="123"/>
      <c r="AC754" s="123"/>
      <c r="AE754" s="123"/>
    </row>
    <row r="755" spans="1:31">
      <c r="A755" s="58"/>
      <c r="B755" s="123"/>
      <c r="C755" s="123"/>
      <c r="D755" s="123"/>
      <c r="E755" s="123"/>
      <c r="G755" s="123"/>
      <c r="I755" s="123"/>
      <c r="M755" s="123"/>
      <c r="N755" s="123"/>
      <c r="O755" s="123"/>
      <c r="Q755" s="123"/>
      <c r="S755" s="123"/>
      <c r="U755" s="123"/>
      <c r="W755" s="123"/>
      <c r="AA755" s="123"/>
      <c r="AB755" s="123"/>
      <c r="AC755" s="123"/>
      <c r="AE755" s="123"/>
    </row>
    <row r="756" spans="1:31">
      <c r="A756" s="58"/>
      <c r="B756" s="123"/>
      <c r="C756" s="123"/>
      <c r="D756" s="123"/>
      <c r="E756" s="123"/>
      <c r="G756" s="123"/>
      <c r="I756" s="123"/>
      <c r="M756" s="123"/>
      <c r="N756" s="123"/>
      <c r="O756" s="123"/>
      <c r="Q756" s="123"/>
      <c r="S756" s="123"/>
      <c r="U756" s="123"/>
      <c r="W756" s="123"/>
      <c r="AA756" s="123"/>
      <c r="AB756" s="123"/>
      <c r="AC756" s="123"/>
      <c r="AE756" s="123"/>
    </row>
    <row r="757" spans="1:31">
      <c r="A757" s="58"/>
      <c r="B757" s="123"/>
      <c r="C757" s="123"/>
      <c r="D757" s="123"/>
      <c r="E757" s="123"/>
      <c r="G757" s="123"/>
      <c r="I757" s="123"/>
      <c r="M757" s="123"/>
      <c r="N757" s="123"/>
      <c r="O757" s="123"/>
      <c r="Q757" s="123"/>
      <c r="S757" s="123"/>
      <c r="U757" s="123"/>
      <c r="W757" s="123"/>
      <c r="AA757" s="123"/>
      <c r="AB757" s="123"/>
      <c r="AC757" s="123"/>
      <c r="AE757" s="123"/>
    </row>
    <row r="758" spans="1:31">
      <c r="A758" s="58"/>
      <c r="B758" s="123"/>
      <c r="C758" s="123"/>
      <c r="D758" s="123"/>
      <c r="E758" s="123"/>
      <c r="G758" s="123"/>
      <c r="I758" s="123"/>
      <c r="M758" s="123"/>
      <c r="N758" s="123"/>
      <c r="O758" s="123"/>
      <c r="Q758" s="123"/>
      <c r="S758" s="123"/>
      <c r="U758" s="123"/>
      <c r="W758" s="123"/>
      <c r="AA758" s="123"/>
      <c r="AB758" s="123"/>
      <c r="AC758" s="123"/>
      <c r="AE758" s="123"/>
    </row>
    <row r="759" spans="1:31">
      <c r="A759" s="58"/>
      <c r="B759" s="123"/>
      <c r="C759" s="123"/>
      <c r="D759" s="123"/>
      <c r="E759" s="123"/>
      <c r="G759" s="123"/>
      <c r="I759" s="123"/>
      <c r="M759" s="123"/>
      <c r="N759" s="123"/>
      <c r="O759" s="123"/>
      <c r="Q759" s="123"/>
      <c r="S759" s="123"/>
      <c r="U759" s="123"/>
      <c r="W759" s="123"/>
      <c r="AA759" s="123"/>
      <c r="AB759" s="123"/>
      <c r="AC759" s="123"/>
      <c r="AE759" s="123"/>
    </row>
    <row r="760" spans="1:31">
      <c r="A760" s="58"/>
      <c r="B760" s="123"/>
      <c r="C760" s="123"/>
      <c r="D760" s="123"/>
      <c r="E760" s="123"/>
      <c r="G760" s="123"/>
      <c r="I760" s="123"/>
      <c r="M760" s="123"/>
      <c r="N760" s="123"/>
      <c r="O760" s="123"/>
      <c r="Q760" s="123"/>
      <c r="S760" s="123"/>
      <c r="U760" s="123"/>
      <c r="W760" s="123"/>
      <c r="AA760" s="123"/>
      <c r="AB760" s="123"/>
      <c r="AC760" s="123"/>
      <c r="AE760" s="123"/>
    </row>
    <row r="761" spans="1:31">
      <c r="A761" s="58"/>
      <c r="B761" s="123"/>
      <c r="C761" s="123"/>
      <c r="D761" s="123"/>
      <c r="E761" s="123"/>
      <c r="G761" s="123"/>
      <c r="I761" s="123"/>
      <c r="M761" s="123"/>
      <c r="N761" s="123"/>
      <c r="O761" s="123"/>
      <c r="Q761" s="123"/>
      <c r="S761" s="123"/>
      <c r="U761" s="123"/>
      <c r="W761" s="123"/>
      <c r="AA761" s="123"/>
      <c r="AB761" s="123"/>
      <c r="AC761" s="123"/>
      <c r="AE761" s="123"/>
    </row>
    <row r="762" spans="1:31">
      <c r="A762" s="58"/>
      <c r="B762" s="123"/>
      <c r="C762" s="123"/>
      <c r="D762" s="123"/>
      <c r="E762" s="123"/>
      <c r="G762" s="123"/>
      <c r="I762" s="123"/>
      <c r="M762" s="123"/>
      <c r="N762" s="123"/>
      <c r="O762" s="123"/>
      <c r="Q762" s="123"/>
      <c r="S762" s="123"/>
      <c r="U762" s="123"/>
      <c r="W762" s="123"/>
      <c r="AA762" s="123"/>
      <c r="AB762" s="123"/>
      <c r="AC762" s="123"/>
      <c r="AE762" s="123"/>
    </row>
    <row r="763" spans="1:31">
      <c r="A763" s="58"/>
      <c r="B763" s="123"/>
      <c r="C763" s="123"/>
      <c r="D763" s="123"/>
      <c r="E763" s="123"/>
      <c r="G763" s="123"/>
      <c r="I763" s="123"/>
      <c r="M763" s="123"/>
      <c r="N763" s="123"/>
      <c r="O763" s="123"/>
      <c r="Q763" s="123"/>
      <c r="S763" s="123"/>
      <c r="U763" s="123"/>
      <c r="W763" s="123"/>
      <c r="AA763" s="123"/>
      <c r="AB763" s="123"/>
      <c r="AC763" s="123"/>
      <c r="AE763" s="123"/>
    </row>
    <row r="764" spans="1:31">
      <c r="A764" s="58"/>
      <c r="B764" s="123"/>
      <c r="C764" s="123"/>
      <c r="D764" s="123"/>
      <c r="E764" s="123"/>
      <c r="G764" s="123"/>
      <c r="I764" s="123"/>
      <c r="M764" s="123"/>
      <c r="N764" s="123"/>
      <c r="O764" s="123"/>
      <c r="Q764" s="123"/>
      <c r="S764" s="123"/>
      <c r="U764" s="123"/>
      <c r="W764" s="123"/>
      <c r="AA764" s="123"/>
      <c r="AB764" s="123"/>
      <c r="AC764" s="123"/>
      <c r="AE764" s="123"/>
    </row>
    <row r="765" spans="1:31">
      <c r="A765" s="58"/>
      <c r="B765" s="123"/>
      <c r="C765" s="123"/>
      <c r="D765" s="123"/>
      <c r="E765" s="123"/>
      <c r="G765" s="123"/>
      <c r="I765" s="123"/>
      <c r="M765" s="123"/>
      <c r="N765" s="123"/>
      <c r="O765" s="123"/>
      <c r="Q765" s="123"/>
      <c r="S765" s="123"/>
      <c r="U765" s="123"/>
      <c r="W765" s="123"/>
      <c r="AA765" s="123"/>
      <c r="AB765" s="123"/>
      <c r="AC765" s="123"/>
      <c r="AE765" s="123"/>
    </row>
    <row r="766" spans="1:31">
      <c r="A766" s="58"/>
      <c r="B766" s="123"/>
      <c r="C766" s="123"/>
      <c r="D766" s="123"/>
      <c r="E766" s="123"/>
      <c r="G766" s="123"/>
      <c r="I766" s="123"/>
      <c r="M766" s="123"/>
      <c r="N766" s="123"/>
      <c r="O766" s="123"/>
      <c r="Q766" s="123"/>
      <c r="S766" s="123"/>
      <c r="U766" s="123"/>
      <c r="W766" s="123"/>
      <c r="AA766" s="123"/>
      <c r="AB766" s="123"/>
      <c r="AC766" s="123"/>
      <c r="AE766" s="123"/>
    </row>
    <row r="767" spans="1:31">
      <c r="A767" s="58"/>
      <c r="B767" s="123"/>
      <c r="C767" s="123"/>
      <c r="D767" s="123"/>
      <c r="E767" s="123"/>
      <c r="G767" s="123"/>
      <c r="I767" s="123"/>
      <c r="M767" s="123"/>
      <c r="N767" s="123"/>
      <c r="O767" s="123"/>
      <c r="Q767" s="123"/>
      <c r="S767" s="123"/>
      <c r="U767" s="123"/>
      <c r="W767" s="123"/>
      <c r="AA767" s="123"/>
      <c r="AB767" s="123"/>
      <c r="AC767" s="123"/>
      <c r="AE767" s="123"/>
    </row>
    <row r="768" spans="1:31">
      <c r="A768" s="58"/>
      <c r="B768" s="123"/>
      <c r="C768" s="123"/>
      <c r="D768" s="123"/>
      <c r="E768" s="123"/>
      <c r="G768" s="123"/>
      <c r="I768" s="123"/>
      <c r="M768" s="123"/>
      <c r="N768" s="123"/>
      <c r="O768" s="123"/>
      <c r="Q768" s="123"/>
      <c r="S768" s="123"/>
      <c r="U768" s="123"/>
      <c r="W768" s="123"/>
      <c r="AA768" s="123"/>
      <c r="AB768" s="123"/>
      <c r="AC768" s="123"/>
      <c r="AE768" s="123"/>
    </row>
    <row r="769" spans="1:31">
      <c r="A769" s="58"/>
      <c r="B769" s="123"/>
      <c r="C769" s="123"/>
      <c r="D769" s="123"/>
      <c r="E769" s="123"/>
      <c r="G769" s="123"/>
      <c r="I769" s="123"/>
      <c r="M769" s="123"/>
      <c r="N769" s="123"/>
      <c r="O769" s="123"/>
      <c r="Q769" s="123"/>
      <c r="S769" s="123"/>
      <c r="U769" s="123"/>
      <c r="W769" s="123"/>
      <c r="AA769" s="123"/>
      <c r="AB769" s="123"/>
      <c r="AC769" s="123"/>
      <c r="AE769" s="123"/>
    </row>
    <row r="770" spans="1:31">
      <c r="A770" s="58"/>
      <c r="B770" s="123"/>
      <c r="C770" s="123"/>
      <c r="D770" s="123"/>
      <c r="E770" s="123"/>
      <c r="G770" s="123"/>
      <c r="I770" s="123"/>
      <c r="M770" s="123"/>
      <c r="N770" s="123"/>
      <c r="O770" s="123"/>
      <c r="Q770" s="123"/>
      <c r="S770" s="123"/>
      <c r="U770" s="123"/>
      <c r="W770" s="123"/>
      <c r="AA770" s="123"/>
      <c r="AB770" s="123"/>
      <c r="AC770" s="123"/>
      <c r="AE770" s="123"/>
    </row>
    <row r="771" spans="1:31">
      <c r="A771" s="58"/>
      <c r="B771" s="123"/>
      <c r="C771" s="123"/>
      <c r="D771" s="123"/>
      <c r="E771" s="123"/>
      <c r="G771" s="123"/>
      <c r="I771" s="123"/>
      <c r="M771" s="123"/>
      <c r="N771" s="123"/>
      <c r="O771" s="123"/>
      <c r="Q771" s="123"/>
      <c r="S771" s="123"/>
      <c r="U771" s="123"/>
      <c r="W771" s="123"/>
      <c r="AA771" s="123"/>
      <c r="AB771" s="123"/>
      <c r="AC771" s="123"/>
      <c r="AE771" s="123"/>
    </row>
    <row r="772" spans="1:31">
      <c r="A772" s="58"/>
      <c r="B772" s="123"/>
      <c r="C772" s="123"/>
      <c r="D772" s="123"/>
      <c r="E772" s="123"/>
      <c r="G772" s="123"/>
      <c r="I772" s="123"/>
      <c r="M772" s="123"/>
      <c r="N772" s="123"/>
      <c r="O772" s="123"/>
      <c r="Q772" s="123"/>
      <c r="S772" s="123"/>
      <c r="U772" s="123"/>
      <c r="W772" s="123"/>
      <c r="AA772" s="123"/>
      <c r="AB772" s="123"/>
      <c r="AC772" s="123"/>
      <c r="AE772" s="123"/>
    </row>
    <row r="773" spans="1:31">
      <c r="A773" s="58"/>
      <c r="B773" s="123"/>
      <c r="C773" s="123"/>
      <c r="D773" s="123"/>
      <c r="E773" s="123"/>
      <c r="G773" s="123"/>
      <c r="I773" s="123"/>
      <c r="M773" s="123"/>
      <c r="N773" s="123"/>
      <c r="O773" s="123"/>
      <c r="Q773" s="123"/>
      <c r="S773" s="123"/>
      <c r="U773" s="123"/>
      <c r="W773" s="123"/>
      <c r="AA773" s="123"/>
      <c r="AB773" s="123"/>
      <c r="AC773" s="123"/>
      <c r="AE773" s="123"/>
    </row>
    <row r="774" spans="1:31">
      <c r="A774" s="58"/>
      <c r="B774" s="123"/>
      <c r="C774" s="123"/>
      <c r="D774" s="123"/>
      <c r="E774" s="123"/>
      <c r="G774" s="123"/>
      <c r="I774" s="123"/>
      <c r="M774" s="123"/>
      <c r="N774" s="123"/>
      <c r="O774" s="123"/>
      <c r="Q774" s="123"/>
      <c r="S774" s="123"/>
      <c r="U774" s="123"/>
      <c r="W774" s="123"/>
      <c r="AA774" s="123"/>
      <c r="AB774" s="123"/>
      <c r="AC774" s="123"/>
      <c r="AE774" s="123"/>
    </row>
    <row r="775" spans="1:31">
      <c r="A775" s="58"/>
      <c r="B775" s="123"/>
      <c r="C775" s="123"/>
      <c r="D775" s="123"/>
      <c r="E775" s="123"/>
      <c r="G775" s="123"/>
      <c r="I775" s="123"/>
      <c r="M775" s="123"/>
      <c r="N775" s="123"/>
      <c r="O775" s="123"/>
      <c r="Q775" s="123"/>
      <c r="S775" s="123"/>
      <c r="U775" s="123"/>
      <c r="W775" s="123"/>
      <c r="AA775" s="123"/>
      <c r="AB775" s="123"/>
      <c r="AC775" s="123"/>
      <c r="AE775" s="123"/>
    </row>
    <row r="776" spans="1:31">
      <c r="A776" s="58"/>
      <c r="B776" s="123"/>
      <c r="C776" s="123"/>
      <c r="D776" s="123"/>
      <c r="E776" s="123"/>
      <c r="G776" s="123"/>
      <c r="I776" s="123"/>
      <c r="M776" s="123"/>
      <c r="N776" s="123"/>
      <c r="O776" s="123"/>
      <c r="Q776" s="123"/>
      <c r="S776" s="123"/>
      <c r="U776" s="123"/>
      <c r="W776" s="123"/>
      <c r="AA776" s="123"/>
      <c r="AB776" s="123"/>
      <c r="AC776" s="123"/>
      <c r="AE776" s="123"/>
    </row>
    <row r="777" spans="1:31">
      <c r="A777" s="58"/>
      <c r="B777" s="123"/>
      <c r="C777" s="123"/>
      <c r="D777" s="123"/>
      <c r="E777" s="123"/>
      <c r="G777" s="123"/>
      <c r="I777" s="123"/>
      <c r="M777" s="123"/>
      <c r="N777" s="123"/>
      <c r="O777" s="123"/>
      <c r="Q777" s="123"/>
      <c r="S777" s="123"/>
      <c r="U777" s="123"/>
      <c r="W777" s="123"/>
      <c r="AA777" s="123"/>
      <c r="AB777" s="123"/>
      <c r="AC777" s="123"/>
      <c r="AE777" s="123"/>
    </row>
    <row r="778" spans="1:31">
      <c r="A778" s="58"/>
      <c r="B778" s="123"/>
      <c r="C778" s="123"/>
      <c r="D778" s="123"/>
      <c r="E778" s="123"/>
      <c r="G778" s="123"/>
      <c r="I778" s="123"/>
      <c r="M778" s="123"/>
      <c r="N778" s="123"/>
      <c r="O778" s="123"/>
      <c r="Q778" s="123"/>
      <c r="S778" s="123"/>
      <c r="U778" s="123"/>
      <c r="W778" s="123"/>
      <c r="AA778" s="123"/>
      <c r="AB778" s="123"/>
      <c r="AC778" s="123"/>
      <c r="AE778" s="123"/>
    </row>
    <row r="779" spans="1:31">
      <c r="A779" s="58"/>
      <c r="B779" s="123"/>
      <c r="C779" s="123"/>
      <c r="D779" s="123"/>
      <c r="E779" s="123"/>
      <c r="G779" s="123"/>
      <c r="I779" s="123"/>
      <c r="M779" s="123"/>
      <c r="N779" s="123"/>
      <c r="O779" s="123"/>
      <c r="Q779" s="123"/>
      <c r="S779" s="123"/>
      <c r="U779" s="123"/>
      <c r="W779" s="123"/>
      <c r="AA779" s="123"/>
      <c r="AB779" s="123"/>
      <c r="AC779" s="123"/>
      <c r="AE779" s="123"/>
    </row>
    <row r="780" spans="1:31">
      <c r="A780" s="58"/>
      <c r="B780" s="123"/>
      <c r="C780" s="123"/>
      <c r="D780" s="123"/>
      <c r="E780" s="123"/>
      <c r="G780" s="123"/>
      <c r="I780" s="123"/>
      <c r="M780" s="123"/>
      <c r="N780" s="123"/>
      <c r="O780" s="123"/>
      <c r="Q780" s="123"/>
      <c r="S780" s="123"/>
      <c r="U780" s="123"/>
      <c r="W780" s="123"/>
      <c r="AA780" s="123"/>
      <c r="AB780" s="123"/>
      <c r="AC780" s="123"/>
      <c r="AE780" s="123"/>
    </row>
    <row r="781" spans="1:31">
      <c r="A781" s="58"/>
      <c r="B781" s="123"/>
      <c r="C781" s="123"/>
      <c r="D781" s="123"/>
      <c r="E781" s="123"/>
      <c r="G781" s="123"/>
      <c r="I781" s="123"/>
      <c r="M781" s="123"/>
      <c r="N781" s="123"/>
      <c r="O781" s="123"/>
      <c r="Q781" s="123"/>
      <c r="S781" s="123"/>
      <c r="U781" s="123"/>
      <c r="W781" s="123"/>
      <c r="AA781" s="123"/>
      <c r="AB781" s="123"/>
      <c r="AC781" s="123"/>
      <c r="AE781" s="123"/>
    </row>
    <row r="782" spans="1:31">
      <c r="A782" s="58"/>
      <c r="B782" s="123"/>
      <c r="C782" s="123"/>
      <c r="D782" s="123"/>
      <c r="E782" s="123"/>
      <c r="G782" s="123"/>
      <c r="I782" s="123"/>
      <c r="M782" s="123"/>
      <c r="N782" s="123"/>
      <c r="O782" s="123"/>
      <c r="Q782" s="123"/>
      <c r="S782" s="123"/>
      <c r="U782" s="123"/>
      <c r="W782" s="123"/>
      <c r="AA782" s="123"/>
      <c r="AB782" s="123"/>
      <c r="AC782" s="123"/>
      <c r="AE782" s="123"/>
    </row>
    <row r="783" spans="1:31">
      <c r="A783" s="58"/>
      <c r="B783" s="123"/>
      <c r="C783" s="123"/>
      <c r="D783" s="123"/>
      <c r="E783" s="123"/>
      <c r="G783" s="123"/>
      <c r="I783" s="123"/>
      <c r="M783" s="123"/>
      <c r="N783" s="123"/>
      <c r="O783" s="123"/>
      <c r="Q783" s="123"/>
      <c r="S783" s="123"/>
      <c r="U783" s="123"/>
      <c r="W783" s="123"/>
      <c r="AA783" s="123"/>
      <c r="AB783" s="123"/>
      <c r="AC783" s="123"/>
      <c r="AE783" s="123"/>
    </row>
    <row r="784" spans="1:31">
      <c r="A784" s="58"/>
      <c r="B784" s="123"/>
      <c r="C784" s="123"/>
      <c r="D784" s="123"/>
      <c r="E784" s="123"/>
      <c r="G784" s="123"/>
      <c r="I784" s="123"/>
      <c r="M784" s="123"/>
      <c r="N784" s="123"/>
      <c r="O784" s="123"/>
      <c r="Q784" s="123"/>
      <c r="S784" s="123"/>
      <c r="U784" s="123"/>
      <c r="W784" s="123"/>
      <c r="AA784" s="123"/>
      <c r="AB784" s="123"/>
      <c r="AC784" s="123"/>
      <c r="AE784" s="123"/>
    </row>
    <row r="785" spans="1:31">
      <c r="A785" s="58"/>
      <c r="B785" s="123"/>
      <c r="C785" s="123"/>
      <c r="D785" s="123"/>
      <c r="E785" s="123"/>
      <c r="G785" s="123"/>
      <c r="I785" s="123"/>
      <c r="M785" s="123"/>
      <c r="N785" s="123"/>
      <c r="O785" s="123"/>
      <c r="Q785" s="123"/>
      <c r="S785" s="123"/>
      <c r="U785" s="123"/>
      <c r="W785" s="123"/>
      <c r="AA785" s="123"/>
      <c r="AB785" s="123"/>
      <c r="AC785" s="123"/>
      <c r="AE785" s="123"/>
    </row>
    <row r="786" spans="1:31">
      <c r="A786" s="58"/>
      <c r="B786" s="123"/>
      <c r="C786" s="123"/>
      <c r="D786" s="123"/>
      <c r="E786" s="123"/>
      <c r="G786" s="123"/>
      <c r="I786" s="123"/>
      <c r="M786" s="123"/>
      <c r="N786" s="123"/>
      <c r="O786" s="123"/>
      <c r="Q786" s="123"/>
      <c r="S786" s="123"/>
      <c r="U786" s="123"/>
      <c r="W786" s="123"/>
      <c r="AA786" s="123"/>
      <c r="AB786" s="123"/>
      <c r="AC786" s="123"/>
      <c r="AE786" s="123"/>
    </row>
    <row r="787" spans="1:31">
      <c r="A787" s="58"/>
      <c r="B787" s="123"/>
      <c r="C787" s="123"/>
      <c r="D787" s="123"/>
      <c r="E787" s="123"/>
      <c r="G787" s="123"/>
      <c r="I787" s="123"/>
      <c r="M787" s="123"/>
      <c r="N787" s="123"/>
      <c r="O787" s="123"/>
      <c r="Q787" s="123"/>
      <c r="S787" s="123"/>
      <c r="U787" s="123"/>
      <c r="W787" s="123"/>
      <c r="AA787" s="123"/>
      <c r="AB787" s="123"/>
      <c r="AC787" s="123"/>
      <c r="AE787" s="123"/>
    </row>
    <row r="788" spans="1:31">
      <c r="A788" s="58"/>
      <c r="B788" s="123"/>
      <c r="C788" s="123"/>
      <c r="D788" s="123"/>
      <c r="E788" s="123"/>
      <c r="G788" s="123"/>
      <c r="I788" s="123"/>
      <c r="M788" s="123"/>
      <c r="N788" s="123"/>
      <c r="O788" s="123"/>
      <c r="Q788" s="123"/>
      <c r="S788" s="123"/>
      <c r="U788" s="123"/>
      <c r="W788" s="123"/>
      <c r="AA788" s="123"/>
      <c r="AB788" s="123"/>
      <c r="AC788" s="123"/>
      <c r="AE788" s="123"/>
    </row>
    <row r="789" spans="1:31">
      <c r="A789" s="58"/>
      <c r="B789" s="123"/>
      <c r="C789" s="123"/>
      <c r="D789" s="123"/>
      <c r="E789" s="123"/>
      <c r="G789" s="123"/>
      <c r="I789" s="123"/>
      <c r="M789" s="123"/>
      <c r="N789" s="123"/>
      <c r="O789" s="123"/>
      <c r="Q789" s="123"/>
      <c r="S789" s="123"/>
      <c r="U789" s="123"/>
      <c r="W789" s="123"/>
      <c r="AA789" s="123"/>
      <c r="AB789" s="123"/>
      <c r="AC789" s="123"/>
      <c r="AE789" s="123"/>
    </row>
    <row r="790" spans="1:31">
      <c r="A790" s="58"/>
      <c r="B790" s="123"/>
      <c r="C790" s="123"/>
      <c r="D790" s="123"/>
      <c r="E790" s="123"/>
      <c r="G790" s="123"/>
      <c r="I790" s="123"/>
      <c r="M790" s="123"/>
      <c r="N790" s="123"/>
      <c r="O790" s="123"/>
      <c r="Q790" s="123"/>
      <c r="S790" s="123"/>
      <c r="U790" s="123"/>
      <c r="W790" s="123"/>
      <c r="AA790" s="123"/>
      <c r="AB790" s="123"/>
      <c r="AC790" s="123"/>
      <c r="AE790" s="123"/>
    </row>
    <row r="791" spans="1:31">
      <c r="A791" s="58"/>
      <c r="B791" s="123"/>
      <c r="C791" s="123"/>
      <c r="D791" s="123"/>
      <c r="E791" s="123"/>
      <c r="G791" s="123"/>
      <c r="I791" s="123"/>
      <c r="M791" s="123"/>
      <c r="N791" s="123"/>
      <c r="O791" s="123"/>
      <c r="Q791" s="123"/>
      <c r="S791" s="123"/>
      <c r="U791" s="123"/>
      <c r="W791" s="123"/>
      <c r="AA791" s="123"/>
      <c r="AB791" s="123"/>
      <c r="AC791" s="123"/>
      <c r="AE791" s="123"/>
    </row>
    <row r="792" spans="1:31">
      <c r="A792" s="58"/>
      <c r="B792" s="123"/>
      <c r="C792" s="123"/>
      <c r="D792" s="123"/>
      <c r="E792" s="123"/>
      <c r="G792" s="123"/>
      <c r="I792" s="123"/>
      <c r="M792" s="123"/>
      <c r="N792" s="123"/>
      <c r="O792" s="123"/>
      <c r="Q792" s="123"/>
      <c r="S792" s="123"/>
      <c r="U792" s="123"/>
      <c r="W792" s="123"/>
      <c r="AA792" s="123"/>
      <c r="AB792" s="123"/>
      <c r="AC792" s="123"/>
      <c r="AE792" s="123"/>
    </row>
    <row r="793" spans="1:31">
      <c r="A793" s="58"/>
      <c r="B793" s="123"/>
      <c r="C793" s="123"/>
      <c r="D793" s="123"/>
      <c r="E793" s="123"/>
      <c r="G793" s="123"/>
      <c r="I793" s="123"/>
      <c r="M793" s="123"/>
      <c r="N793" s="123"/>
      <c r="O793" s="123"/>
      <c r="Q793" s="123"/>
      <c r="S793" s="123"/>
      <c r="U793" s="123"/>
      <c r="W793" s="123"/>
      <c r="AA793" s="123"/>
      <c r="AB793" s="123"/>
      <c r="AC793" s="123"/>
      <c r="AE793" s="123"/>
    </row>
    <row r="794" spans="1:31">
      <c r="A794" s="58"/>
      <c r="B794" s="123"/>
      <c r="C794" s="123"/>
      <c r="D794" s="123"/>
      <c r="E794" s="123"/>
      <c r="G794" s="123"/>
      <c r="I794" s="123"/>
      <c r="M794" s="123"/>
      <c r="N794" s="123"/>
      <c r="O794" s="123"/>
      <c r="Q794" s="123"/>
      <c r="S794" s="123"/>
      <c r="U794" s="123"/>
      <c r="W794" s="123"/>
      <c r="AA794" s="123"/>
      <c r="AB794" s="123"/>
      <c r="AC794" s="123"/>
      <c r="AE794" s="123"/>
    </row>
    <row r="795" spans="1:31">
      <c r="A795" s="58"/>
      <c r="B795" s="123"/>
      <c r="C795" s="123"/>
      <c r="D795" s="123"/>
      <c r="E795" s="123"/>
      <c r="G795" s="123"/>
      <c r="I795" s="123"/>
      <c r="M795" s="123"/>
      <c r="N795" s="123"/>
      <c r="O795" s="123"/>
      <c r="Q795" s="123"/>
      <c r="S795" s="123"/>
      <c r="U795" s="123"/>
      <c r="W795" s="123"/>
      <c r="AA795" s="123"/>
      <c r="AB795" s="123"/>
      <c r="AC795" s="123"/>
      <c r="AE795" s="123"/>
    </row>
    <row r="796" spans="1:31">
      <c r="A796" s="58"/>
      <c r="B796" s="123"/>
      <c r="C796" s="123"/>
      <c r="D796" s="123"/>
      <c r="E796" s="123"/>
      <c r="G796" s="123"/>
      <c r="I796" s="123"/>
      <c r="M796" s="123"/>
      <c r="N796" s="123"/>
      <c r="O796" s="123"/>
      <c r="Q796" s="123"/>
      <c r="S796" s="123"/>
      <c r="U796" s="123"/>
      <c r="W796" s="123"/>
      <c r="AA796" s="123"/>
      <c r="AB796" s="123"/>
      <c r="AC796" s="123"/>
      <c r="AE796" s="123"/>
    </row>
    <row r="797" spans="1:31">
      <c r="A797" s="58"/>
      <c r="B797" s="123"/>
      <c r="C797" s="123"/>
      <c r="D797" s="123"/>
      <c r="E797" s="123"/>
      <c r="G797" s="123"/>
      <c r="I797" s="123"/>
      <c r="M797" s="123"/>
      <c r="N797" s="123"/>
      <c r="O797" s="123"/>
      <c r="Q797" s="123"/>
      <c r="S797" s="123"/>
      <c r="U797" s="123"/>
      <c r="W797" s="123"/>
      <c r="AA797" s="123"/>
      <c r="AB797" s="123"/>
      <c r="AC797" s="123"/>
      <c r="AE797" s="123"/>
    </row>
    <row r="798" spans="1:31">
      <c r="A798" s="58"/>
      <c r="B798" s="123"/>
      <c r="C798" s="123"/>
      <c r="D798" s="123"/>
      <c r="E798" s="123"/>
      <c r="G798" s="123"/>
      <c r="I798" s="123"/>
      <c r="M798" s="123"/>
      <c r="N798" s="123"/>
      <c r="O798" s="123"/>
      <c r="Q798" s="123"/>
      <c r="S798" s="123"/>
      <c r="U798" s="123"/>
      <c r="W798" s="123"/>
      <c r="AA798" s="123"/>
      <c r="AB798" s="123"/>
      <c r="AC798" s="123"/>
      <c r="AE798" s="123"/>
    </row>
    <row r="799" spans="1:31">
      <c r="A799" s="58"/>
      <c r="B799" s="123"/>
      <c r="C799" s="123"/>
      <c r="D799" s="123"/>
      <c r="E799" s="123"/>
      <c r="G799" s="123"/>
      <c r="I799" s="123"/>
      <c r="M799" s="123"/>
      <c r="N799" s="123"/>
      <c r="O799" s="123"/>
      <c r="Q799" s="123"/>
      <c r="S799" s="123"/>
      <c r="U799" s="123"/>
      <c r="W799" s="123"/>
      <c r="AA799" s="123"/>
      <c r="AB799" s="123"/>
      <c r="AC799" s="123"/>
      <c r="AE799" s="123"/>
    </row>
    <row r="800" spans="1:31">
      <c r="A800" s="58"/>
      <c r="B800" s="123"/>
      <c r="C800" s="123"/>
      <c r="D800" s="123"/>
      <c r="E800" s="123"/>
      <c r="G800" s="123"/>
      <c r="I800" s="123"/>
      <c r="M800" s="123"/>
      <c r="N800" s="123"/>
      <c r="O800" s="123"/>
      <c r="Q800" s="123"/>
      <c r="S800" s="123"/>
      <c r="U800" s="123"/>
      <c r="W800" s="123"/>
      <c r="AA800" s="123"/>
      <c r="AB800" s="123"/>
      <c r="AC800" s="123"/>
      <c r="AE800" s="123"/>
    </row>
    <row r="801" spans="1:31">
      <c r="A801" s="58"/>
      <c r="B801" s="123"/>
      <c r="C801" s="123"/>
      <c r="D801" s="123"/>
      <c r="E801" s="123"/>
      <c r="G801" s="123"/>
      <c r="I801" s="123"/>
      <c r="M801" s="123"/>
      <c r="N801" s="123"/>
      <c r="O801" s="123"/>
      <c r="Q801" s="123"/>
      <c r="S801" s="123"/>
      <c r="U801" s="123"/>
      <c r="W801" s="123"/>
      <c r="AA801" s="123"/>
      <c r="AB801" s="123"/>
      <c r="AC801" s="123"/>
      <c r="AE801" s="123"/>
    </row>
    <row r="802" spans="1:31">
      <c r="A802" s="58"/>
      <c r="B802" s="123"/>
      <c r="C802" s="123"/>
      <c r="D802" s="123"/>
      <c r="E802" s="123"/>
      <c r="G802" s="123"/>
      <c r="I802" s="123"/>
      <c r="M802" s="123"/>
      <c r="N802" s="123"/>
      <c r="O802" s="123"/>
      <c r="Q802" s="123"/>
      <c r="S802" s="123"/>
      <c r="U802" s="123"/>
      <c r="W802" s="123"/>
      <c r="AA802" s="123"/>
      <c r="AB802" s="123"/>
      <c r="AC802" s="123"/>
      <c r="AE802" s="123"/>
    </row>
    <row r="803" spans="1:31">
      <c r="A803" s="58"/>
      <c r="B803" s="123"/>
      <c r="C803" s="123"/>
      <c r="D803" s="123"/>
      <c r="E803" s="123"/>
      <c r="G803" s="123"/>
      <c r="I803" s="123"/>
      <c r="M803" s="123"/>
      <c r="N803" s="123"/>
      <c r="O803" s="123"/>
      <c r="Q803" s="123"/>
      <c r="S803" s="123"/>
      <c r="U803" s="123"/>
      <c r="W803" s="123"/>
      <c r="AA803" s="123"/>
      <c r="AB803" s="123"/>
      <c r="AC803" s="123"/>
      <c r="AE803" s="123"/>
    </row>
    <row r="804" spans="1:31">
      <c r="A804" s="58"/>
      <c r="B804" s="123"/>
      <c r="C804" s="123"/>
      <c r="D804" s="123"/>
      <c r="E804" s="123"/>
      <c r="G804" s="123"/>
      <c r="I804" s="123"/>
      <c r="M804" s="123"/>
      <c r="N804" s="123"/>
      <c r="O804" s="123"/>
      <c r="Q804" s="123"/>
      <c r="S804" s="123"/>
      <c r="U804" s="123"/>
      <c r="W804" s="123"/>
      <c r="AA804" s="123"/>
      <c r="AB804" s="123"/>
      <c r="AC804" s="123"/>
      <c r="AE804" s="123"/>
    </row>
    <row r="805" spans="1:31">
      <c r="A805" s="58"/>
      <c r="B805" s="123"/>
      <c r="C805" s="123"/>
      <c r="D805" s="123"/>
      <c r="E805" s="123"/>
      <c r="G805" s="123"/>
      <c r="I805" s="123"/>
      <c r="M805" s="123"/>
      <c r="N805" s="123"/>
      <c r="O805" s="123"/>
      <c r="Q805" s="123"/>
      <c r="S805" s="123"/>
      <c r="U805" s="123"/>
      <c r="W805" s="123"/>
      <c r="AA805" s="123"/>
      <c r="AB805" s="123"/>
      <c r="AC805" s="123"/>
      <c r="AE805" s="123"/>
    </row>
    <row r="806" spans="1:31">
      <c r="A806" s="58"/>
      <c r="B806" s="123"/>
      <c r="C806" s="123"/>
      <c r="D806" s="123"/>
      <c r="E806" s="123"/>
      <c r="G806" s="123"/>
      <c r="I806" s="123"/>
      <c r="M806" s="123"/>
      <c r="N806" s="123"/>
      <c r="O806" s="123"/>
      <c r="Q806" s="123"/>
      <c r="S806" s="123"/>
      <c r="U806" s="123"/>
      <c r="W806" s="123"/>
      <c r="AA806" s="123"/>
      <c r="AB806" s="123"/>
      <c r="AC806" s="123"/>
      <c r="AE806" s="123"/>
    </row>
    <row r="807" spans="1:31">
      <c r="A807" s="58"/>
      <c r="B807" s="123"/>
      <c r="C807" s="123"/>
      <c r="D807" s="123"/>
      <c r="E807" s="123"/>
      <c r="G807" s="123"/>
      <c r="I807" s="123"/>
      <c r="M807" s="123"/>
      <c r="N807" s="123"/>
      <c r="O807" s="123"/>
      <c r="Q807" s="123"/>
      <c r="S807" s="123"/>
      <c r="U807" s="123"/>
      <c r="W807" s="123"/>
      <c r="AA807" s="123"/>
      <c r="AB807" s="123"/>
      <c r="AC807" s="123"/>
      <c r="AE807" s="123"/>
    </row>
    <row r="808" spans="1:31">
      <c r="A808" s="58"/>
      <c r="B808" s="123"/>
      <c r="C808" s="123"/>
      <c r="D808" s="123"/>
      <c r="E808" s="123"/>
      <c r="G808" s="123"/>
      <c r="I808" s="123"/>
      <c r="M808" s="123"/>
      <c r="N808" s="123"/>
      <c r="O808" s="123"/>
      <c r="Q808" s="123"/>
      <c r="S808" s="123"/>
      <c r="U808" s="123"/>
      <c r="W808" s="123"/>
      <c r="AA808" s="123"/>
      <c r="AB808" s="123"/>
      <c r="AC808" s="123"/>
      <c r="AE808" s="123"/>
    </row>
    <row r="809" spans="1:31">
      <c r="A809" s="58"/>
      <c r="B809" s="123"/>
      <c r="C809" s="123"/>
      <c r="D809" s="123"/>
      <c r="E809" s="123"/>
      <c r="G809" s="123"/>
      <c r="I809" s="123"/>
      <c r="M809" s="123"/>
      <c r="N809" s="123"/>
      <c r="O809" s="123"/>
      <c r="Q809" s="123"/>
      <c r="S809" s="123"/>
      <c r="U809" s="123"/>
      <c r="W809" s="123"/>
      <c r="AA809" s="123"/>
      <c r="AB809" s="123"/>
      <c r="AC809" s="123"/>
      <c r="AE809" s="123"/>
    </row>
    <row r="810" spans="1:31">
      <c r="A810" s="58"/>
      <c r="B810" s="123"/>
      <c r="C810" s="123"/>
      <c r="D810" s="123"/>
      <c r="E810" s="123"/>
      <c r="G810" s="123"/>
      <c r="I810" s="123"/>
      <c r="M810" s="123"/>
      <c r="N810" s="123"/>
      <c r="O810" s="123"/>
      <c r="Q810" s="123"/>
      <c r="S810" s="123"/>
      <c r="U810" s="123"/>
      <c r="W810" s="123"/>
      <c r="AA810" s="123"/>
      <c r="AB810" s="123"/>
      <c r="AC810" s="123"/>
      <c r="AE810" s="123"/>
    </row>
    <row r="811" spans="1:31">
      <c r="A811" s="58"/>
      <c r="B811" s="123"/>
      <c r="C811" s="123"/>
      <c r="D811" s="123"/>
      <c r="E811" s="123"/>
      <c r="G811" s="123"/>
      <c r="I811" s="123"/>
      <c r="M811" s="123"/>
      <c r="N811" s="123"/>
      <c r="O811" s="123"/>
      <c r="Q811" s="123"/>
      <c r="S811" s="123"/>
      <c r="U811" s="123"/>
      <c r="W811" s="123"/>
      <c r="AA811" s="123"/>
      <c r="AB811" s="123"/>
      <c r="AC811" s="123"/>
      <c r="AE811" s="123"/>
    </row>
    <row r="812" spans="1:31">
      <c r="A812" s="58"/>
      <c r="B812" s="123"/>
      <c r="C812" s="123"/>
      <c r="D812" s="123"/>
      <c r="E812" s="123"/>
      <c r="G812" s="123"/>
      <c r="I812" s="123"/>
      <c r="M812" s="123"/>
      <c r="N812" s="123"/>
      <c r="O812" s="123"/>
      <c r="Q812" s="123"/>
      <c r="S812" s="123"/>
      <c r="U812" s="123"/>
      <c r="W812" s="123"/>
      <c r="AA812" s="123"/>
      <c r="AB812" s="123"/>
      <c r="AC812" s="123"/>
      <c r="AE812" s="123"/>
    </row>
    <row r="813" spans="1:31">
      <c r="A813" s="58"/>
      <c r="B813" s="123"/>
      <c r="C813" s="123"/>
      <c r="D813" s="123"/>
      <c r="E813" s="123"/>
      <c r="G813" s="123"/>
      <c r="I813" s="123"/>
      <c r="M813" s="123"/>
      <c r="N813" s="123"/>
      <c r="O813" s="123"/>
      <c r="Q813" s="123"/>
      <c r="S813" s="123"/>
      <c r="U813" s="123"/>
      <c r="W813" s="123"/>
      <c r="AA813" s="123"/>
      <c r="AB813" s="123"/>
      <c r="AC813" s="123"/>
      <c r="AE813" s="123"/>
    </row>
    <row r="814" spans="1:31">
      <c r="A814" s="58"/>
      <c r="B814" s="123"/>
      <c r="C814" s="123"/>
      <c r="D814" s="123"/>
      <c r="E814" s="123"/>
      <c r="G814" s="123"/>
      <c r="I814" s="123"/>
      <c r="M814" s="123"/>
      <c r="N814" s="123"/>
      <c r="O814" s="123"/>
      <c r="Q814" s="123"/>
      <c r="S814" s="123"/>
      <c r="U814" s="123"/>
      <c r="W814" s="123"/>
      <c r="AA814" s="123"/>
      <c r="AB814" s="123"/>
      <c r="AC814" s="123"/>
      <c r="AE814" s="123"/>
    </row>
    <row r="815" spans="1:31">
      <c r="A815" s="58"/>
      <c r="B815" s="123"/>
      <c r="C815" s="123"/>
      <c r="D815" s="123"/>
      <c r="E815" s="123"/>
      <c r="G815" s="123"/>
      <c r="I815" s="123"/>
      <c r="M815" s="123"/>
      <c r="N815" s="123"/>
      <c r="O815" s="123"/>
      <c r="Q815" s="123"/>
      <c r="S815" s="123"/>
      <c r="U815" s="123"/>
      <c r="W815" s="123"/>
      <c r="AA815" s="123"/>
      <c r="AB815" s="123"/>
      <c r="AC815" s="123"/>
      <c r="AE815" s="123"/>
    </row>
    <row r="816" spans="1:31">
      <c r="A816" s="58"/>
      <c r="B816" s="123"/>
      <c r="C816" s="123"/>
      <c r="D816" s="123"/>
      <c r="E816" s="123"/>
      <c r="G816" s="123"/>
      <c r="I816" s="123"/>
      <c r="M816" s="123"/>
      <c r="N816" s="123"/>
      <c r="O816" s="123"/>
      <c r="Q816" s="123"/>
      <c r="S816" s="123"/>
      <c r="U816" s="123"/>
      <c r="W816" s="123"/>
      <c r="AA816" s="123"/>
      <c r="AB816" s="123"/>
      <c r="AC816" s="123"/>
      <c r="AE816" s="123"/>
    </row>
    <row r="817" spans="1:33">
      <c r="A817" s="58"/>
      <c r="B817" s="123"/>
      <c r="C817" s="123"/>
      <c r="D817" s="123"/>
      <c r="E817" s="123"/>
      <c r="G817" s="123"/>
      <c r="I817" s="123"/>
      <c r="M817" s="123"/>
      <c r="N817" s="123"/>
      <c r="O817" s="123"/>
      <c r="Q817" s="123"/>
      <c r="S817" s="123"/>
      <c r="U817" s="123"/>
      <c r="W817" s="123"/>
      <c r="AA817" s="123"/>
      <c r="AB817" s="123"/>
      <c r="AC817" s="123"/>
      <c r="AE817" s="123"/>
    </row>
    <row r="818" spans="1:33">
      <c r="A818" s="58"/>
      <c r="B818" s="123"/>
      <c r="C818" s="123"/>
      <c r="D818" s="123"/>
      <c r="E818" s="123"/>
      <c r="G818" s="123"/>
      <c r="I818" s="123"/>
      <c r="M818" s="123"/>
      <c r="N818" s="123"/>
      <c r="O818" s="123"/>
      <c r="Q818" s="123"/>
      <c r="S818" s="123"/>
      <c r="U818" s="123"/>
      <c r="W818" s="123"/>
      <c r="AA818" s="123"/>
      <c r="AB818" s="123"/>
      <c r="AC818" s="123"/>
      <c r="AE818" s="123"/>
    </row>
    <row r="819" spans="1:33">
      <c r="A819" s="58"/>
      <c r="B819" s="123"/>
      <c r="C819" s="123"/>
      <c r="D819" s="123"/>
      <c r="E819" s="123"/>
      <c r="G819" s="123"/>
      <c r="I819" s="123"/>
      <c r="M819" s="123"/>
      <c r="N819" s="123"/>
      <c r="O819" s="123"/>
      <c r="Q819" s="123"/>
      <c r="S819" s="123"/>
      <c r="U819" s="123"/>
      <c r="W819" s="123"/>
      <c r="AA819" s="123"/>
      <c r="AB819" s="123"/>
      <c r="AC819" s="123"/>
      <c r="AE819" s="123"/>
    </row>
    <row r="820" spans="1:33">
      <c r="A820" s="58"/>
      <c r="B820" s="123"/>
      <c r="C820" s="123"/>
      <c r="D820" s="123"/>
      <c r="E820" s="123"/>
      <c r="G820" s="123"/>
      <c r="I820" s="123"/>
      <c r="M820" s="123"/>
      <c r="N820" s="123"/>
      <c r="O820" s="123"/>
      <c r="Q820" s="123"/>
      <c r="S820" s="123"/>
      <c r="U820" s="123"/>
      <c r="W820" s="123"/>
      <c r="AA820" s="123"/>
      <c r="AB820" s="123"/>
      <c r="AC820" s="123"/>
      <c r="AE820" s="123"/>
    </row>
    <row r="821" spans="1:33">
      <c r="A821" s="58"/>
      <c r="B821" s="123"/>
      <c r="C821" s="123"/>
      <c r="D821" s="123"/>
      <c r="E821" s="123"/>
      <c r="G821" s="123"/>
      <c r="I821" s="123"/>
      <c r="M821" s="123"/>
      <c r="N821" s="123"/>
      <c r="O821" s="123"/>
      <c r="Q821" s="123"/>
      <c r="S821" s="123"/>
      <c r="U821" s="123"/>
      <c r="W821" s="123"/>
      <c r="AA821" s="123"/>
      <c r="AB821" s="123"/>
      <c r="AC821" s="123"/>
      <c r="AE821" s="123"/>
    </row>
    <row r="822" spans="1:33">
      <c r="A822" s="58"/>
      <c r="B822" s="123"/>
      <c r="C822" s="123"/>
      <c r="D822" s="123"/>
      <c r="E822" s="123"/>
      <c r="G822" s="123"/>
      <c r="I822" s="123"/>
      <c r="M822" s="123"/>
      <c r="N822" s="123"/>
      <c r="O822" s="123"/>
      <c r="Q822" s="123"/>
      <c r="S822" s="123"/>
      <c r="U822" s="123"/>
      <c r="W822" s="123"/>
      <c r="AA822" s="123"/>
      <c r="AB822" s="123"/>
      <c r="AC822" s="123"/>
      <c r="AE822" s="123"/>
    </row>
    <row r="823" spans="1:33">
      <c r="A823" s="58"/>
      <c r="B823" s="123"/>
      <c r="C823" s="123"/>
      <c r="D823" s="123"/>
      <c r="E823" s="123"/>
      <c r="G823" s="123"/>
      <c r="I823" s="123"/>
      <c r="M823" s="123"/>
      <c r="N823" s="123"/>
      <c r="O823" s="123"/>
      <c r="Q823" s="123"/>
      <c r="S823" s="123"/>
      <c r="U823" s="123"/>
      <c r="W823" s="123"/>
      <c r="AA823" s="123"/>
      <c r="AB823" s="123"/>
      <c r="AC823" s="123"/>
      <c r="AE823" s="123"/>
    </row>
    <row r="824" spans="1:33">
      <c r="A824" s="58"/>
      <c r="B824" s="123"/>
      <c r="C824" s="123"/>
      <c r="D824" s="123"/>
      <c r="E824" s="123"/>
      <c r="G824" s="123"/>
      <c r="I824" s="123"/>
      <c r="M824" s="123"/>
      <c r="N824" s="123"/>
      <c r="O824" s="123"/>
      <c r="Q824" s="123"/>
      <c r="S824" s="123"/>
      <c r="U824" s="123"/>
      <c r="W824" s="123"/>
      <c r="AA824" s="123"/>
      <c r="AB824" s="123"/>
      <c r="AC824" s="123"/>
      <c r="AE824" s="123"/>
    </row>
    <row r="825" spans="1:33">
      <c r="A825" s="58"/>
      <c r="B825" s="123"/>
      <c r="C825" s="123"/>
      <c r="D825" s="123"/>
      <c r="E825" s="123"/>
      <c r="G825" s="123"/>
      <c r="I825" s="123"/>
      <c r="M825" s="123"/>
      <c r="N825" s="123"/>
      <c r="O825" s="123"/>
      <c r="Q825" s="123"/>
      <c r="S825" s="123"/>
      <c r="U825" s="123"/>
      <c r="W825" s="123"/>
      <c r="AA825" s="123"/>
      <c r="AB825" s="123"/>
      <c r="AC825" s="123"/>
      <c r="AE825" s="123"/>
    </row>
    <row r="826" spans="1:33" s="74" customFormat="1" ht="15" customHeight="1">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c r="AA826" s="124"/>
      <c r="AB826" s="124"/>
      <c r="AC826" s="124"/>
      <c r="AD826" s="124"/>
      <c r="AE826" s="124"/>
      <c r="AF826" s="124"/>
      <c r="AG826" s="124"/>
    </row>
    <row r="827" spans="1:33" s="74" customFormat="1" ht="15" customHeight="1">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c r="AA827" s="124"/>
      <c r="AB827" s="124"/>
      <c r="AC827" s="124"/>
      <c r="AD827" s="124"/>
      <c r="AE827" s="124"/>
      <c r="AF827" s="124"/>
      <c r="AG827" s="124"/>
    </row>
    <row r="828" spans="1:33" s="74" customFormat="1" ht="15" customHeight="1">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c r="AA828" s="124"/>
      <c r="AB828" s="124"/>
      <c r="AC828" s="124"/>
      <c r="AD828" s="124"/>
      <c r="AE828" s="124"/>
      <c r="AF828" s="124"/>
      <c r="AG828" s="124"/>
    </row>
    <row r="829" spans="1:33" s="74" customFormat="1" ht="15" customHeight="1">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c r="AA829" s="124"/>
      <c r="AB829" s="124"/>
      <c r="AC829" s="124"/>
      <c r="AD829" s="124"/>
      <c r="AE829" s="124"/>
      <c r="AF829" s="124"/>
      <c r="AG829" s="124"/>
    </row>
    <row r="830" spans="1:33" s="74" customFormat="1" ht="15" customHeight="1">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c r="AA830" s="124"/>
      <c r="AB830" s="124"/>
      <c r="AC830" s="124"/>
      <c r="AD830" s="124"/>
      <c r="AE830" s="124"/>
      <c r="AF830" s="124"/>
      <c r="AG830" s="124"/>
    </row>
    <row r="831" spans="1:33" s="74" customFormat="1" ht="15" customHeight="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c r="AA831" s="124"/>
      <c r="AB831" s="124"/>
      <c r="AC831" s="124"/>
      <c r="AD831" s="124"/>
      <c r="AE831" s="124"/>
      <c r="AF831" s="124"/>
      <c r="AG831" s="124"/>
    </row>
    <row r="832" spans="1:33" s="74" customFormat="1" ht="15" customHeight="1">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c r="AA832" s="124"/>
      <c r="AB832" s="124"/>
      <c r="AC832" s="124"/>
      <c r="AD832" s="124"/>
      <c r="AE832" s="124"/>
      <c r="AF832" s="124"/>
      <c r="AG832" s="124"/>
    </row>
    <row r="833" spans="1:33" s="74" customFormat="1" ht="15" customHeight="1">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row>
    <row r="834" spans="1:33" s="74" customFormat="1" ht="15" customHeight="1">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row>
    <row r="835" spans="1:33" s="74" customFormat="1" ht="15" customHeight="1">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row>
    <row r="836" spans="1:33" s="74" customFormat="1" ht="15" customHeight="1">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c r="AA836" s="124"/>
      <c r="AB836" s="124"/>
      <c r="AC836" s="124"/>
      <c r="AD836" s="124"/>
      <c r="AE836" s="124"/>
      <c r="AF836" s="124"/>
      <c r="AG836" s="124"/>
    </row>
    <row r="837" spans="1:33" s="74" customFormat="1" ht="15" customHeight="1">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c r="AA837" s="124"/>
      <c r="AB837" s="124"/>
      <c r="AC837" s="124"/>
      <c r="AD837" s="124"/>
      <c r="AE837" s="124"/>
      <c r="AF837" s="124"/>
      <c r="AG837" s="124"/>
    </row>
    <row r="838" spans="1:33" s="74" customFormat="1" ht="15" customHeight="1">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c r="AA838" s="124"/>
      <c r="AB838" s="124"/>
      <c r="AC838" s="124"/>
      <c r="AD838" s="124"/>
      <c r="AE838" s="124"/>
      <c r="AF838" s="124"/>
      <c r="AG838" s="124"/>
    </row>
    <row r="839" spans="1:33" s="74" customFormat="1" ht="15" customHeight="1">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c r="AA839" s="124"/>
      <c r="AB839" s="124"/>
      <c r="AC839" s="124"/>
      <c r="AD839" s="124"/>
      <c r="AE839" s="124"/>
      <c r="AF839" s="124"/>
      <c r="AG839" s="124"/>
    </row>
    <row r="840" spans="1:33" s="74" customFormat="1" ht="15" customHeight="1">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c r="AA840" s="124"/>
      <c r="AB840" s="124"/>
      <c r="AC840" s="124"/>
      <c r="AD840" s="124"/>
      <c r="AE840" s="124"/>
      <c r="AF840" s="124"/>
      <c r="AG840" s="124"/>
    </row>
    <row r="841" spans="1:33" s="74" customFormat="1" ht="15" customHeight="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row>
    <row r="842" spans="1:33" s="74" customFormat="1" ht="15" customHeight="1">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row>
    <row r="843" spans="1:33" s="74" customFormat="1" ht="15" customHeight="1">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row>
    <row r="844" spans="1:33" s="74" customFormat="1" ht="15" customHeight="1">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c r="AA844" s="124"/>
      <c r="AB844" s="124"/>
      <c r="AC844" s="124"/>
      <c r="AD844" s="124"/>
      <c r="AE844" s="124"/>
      <c r="AF844" s="124"/>
      <c r="AG844" s="124"/>
    </row>
    <row r="845" spans="1:33" s="74" customFormat="1" ht="15" customHeight="1">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c r="AA845" s="124"/>
      <c r="AB845" s="124"/>
      <c r="AC845" s="124"/>
      <c r="AD845" s="124"/>
      <c r="AE845" s="124"/>
      <c r="AF845" s="124"/>
      <c r="AG845" s="124"/>
    </row>
    <row r="846" spans="1:33" s="74" customFormat="1" ht="15" customHeight="1">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c r="AA846" s="124"/>
      <c r="AB846" s="124"/>
      <c r="AC846" s="124"/>
      <c r="AD846" s="124"/>
      <c r="AE846" s="124"/>
      <c r="AF846" s="124"/>
      <c r="AG846" s="124"/>
    </row>
    <row r="847" spans="1:33" s="74" customFormat="1" ht="15" customHeight="1">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c r="AA847" s="124"/>
      <c r="AB847" s="124"/>
      <c r="AC847" s="124"/>
      <c r="AD847" s="124"/>
      <c r="AE847" s="124"/>
      <c r="AF847" s="124"/>
      <c r="AG847" s="124"/>
    </row>
    <row r="848" spans="1:33" s="74" customFormat="1" ht="15" customHeight="1">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c r="AA848" s="124"/>
      <c r="AB848" s="124"/>
      <c r="AC848" s="124"/>
      <c r="AD848" s="124"/>
      <c r="AE848" s="124"/>
      <c r="AF848" s="124"/>
      <c r="AG848" s="124"/>
    </row>
    <row r="849" spans="1:33" s="74" customFormat="1" ht="15" customHeight="1">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c r="AA849" s="124"/>
      <c r="AB849" s="124"/>
      <c r="AC849" s="124"/>
      <c r="AD849" s="124"/>
      <c r="AE849" s="124"/>
      <c r="AF849" s="124"/>
      <c r="AG849" s="124"/>
    </row>
    <row r="850" spans="1:33">
      <c r="A850" s="123"/>
      <c r="B850" s="123"/>
      <c r="C850" s="123"/>
      <c r="D850" s="123"/>
      <c r="E850" s="123"/>
      <c r="G850" s="123"/>
      <c r="I850" s="123"/>
      <c r="M850" s="123"/>
      <c r="N850" s="123"/>
      <c r="O850" s="123"/>
      <c r="Q850" s="123"/>
      <c r="S850" s="123"/>
      <c r="U850" s="123"/>
      <c r="W850" s="123"/>
      <c r="AA850" s="123"/>
      <c r="AB850" s="123"/>
      <c r="AC850" s="123"/>
      <c r="AE850" s="123"/>
    </row>
    <row r="851" spans="1:33">
      <c r="A851" s="123"/>
      <c r="B851" s="123"/>
      <c r="C851" s="123"/>
      <c r="D851" s="123"/>
      <c r="E851" s="123"/>
      <c r="G851" s="123"/>
      <c r="I851" s="123"/>
      <c r="M851" s="123"/>
      <c r="N851" s="123"/>
      <c r="O851" s="123"/>
      <c r="Q851" s="123"/>
      <c r="S851" s="123"/>
      <c r="U851" s="123"/>
      <c r="W851" s="123"/>
      <c r="AA851" s="123"/>
      <c r="AB851" s="123"/>
      <c r="AC851" s="123"/>
      <c r="AE851" s="123"/>
    </row>
    <row r="852" spans="1:33">
      <c r="A852" s="123"/>
      <c r="B852" s="123"/>
      <c r="C852" s="123"/>
      <c r="D852" s="123"/>
      <c r="E852" s="123"/>
      <c r="G852" s="123"/>
      <c r="I852" s="123"/>
      <c r="M852" s="123"/>
      <c r="N852" s="123"/>
      <c r="O852" s="123"/>
      <c r="Q852" s="123"/>
      <c r="S852" s="123"/>
      <c r="U852" s="123"/>
      <c r="W852" s="123"/>
      <c r="AA852" s="123"/>
      <c r="AB852" s="123"/>
      <c r="AC852" s="123"/>
      <c r="AE852" s="123"/>
    </row>
    <row r="853" spans="1:33">
      <c r="A853" s="123"/>
      <c r="B853" s="123"/>
      <c r="C853" s="123"/>
      <c r="D853" s="123"/>
      <c r="E853" s="123"/>
      <c r="G853" s="123"/>
      <c r="I853" s="123"/>
      <c r="M853" s="123"/>
      <c r="N853" s="123"/>
      <c r="O853" s="123"/>
      <c r="Q853" s="123"/>
      <c r="S853" s="123"/>
      <c r="U853" s="123"/>
      <c r="W853" s="123"/>
      <c r="AA853" s="123"/>
      <c r="AB853" s="123"/>
      <c r="AC853" s="123"/>
      <c r="AE853" s="123"/>
    </row>
    <row r="854" spans="1:33">
      <c r="A854" s="123"/>
      <c r="B854" s="123"/>
      <c r="C854" s="123"/>
      <c r="D854" s="123"/>
      <c r="E854" s="123"/>
      <c r="G854" s="123"/>
      <c r="I854" s="123"/>
      <c r="M854" s="123"/>
      <c r="N854" s="123"/>
      <c r="O854" s="123"/>
      <c r="Q854" s="123"/>
      <c r="S854" s="123"/>
      <c r="U854" s="123"/>
      <c r="W854" s="123"/>
      <c r="AA854" s="123"/>
      <c r="AB854" s="123"/>
      <c r="AC854" s="123"/>
      <c r="AE854" s="123"/>
    </row>
    <row r="855" spans="1:33">
      <c r="A855" s="123"/>
      <c r="B855" s="123"/>
      <c r="C855" s="123"/>
      <c r="D855" s="123"/>
      <c r="E855" s="123"/>
      <c r="G855" s="123"/>
      <c r="I855" s="123"/>
      <c r="M855" s="123"/>
      <c r="N855" s="123"/>
      <c r="O855" s="123"/>
      <c r="Q855" s="123"/>
      <c r="S855" s="123"/>
      <c r="U855" s="123"/>
      <c r="W855" s="123"/>
      <c r="AA855" s="123"/>
      <c r="AB855" s="123"/>
      <c r="AC855" s="123"/>
      <c r="AE855" s="123"/>
    </row>
    <row r="856" spans="1:33">
      <c r="A856" s="123"/>
      <c r="B856" s="123"/>
      <c r="C856" s="123"/>
      <c r="D856" s="123"/>
      <c r="E856" s="123"/>
      <c r="G856" s="123"/>
      <c r="I856" s="123"/>
      <c r="M856" s="123"/>
      <c r="N856" s="123"/>
      <c r="O856" s="123"/>
      <c r="Q856" s="123"/>
      <c r="S856" s="123"/>
      <c r="U856" s="123"/>
      <c r="W856" s="123"/>
      <c r="AA856" s="123"/>
      <c r="AB856" s="123"/>
      <c r="AC856" s="123"/>
      <c r="AE856" s="123"/>
    </row>
    <row r="857" spans="1:33">
      <c r="A857" s="123"/>
      <c r="B857" s="123"/>
      <c r="C857" s="123"/>
      <c r="D857" s="123"/>
      <c r="E857" s="123"/>
      <c r="G857" s="123"/>
      <c r="I857" s="123"/>
      <c r="M857" s="123"/>
      <c r="N857" s="123"/>
      <c r="O857" s="123"/>
      <c r="Q857" s="123"/>
      <c r="S857" s="123"/>
      <c r="U857" s="123"/>
      <c r="W857" s="123"/>
      <c r="AA857" s="123"/>
      <c r="AB857" s="123"/>
      <c r="AC857" s="123"/>
      <c r="AE857" s="123"/>
    </row>
    <row r="858" spans="1:33">
      <c r="A858" s="123"/>
      <c r="B858" s="123"/>
      <c r="C858" s="123"/>
      <c r="D858" s="123"/>
      <c r="E858" s="123"/>
      <c r="G858" s="123"/>
      <c r="I858" s="123"/>
      <c r="M858" s="123"/>
      <c r="N858" s="123"/>
      <c r="O858" s="123"/>
      <c r="Q858" s="123"/>
      <c r="S858" s="123"/>
      <c r="U858" s="123"/>
      <c r="W858" s="123"/>
      <c r="AA858" s="123"/>
      <c r="AB858" s="123"/>
      <c r="AC858" s="123"/>
      <c r="AE858" s="123"/>
    </row>
    <row r="859" spans="1:33">
      <c r="A859" s="123"/>
      <c r="B859" s="123"/>
      <c r="C859" s="123"/>
      <c r="D859" s="123"/>
      <c r="E859" s="123"/>
      <c r="G859" s="123"/>
      <c r="I859" s="123"/>
      <c r="M859" s="123"/>
      <c r="N859" s="123"/>
      <c r="O859" s="123"/>
      <c r="Q859" s="123"/>
      <c r="S859" s="123"/>
      <c r="U859" s="123"/>
      <c r="W859" s="123"/>
      <c r="AA859" s="123"/>
      <c r="AB859" s="123"/>
      <c r="AC859" s="123"/>
      <c r="AE859" s="123"/>
    </row>
    <row r="860" spans="1:33">
      <c r="A860" s="123"/>
      <c r="B860" s="123"/>
      <c r="C860" s="123"/>
      <c r="D860" s="123"/>
      <c r="E860" s="123"/>
      <c r="G860" s="123"/>
      <c r="I860" s="123"/>
      <c r="M860" s="123"/>
      <c r="N860" s="123"/>
      <c r="O860" s="123"/>
      <c r="Q860" s="123"/>
      <c r="S860" s="123"/>
      <c r="U860" s="123"/>
      <c r="W860" s="123"/>
      <c r="AA860" s="123"/>
      <c r="AB860" s="123"/>
      <c r="AC860" s="123"/>
      <c r="AE860" s="123"/>
    </row>
    <row r="861" spans="1:33">
      <c r="A861" s="123"/>
      <c r="B861" s="123"/>
      <c r="C861" s="123"/>
      <c r="D861" s="123"/>
      <c r="E861" s="123"/>
      <c r="G861" s="123"/>
      <c r="I861" s="123"/>
      <c r="M861" s="123"/>
      <c r="N861" s="123"/>
      <c r="O861" s="123"/>
      <c r="Q861" s="123"/>
      <c r="S861" s="123"/>
      <c r="U861" s="123"/>
      <c r="W861" s="123"/>
      <c r="AA861" s="123"/>
      <c r="AB861" s="123"/>
      <c r="AC861" s="123"/>
      <c r="AE861" s="123"/>
    </row>
    <row r="862" spans="1:33">
      <c r="A862" s="123"/>
      <c r="B862" s="123"/>
      <c r="C862" s="123"/>
      <c r="D862" s="123"/>
      <c r="E862" s="123"/>
      <c r="G862" s="123"/>
      <c r="I862" s="123"/>
      <c r="M862" s="123"/>
      <c r="N862" s="123"/>
      <c r="O862" s="123"/>
      <c r="Q862" s="123"/>
      <c r="S862" s="123"/>
      <c r="U862" s="123"/>
      <c r="W862" s="123"/>
      <c r="AA862" s="123"/>
      <c r="AB862" s="123"/>
      <c r="AC862" s="123"/>
      <c r="AE862" s="123"/>
    </row>
    <row r="863" spans="1:33">
      <c r="A863" s="123"/>
      <c r="B863" s="123"/>
      <c r="C863" s="123"/>
      <c r="D863" s="123"/>
      <c r="E863" s="123"/>
      <c r="G863" s="123"/>
      <c r="I863" s="123"/>
      <c r="M863" s="123"/>
      <c r="N863" s="123"/>
      <c r="O863" s="123"/>
      <c r="Q863" s="123"/>
      <c r="S863" s="123"/>
      <c r="U863" s="123"/>
      <c r="W863" s="123"/>
      <c r="AA863" s="123"/>
      <c r="AB863" s="123"/>
      <c r="AC863" s="123"/>
      <c r="AE863" s="123"/>
    </row>
    <row r="864" spans="1:33">
      <c r="A864" s="123"/>
      <c r="B864" s="123"/>
      <c r="C864" s="123"/>
      <c r="D864" s="123"/>
      <c r="E864" s="123"/>
      <c r="G864" s="123"/>
      <c r="I864" s="123"/>
      <c r="M864" s="123"/>
      <c r="N864" s="123"/>
      <c r="O864" s="123"/>
      <c r="Q864" s="123"/>
      <c r="S864" s="123"/>
      <c r="U864" s="123"/>
      <c r="W864" s="123"/>
      <c r="AA864" s="123"/>
      <c r="AB864" s="123"/>
      <c r="AC864" s="123"/>
      <c r="AE864" s="123"/>
    </row>
    <row r="865" spans="1:31">
      <c r="A865" s="123"/>
      <c r="B865" s="123"/>
      <c r="C865" s="123"/>
      <c r="D865" s="123"/>
      <c r="E865" s="123"/>
      <c r="G865" s="123"/>
      <c r="I865" s="123"/>
      <c r="M865" s="123"/>
      <c r="N865" s="123"/>
      <c r="O865" s="123"/>
      <c r="Q865" s="123"/>
      <c r="S865" s="123"/>
      <c r="U865" s="123"/>
      <c r="W865" s="123"/>
      <c r="AA865" s="123"/>
      <c r="AB865" s="123"/>
      <c r="AC865" s="123"/>
      <c r="AE865" s="123"/>
    </row>
    <row r="866" spans="1:31">
      <c r="A866" s="123"/>
      <c r="B866" s="123"/>
      <c r="C866" s="123"/>
      <c r="D866" s="123"/>
      <c r="E866" s="123"/>
      <c r="G866" s="123"/>
      <c r="I866" s="123"/>
      <c r="M866" s="123"/>
      <c r="N866" s="123"/>
      <c r="O866" s="123"/>
      <c r="Q866" s="123"/>
      <c r="S866" s="123"/>
      <c r="U866" s="123"/>
      <c r="W866" s="123"/>
      <c r="AA866" s="123"/>
      <c r="AB866" s="123"/>
      <c r="AC866" s="123"/>
      <c r="AE866" s="123"/>
    </row>
    <row r="867" spans="1:31">
      <c r="A867" s="123"/>
      <c r="B867" s="123"/>
      <c r="C867" s="123"/>
      <c r="D867" s="123"/>
      <c r="E867" s="123"/>
      <c r="G867" s="123"/>
      <c r="I867" s="123"/>
      <c r="M867" s="123"/>
      <c r="N867" s="123"/>
      <c r="O867" s="123"/>
      <c r="Q867" s="123"/>
      <c r="S867" s="123"/>
      <c r="U867" s="123"/>
      <c r="W867" s="123"/>
      <c r="AA867" s="123"/>
      <c r="AB867" s="123"/>
      <c r="AC867" s="123"/>
      <c r="AE867" s="123"/>
    </row>
    <row r="868" spans="1:31">
      <c r="A868" s="123"/>
      <c r="B868" s="123"/>
      <c r="C868" s="123"/>
      <c r="D868" s="123"/>
      <c r="E868" s="123"/>
      <c r="G868" s="123"/>
      <c r="I868" s="123"/>
      <c r="M868" s="123"/>
      <c r="N868" s="123"/>
      <c r="O868" s="123"/>
      <c r="Q868" s="123"/>
      <c r="S868" s="123"/>
      <c r="U868" s="123"/>
      <c r="W868" s="123"/>
      <c r="AA868" s="123"/>
      <c r="AB868" s="123"/>
      <c r="AC868" s="123"/>
      <c r="AE868" s="123"/>
    </row>
    <row r="869" spans="1:31">
      <c r="A869" s="123"/>
      <c r="B869" s="123"/>
      <c r="C869" s="123"/>
      <c r="D869" s="123"/>
      <c r="E869" s="123"/>
      <c r="G869" s="123"/>
      <c r="I869" s="123"/>
      <c r="M869" s="123"/>
      <c r="N869" s="123"/>
      <c r="O869" s="123"/>
      <c r="Q869" s="123"/>
      <c r="S869" s="123"/>
      <c r="U869" s="123"/>
      <c r="W869" s="123"/>
      <c r="AA869" s="123"/>
      <c r="AB869" s="123"/>
      <c r="AC869" s="123"/>
      <c r="AE869" s="123"/>
    </row>
    <row r="870" spans="1:31">
      <c r="A870" s="123"/>
      <c r="B870" s="123"/>
      <c r="C870" s="123"/>
      <c r="D870" s="123"/>
      <c r="E870" s="123"/>
      <c r="G870" s="123"/>
      <c r="I870" s="123"/>
      <c r="M870" s="123"/>
      <c r="N870" s="123"/>
      <c r="O870" s="123"/>
      <c r="Q870" s="123"/>
      <c r="S870" s="123"/>
      <c r="U870" s="123"/>
      <c r="W870" s="123"/>
      <c r="AA870" s="123"/>
      <c r="AB870" s="123"/>
      <c r="AC870" s="123"/>
      <c r="AE870" s="123"/>
    </row>
    <row r="871" spans="1:31">
      <c r="A871" s="123"/>
      <c r="B871" s="123"/>
      <c r="C871" s="123"/>
      <c r="D871" s="123"/>
      <c r="E871" s="123"/>
      <c r="G871" s="123"/>
      <c r="I871" s="123"/>
      <c r="M871" s="123"/>
      <c r="N871" s="123"/>
      <c r="O871" s="123"/>
      <c r="Q871" s="123"/>
      <c r="S871" s="123"/>
      <c r="U871" s="123"/>
      <c r="W871" s="123"/>
      <c r="AA871" s="123"/>
      <c r="AB871" s="123"/>
      <c r="AC871" s="123"/>
      <c r="AE871" s="123"/>
    </row>
    <row r="872" spans="1:31">
      <c r="A872" s="123"/>
      <c r="B872" s="123"/>
      <c r="C872" s="123"/>
      <c r="D872" s="123"/>
      <c r="E872" s="123"/>
      <c r="G872" s="123"/>
      <c r="I872" s="123"/>
      <c r="M872" s="123"/>
      <c r="N872" s="123"/>
      <c r="O872" s="123"/>
      <c r="Q872" s="123"/>
      <c r="S872" s="123"/>
      <c r="U872" s="123"/>
      <c r="W872" s="123"/>
      <c r="AA872" s="123"/>
      <c r="AB872" s="123"/>
      <c r="AC872" s="123"/>
      <c r="AE872" s="123"/>
    </row>
    <row r="873" spans="1:31">
      <c r="A873" s="123"/>
      <c r="B873" s="123"/>
      <c r="C873" s="123"/>
      <c r="D873" s="123"/>
      <c r="E873" s="123"/>
      <c r="G873" s="123"/>
      <c r="I873" s="123"/>
      <c r="M873" s="123"/>
      <c r="N873" s="123"/>
      <c r="O873" s="123"/>
      <c r="Q873" s="123"/>
      <c r="S873" s="123"/>
      <c r="U873" s="123"/>
      <c r="W873" s="123"/>
      <c r="AA873" s="123"/>
      <c r="AB873" s="123"/>
      <c r="AC873" s="123"/>
      <c r="AE873" s="123"/>
    </row>
    <row r="874" spans="1:31">
      <c r="A874" s="123"/>
      <c r="B874" s="123"/>
      <c r="C874" s="123"/>
      <c r="D874" s="123"/>
      <c r="E874" s="123"/>
      <c r="G874" s="123"/>
      <c r="I874" s="123"/>
      <c r="M874" s="123"/>
      <c r="N874" s="123"/>
      <c r="O874" s="123"/>
      <c r="Q874" s="123"/>
      <c r="S874" s="123"/>
      <c r="U874" s="123"/>
      <c r="W874" s="123"/>
      <c r="AA874" s="123"/>
      <c r="AB874" s="123"/>
      <c r="AC874" s="123"/>
      <c r="AE874" s="123"/>
    </row>
    <row r="875" spans="1:31">
      <c r="A875" s="123"/>
      <c r="B875" s="123"/>
      <c r="C875" s="123"/>
      <c r="D875" s="123"/>
      <c r="E875" s="123"/>
      <c r="G875" s="123"/>
      <c r="I875" s="123"/>
      <c r="M875" s="123"/>
      <c r="N875" s="123"/>
      <c r="O875" s="123"/>
      <c r="Q875" s="123"/>
      <c r="S875" s="123"/>
      <c r="U875" s="123"/>
      <c r="W875" s="123"/>
      <c r="AA875" s="123"/>
      <c r="AB875" s="123"/>
      <c r="AC875" s="123"/>
      <c r="AE875" s="123"/>
    </row>
    <row r="876" spans="1:31">
      <c r="A876" s="123"/>
      <c r="B876" s="123"/>
      <c r="C876" s="123"/>
      <c r="D876" s="123"/>
      <c r="E876" s="123"/>
      <c r="G876" s="123"/>
      <c r="I876" s="123"/>
      <c r="M876" s="123"/>
      <c r="N876" s="123"/>
      <c r="O876" s="123"/>
      <c r="Q876" s="123"/>
      <c r="S876" s="123"/>
      <c r="U876" s="123"/>
      <c r="W876" s="123"/>
      <c r="AA876" s="123"/>
      <c r="AB876" s="123"/>
      <c r="AC876" s="123"/>
      <c r="AE876" s="123"/>
    </row>
    <row r="877" spans="1:31">
      <c r="A877" s="123"/>
      <c r="B877" s="123"/>
      <c r="C877" s="123"/>
      <c r="D877" s="123"/>
      <c r="E877" s="123"/>
      <c r="G877" s="123"/>
      <c r="I877" s="123"/>
      <c r="M877" s="123"/>
      <c r="N877" s="123"/>
      <c r="O877" s="123"/>
      <c r="Q877" s="123"/>
      <c r="S877" s="123"/>
      <c r="U877" s="123"/>
      <c r="W877" s="123"/>
      <c r="AA877" s="123"/>
      <c r="AB877" s="123"/>
      <c r="AC877" s="123"/>
      <c r="AE877" s="123"/>
    </row>
    <row r="878" spans="1:31">
      <c r="A878" s="123"/>
      <c r="B878" s="123"/>
      <c r="C878" s="123"/>
      <c r="D878" s="123"/>
      <c r="E878" s="123"/>
      <c r="G878" s="123"/>
      <c r="I878" s="123"/>
      <c r="M878" s="123"/>
      <c r="N878" s="123"/>
      <c r="O878" s="123"/>
      <c r="Q878" s="123"/>
      <c r="S878" s="123"/>
      <c r="U878" s="123"/>
      <c r="W878" s="123"/>
      <c r="AA878" s="123"/>
      <c r="AB878" s="123"/>
      <c r="AC878" s="123"/>
      <c r="AE878" s="123"/>
    </row>
    <row r="879" spans="1:31">
      <c r="A879" s="123"/>
      <c r="B879" s="123"/>
      <c r="C879" s="123"/>
      <c r="D879" s="123"/>
      <c r="E879" s="123"/>
      <c r="G879" s="123"/>
      <c r="I879" s="123"/>
      <c r="M879" s="123"/>
      <c r="N879" s="123"/>
      <c r="O879" s="123"/>
      <c r="Q879" s="123"/>
      <c r="S879" s="123"/>
      <c r="U879" s="123"/>
      <c r="W879" s="123"/>
      <c r="AA879" s="123"/>
      <c r="AB879" s="123"/>
      <c r="AC879" s="123"/>
      <c r="AE879" s="123"/>
    </row>
    <row r="880" spans="1:31">
      <c r="A880" s="123"/>
      <c r="B880" s="123"/>
      <c r="C880" s="123"/>
      <c r="D880" s="123"/>
      <c r="E880" s="123"/>
      <c r="G880" s="123"/>
      <c r="I880" s="123"/>
      <c r="M880" s="123"/>
      <c r="N880" s="123"/>
      <c r="O880" s="123"/>
      <c r="Q880" s="123"/>
      <c r="S880" s="123"/>
      <c r="U880" s="123"/>
      <c r="W880" s="123"/>
      <c r="AA880" s="123"/>
      <c r="AB880" s="123"/>
      <c r="AC880" s="123"/>
      <c r="AE880" s="123"/>
    </row>
    <row r="881" spans="1:31">
      <c r="A881" s="123"/>
      <c r="B881" s="123"/>
      <c r="C881" s="123"/>
      <c r="D881" s="123"/>
      <c r="E881" s="123"/>
      <c r="G881" s="123"/>
      <c r="I881" s="123"/>
      <c r="M881" s="123"/>
      <c r="N881" s="123"/>
      <c r="O881" s="123"/>
      <c r="Q881" s="123"/>
      <c r="S881" s="123"/>
      <c r="U881" s="123"/>
      <c r="W881" s="123"/>
      <c r="AA881" s="123"/>
      <c r="AB881" s="123"/>
      <c r="AC881" s="123"/>
      <c r="AE881" s="123"/>
    </row>
    <row r="882" spans="1:31">
      <c r="A882" s="123"/>
      <c r="B882" s="123"/>
      <c r="C882" s="123"/>
      <c r="D882" s="123"/>
      <c r="E882" s="123"/>
      <c r="G882" s="123"/>
      <c r="I882" s="123"/>
      <c r="M882" s="123"/>
      <c r="N882" s="123"/>
      <c r="O882" s="123"/>
      <c r="Q882" s="123"/>
      <c r="S882" s="123"/>
      <c r="U882" s="123"/>
      <c r="W882" s="123"/>
      <c r="AA882" s="123"/>
      <c r="AB882" s="123"/>
      <c r="AC882" s="123"/>
      <c r="AE882" s="123"/>
    </row>
    <row r="883" spans="1:31">
      <c r="A883" s="123"/>
      <c r="B883" s="123"/>
      <c r="C883" s="123"/>
      <c r="D883" s="123"/>
      <c r="E883" s="123"/>
      <c r="G883" s="123"/>
      <c r="I883" s="123"/>
      <c r="M883" s="123"/>
      <c r="N883" s="123"/>
      <c r="O883" s="123"/>
      <c r="Q883" s="123"/>
      <c r="S883" s="123"/>
      <c r="U883" s="123"/>
      <c r="W883" s="123"/>
      <c r="AA883" s="123"/>
      <c r="AB883" s="123"/>
      <c r="AC883" s="123"/>
      <c r="AE883" s="123"/>
    </row>
    <row r="884" spans="1:31">
      <c r="A884" s="123"/>
      <c r="B884" s="123"/>
      <c r="C884" s="123"/>
      <c r="D884" s="123"/>
      <c r="E884" s="123"/>
      <c r="G884" s="123"/>
      <c r="I884" s="123"/>
      <c r="M884" s="123"/>
      <c r="N884" s="123"/>
      <c r="O884" s="123"/>
      <c r="Q884" s="123"/>
      <c r="S884" s="123"/>
      <c r="U884" s="123"/>
      <c r="W884" s="123"/>
      <c r="AA884" s="123"/>
      <c r="AB884" s="123"/>
      <c r="AC884" s="123"/>
      <c r="AE884" s="123"/>
    </row>
    <row r="885" spans="1:31">
      <c r="A885" s="123"/>
      <c r="B885" s="123"/>
      <c r="C885" s="123"/>
      <c r="D885" s="123"/>
      <c r="E885" s="123"/>
      <c r="G885" s="123"/>
      <c r="I885" s="123"/>
      <c r="M885" s="123"/>
      <c r="N885" s="123"/>
      <c r="O885" s="123"/>
      <c r="Q885" s="123"/>
      <c r="S885" s="123"/>
      <c r="U885" s="123"/>
      <c r="W885" s="123"/>
      <c r="AA885" s="123"/>
      <c r="AB885" s="123"/>
      <c r="AC885" s="123"/>
      <c r="AE885" s="123"/>
    </row>
    <row r="886" spans="1:31">
      <c r="A886" s="123"/>
      <c r="B886" s="123"/>
      <c r="C886" s="123"/>
      <c r="D886" s="123"/>
      <c r="E886" s="123"/>
      <c r="G886" s="123"/>
      <c r="I886" s="123"/>
      <c r="M886" s="123"/>
      <c r="N886" s="123"/>
      <c r="O886" s="123"/>
      <c r="Q886" s="123"/>
      <c r="S886" s="123"/>
      <c r="U886" s="123"/>
      <c r="W886" s="123"/>
      <c r="AA886" s="123"/>
      <c r="AB886" s="123"/>
      <c r="AC886" s="123"/>
      <c r="AE886" s="123"/>
    </row>
    <row r="887" spans="1:31">
      <c r="A887" s="123"/>
      <c r="B887" s="123"/>
      <c r="C887" s="123"/>
      <c r="D887" s="123"/>
      <c r="E887" s="123"/>
      <c r="G887" s="123"/>
      <c r="I887" s="123"/>
      <c r="M887" s="123"/>
      <c r="N887" s="123"/>
      <c r="O887" s="123"/>
      <c r="Q887" s="123"/>
      <c r="S887" s="123"/>
      <c r="U887" s="123"/>
      <c r="W887" s="123"/>
      <c r="AA887" s="123"/>
      <c r="AB887" s="123"/>
      <c r="AC887" s="123"/>
      <c r="AE887" s="123"/>
    </row>
    <row r="888" spans="1:31">
      <c r="A888" s="123"/>
      <c r="B888" s="123"/>
      <c r="C888" s="123"/>
      <c r="D888" s="123"/>
      <c r="E888" s="123"/>
      <c r="G888" s="123"/>
      <c r="I888" s="123"/>
      <c r="M888" s="123"/>
      <c r="N888" s="123"/>
      <c r="O888" s="123"/>
      <c r="Q888" s="123"/>
      <c r="S888" s="123"/>
      <c r="U888" s="123"/>
      <c r="W888" s="123"/>
      <c r="AA888" s="123"/>
      <c r="AB888" s="123"/>
      <c r="AC888" s="123"/>
      <c r="AE888" s="123"/>
    </row>
    <row r="889" spans="1:31">
      <c r="A889" s="123"/>
      <c r="B889" s="123"/>
      <c r="C889" s="123"/>
      <c r="D889" s="123"/>
      <c r="E889" s="123"/>
      <c r="G889" s="123"/>
      <c r="I889" s="123"/>
      <c r="M889" s="123"/>
      <c r="N889" s="123"/>
      <c r="O889" s="123"/>
      <c r="Q889" s="123"/>
      <c r="S889" s="123"/>
      <c r="U889" s="123"/>
      <c r="W889" s="123"/>
      <c r="AA889" s="123"/>
      <c r="AB889" s="123"/>
      <c r="AC889" s="123"/>
      <c r="AE889" s="123"/>
    </row>
    <row r="890" spans="1:31">
      <c r="A890" s="123"/>
      <c r="B890" s="123"/>
      <c r="C890" s="123"/>
      <c r="D890" s="123"/>
      <c r="E890" s="123"/>
      <c r="G890" s="123"/>
      <c r="I890" s="123"/>
      <c r="M890" s="123"/>
      <c r="N890" s="123"/>
      <c r="O890" s="123"/>
      <c r="Q890" s="123"/>
      <c r="S890" s="123"/>
      <c r="U890" s="123"/>
      <c r="W890" s="123"/>
      <c r="AA890" s="123"/>
      <c r="AB890" s="123"/>
      <c r="AC890" s="123"/>
      <c r="AE890" s="123"/>
    </row>
    <row r="891" spans="1:31">
      <c r="A891" s="123"/>
      <c r="B891" s="123"/>
      <c r="C891" s="123"/>
      <c r="D891" s="123"/>
      <c r="E891" s="123"/>
      <c r="G891" s="123"/>
      <c r="I891" s="123"/>
      <c r="M891" s="123"/>
      <c r="N891" s="123"/>
      <c r="O891" s="123"/>
      <c r="Q891" s="123"/>
      <c r="S891" s="123"/>
      <c r="U891" s="123"/>
      <c r="W891" s="123"/>
      <c r="AA891" s="123"/>
      <c r="AB891" s="123"/>
      <c r="AC891" s="123"/>
      <c r="AE891" s="123"/>
    </row>
    <row r="892" spans="1:31">
      <c r="A892" s="123"/>
      <c r="B892" s="123"/>
      <c r="C892" s="123"/>
      <c r="D892" s="123"/>
      <c r="E892" s="123"/>
      <c r="G892" s="123"/>
      <c r="I892" s="123"/>
      <c r="M892" s="123"/>
      <c r="N892" s="123"/>
      <c r="O892" s="123"/>
      <c r="Q892" s="123"/>
      <c r="S892" s="123"/>
      <c r="U892" s="123"/>
      <c r="W892" s="123"/>
      <c r="AA892" s="123"/>
      <c r="AB892" s="123"/>
      <c r="AC892" s="123"/>
      <c r="AE892" s="123"/>
    </row>
    <row r="893" spans="1:31">
      <c r="A893" s="123"/>
      <c r="B893" s="123"/>
      <c r="C893" s="123"/>
      <c r="D893" s="123"/>
      <c r="E893" s="123"/>
      <c r="G893" s="123"/>
      <c r="I893" s="123"/>
      <c r="M893" s="123"/>
      <c r="N893" s="123"/>
      <c r="O893" s="123"/>
      <c r="Q893" s="123"/>
      <c r="S893" s="123"/>
      <c r="U893" s="123"/>
      <c r="W893" s="123"/>
      <c r="AA893" s="123"/>
      <c r="AB893" s="123"/>
      <c r="AC893" s="123"/>
      <c r="AE893" s="123"/>
    </row>
    <row r="894" spans="1:31">
      <c r="A894" s="123"/>
      <c r="B894" s="123"/>
      <c r="C894" s="123"/>
      <c r="D894" s="123"/>
      <c r="E894" s="123"/>
      <c r="G894" s="123"/>
      <c r="I894" s="123"/>
      <c r="M894" s="123"/>
      <c r="N894" s="123"/>
      <c r="O894" s="123"/>
      <c r="Q894" s="123"/>
      <c r="S894" s="123"/>
      <c r="U894" s="123"/>
      <c r="W894" s="123"/>
      <c r="AA894" s="123"/>
      <c r="AB894" s="123"/>
      <c r="AC894" s="123"/>
      <c r="AE894" s="123"/>
    </row>
    <row r="895" spans="1:31">
      <c r="A895" s="123"/>
      <c r="B895" s="123"/>
      <c r="C895" s="123"/>
      <c r="D895" s="123"/>
      <c r="E895" s="123"/>
      <c r="G895" s="123"/>
      <c r="I895" s="123"/>
      <c r="M895" s="123"/>
      <c r="N895" s="123"/>
      <c r="O895" s="123"/>
      <c r="Q895" s="123"/>
      <c r="S895" s="123"/>
      <c r="U895" s="123"/>
      <c r="W895" s="123"/>
      <c r="AA895" s="123"/>
      <c r="AB895" s="123"/>
      <c r="AC895" s="123"/>
      <c r="AE895" s="123"/>
    </row>
    <row r="896" spans="1:31">
      <c r="A896" s="123"/>
      <c r="B896" s="123"/>
      <c r="C896" s="123"/>
      <c r="D896" s="123"/>
      <c r="E896" s="123"/>
      <c r="G896" s="123"/>
      <c r="I896" s="123"/>
      <c r="M896" s="123"/>
      <c r="N896" s="123"/>
      <c r="O896" s="123"/>
      <c r="Q896" s="123"/>
      <c r="S896" s="123"/>
      <c r="U896" s="123"/>
      <c r="W896" s="123"/>
      <c r="AA896" s="123"/>
      <c r="AB896" s="123"/>
      <c r="AC896" s="123"/>
      <c r="AE896" s="123"/>
    </row>
    <row r="897" spans="1:31">
      <c r="A897" s="123"/>
      <c r="B897" s="123"/>
      <c r="C897" s="123"/>
      <c r="D897" s="123"/>
      <c r="E897" s="123"/>
      <c r="G897" s="123"/>
      <c r="I897" s="123"/>
      <c r="M897" s="123"/>
      <c r="N897" s="123"/>
      <c r="O897" s="123"/>
      <c r="Q897" s="123"/>
      <c r="S897" s="123"/>
      <c r="U897" s="123"/>
      <c r="W897" s="123"/>
      <c r="AA897" s="123"/>
      <c r="AB897" s="123"/>
      <c r="AC897" s="123"/>
      <c r="AE897" s="123"/>
    </row>
    <row r="898" spans="1:31">
      <c r="A898" s="123"/>
      <c r="B898" s="123"/>
      <c r="C898" s="123"/>
      <c r="D898" s="123"/>
      <c r="E898" s="123"/>
      <c r="G898" s="123"/>
      <c r="I898" s="123"/>
      <c r="M898" s="123"/>
      <c r="N898" s="123"/>
      <c r="O898" s="123"/>
      <c r="Q898" s="123"/>
      <c r="S898" s="123"/>
      <c r="U898" s="123"/>
      <c r="W898" s="123"/>
      <c r="AA898" s="123"/>
      <c r="AB898" s="123"/>
      <c r="AC898" s="123"/>
      <c r="AE898" s="123"/>
    </row>
    <row r="899" spans="1:31">
      <c r="A899" s="123"/>
      <c r="B899" s="123"/>
      <c r="C899" s="123"/>
      <c r="D899" s="123"/>
      <c r="E899" s="123"/>
      <c r="G899" s="123"/>
      <c r="I899" s="123"/>
      <c r="M899" s="123"/>
      <c r="N899" s="123"/>
      <c r="O899" s="123"/>
      <c r="Q899" s="123"/>
      <c r="S899" s="123"/>
      <c r="U899" s="123"/>
      <c r="W899" s="123"/>
      <c r="AA899" s="123"/>
      <c r="AB899" s="123"/>
      <c r="AC899" s="123"/>
      <c r="AE899" s="123"/>
    </row>
    <row r="900" spans="1:31">
      <c r="A900" s="123"/>
      <c r="B900" s="123"/>
      <c r="C900" s="123"/>
      <c r="D900" s="123"/>
      <c r="E900" s="123"/>
      <c r="G900" s="123"/>
      <c r="I900" s="123"/>
      <c r="M900" s="123"/>
      <c r="N900" s="123"/>
      <c r="O900" s="123"/>
      <c r="Q900" s="123"/>
      <c r="S900" s="123"/>
      <c r="U900" s="123"/>
      <c r="W900" s="123"/>
      <c r="AA900" s="123"/>
      <c r="AB900" s="123"/>
      <c r="AC900" s="123"/>
      <c r="AE900" s="123"/>
    </row>
    <row r="901" spans="1:31">
      <c r="A901" s="123"/>
      <c r="B901" s="123"/>
      <c r="C901" s="123"/>
      <c r="D901" s="123"/>
      <c r="E901" s="123"/>
      <c r="G901" s="123"/>
      <c r="I901" s="123"/>
      <c r="M901" s="123"/>
      <c r="N901" s="123"/>
      <c r="O901" s="123"/>
      <c r="Q901" s="123"/>
      <c r="S901" s="123"/>
      <c r="U901" s="123"/>
      <c r="W901" s="123"/>
      <c r="AA901" s="123"/>
      <c r="AB901" s="123"/>
      <c r="AC901" s="123"/>
      <c r="AE901" s="123"/>
    </row>
    <row r="902" spans="1:31">
      <c r="A902" s="123"/>
      <c r="B902" s="123"/>
      <c r="C902" s="123"/>
      <c r="D902" s="123"/>
      <c r="E902" s="123"/>
      <c r="G902" s="123"/>
      <c r="I902" s="123"/>
      <c r="M902" s="123"/>
      <c r="N902" s="123"/>
      <c r="O902" s="123"/>
      <c r="Q902" s="123"/>
      <c r="S902" s="123"/>
      <c r="U902" s="123"/>
      <c r="W902" s="123"/>
      <c r="AA902" s="123"/>
      <c r="AB902" s="123"/>
      <c r="AC902" s="123"/>
      <c r="AE902" s="123"/>
    </row>
    <row r="903" spans="1:31">
      <c r="A903" s="123"/>
      <c r="B903" s="123"/>
      <c r="C903" s="123"/>
      <c r="D903" s="123"/>
      <c r="E903" s="123"/>
      <c r="G903" s="123"/>
      <c r="I903" s="123"/>
      <c r="M903" s="123"/>
      <c r="N903" s="123"/>
      <c r="O903" s="123"/>
      <c r="Q903" s="123"/>
      <c r="S903" s="123"/>
      <c r="U903" s="123"/>
      <c r="W903" s="123"/>
      <c r="AA903" s="123"/>
      <c r="AB903" s="123"/>
      <c r="AC903" s="123"/>
      <c r="AE903" s="123"/>
    </row>
    <row r="904" spans="1:31">
      <c r="A904" s="123"/>
      <c r="B904" s="123"/>
      <c r="C904" s="123"/>
      <c r="D904" s="123"/>
      <c r="E904" s="123"/>
      <c r="G904" s="123"/>
      <c r="I904" s="123"/>
      <c r="M904" s="123"/>
      <c r="N904" s="123"/>
      <c r="O904" s="123"/>
      <c r="Q904" s="123"/>
      <c r="S904" s="123"/>
      <c r="U904" s="123"/>
      <c r="W904" s="123"/>
      <c r="AA904" s="123"/>
      <c r="AB904" s="123"/>
      <c r="AC904" s="123"/>
      <c r="AE904" s="123"/>
    </row>
    <row r="905" spans="1:31">
      <c r="A905" s="123"/>
      <c r="B905" s="123"/>
      <c r="C905" s="123"/>
      <c r="D905" s="123"/>
      <c r="E905" s="123"/>
      <c r="G905" s="123"/>
      <c r="I905" s="123"/>
      <c r="M905" s="123"/>
      <c r="N905" s="123"/>
      <c r="O905" s="123"/>
      <c r="Q905" s="123"/>
      <c r="S905" s="123"/>
      <c r="U905" s="123"/>
      <c r="W905" s="123"/>
      <c r="AA905" s="123"/>
      <c r="AB905" s="123"/>
      <c r="AC905" s="123"/>
      <c r="AE905" s="123"/>
    </row>
    <row r="906" spans="1:31">
      <c r="A906" s="123"/>
      <c r="B906" s="123"/>
      <c r="C906" s="123"/>
      <c r="D906" s="123"/>
      <c r="E906" s="123"/>
      <c r="G906" s="123"/>
      <c r="I906" s="123"/>
      <c r="M906" s="123"/>
      <c r="N906" s="123"/>
      <c r="O906" s="123"/>
      <c r="Q906" s="123"/>
      <c r="S906" s="123"/>
      <c r="U906" s="123"/>
      <c r="W906" s="123"/>
      <c r="AA906" s="123"/>
      <c r="AB906" s="123"/>
      <c r="AC906" s="123"/>
      <c r="AE906" s="123"/>
    </row>
    <row r="907" spans="1:31">
      <c r="A907" s="123"/>
      <c r="B907" s="123"/>
      <c r="C907" s="123"/>
      <c r="D907" s="123"/>
      <c r="E907" s="123"/>
      <c r="G907" s="123"/>
      <c r="I907" s="123"/>
      <c r="M907" s="123"/>
      <c r="N907" s="123"/>
      <c r="O907" s="123"/>
      <c r="Q907" s="123"/>
      <c r="S907" s="123"/>
      <c r="U907" s="123"/>
      <c r="W907" s="123"/>
      <c r="AA907" s="123"/>
      <c r="AB907" s="123"/>
      <c r="AC907" s="123"/>
      <c r="AE907" s="123"/>
    </row>
    <row r="908" spans="1:31">
      <c r="A908" s="123"/>
      <c r="B908" s="123"/>
      <c r="C908" s="123"/>
      <c r="D908" s="123"/>
      <c r="E908" s="123"/>
      <c r="G908" s="123"/>
      <c r="I908" s="123"/>
      <c r="M908" s="123"/>
      <c r="N908" s="123"/>
      <c r="O908" s="123"/>
      <c r="Q908" s="123"/>
      <c r="S908" s="123"/>
      <c r="U908" s="123"/>
      <c r="W908" s="123"/>
      <c r="AA908" s="123"/>
      <c r="AB908" s="123"/>
      <c r="AC908" s="123"/>
      <c r="AE908" s="123"/>
    </row>
    <row r="909" spans="1:31">
      <c r="A909" s="123"/>
      <c r="B909" s="123"/>
      <c r="C909" s="123"/>
      <c r="D909" s="123"/>
      <c r="E909" s="123"/>
      <c r="G909" s="123"/>
      <c r="I909" s="123"/>
      <c r="M909" s="123"/>
      <c r="N909" s="123"/>
      <c r="O909" s="123"/>
      <c r="Q909" s="123"/>
      <c r="S909" s="123"/>
      <c r="U909" s="123"/>
      <c r="W909" s="123"/>
      <c r="AA909" s="123"/>
      <c r="AB909" s="123"/>
      <c r="AC909" s="123"/>
      <c r="AE909" s="123"/>
    </row>
    <row r="910" spans="1:31">
      <c r="A910" s="123"/>
      <c r="B910" s="123"/>
      <c r="C910" s="123"/>
      <c r="D910" s="123"/>
      <c r="E910" s="123"/>
      <c r="G910" s="123"/>
      <c r="I910" s="123"/>
      <c r="M910" s="123"/>
      <c r="N910" s="123"/>
      <c r="O910" s="123"/>
      <c r="Q910" s="123"/>
      <c r="S910" s="123"/>
      <c r="U910" s="123"/>
      <c r="W910" s="123"/>
      <c r="AA910" s="123"/>
      <c r="AB910" s="123"/>
      <c r="AC910" s="123"/>
      <c r="AE910" s="123"/>
    </row>
    <row r="911" spans="1:31">
      <c r="A911" s="123"/>
      <c r="B911" s="123"/>
      <c r="C911" s="123"/>
      <c r="D911" s="123"/>
      <c r="E911" s="123"/>
      <c r="G911" s="123"/>
      <c r="I911" s="123"/>
      <c r="M911" s="123"/>
      <c r="N911" s="123"/>
      <c r="O911" s="123"/>
      <c r="Q911" s="123"/>
      <c r="S911" s="123"/>
      <c r="U911" s="123"/>
      <c r="W911" s="123"/>
      <c r="AA911" s="123"/>
      <c r="AB911" s="123"/>
      <c r="AC911" s="123"/>
      <c r="AE911" s="123"/>
    </row>
    <row r="912" spans="1:31">
      <c r="A912" s="123"/>
      <c r="B912" s="123"/>
      <c r="C912" s="123"/>
      <c r="D912" s="123"/>
      <c r="E912" s="123"/>
      <c r="G912" s="123"/>
      <c r="I912" s="123"/>
      <c r="M912" s="123"/>
      <c r="N912" s="123"/>
      <c r="O912" s="123"/>
      <c r="Q912" s="123"/>
      <c r="S912" s="123"/>
      <c r="U912" s="123"/>
      <c r="W912" s="123"/>
      <c r="AA912" s="123"/>
      <c r="AB912" s="123"/>
      <c r="AC912" s="123"/>
      <c r="AE912" s="123"/>
    </row>
    <row r="913" spans="1:31">
      <c r="A913" s="123"/>
      <c r="B913" s="123"/>
      <c r="C913" s="123"/>
      <c r="D913" s="123"/>
      <c r="E913" s="123"/>
      <c r="G913" s="123"/>
      <c r="I913" s="123"/>
      <c r="M913" s="123"/>
      <c r="N913" s="123"/>
      <c r="O913" s="123"/>
      <c r="Q913" s="123"/>
      <c r="S913" s="123"/>
      <c r="U913" s="123"/>
      <c r="W913" s="123"/>
      <c r="AA913" s="123"/>
      <c r="AB913" s="123"/>
      <c r="AC913" s="123"/>
      <c r="AE913" s="123"/>
    </row>
    <row r="914" spans="1:31">
      <c r="A914" s="123"/>
      <c r="B914" s="123"/>
      <c r="C914" s="123"/>
      <c r="D914" s="123"/>
      <c r="E914" s="123"/>
      <c r="G914" s="123"/>
      <c r="I914" s="123"/>
      <c r="M914" s="123"/>
      <c r="N914" s="123"/>
      <c r="O914" s="123"/>
      <c r="Q914" s="123"/>
      <c r="S914" s="123"/>
      <c r="U914" s="123"/>
      <c r="W914" s="123"/>
      <c r="AA914" s="123"/>
      <c r="AB914" s="123"/>
      <c r="AC914" s="123"/>
      <c r="AE914" s="123"/>
    </row>
    <row r="915" spans="1:31">
      <c r="A915" s="123"/>
      <c r="B915" s="123"/>
      <c r="C915" s="123"/>
      <c r="D915" s="123"/>
      <c r="E915" s="123"/>
      <c r="G915" s="123"/>
      <c r="I915" s="123"/>
      <c r="M915" s="123"/>
      <c r="N915" s="123"/>
      <c r="O915" s="123"/>
      <c r="Q915" s="123"/>
      <c r="S915" s="123"/>
      <c r="U915" s="123"/>
      <c r="W915" s="123"/>
      <c r="AA915" s="123"/>
      <c r="AB915" s="123"/>
      <c r="AC915" s="123"/>
      <c r="AE915" s="123"/>
    </row>
    <row r="916" spans="1:31">
      <c r="A916" s="123"/>
      <c r="B916" s="123"/>
      <c r="C916" s="123"/>
      <c r="D916" s="123"/>
      <c r="E916" s="123"/>
      <c r="G916" s="123"/>
      <c r="I916" s="123"/>
      <c r="M916" s="123"/>
      <c r="N916" s="123"/>
      <c r="O916" s="123"/>
      <c r="Q916" s="123"/>
      <c r="S916" s="123"/>
      <c r="U916" s="123"/>
      <c r="W916" s="123"/>
      <c r="AA916" s="123"/>
      <c r="AB916" s="123"/>
      <c r="AC916" s="123"/>
      <c r="AE916" s="123"/>
    </row>
    <row r="917" spans="1:31">
      <c r="A917" s="123"/>
      <c r="B917" s="123"/>
      <c r="C917" s="123"/>
      <c r="D917" s="123"/>
      <c r="E917" s="123"/>
      <c r="G917" s="123"/>
      <c r="I917" s="123"/>
      <c r="M917" s="123"/>
      <c r="N917" s="123"/>
      <c r="O917" s="123"/>
      <c r="Q917" s="123"/>
      <c r="S917" s="123"/>
      <c r="U917" s="123"/>
      <c r="W917" s="123"/>
      <c r="AA917" s="123"/>
      <c r="AB917" s="123"/>
      <c r="AC917" s="123"/>
      <c r="AE917" s="123"/>
    </row>
    <row r="918" spans="1:31">
      <c r="A918" s="123"/>
      <c r="B918" s="123"/>
      <c r="C918" s="123"/>
      <c r="D918" s="123"/>
      <c r="E918" s="123"/>
      <c r="G918" s="123"/>
      <c r="I918" s="123"/>
      <c r="M918" s="123"/>
      <c r="N918" s="123"/>
      <c r="O918" s="123"/>
      <c r="Q918" s="123"/>
      <c r="S918" s="123"/>
      <c r="U918" s="123"/>
      <c r="W918" s="123"/>
      <c r="AA918" s="123"/>
      <c r="AB918" s="123"/>
      <c r="AC918" s="123"/>
      <c r="AE918" s="123"/>
    </row>
    <row r="919" spans="1:31">
      <c r="A919" s="123"/>
      <c r="B919" s="123"/>
      <c r="C919" s="123"/>
      <c r="D919" s="123"/>
      <c r="E919" s="123"/>
      <c r="G919" s="123"/>
      <c r="I919" s="123"/>
      <c r="M919" s="123"/>
      <c r="N919" s="123"/>
      <c r="O919" s="123"/>
      <c r="Q919" s="123"/>
      <c r="S919" s="123"/>
      <c r="U919" s="123"/>
      <c r="W919" s="123"/>
      <c r="AA919" s="123"/>
      <c r="AB919" s="123"/>
      <c r="AC919" s="123"/>
      <c r="AE919" s="123"/>
    </row>
    <row r="920" spans="1:31">
      <c r="A920" s="123"/>
      <c r="B920" s="123"/>
      <c r="C920" s="123"/>
      <c r="D920" s="123"/>
      <c r="E920" s="123"/>
      <c r="G920" s="123"/>
      <c r="I920" s="123"/>
      <c r="M920" s="123"/>
      <c r="N920" s="123"/>
      <c r="O920" s="123"/>
      <c r="Q920" s="123"/>
      <c r="S920" s="123"/>
      <c r="U920" s="123"/>
      <c r="W920" s="123"/>
      <c r="AA920" s="123"/>
      <c r="AB920" s="123"/>
      <c r="AC920" s="123"/>
      <c r="AE920" s="123"/>
    </row>
    <row r="921" spans="1:31">
      <c r="A921" s="123"/>
      <c r="B921" s="123"/>
      <c r="C921" s="123"/>
      <c r="D921" s="123"/>
      <c r="E921" s="123"/>
      <c r="G921" s="123"/>
      <c r="I921" s="123"/>
      <c r="M921" s="123"/>
      <c r="N921" s="123"/>
      <c r="O921" s="123"/>
      <c r="Q921" s="123"/>
      <c r="S921" s="123"/>
      <c r="U921" s="123"/>
      <c r="W921" s="123"/>
      <c r="AA921" s="123"/>
      <c r="AB921" s="123"/>
      <c r="AC921" s="123"/>
      <c r="AE921" s="123"/>
    </row>
    <row r="922" spans="1:31">
      <c r="A922" s="123"/>
      <c r="B922" s="123"/>
      <c r="C922" s="123"/>
      <c r="D922" s="123"/>
      <c r="E922" s="123"/>
      <c r="G922" s="123"/>
      <c r="I922" s="123"/>
      <c r="M922" s="123"/>
      <c r="N922" s="123"/>
      <c r="O922" s="123"/>
      <c r="Q922" s="123"/>
      <c r="S922" s="123"/>
      <c r="U922" s="123"/>
      <c r="W922" s="123"/>
      <c r="AA922" s="123"/>
      <c r="AB922" s="123"/>
      <c r="AC922" s="123"/>
      <c r="AE922" s="123"/>
    </row>
    <row r="923" spans="1:31">
      <c r="A923" s="123"/>
      <c r="B923" s="123"/>
      <c r="C923" s="123"/>
      <c r="D923" s="123"/>
      <c r="E923" s="123"/>
      <c r="G923" s="123"/>
      <c r="I923" s="123"/>
      <c r="M923" s="123"/>
      <c r="N923" s="123"/>
      <c r="O923" s="123"/>
      <c r="Q923" s="123"/>
      <c r="S923" s="123"/>
      <c r="U923" s="123"/>
      <c r="W923" s="123"/>
      <c r="AA923" s="123"/>
      <c r="AB923" s="123"/>
      <c r="AC923" s="123"/>
      <c r="AE923" s="123"/>
    </row>
    <row r="924" spans="1:31">
      <c r="A924" s="123"/>
      <c r="B924" s="123"/>
      <c r="C924" s="123"/>
      <c r="D924" s="123"/>
      <c r="E924" s="123"/>
      <c r="G924" s="123"/>
      <c r="I924" s="123"/>
      <c r="M924" s="123"/>
      <c r="N924" s="123"/>
      <c r="O924" s="123"/>
      <c r="Q924" s="123"/>
      <c r="S924" s="123"/>
      <c r="U924" s="123"/>
      <c r="W924" s="123"/>
      <c r="AA924" s="123"/>
      <c r="AB924" s="123"/>
      <c r="AC924" s="123"/>
      <c r="AE924" s="123"/>
    </row>
    <row r="925" spans="1:31">
      <c r="A925" s="123"/>
      <c r="B925" s="123"/>
      <c r="C925" s="123"/>
      <c r="D925" s="123"/>
      <c r="E925" s="123"/>
      <c r="G925" s="123"/>
      <c r="I925" s="123"/>
      <c r="M925" s="123"/>
      <c r="N925" s="123"/>
      <c r="O925" s="123"/>
      <c r="Q925" s="123"/>
      <c r="S925" s="123"/>
      <c r="U925" s="123"/>
      <c r="W925" s="123"/>
      <c r="AA925" s="123"/>
      <c r="AB925" s="123"/>
      <c r="AC925" s="123"/>
      <c r="AE925" s="123"/>
    </row>
    <row r="926" spans="1:31">
      <c r="A926" s="123"/>
      <c r="B926" s="123"/>
      <c r="C926" s="123"/>
      <c r="D926" s="123"/>
      <c r="E926" s="123"/>
      <c r="G926" s="123"/>
      <c r="I926" s="123"/>
      <c r="M926" s="123"/>
      <c r="N926" s="123"/>
      <c r="O926" s="123"/>
      <c r="Q926" s="123"/>
      <c r="S926" s="123"/>
      <c r="U926" s="123"/>
      <c r="W926" s="123"/>
      <c r="AA926" s="123"/>
      <c r="AB926" s="123"/>
      <c r="AC926" s="123"/>
      <c r="AE926" s="123"/>
    </row>
    <row r="927" spans="1:31">
      <c r="A927" s="123"/>
      <c r="B927" s="123"/>
      <c r="C927" s="123"/>
      <c r="D927" s="123"/>
      <c r="E927" s="123"/>
      <c r="G927" s="123"/>
      <c r="I927" s="123"/>
      <c r="M927" s="123"/>
      <c r="N927" s="123"/>
      <c r="O927" s="123"/>
      <c r="Q927" s="123"/>
      <c r="S927" s="123"/>
      <c r="U927" s="123"/>
      <c r="W927" s="123"/>
      <c r="AA927" s="123"/>
      <c r="AB927" s="123"/>
      <c r="AC927" s="123"/>
      <c r="AE927" s="123"/>
    </row>
    <row r="928" spans="1:31">
      <c r="A928" s="123"/>
      <c r="B928" s="123"/>
      <c r="C928" s="123"/>
      <c r="D928" s="123"/>
      <c r="E928" s="123"/>
      <c r="G928" s="123"/>
      <c r="I928" s="123"/>
      <c r="M928" s="123"/>
      <c r="N928" s="123"/>
      <c r="O928" s="123"/>
      <c r="Q928" s="123"/>
      <c r="S928" s="123"/>
      <c r="U928" s="123"/>
      <c r="W928" s="123"/>
      <c r="AA928" s="123"/>
      <c r="AB928" s="123"/>
      <c r="AC928" s="123"/>
      <c r="AE928" s="123"/>
    </row>
    <row r="929" spans="1:31">
      <c r="A929" s="123"/>
      <c r="B929" s="123"/>
      <c r="C929" s="123"/>
      <c r="D929" s="123"/>
      <c r="E929" s="123"/>
      <c r="G929" s="123"/>
      <c r="I929" s="123"/>
      <c r="M929" s="123"/>
      <c r="N929" s="123"/>
      <c r="O929" s="123"/>
      <c r="Q929" s="123"/>
      <c r="S929" s="123"/>
      <c r="U929" s="123"/>
      <c r="W929" s="123"/>
      <c r="AA929" s="123"/>
      <c r="AB929" s="123"/>
      <c r="AC929" s="123"/>
      <c r="AE929" s="123"/>
    </row>
    <row r="930" spans="1:31">
      <c r="A930" s="123"/>
      <c r="B930" s="123"/>
      <c r="C930" s="123"/>
      <c r="D930" s="123"/>
      <c r="E930" s="123"/>
      <c r="G930" s="123"/>
      <c r="I930" s="123"/>
      <c r="M930" s="123"/>
      <c r="N930" s="123"/>
      <c r="O930" s="123"/>
      <c r="Q930" s="123"/>
      <c r="S930" s="123"/>
      <c r="U930" s="123"/>
      <c r="W930" s="123"/>
      <c r="AA930" s="123"/>
      <c r="AB930" s="123"/>
      <c r="AC930" s="123"/>
      <c r="AE930" s="123"/>
    </row>
    <row r="931" spans="1:31">
      <c r="A931" s="123"/>
      <c r="B931" s="123"/>
      <c r="C931" s="123"/>
      <c r="D931" s="123"/>
      <c r="E931" s="123"/>
      <c r="G931" s="123"/>
      <c r="I931" s="123"/>
      <c r="M931" s="123"/>
      <c r="N931" s="123"/>
      <c r="O931" s="123"/>
      <c r="Q931" s="123"/>
      <c r="S931" s="123"/>
      <c r="U931" s="123"/>
      <c r="W931" s="123"/>
      <c r="AA931" s="123"/>
      <c r="AB931" s="123"/>
      <c r="AC931" s="123"/>
      <c r="AE931" s="123"/>
    </row>
    <row r="932" spans="1:31">
      <c r="A932" s="123"/>
      <c r="B932" s="123"/>
      <c r="C932" s="123"/>
      <c r="D932" s="123"/>
      <c r="E932" s="123"/>
      <c r="G932" s="123"/>
      <c r="I932" s="123"/>
      <c r="M932" s="123"/>
      <c r="N932" s="123"/>
      <c r="O932" s="123"/>
      <c r="Q932" s="123"/>
      <c r="S932" s="123"/>
      <c r="U932" s="123"/>
      <c r="W932" s="123"/>
      <c r="AA932" s="123"/>
      <c r="AB932" s="123"/>
      <c r="AC932" s="123"/>
      <c r="AE932" s="123"/>
    </row>
    <row r="933" spans="1:31">
      <c r="A933" s="123"/>
      <c r="B933" s="123"/>
      <c r="C933" s="123"/>
      <c r="D933" s="123"/>
      <c r="E933" s="123"/>
      <c r="G933" s="123"/>
      <c r="I933" s="123"/>
      <c r="M933" s="123"/>
      <c r="N933" s="123"/>
      <c r="O933" s="123"/>
      <c r="Q933" s="123"/>
      <c r="S933" s="123"/>
      <c r="U933" s="123"/>
      <c r="W933" s="123"/>
      <c r="AA933" s="123"/>
      <c r="AB933" s="123"/>
      <c r="AC933" s="123"/>
      <c r="AE933" s="123"/>
    </row>
    <row r="934" spans="1:31">
      <c r="A934" s="123"/>
      <c r="B934" s="123"/>
      <c r="C934" s="123"/>
      <c r="D934" s="123"/>
      <c r="E934" s="123"/>
      <c r="G934" s="123"/>
      <c r="I934" s="123"/>
      <c r="M934" s="123"/>
      <c r="N934" s="123"/>
      <c r="O934" s="123"/>
      <c r="Q934" s="123"/>
      <c r="S934" s="123"/>
      <c r="U934" s="123"/>
      <c r="W934" s="123"/>
      <c r="AA934" s="123"/>
      <c r="AB934" s="123"/>
      <c r="AC934" s="123"/>
      <c r="AE934" s="123"/>
    </row>
    <row r="935" spans="1:31">
      <c r="A935" s="123"/>
      <c r="B935" s="123"/>
      <c r="C935" s="123"/>
      <c r="D935" s="123"/>
      <c r="E935" s="123"/>
      <c r="G935" s="123"/>
      <c r="I935" s="123"/>
      <c r="M935" s="123"/>
      <c r="N935" s="123"/>
      <c r="O935" s="123"/>
      <c r="Q935" s="123"/>
      <c r="S935" s="123"/>
      <c r="U935" s="123"/>
      <c r="W935" s="123"/>
      <c r="AA935" s="123"/>
      <c r="AB935" s="123"/>
      <c r="AC935" s="123"/>
      <c r="AE935" s="123"/>
    </row>
    <row r="936" spans="1:31">
      <c r="A936" s="123"/>
      <c r="B936" s="123"/>
      <c r="C936" s="123"/>
      <c r="D936" s="123"/>
      <c r="E936" s="123"/>
      <c r="G936" s="123"/>
      <c r="I936" s="123"/>
      <c r="M936" s="123"/>
      <c r="N936" s="123"/>
      <c r="O936" s="123"/>
      <c r="Q936" s="123"/>
      <c r="S936" s="123"/>
      <c r="U936" s="123"/>
      <c r="W936" s="123"/>
      <c r="AA936" s="123"/>
      <c r="AB936" s="123"/>
      <c r="AC936" s="123"/>
      <c r="AE936" s="123"/>
    </row>
    <row r="937" spans="1:31">
      <c r="A937" s="123"/>
      <c r="B937" s="123"/>
      <c r="C937" s="123"/>
      <c r="D937" s="123"/>
      <c r="E937" s="123"/>
      <c r="G937" s="123"/>
      <c r="I937" s="123"/>
      <c r="M937" s="123"/>
      <c r="N937" s="123"/>
      <c r="O937" s="123"/>
      <c r="Q937" s="123"/>
      <c r="S937" s="123"/>
      <c r="U937" s="123"/>
      <c r="W937" s="123"/>
      <c r="AA937" s="123"/>
      <c r="AB937" s="123"/>
      <c r="AC937" s="123"/>
      <c r="AE937" s="123"/>
    </row>
    <row r="938" spans="1:31">
      <c r="A938" s="123"/>
      <c r="B938" s="123"/>
      <c r="C938" s="123"/>
      <c r="D938" s="123"/>
      <c r="E938" s="123"/>
      <c r="G938" s="123"/>
      <c r="I938" s="123"/>
      <c r="M938" s="123"/>
      <c r="N938" s="123"/>
      <c r="O938" s="123"/>
      <c r="Q938" s="123"/>
      <c r="S938" s="123"/>
      <c r="U938" s="123"/>
      <c r="W938" s="123"/>
      <c r="AA938" s="123"/>
      <c r="AB938" s="123"/>
      <c r="AC938" s="123"/>
      <c r="AE938" s="123"/>
    </row>
    <row r="939" spans="1:31">
      <c r="A939" s="123"/>
      <c r="B939" s="123"/>
      <c r="C939" s="123"/>
      <c r="D939" s="123"/>
      <c r="E939" s="123"/>
      <c r="G939" s="123"/>
      <c r="I939" s="123"/>
      <c r="M939" s="123"/>
      <c r="N939" s="123"/>
      <c r="O939" s="123"/>
      <c r="Q939" s="123"/>
      <c r="S939" s="123"/>
      <c r="U939" s="123"/>
      <c r="W939" s="123"/>
      <c r="AA939" s="123"/>
      <c r="AB939" s="123"/>
      <c r="AC939" s="123"/>
      <c r="AE939" s="123"/>
    </row>
    <row r="940" spans="1:31">
      <c r="A940" s="123"/>
      <c r="B940" s="123"/>
      <c r="C940" s="123"/>
      <c r="D940" s="123"/>
      <c r="E940" s="123"/>
      <c r="G940" s="123"/>
      <c r="I940" s="123"/>
      <c r="M940" s="123"/>
      <c r="N940" s="123"/>
      <c r="O940" s="123"/>
      <c r="Q940" s="123"/>
      <c r="S940" s="123"/>
      <c r="U940" s="123"/>
      <c r="W940" s="123"/>
      <c r="AA940" s="123"/>
      <c r="AB940" s="123"/>
      <c r="AC940" s="123"/>
      <c r="AE940" s="123"/>
    </row>
    <row r="941" spans="1:31">
      <c r="A941" s="123"/>
      <c r="B941" s="123"/>
      <c r="C941" s="123"/>
      <c r="D941" s="123"/>
      <c r="E941" s="123"/>
      <c r="G941" s="123"/>
      <c r="I941" s="123"/>
      <c r="M941" s="123"/>
      <c r="N941" s="123"/>
      <c r="O941" s="123"/>
      <c r="Q941" s="123"/>
      <c r="S941" s="123"/>
      <c r="U941" s="123"/>
      <c r="W941" s="123"/>
      <c r="AA941" s="123"/>
      <c r="AB941" s="123"/>
      <c r="AC941" s="123"/>
      <c r="AE941" s="123"/>
    </row>
    <row r="942" spans="1:31">
      <c r="A942" s="123"/>
      <c r="B942" s="123"/>
      <c r="C942" s="123"/>
      <c r="D942" s="123"/>
      <c r="E942" s="123"/>
      <c r="G942" s="123"/>
      <c r="I942" s="123"/>
      <c r="M942" s="123"/>
      <c r="N942" s="123"/>
      <c r="O942" s="123"/>
      <c r="Q942" s="123"/>
      <c r="S942" s="123"/>
      <c r="U942" s="123"/>
      <c r="W942" s="123"/>
      <c r="AA942" s="123"/>
      <c r="AB942" s="123"/>
      <c r="AC942" s="123"/>
      <c r="AE942" s="123"/>
    </row>
    <row r="943" spans="1:31">
      <c r="A943" s="123"/>
      <c r="B943" s="123"/>
      <c r="C943" s="123"/>
      <c r="D943" s="123"/>
      <c r="E943" s="123"/>
      <c r="G943" s="123"/>
      <c r="I943" s="123"/>
      <c r="M943" s="123"/>
      <c r="N943" s="123"/>
      <c r="O943" s="123"/>
      <c r="Q943" s="123"/>
      <c r="S943" s="123"/>
      <c r="U943" s="123"/>
      <c r="W943" s="123"/>
      <c r="AA943" s="123"/>
      <c r="AB943" s="123"/>
      <c r="AC943" s="123"/>
      <c r="AE943" s="123"/>
    </row>
    <row r="944" spans="1:31">
      <c r="A944" s="123"/>
      <c r="B944" s="123"/>
      <c r="C944" s="123"/>
      <c r="D944" s="123"/>
      <c r="E944" s="123"/>
      <c r="G944" s="123"/>
      <c r="I944" s="123"/>
      <c r="M944" s="123"/>
      <c r="N944" s="123"/>
      <c r="O944" s="123"/>
      <c r="Q944" s="123"/>
      <c r="S944" s="123"/>
      <c r="U944" s="123"/>
      <c r="W944" s="123"/>
      <c r="AA944" s="123"/>
      <c r="AB944" s="123"/>
      <c r="AC944" s="123"/>
      <c r="AE944" s="123"/>
    </row>
    <row r="945" spans="1:31">
      <c r="A945" s="123"/>
      <c r="B945" s="123"/>
      <c r="C945" s="123"/>
      <c r="D945" s="123"/>
      <c r="E945" s="123"/>
      <c r="G945" s="123"/>
      <c r="I945" s="123"/>
      <c r="M945" s="123"/>
      <c r="N945" s="123"/>
      <c r="O945" s="123"/>
      <c r="Q945" s="123"/>
      <c r="S945" s="123"/>
      <c r="U945" s="123"/>
      <c r="W945" s="123"/>
      <c r="AA945" s="123"/>
      <c r="AB945" s="123"/>
      <c r="AC945" s="123"/>
      <c r="AE945" s="123"/>
    </row>
    <row r="946" spans="1:31">
      <c r="A946" s="123"/>
      <c r="B946" s="123"/>
      <c r="C946" s="123"/>
      <c r="D946" s="123"/>
      <c r="E946" s="123"/>
      <c r="G946" s="123"/>
      <c r="I946" s="123"/>
      <c r="M946" s="123"/>
      <c r="N946" s="123"/>
      <c r="O946" s="123"/>
      <c r="Q946" s="123"/>
      <c r="S946" s="123"/>
      <c r="U946" s="123"/>
      <c r="W946" s="123"/>
      <c r="AA946" s="123"/>
      <c r="AB946" s="123"/>
      <c r="AC946" s="123"/>
      <c r="AE946" s="123"/>
    </row>
    <row r="947" spans="1:31">
      <c r="A947" s="123"/>
      <c r="B947" s="123"/>
      <c r="C947" s="123"/>
      <c r="D947" s="123"/>
      <c r="E947" s="123"/>
      <c r="G947" s="123"/>
      <c r="I947" s="123"/>
      <c r="M947" s="123"/>
      <c r="N947" s="123"/>
      <c r="O947" s="123"/>
      <c r="Q947" s="123"/>
      <c r="S947" s="123"/>
      <c r="U947" s="123"/>
      <c r="W947" s="123"/>
      <c r="AA947" s="123"/>
      <c r="AB947" s="123"/>
      <c r="AC947" s="123"/>
      <c r="AE947" s="123"/>
    </row>
    <row r="948" spans="1:31">
      <c r="A948" s="123"/>
      <c r="B948" s="123"/>
      <c r="C948" s="123"/>
      <c r="D948" s="123"/>
      <c r="E948" s="123"/>
      <c r="G948" s="123"/>
      <c r="I948" s="123"/>
      <c r="M948" s="123"/>
      <c r="N948" s="123"/>
      <c r="O948" s="123"/>
      <c r="Q948" s="123"/>
      <c r="S948" s="123"/>
      <c r="U948" s="123"/>
      <c r="W948" s="123"/>
      <c r="AA948" s="123"/>
      <c r="AB948" s="123"/>
      <c r="AC948" s="123"/>
      <c r="AE948" s="123"/>
    </row>
    <row r="949" spans="1:31">
      <c r="A949" s="123"/>
      <c r="B949" s="123"/>
      <c r="C949" s="123"/>
      <c r="D949" s="123"/>
      <c r="E949" s="123"/>
      <c r="G949" s="123"/>
      <c r="I949" s="123"/>
      <c r="M949" s="123"/>
      <c r="N949" s="123"/>
      <c r="O949" s="123"/>
      <c r="Q949" s="123"/>
      <c r="S949" s="123"/>
      <c r="U949" s="123"/>
      <c r="W949" s="123"/>
      <c r="AA949" s="123"/>
      <c r="AB949" s="123"/>
      <c r="AC949" s="123"/>
      <c r="AE949" s="123"/>
    </row>
    <row r="950" spans="1:31">
      <c r="A950" s="123"/>
      <c r="B950" s="123"/>
      <c r="C950" s="123"/>
      <c r="D950" s="123"/>
      <c r="E950" s="123"/>
      <c r="G950" s="123"/>
      <c r="I950" s="123"/>
      <c r="M950" s="123"/>
      <c r="N950" s="123"/>
      <c r="O950" s="123"/>
      <c r="Q950" s="123"/>
      <c r="S950" s="123"/>
      <c r="U950" s="123"/>
      <c r="W950" s="123"/>
      <c r="AA950" s="123"/>
      <c r="AB950" s="123"/>
      <c r="AC950" s="123"/>
      <c r="AE950" s="123"/>
    </row>
    <row r="951" spans="1:31">
      <c r="A951" s="123"/>
      <c r="B951" s="123"/>
      <c r="C951" s="123"/>
      <c r="D951" s="123"/>
      <c r="E951" s="123"/>
      <c r="G951" s="123"/>
      <c r="I951" s="123"/>
      <c r="M951" s="123"/>
      <c r="N951" s="123"/>
      <c r="O951" s="123"/>
      <c r="Q951" s="123"/>
      <c r="S951" s="123"/>
      <c r="U951" s="123"/>
      <c r="W951" s="123"/>
      <c r="AA951" s="123"/>
      <c r="AB951" s="123"/>
      <c r="AC951" s="123"/>
      <c r="AE951" s="123"/>
    </row>
    <row r="952" spans="1:31">
      <c r="A952" s="123"/>
      <c r="B952" s="123"/>
      <c r="C952" s="123"/>
      <c r="D952" s="123"/>
      <c r="E952" s="123"/>
      <c r="G952" s="123"/>
      <c r="I952" s="123"/>
      <c r="M952" s="123"/>
      <c r="N952" s="123"/>
      <c r="O952" s="123"/>
      <c r="Q952" s="123"/>
      <c r="S952" s="123"/>
      <c r="U952" s="123"/>
      <c r="W952" s="123"/>
      <c r="AA952" s="123"/>
      <c r="AB952" s="123"/>
      <c r="AC952" s="123"/>
      <c r="AE952" s="123"/>
    </row>
    <row r="953" spans="1:31">
      <c r="A953" s="123"/>
      <c r="B953" s="123"/>
      <c r="C953" s="123"/>
      <c r="D953" s="123"/>
      <c r="E953" s="123"/>
      <c r="G953" s="123"/>
      <c r="I953" s="123"/>
      <c r="M953" s="123"/>
      <c r="N953" s="123"/>
      <c r="O953" s="123"/>
      <c r="Q953" s="123"/>
      <c r="S953" s="123"/>
      <c r="U953" s="123"/>
      <c r="W953" s="123"/>
      <c r="AA953" s="123"/>
      <c r="AB953" s="123"/>
      <c r="AC953" s="123"/>
      <c r="AE953" s="123"/>
    </row>
    <row r="954" spans="1:31">
      <c r="A954" s="123"/>
      <c r="B954" s="123"/>
      <c r="C954" s="123"/>
      <c r="D954" s="123"/>
      <c r="E954" s="123"/>
      <c r="G954" s="123"/>
      <c r="I954" s="123"/>
      <c r="M954" s="123"/>
      <c r="N954" s="123"/>
      <c r="O954" s="123"/>
      <c r="Q954" s="123"/>
      <c r="S954" s="123"/>
      <c r="U954" s="123"/>
      <c r="W954" s="123"/>
      <c r="AA954" s="123"/>
      <c r="AB954" s="123"/>
      <c r="AC954" s="123"/>
      <c r="AE954" s="123"/>
    </row>
    <row r="955" spans="1:31">
      <c r="A955" s="123"/>
      <c r="B955" s="123"/>
      <c r="C955" s="123"/>
      <c r="D955" s="123"/>
      <c r="E955" s="123"/>
      <c r="G955" s="123"/>
      <c r="I955" s="123"/>
      <c r="M955" s="123"/>
      <c r="N955" s="123"/>
      <c r="O955" s="123"/>
      <c r="Q955" s="123"/>
      <c r="S955" s="123"/>
      <c r="U955" s="123"/>
      <c r="W955" s="123"/>
      <c r="AA955" s="123"/>
      <c r="AB955" s="123"/>
      <c r="AC955" s="123"/>
      <c r="AE955" s="123"/>
    </row>
    <row r="956" spans="1:31">
      <c r="A956" s="123"/>
      <c r="B956" s="123"/>
      <c r="C956" s="123"/>
      <c r="D956" s="123"/>
      <c r="E956" s="123"/>
      <c r="G956" s="123"/>
      <c r="I956" s="123"/>
      <c r="M956" s="123"/>
      <c r="N956" s="123"/>
      <c r="O956" s="123"/>
      <c r="Q956" s="123"/>
      <c r="S956" s="123"/>
      <c r="U956" s="123"/>
      <c r="W956" s="123"/>
      <c r="AA956" s="123"/>
      <c r="AB956" s="123"/>
      <c r="AC956" s="123"/>
      <c r="AE956" s="123"/>
    </row>
    <row r="957" spans="1:31">
      <c r="A957" s="123"/>
      <c r="B957" s="123"/>
      <c r="C957" s="123"/>
      <c r="D957" s="123"/>
      <c r="E957" s="123"/>
      <c r="G957" s="123"/>
      <c r="I957" s="123"/>
      <c r="M957" s="123"/>
      <c r="N957" s="123"/>
      <c r="O957" s="123"/>
      <c r="Q957" s="123"/>
      <c r="S957" s="123"/>
      <c r="U957" s="123"/>
      <c r="W957" s="123"/>
      <c r="AA957" s="123"/>
      <c r="AB957" s="123"/>
      <c r="AC957" s="123"/>
      <c r="AE957" s="123"/>
    </row>
    <row r="958" spans="1:31">
      <c r="A958" s="123"/>
      <c r="B958" s="123"/>
      <c r="C958" s="123"/>
      <c r="D958" s="123"/>
      <c r="E958" s="123"/>
      <c r="G958" s="123"/>
      <c r="I958" s="123"/>
      <c r="M958" s="123"/>
      <c r="N958" s="123"/>
      <c r="O958" s="123"/>
      <c r="Q958" s="123"/>
      <c r="S958" s="123"/>
      <c r="U958" s="123"/>
      <c r="W958" s="123"/>
      <c r="AA958" s="123"/>
      <c r="AB958" s="123"/>
      <c r="AC958" s="123"/>
      <c r="AE958" s="123"/>
    </row>
    <row r="959" spans="1:31">
      <c r="A959" s="123"/>
      <c r="B959" s="123"/>
      <c r="C959" s="123"/>
      <c r="D959" s="123"/>
      <c r="E959" s="123"/>
      <c r="G959" s="123"/>
      <c r="I959" s="123"/>
      <c r="M959" s="123"/>
      <c r="N959" s="123"/>
      <c r="O959" s="123"/>
      <c r="Q959" s="123"/>
      <c r="S959" s="123"/>
      <c r="U959" s="123"/>
      <c r="W959" s="123"/>
      <c r="AA959" s="123"/>
      <c r="AB959" s="123"/>
      <c r="AC959" s="123"/>
      <c r="AE959" s="123"/>
    </row>
    <row r="960" spans="1:31">
      <c r="A960" s="123"/>
      <c r="B960" s="123"/>
      <c r="C960" s="123"/>
      <c r="D960" s="123"/>
      <c r="E960" s="123"/>
      <c r="G960" s="123"/>
      <c r="I960" s="123"/>
      <c r="M960" s="123"/>
      <c r="N960" s="123"/>
      <c r="O960" s="123"/>
      <c r="Q960" s="123"/>
      <c r="S960" s="123"/>
      <c r="U960" s="123"/>
      <c r="W960" s="123"/>
      <c r="AA960" s="123"/>
      <c r="AB960" s="123"/>
      <c r="AC960" s="123"/>
      <c r="AE960" s="123"/>
    </row>
    <row r="961" spans="1:31">
      <c r="A961" s="123"/>
      <c r="B961" s="123"/>
      <c r="C961" s="123"/>
      <c r="D961" s="123"/>
      <c r="E961" s="123"/>
      <c r="G961" s="123"/>
      <c r="I961" s="123"/>
      <c r="M961" s="123"/>
      <c r="N961" s="123"/>
      <c r="O961" s="123"/>
      <c r="Q961" s="123"/>
      <c r="S961" s="123"/>
      <c r="U961" s="123"/>
      <c r="W961" s="123"/>
      <c r="AA961" s="123"/>
      <c r="AB961" s="123"/>
      <c r="AC961" s="123"/>
      <c r="AE961" s="123"/>
    </row>
    <row r="962" spans="1:31">
      <c r="A962" s="123"/>
      <c r="B962" s="123"/>
      <c r="C962" s="123"/>
      <c r="D962" s="123"/>
      <c r="E962" s="123"/>
      <c r="G962" s="123"/>
      <c r="I962" s="123"/>
      <c r="M962" s="123"/>
      <c r="N962" s="123"/>
      <c r="O962" s="123"/>
      <c r="Q962" s="123"/>
      <c r="S962" s="123"/>
      <c r="U962" s="123"/>
      <c r="W962" s="123"/>
      <c r="AA962" s="123"/>
      <c r="AB962" s="123"/>
      <c r="AC962" s="123"/>
      <c r="AE962" s="123"/>
    </row>
    <row r="963" spans="1:31">
      <c r="A963" s="123"/>
      <c r="B963" s="123"/>
      <c r="C963" s="123"/>
      <c r="D963" s="123"/>
      <c r="E963" s="123"/>
      <c r="G963" s="123"/>
      <c r="I963" s="123"/>
      <c r="M963" s="123"/>
      <c r="N963" s="123"/>
      <c r="O963" s="123"/>
      <c r="Q963" s="123"/>
      <c r="S963" s="123"/>
      <c r="U963" s="123"/>
      <c r="W963" s="123"/>
      <c r="AA963" s="123"/>
      <c r="AB963" s="123"/>
      <c r="AC963" s="123"/>
      <c r="AE963" s="123"/>
    </row>
    <row r="964" spans="1:31">
      <c r="A964" s="123"/>
      <c r="B964" s="123"/>
      <c r="C964" s="123"/>
      <c r="D964" s="123"/>
      <c r="E964" s="123"/>
      <c r="G964" s="123"/>
      <c r="I964" s="123"/>
      <c r="M964" s="123"/>
      <c r="N964" s="123"/>
      <c r="O964" s="123"/>
      <c r="Q964" s="123"/>
      <c r="S964" s="123"/>
      <c r="U964" s="123"/>
      <c r="W964" s="123"/>
      <c r="AA964" s="123"/>
      <c r="AB964" s="123"/>
      <c r="AC964" s="123"/>
      <c r="AE964" s="123"/>
    </row>
    <row r="965" spans="1:31">
      <c r="A965" s="123"/>
      <c r="B965" s="123"/>
      <c r="C965" s="123"/>
      <c r="D965" s="123"/>
      <c r="E965" s="123"/>
      <c r="G965" s="123"/>
      <c r="I965" s="123"/>
      <c r="M965" s="123"/>
      <c r="N965" s="123"/>
      <c r="O965" s="123"/>
      <c r="Q965" s="123"/>
      <c r="S965" s="123"/>
      <c r="U965" s="123"/>
      <c r="W965" s="123"/>
      <c r="AA965" s="123"/>
      <c r="AB965" s="123"/>
      <c r="AC965" s="123"/>
      <c r="AE965" s="123"/>
    </row>
    <row r="966" spans="1:31">
      <c r="A966" s="123"/>
      <c r="B966" s="123"/>
      <c r="C966" s="123"/>
      <c r="D966" s="123"/>
      <c r="E966" s="123"/>
      <c r="G966" s="123"/>
      <c r="I966" s="123"/>
      <c r="M966" s="123"/>
      <c r="N966" s="123"/>
      <c r="O966" s="123"/>
      <c r="Q966" s="123"/>
      <c r="S966" s="123"/>
      <c r="U966" s="123"/>
      <c r="W966" s="123"/>
      <c r="AA966" s="123"/>
      <c r="AB966" s="123"/>
      <c r="AC966" s="123"/>
      <c r="AE966" s="123"/>
    </row>
    <row r="967" spans="1:31">
      <c r="A967" s="123"/>
      <c r="B967" s="123"/>
      <c r="C967" s="123"/>
      <c r="D967" s="123"/>
      <c r="E967" s="123"/>
      <c r="G967" s="123"/>
      <c r="I967" s="123"/>
      <c r="M967" s="123"/>
      <c r="N967" s="123"/>
      <c r="O967" s="123"/>
      <c r="Q967" s="123"/>
      <c r="S967" s="123"/>
      <c r="U967" s="123"/>
      <c r="W967" s="123"/>
      <c r="AA967" s="123"/>
      <c r="AB967" s="123"/>
      <c r="AC967" s="123"/>
      <c r="AE967" s="123"/>
    </row>
    <row r="968" spans="1:31">
      <c r="A968" s="123"/>
      <c r="B968" s="123"/>
      <c r="C968" s="123"/>
      <c r="D968" s="123"/>
      <c r="E968" s="123"/>
      <c r="G968" s="123"/>
      <c r="I968" s="123"/>
      <c r="M968" s="123"/>
      <c r="N968" s="123"/>
      <c r="O968" s="123"/>
      <c r="Q968" s="123"/>
      <c r="S968" s="123"/>
      <c r="U968" s="123"/>
      <c r="W968" s="123"/>
      <c r="AA968" s="123"/>
      <c r="AB968" s="123"/>
      <c r="AC968" s="123"/>
      <c r="AE968" s="123"/>
    </row>
    <row r="969" spans="1:31">
      <c r="A969" s="123"/>
      <c r="B969" s="123"/>
      <c r="C969" s="123"/>
      <c r="D969" s="123"/>
      <c r="E969" s="123"/>
      <c r="G969" s="123"/>
      <c r="I969" s="123"/>
      <c r="M969" s="123"/>
      <c r="N969" s="123"/>
      <c r="O969" s="123"/>
      <c r="Q969" s="123"/>
      <c r="S969" s="123"/>
      <c r="U969" s="123"/>
      <c r="W969" s="123"/>
      <c r="AA969" s="123"/>
      <c r="AB969" s="123"/>
      <c r="AC969" s="123"/>
      <c r="AE969" s="123"/>
    </row>
    <row r="970" spans="1:31">
      <c r="A970" s="123"/>
      <c r="B970" s="123"/>
      <c r="C970" s="123"/>
      <c r="D970" s="123"/>
      <c r="E970" s="123"/>
      <c r="G970" s="123"/>
      <c r="I970" s="123"/>
      <c r="M970" s="123"/>
      <c r="N970" s="123"/>
      <c r="O970" s="123"/>
      <c r="Q970" s="123"/>
      <c r="S970" s="123"/>
      <c r="U970" s="123"/>
      <c r="W970" s="123"/>
      <c r="AA970" s="123"/>
      <c r="AB970" s="123"/>
      <c r="AC970" s="123"/>
      <c r="AE970" s="123"/>
    </row>
    <row r="971" spans="1:31">
      <c r="A971" s="123"/>
      <c r="B971" s="123"/>
      <c r="C971" s="123"/>
      <c r="D971" s="123"/>
      <c r="E971" s="123"/>
      <c r="G971" s="123"/>
      <c r="I971" s="123"/>
      <c r="M971" s="123"/>
      <c r="N971" s="123"/>
      <c r="O971" s="123"/>
      <c r="Q971" s="123"/>
      <c r="S971" s="123"/>
      <c r="U971" s="123"/>
      <c r="W971" s="123"/>
      <c r="AA971" s="123"/>
      <c r="AB971" s="123"/>
      <c r="AC971" s="123"/>
      <c r="AE971" s="123"/>
    </row>
    <row r="972" spans="1:31">
      <c r="A972" s="123"/>
      <c r="B972" s="123"/>
      <c r="C972" s="123"/>
      <c r="D972" s="123"/>
      <c r="E972" s="123"/>
      <c r="G972" s="123"/>
      <c r="I972" s="123"/>
      <c r="M972" s="123"/>
      <c r="N972" s="123"/>
      <c r="O972" s="123"/>
      <c r="Q972" s="123"/>
      <c r="S972" s="123"/>
      <c r="U972" s="123"/>
      <c r="W972" s="123"/>
      <c r="AA972" s="123"/>
      <c r="AB972" s="123"/>
      <c r="AC972" s="123"/>
      <c r="AE972" s="123"/>
    </row>
    <row r="973" spans="1:31">
      <c r="A973" s="123"/>
      <c r="B973" s="123"/>
      <c r="C973" s="123"/>
      <c r="D973" s="123"/>
      <c r="E973" s="123"/>
      <c r="G973" s="123"/>
      <c r="I973" s="123"/>
      <c r="M973" s="123"/>
      <c r="N973" s="123"/>
      <c r="O973" s="123"/>
      <c r="Q973" s="123"/>
      <c r="S973" s="123"/>
      <c r="U973" s="123"/>
      <c r="W973" s="123"/>
      <c r="AA973" s="123"/>
      <c r="AB973" s="123"/>
      <c r="AC973" s="123"/>
      <c r="AE973" s="123"/>
    </row>
    <row r="974" spans="1:31">
      <c r="A974" s="123"/>
      <c r="B974" s="123"/>
      <c r="C974" s="123"/>
      <c r="D974" s="123"/>
      <c r="E974" s="123"/>
      <c r="G974" s="123"/>
      <c r="I974" s="123"/>
      <c r="M974" s="123"/>
      <c r="N974" s="123"/>
      <c r="O974" s="123"/>
      <c r="Q974" s="123"/>
      <c r="S974" s="123"/>
      <c r="U974" s="123"/>
      <c r="W974" s="123"/>
      <c r="AA974" s="123"/>
      <c r="AB974" s="123"/>
      <c r="AC974" s="123"/>
      <c r="AE974" s="123"/>
    </row>
    <row r="975" spans="1:31">
      <c r="A975" s="123"/>
      <c r="B975" s="123"/>
      <c r="C975" s="123"/>
      <c r="D975" s="123"/>
      <c r="E975" s="123"/>
      <c r="G975" s="123"/>
      <c r="I975" s="123"/>
      <c r="M975" s="123"/>
      <c r="N975" s="123"/>
      <c r="O975" s="123"/>
      <c r="Q975" s="123"/>
      <c r="S975" s="123"/>
      <c r="U975" s="123"/>
      <c r="W975" s="123"/>
      <c r="AA975" s="123"/>
      <c r="AB975" s="123"/>
      <c r="AC975" s="123"/>
      <c r="AE975" s="123"/>
    </row>
    <row r="976" spans="1:31">
      <c r="A976" s="123"/>
      <c r="B976" s="123"/>
      <c r="C976" s="123"/>
      <c r="D976" s="123"/>
      <c r="E976" s="123"/>
      <c r="G976" s="123"/>
      <c r="I976" s="123"/>
      <c r="M976" s="123"/>
      <c r="N976" s="123"/>
      <c r="O976" s="123"/>
      <c r="Q976" s="123"/>
      <c r="S976" s="123"/>
      <c r="U976" s="123"/>
      <c r="W976" s="123"/>
      <c r="AA976" s="123"/>
      <c r="AB976" s="123"/>
      <c r="AC976" s="123"/>
      <c r="AE976" s="123"/>
    </row>
    <row r="977" spans="1:31">
      <c r="A977" s="123"/>
      <c r="B977" s="123"/>
      <c r="C977" s="123"/>
      <c r="D977" s="123"/>
      <c r="E977" s="123"/>
      <c r="G977" s="123"/>
      <c r="I977" s="123"/>
      <c r="M977" s="123"/>
      <c r="N977" s="123"/>
      <c r="O977" s="123"/>
      <c r="Q977" s="123"/>
      <c r="S977" s="123"/>
      <c r="U977" s="123"/>
      <c r="W977" s="123"/>
      <c r="AA977" s="123"/>
      <c r="AB977" s="123"/>
      <c r="AC977" s="123"/>
      <c r="AE977" s="123"/>
    </row>
    <row r="978" spans="1:31">
      <c r="A978" s="123"/>
      <c r="B978" s="123"/>
      <c r="C978" s="123"/>
      <c r="D978" s="123"/>
      <c r="E978" s="123"/>
      <c r="G978" s="123"/>
      <c r="I978" s="123"/>
      <c r="M978" s="123"/>
      <c r="N978" s="123"/>
      <c r="O978" s="123"/>
      <c r="Q978" s="123"/>
      <c r="S978" s="123"/>
      <c r="U978" s="123"/>
      <c r="W978" s="123"/>
      <c r="AA978" s="123"/>
      <c r="AB978" s="123"/>
      <c r="AC978" s="123"/>
      <c r="AE978" s="123"/>
    </row>
    <row r="979" spans="1:31">
      <c r="A979" s="123"/>
      <c r="B979" s="123"/>
      <c r="C979" s="123"/>
      <c r="D979" s="123"/>
      <c r="E979" s="123"/>
      <c r="G979" s="123"/>
      <c r="I979" s="123"/>
      <c r="M979" s="123"/>
      <c r="N979" s="123"/>
      <c r="O979" s="123"/>
      <c r="Q979" s="123"/>
      <c r="S979" s="123"/>
      <c r="U979" s="123"/>
      <c r="W979" s="123"/>
      <c r="AA979" s="123"/>
      <c r="AB979" s="123"/>
      <c r="AC979" s="123"/>
      <c r="AE979" s="123"/>
    </row>
    <row r="980" spans="1:31">
      <c r="A980" s="123"/>
      <c r="B980" s="123"/>
      <c r="C980" s="123"/>
      <c r="D980" s="123"/>
      <c r="E980" s="123"/>
      <c r="G980" s="123"/>
      <c r="I980" s="123"/>
      <c r="M980" s="123"/>
      <c r="N980" s="123"/>
      <c r="O980" s="123"/>
      <c r="Q980" s="123"/>
      <c r="S980" s="123"/>
      <c r="U980" s="123"/>
      <c r="W980" s="123"/>
      <c r="AA980" s="123"/>
      <c r="AB980" s="123"/>
      <c r="AC980" s="123"/>
      <c r="AE980" s="123"/>
    </row>
    <row r="981" spans="1:31">
      <c r="A981" s="123"/>
      <c r="B981" s="123"/>
      <c r="C981" s="123"/>
      <c r="D981" s="123"/>
      <c r="E981" s="123"/>
      <c r="G981" s="123"/>
      <c r="I981" s="123"/>
      <c r="M981" s="123"/>
      <c r="N981" s="123"/>
      <c r="O981" s="123"/>
      <c r="Q981" s="123"/>
      <c r="S981" s="123"/>
      <c r="U981" s="123"/>
      <c r="W981" s="123"/>
      <c r="AA981" s="123"/>
      <c r="AB981" s="123"/>
      <c r="AC981" s="123"/>
      <c r="AE981" s="123"/>
    </row>
    <row r="982" spans="1:31">
      <c r="A982" s="123"/>
      <c r="B982" s="123"/>
      <c r="C982" s="123"/>
      <c r="D982" s="123"/>
      <c r="E982" s="123"/>
      <c r="G982" s="123"/>
      <c r="I982" s="123"/>
      <c r="M982" s="123"/>
      <c r="N982" s="123"/>
      <c r="O982" s="123"/>
      <c r="Q982" s="123"/>
      <c r="S982" s="123"/>
      <c r="U982" s="123"/>
      <c r="W982" s="123"/>
      <c r="AA982" s="123"/>
      <c r="AB982" s="123"/>
      <c r="AC982" s="123"/>
      <c r="AE982" s="123"/>
    </row>
    <row r="983" spans="1:31">
      <c r="A983" s="123"/>
      <c r="B983" s="123"/>
      <c r="C983" s="123"/>
      <c r="D983" s="123"/>
      <c r="E983" s="123"/>
      <c r="G983" s="123"/>
      <c r="I983" s="123"/>
      <c r="M983" s="123"/>
      <c r="N983" s="123"/>
      <c r="O983" s="123"/>
      <c r="Q983" s="123"/>
      <c r="S983" s="123"/>
      <c r="U983" s="123"/>
      <c r="W983" s="123"/>
      <c r="AA983" s="123"/>
      <c r="AB983" s="123"/>
      <c r="AC983" s="123"/>
      <c r="AE983" s="123"/>
    </row>
    <row r="984" spans="1:31">
      <c r="A984" s="123"/>
      <c r="B984" s="123"/>
      <c r="C984" s="123"/>
      <c r="D984" s="123"/>
      <c r="E984" s="123"/>
      <c r="G984" s="123"/>
      <c r="I984" s="123"/>
      <c r="M984" s="123"/>
      <c r="N984" s="123"/>
      <c r="O984" s="123"/>
      <c r="Q984" s="123"/>
      <c r="S984" s="123"/>
      <c r="U984" s="123"/>
      <c r="W984" s="123"/>
      <c r="AA984" s="123"/>
      <c r="AB984" s="123"/>
      <c r="AC984" s="123"/>
      <c r="AE984" s="123"/>
    </row>
    <row r="985" spans="1:31">
      <c r="A985" s="123"/>
      <c r="B985" s="123"/>
      <c r="C985" s="123"/>
      <c r="D985" s="123"/>
      <c r="E985" s="123"/>
      <c r="G985" s="123"/>
      <c r="I985" s="123"/>
      <c r="M985" s="123"/>
      <c r="N985" s="123"/>
      <c r="O985" s="123"/>
      <c r="Q985" s="123"/>
      <c r="S985" s="123"/>
      <c r="U985" s="123"/>
      <c r="W985" s="123"/>
      <c r="AA985" s="123"/>
      <c r="AB985" s="123"/>
      <c r="AC985" s="123"/>
      <c r="AE985" s="123"/>
    </row>
    <row r="986" spans="1:31">
      <c r="A986" s="123"/>
      <c r="B986" s="123"/>
      <c r="C986" s="123"/>
      <c r="D986" s="123"/>
      <c r="E986" s="123"/>
      <c r="G986" s="123"/>
      <c r="I986" s="123"/>
      <c r="M986" s="123"/>
      <c r="N986" s="123"/>
      <c r="O986" s="123"/>
      <c r="Q986" s="123"/>
      <c r="S986" s="123"/>
      <c r="U986" s="123"/>
      <c r="W986" s="123"/>
      <c r="AA986" s="123"/>
      <c r="AB986" s="123"/>
      <c r="AC986" s="123"/>
      <c r="AE986" s="123"/>
    </row>
    <row r="987" spans="1:31">
      <c r="A987" s="123"/>
      <c r="B987" s="123"/>
      <c r="C987" s="123"/>
      <c r="D987" s="123"/>
      <c r="E987" s="123"/>
      <c r="G987" s="123"/>
      <c r="I987" s="123"/>
      <c r="M987" s="123"/>
      <c r="N987" s="123"/>
      <c r="O987" s="123"/>
      <c r="Q987" s="123"/>
      <c r="S987" s="123"/>
      <c r="U987" s="123"/>
      <c r="W987" s="123"/>
      <c r="AA987" s="123"/>
      <c r="AB987" s="123"/>
      <c r="AC987" s="123"/>
      <c r="AE987" s="123"/>
    </row>
    <row r="988" spans="1:31">
      <c r="A988" s="123"/>
      <c r="B988" s="123"/>
      <c r="C988" s="123"/>
      <c r="D988" s="123"/>
      <c r="E988" s="123"/>
      <c r="G988" s="123"/>
      <c r="I988" s="123"/>
      <c r="M988" s="123"/>
      <c r="N988" s="123"/>
      <c r="O988" s="123"/>
      <c r="Q988" s="123"/>
      <c r="S988" s="123"/>
      <c r="U988" s="123"/>
      <c r="W988" s="123"/>
      <c r="AA988" s="123"/>
      <c r="AB988" s="123"/>
      <c r="AC988" s="123"/>
      <c r="AE988" s="123"/>
    </row>
    <row r="989" spans="1:31">
      <c r="A989" s="123"/>
      <c r="B989" s="123"/>
      <c r="C989" s="123"/>
      <c r="D989" s="123"/>
      <c r="E989" s="123"/>
      <c r="G989" s="123"/>
      <c r="I989" s="123"/>
      <c r="M989" s="123"/>
      <c r="N989" s="123"/>
      <c r="O989" s="123"/>
      <c r="Q989" s="123"/>
      <c r="S989" s="123"/>
      <c r="U989" s="123"/>
      <c r="W989" s="123"/>
      <c r="AA989" s="123"/>
      <c r="AB989" s="123"/>
      <c r="AC989" s="123"/>
      <c r="AE989" s="123"/>
    </row>
    <row r="990" spans="1:31">
      <c r="A990" s="123"/>
      <c r="B990" s="123"/>
      <c r="C990" s="123"/>
      <c r="D990" s="123"/>
      <c r="E990" s="123"/>
      <c r="G990" s="123"/>
      <c r="I990" s="123"/>
      <c r="M990" s="123"/>
      <c r="N990" s="123"/>
      <c r="O990" s="123"/>
      <c r="Q990" s="123"/>
      <c r="S990" s="123"/>
      <c r="U990" s="123"/>
      <c r="W990" s="123"/>
      <c r="AA990" s="123"/>
      <c r="AB990" s="123"/>
      <c r="AC990" s="123"/>
      <c r="AE990" s="123"/>
    </row>
    <row r="991" spans="1:31">
      <c r="A991" s="123"/>
      <c r="B991" s="123"/>
      <c r="C991" s="123"/>
      <c r="D991" s="123"/>
      <c r="E991" s="123"/>
      <c r="G991" s="123"/>
      <c r="I991" s="123"/>
      <c r="M991" s="123"/>
      <c r="N991" s="123"/>
      <c r="O991" s="123"/>
      <c r="Q991" s="123"/>
      <c r="S991" s="123"/>
      <c r="U991" s="123"/>
      <c r="W991" s="123"/>
      <c r="AA991" s="123"/>
      <c r="AB991" s="123"/>
      <c r="AC991" s="123"/>
      <c r="AE991" s="123"/>
    </row>
    <row r="992" spans="1:31">
      <c r="A992" s="123"/>
      <c r="B992" s="123"/>
      <c r="C992" s="123"/>
      <c r="D992" s="123"/>
      <c r="E992" s="123"/>
      <c r="G992" s="123"/>
      <c r="I992" s="123"/>
      <c r="M992" s="123"/>
      <c r="N992" s="123"/>
      <c r="O992" s="123"/>
      <c r="Q992" s="123"/>
      <c r="S992" s="123"/>
      <c r="U992" s="123"/>
      <c r="W992" s="123"/>
      <c r="AA992" s="123"/>
      <c r="AB992" s="123"/>
      <c r="AC992" s="123"/>
      <c r="AE992" s="123"/>
    </row>
    <row r="993" spans="1:31">
      <c r="A993" s="123"/>
      <c r="B993" s="123"/>
      <c r="C993" s="123"/>
      <c r="D993" s="123"/>
      <c r="E993" s="123"/>
      <c r="G993" s="123"/>
      <c r="I993" s="123"/>
      <c r="M993" s="123"/>
      <c r="N993" s="123"/>
      <c r="O993" s="123"/>
      <c r="Q993" s="123"/>
      <c r="S993" s="123"/>
      <c r="U993" s="123"/>
      <c r="W993" s="123"/>
      <c r="AA993" s="123"/>
      <c r="AB993" s="123"/>
      <c r="AC993" s="123"/>
      <c r="AE993" s="123"/>
    </row>
    <row r="994" spans="1:31">
      <c r="A994" s="123"/>
      <c r="B994" s="123"/>
      <c r="C994" s="123"/>
      <c r="D994" s="123"/>
      <c r="E994" s="123"/>
      <c r="G994" s="123"/>
      <c r="I994" s="123"/>
      <c r="M994" s="123"/>
      <c r="N994" s="123"/>
      <c r="O994" s="123"/>
      <c r="Q994" s="123"/>
      <c r="S994" s="123"/>
      <c r="U994" s="123"/>
      <c r="W994" s="123"/>
      <c r="AA994" s="123"/>
      <c r="AB994" s="123"/>
      <c r="AC994" s="123"/>
      <c r="AE994" s="123"/>
    </row>
    <row r="995" spans="1:31">
      <c r="A995" s="123"/>
      <c r="B995" s="123"/>
      <c r="C995" s="123"/>
      <c r="D995" s="123"/>
      <c r="E995" s="123"/>
      <c r="G995" s="123"/>
      <c r="I995" s="123"/>
      <c r="M995" s="123"/>
      <c r="N995" s="123"/>
      <c r="O995" s="123"/>
      <c r="Q995" s="123"/>
      <c r="S995" s="123"/>
      <c r="U995" s="123"/>
      <c r="W995" s="123"/>
      <c r="AA995" s="123"/>
      <c r="AB995" s="123"/>
      <c r="AC995" s="123"/>
      <c r="AE995" s="123"/>
    </row>
    <row r="996" spans="1:31">
      <c r="A996" s="123"/>
      <c r="B996" s="123"/>
      <c r="C996" s="123"/>
      <c r="D996" s="123"/>
      <c r="E996" s="123"/>
      <c r="G996" s="123"/>
      <c r="I996" s="123"/>
      <c r="M996" s="123"/>
      <c r="N996" s="123"/>
      <c r="O996" s="123"/>
      <c r="Q996" s="123"/>
      <c r="S996" s="123"/>
      <c r="U996" s="123"/>
      <c r="W996" s="123"/>
      <c r="AA996" s="123"/>
      <c r="AB996" s="123"/>
      <c r="AC996" s="123"/>
      <c r="AE996" s="123"/>
    </row>
    <row r="997" spans="1:31">
      <c r="A997" s="123"/>
      <c r="B997" s="123"/>
      <c r="C997" s="123"/>
      <c r="D997" s="123"/>
      <c r="E997" s="123"/>
      <c r="G997" s="123"/>
      <c r="I997" s="123"/>
      <c r="M997" s="123"/>
      <c r="N997" s="123"/>
      <c r="O997" s="123"/>
      <c r="Q997" s="123"/>
      <c r="S997" s="123"/>
      <c r="U997" s="123"/>
      <c r="W997" s="123"/>
      <c r="AA997" s="123"/>
      <c r="AB997" s="123"/>
      <c r="AC997" s="123"/>
      <c r="AE997" s="123"/>
    </row>
    <row r="998" spans="1:31">
      <c r="A998" s="123"/>
      <c r="B998" s="123"/>
      <c r="C998" s="123"/>
      <c r="D998" s="123"/>
      <c r="E998" s="123"/>
      <c r="G998" s="123"/>
      <c r="I998" s="123"/>
      <c r="M998" s="123"/>
      <c r="N998" s="123"/>
      <c r="O998" s="123"/>
      <c r="Q998" s="123"/>
      <c r="S998" s="123"/>
      <c r="U998" s="123"/>
      <c r="W998" s="123"/>
      <c r="AA998" s="123"/>
      <c r="AB998" s="123"/>
      <c r="AC998" s="123"/>
      <c r="AE998" s="123"/>
    </row>
    <row r="999" spans="1:31">
      <c r="A999" s="123"/>
      <c r="B999" s="123"/>
      <c r="C999" s="123"/>
      <c r="D999" s="123"/>
      <c r="E999" s="123"/>
      <c r="G999" s="123"/>
      <c r="I999" s="123"/>
      <c r="M999" s="123"/>
      <c r="N999" s="123"/>
      <c r="O999" s="123"/>
      <c r="Q999" s="123"/>
      <c r="S999" s="123"/>
      <c r="U999" s="123"/>
      <c r="W999" s="123"/>
      <c r="AA999" s="123"/>
      <c r="AB999" s="123"/>
      <c r="AC999" s="123"/>
      <c r="AE999" s="123"/>
    </row>
    <row r="1000" spans="1:31">
      <c r="A1000" s="123"/>
      <c r="B1000" s="123"/>
      <c r="C1000" s="123"/>
      <c r="D1000" s="123"/>
      <c r="E1000" s="123"/>
      <c r="G1000" s="123"/>
      <c r="I1000" s="123"/>
      <c r="M1000" s="123"/>
      <c r="N1000" s="123"/>
      <c r="O1000" s="123"/>
      <c r="Q1000" s="123"/>
      <c r="S1000" s="123"/>
      <c r="U1000" s="123"/>
      <c r="W1000" s="123"/>
      <c r="AA1000" s="123"/>
      <c r="AB1000" s="123"/>
      <c r="AC1000" s="123"/>
      <c r="AE1000" s="123"/>
    </row>
    <row r="1001" spans="1:31">
      <c r="A1001" s="123"/>
      <c r="B1001" s="123"/>
      <c r="C1001" s="123"/>
      <c r="D1001" s="123"/>
      <c r="E1001" s="123"/>
      <c r="G1001" s="123"/>
      <c r="I1001" s="123"/>
      <c r="M1001" s="123"/>
      <c r="N1001" s="123"/>
      <c r="O1001" s="123"/>
      <c r="Q1001" s="123"/>
      <c r="S1001" s="123"/>
      <c r="U1001" s="123"/>
      <c r="W1001" s="123"/>
      <c r="AA1001" s="123"/>
      <c r="AB1001" s="123"/>
      <c r="AC1001" s="123"/>
      <c r="AE1001" s="123"/>
    </row>
    <row r="1002" spans="1:31">
      <c r="A1002" s="123"/>
      <c r="B1002" s="123"/>
      <c r="C1002" s="123"/>
      <c r="D1002" s="123"/>
      <c r="E1002" s="123"/>
      <c r="G1002" s="123"/>
      <c r="I1002" s="123"/>
      <c r="M1002" s="123"/>
      <c r="N1002" s="123"/>
      <c r="O1002" s="123"/>
      <c r="Q1002" s="123"/>
      <c r="S1002" s="123"/>
      <c r="U1002" s="123"/>
      <c r="W1002" s="123"/>
      <c r="AA1002" s="123"/>
      <c r="AB1002" s="123"/>
      <c r="AC1002" s="123"/>
      <c r="AE1002" s="123"/>
    </row>
    <row r="1003" spans="1:31">
      <c r="A1003" s="123"/>
      <c r="B1003" s="123"/>
      <c r="C1003" s="123"/>
      <c r="D1003" s="123"/>
      <c r="E1003" s="123"/>
      <c r="G1003" s="123"/>
      <c r="I1003" s="123"/>
      <c r="M1003" s="123"/>
      <c r="N1003" s="123"/>
      <c r="O1003" s="123"/>
      <c r="Q1003" s="123"/>
      <c r="S1003" s="123"/>
      <c r="U1003" s="123"/>
      <c r="W1003" s="123"/>
      <c r="AA1003" s="123"/>
      <c r="AB1003" s="123"/>
      <c r="AC1003" s="123"/>
      <c r="AE1003" s="123"/>
    </row>
    <row r="1004" spans="1:31">
      <c r="A1004" s="123"/>
      <c r="B1004" s="123"/>
      <c r="C1004" s="123"/>
      <c r="D1004" s="123"/>
      <c r="E1004" s="123"/>
      <c r="G1004" s="123"/>
      <c r="I1004" s="123"/>
      <c r="M1004" s="123"/>
      <c r="N1004" s="123"/>
      <c r="O1004" s="123"/>
      <c r="Q1004" s="123"/>
      <c r="S1004" s="123"/>
      <c r="U1004" s="123"/>
      <c r="W1004" s="123"/>
      <c r="AA1004" s="123"/>
      <c r="AB1004" s="123"/>
      <c r="AC1004" s="123"/>
      <c r="AE1004" s="123"/>
    </row>
    <row r="1005" spans="1:31">
      <c r="A1005" s="123"/>
      <c r="B1005" s="123"/>
      <c r="C1005" s="123"/>
      <c r="D1005" s="123"/>
      <c r="E1005" s="123"/>
      <c r="G1005" s="123"/>
      <c r="I1005" s="123"/>
      <c r="M1005" s="123"/>
      <c r="N1005" s="123"/>
      <c r="O1005" s="123"/>
      <c r="Q1005" s="123"/>
      <c r="S1005" s="123"/>
      <c r="U1005" s="123"/>
      <c r="W1005" s="123"/>
      <c r="AA1005" s="123"/>
      <c r="AB1005" s="123"/>
      <c r="AC1005" s="123"/>
      <c r="AE1005" s="123"/>
    </row>
    <row r="1006" spans="1:31">
      <c r="A1006" s="123"/>
      <c r="B1006" s="123"/>
      <c r="C1006" s="123"/>
      <c r="D1006" s="123"/>
      <c r="E1006" s="123"/>
      <c r="G1006" s="123"/>
      <c r="I1006" s="123"/>
      <c r="M1006" s="123"/>
      <c r="N1006" s="123"/>
      <c r="O1006" s="123"/>
      <c r="Q1006" s="123"/>
      <c r="S1006" s="123"/>
      <c r="U1006" s="123"/>
      <c r="W1006" s="123"/>
      <c r="AA1006" s="123"/>
      <c r="AB1006" s="123"/>
      <c r="AC1006" s="123"/>
      <c r="AE1006" s="123"/>
    </row>
    <row r="1007" spans="1:31">
      <c r="A1007" s="123"/>
      <c r="B1007" s="123"/>
      <c r="C1007" s="123"/>
      <c r="D1007" s="123"/>
      <c r="E1007" s="123"/>
      <c r="G1007" s="123"/>
      <c r="I1007" s="123"/>
      <c r="M1007" s="123"/>
      <c r="N1007" s="123"/>
      <c r="O1007" s="123"/>
      <c r="Q1007" s="123"/>
      <c r="S1007" s="123"/>
      <c r="U1007" s="123"/>
      <c r="W1007" s="123"/>
      <c r="AA1007" s="123"/>
      <c r="AB1007" s="123"/>
      <c r="AC1007" s="123"/>
      <c r="AE1007" s="123"/>
    </row>
    <row r="1008" spans="1:31">
      <c r="A1008" s="123"/>
      <c r="B1008" s="123"/>
      <c r="C1008" s="123"/>
      <c r="D1008" s="123"/>
      <c r="E1008" s="123"/>
      <c r="G1008" s="123"/>
      <c r="I1008" s="123"/>
      <c r="M1008" s="123"/>
      <c r="N1008" s="123"/>
      <c r="O1008" s="123"/>
      <c r="Q1008" s="123"/>
      <c r="S1008" s="123"/>
      <c r="U1008" s="123"/>
      <c r="W1008" s="123"/>
      <c r="AA1008" s="123"/>
      <c r="AB1008" s="123"/>
      <c r="AC1008" s="123"/>
      <c r="AE1008" s="123"/>
    </row>
    <row r="1009" spans="1:31">
      <c r="A1009" s="123"/>
      <c r="B1009" s="123"/>
      <c r="C1009" s="123"/>
      <c r="D1009" s="123"/>
      <c r="E1009" s="123"/>
      <c r="G1009" s="123"/>
      <c r="I1009" s="123"/>
      <c r="M1009" s="123"/>
      <c r="N1009" s="123"/>
      <c r="O1009" s="123"/>
      <c r="Q1009" s="123"/>
      <c r="S1009" s="123"/>
      <c r="U1009" s="123"/>
      <c r="W1009" s="123"/>
      <c r="AA1009" s="123"/>
      <c r="AB1009" s="123"/>
      <c r="AC1009" s="123"/>
      <c r="AE1009" s="123"/>
    </row>
    <row r="1010" spans="1:31">
      <c r="A1010" s="123"/>
      <c r="B1010" s="123"/>
      <c r="C1010" s="123"/>
      <c r="D1010" s="123"/>
      <c r="E1010" s="123"/>
      <c r="G1010" s="123"/>
      <c r="I1010" s="123"/>
      <c r="M1010" s="123"/>
      <c r="N1010" s="123"/>
      <c r="O1010" s="123"/>
      <c r="Q1010" s="123"/>
      <c r="S1010" s="123"/>
      <c r="U1010" s="123"/>
      <c r="W1010" s="123"/>
      <c r="AA1010" s="123"/>
      <c r="AB1010" s="123"/>
      <c r="AC1010" s="123"/>
      <c r="AE1010" s="123"/>
    </row>
    <row r="1011" spans="1:31">
      <c r="A1011" s="123"/>
      <c r="B1011" s="123"/>
      <c r="C1011" s="123"/>
      <c r="D1011" s="123"/>
      <c r="E1011" s="123"/>
      <c r="G1011" s="123"/>
      <c r="I1011" s="123"/>
      <c r="M1011" s="123"/>
      <c r="N1011" s="123"/>
      <c r="O1011" s="123"/>
      <c r="Q1011" s="123"/>
      <c r="S1011" s="123"/>
      <c r="U1011" s="123"/>
      <c r="W1011" s="123"/>
      <c r="AA1011" s="123"/>
      <c r="AB1011" s="123"/>
      <c r="AC1011" s="123"/>
      <c r="AE1011" s="123"/>
    </row>
    <row r="1012" spans="1:31">
      <c r="A1012" s="123"/>
      <c r="B1012" s="123"/>
      <c r="C1012" s="123"/>
      <c r="D1012" s="123"/>
      <c r="E1012" s="123"/>
      <c r="G1012" s="123"/>
      <c r="I1012" s="123"/>
      <c r="M1012" s="123"/>
      <c r="N1012" s="123"/>
      <c r="O1012" s="123"/>
      <c r="Q1012" s="123"/>
      <c r="S1012" s="123"/>
      <c r="U1012" s="123"/>
      <c r="W1012" s="123"/>
      <c r="AA1012" s="123"/>
      <c r="AB1012" s="123"/>
      <c r="AC1012" s="123"/>
      <c r="AE1012" s="123"/>
    </row>
    <row r="1013" spans="1:31">
      <c r="A1013" s="123"/>
      <c r="B1013" s="123"/>
      <c r="C1013" s="123"/>
      <c r="D1013" s="123"/>
      <c r="E1013" s="123"/>
      <c r="G1013" s="123"/>
      <c r="I1013" s="123"/>
      <c r="M1013" s="123"/>
      <c r="N1013" s="123"/>
      <c r="O1013" s="123"/>
      <c r="Q1013" s="123"/>
      <c r="S1013" s="123"/>
      <c r="U1013" s="123"/>
      <c r="W1013" s="123"/>
      <c r="AA1013" s="123"/>
      <c r="AB1013" s="123"/>
      <c r="AC1013" s="123"/>
      <c r="AE1013" s="123"/>
    </row>
    <row r="1014" spans="1:31">
      <c r="A1014" s="123"/>
      <c r="B1014" s="123"/>
      <c r="C1014" s="123"/>
      <c r="D1014" s="123"/>
      <c r="E1014" s="123"/>
      <c r="G1014" s="123"/>
      <c r="I1014" s="123"/>
      <c r="M1014" s="123"/>
      <c r="N1014" s="123"/>
      <c r="O1014" s="123"/>
      <c r="Q1014" s="123"/>
      <c r="S1014" s="123"/>
      <c r="U1014" s="123"/>
      <c r="W1014" s="123"/>
      <c r="AA1014" s="123"/>
      <c r="AB1014" s="123"/>
      <c r="AC1014" s="123"/>
      <c r="AE1014" s="123"/>
    </row>
    <row r="1015" spans="1:31">
      <c r="A1015" s="123"/>
      <c r="B1015" s="123"/>
      <c r="C1015" s="123"/>
      <c r="D1015" s="123"/>
      <c r="E1015" s="123"/>
      <c r="G1015" s="123"/>
      <c r="I1015" s="123"/>
      <c r="M1015" s="123"/>
      <c r="N1015" s="123"/>
      <c r="O1015" s="123"/>
      <c r="Q1015" s="123"/>
      <c r="S1015" s="123"/>
      <c r="U1015" s="123"/>
      <c r="W1015" s="123"/>
      <c r="AA1015" s="123"/>
      <c r="AB1015" s="123"/>
      <c r="AC1015" s="123"/>
      <c r="AE1015" s="123"/>
    </row>
    <row r="1016" spans="1:31">
      <c r="A1016" s="123"/>
      <c r="B1016" s="123"/>
      <c r="C1016" s="123"/>
      <c r="D1016" s="123"/>
      <c r="E1016" s="123"/>
      <c r="G1016" s="123"/>
      <c r="I1016" s="123"/>
      <c r="M1016" s="123"/>
      <c r="N1016" s="123"/>
      <c r="O1016" s="123"/>
      <c r="Q1016" s="123"/>
      <c r="S1016" s="123"/>
      <c r="U1016" s="123"/>
      <c r="W1016" s="123"/>
      <c r="AA1016" s="123"/>
      <c r="AB1016" s="123"/>
      <c r="AC1016" s="123"/>
      <c r="AE1016" s="123"/>
    </row>
    <row r="1017" spans="1:31">
      <c r="A1017" s="123"/>
      <c r="B1017" s="123"/>
      <c r="C1017" s="123"/>
      <c r="D1017" s="123"/>
      <c r="E1017" s="123"/>
      <c r="G1017" s="123"/>
      <c r="I1017" s="123"/>
      <c r="M1017" s="123"/>
      <c r="N1017" s="123"/>
      <c r="O1017" s="123"/>
      <c r="Q1017" s="123"/>
      <c r="S1017" s="123"/>
      <c r="U1017" s="123"/>
      <c r="W1017" s="123"/>
      <c r="AA1017" s="123"/>
      <c r="AB1017" s="123"/>
      <c r="AC1017" s="123"/>
      <c r="AE1017" s="123"/>
    </row>
    <row r="1018" spans="1:31">
      <c r="A1018" s="123"/>
      <c r="B1018" s="123"/>
      <c r="C1018" s="123"/>
      <c r="D1018" s="123"/>
      <c r="E1018" s="123"/>
      <c r="G1018" s="123"/>
      <c r="I1018" s="123"/>
      <c r="M1018" s="123"/>
      <c r="N1018" s="123"/>
      <c r="O1018" s="123"/>
      <c r="Q1018" s="123"/>
      <c r="S1018" s="123"/>
      <c r="U1018" s="123"/>
      <c r="W1018" s="123"/>
      <c r="AA1018" s="123"/>
      <c r="AB1018" s="123"/>
      <c r="AC1018" s="123"/>
      <c r="AE1018" s="123"/>
    </row>
    <row r="1019" spans="1:31">
      <c r="A1019" s="123"/>
      <c r="B1019" s="123"/>
      <c r="C1019" s="123"/>
      <c r="D1019" s="123"/>
      <c r="E1019" s="123"/>
      <c r="G1019" s="123"/>
      <c r="I1019" s="123"/>
      <c r="M1019" s="123"/>
      <c r="N1019" s="123"/>
      <c r="O1019" s="123"/>
      <c r="Q1019" s="123"/>
      <c r="S1019" s="123"/>
      <c r="U1019" s="123"/>
      <c r="W1019" s="123"/>
      <c r="AA1019" s="123"/>
      <c r="AB1019" s="123"/>
      <c r="AC1019" s="123"/>
      <c r="AE1019" s="123"/>
    </row>
    <row r="1020" spans="1:31">
      <c r="A1020" s="123"/>
      <c r="B1020" s="123"/>
      <c r="C1020" s="123"/>
      <c r="D1020" s="123"/>
      <c r="E1020" s="123"/>
      <c r="G1020" s="123"/>
      <c r="I1020" s="123"/>
      <c r="M1020" s="123"/>
      <c r="N1020" s="123"/>
      <c r="O1020" s="123"/>
      <c r="Q1020" s="123"/>
      <c r="S1020" s="123"/>
      <c r="U1020" s="123"/>
      <c r="W1020" s="123"/>
      <c r="AA1020" s="123"/>
      <c r="AB1020" s="123"/>
      <c r="AC1020" s="123"/>
      <c r="AE1020" s="123"/>
    </row>
    <row r="1021" spans="1:31">
      <c r="A1021" s="123"/>
      <c r="B1021" s="123"/>
      <c r="C1021" s="123"/>
      <c r="D1021" s="123"/>
      <c r="E1021" s="123"/>
      <c r="G1021" s="123"/>
      <c r="I1021" s="123"/>
      <c r="M1021" s="123"/>
      <c r="N1021" s="123"/>
      <c r="O1021" s="123"/>
      <c r="Q1021" s="123"/>
      <c r="S1021" s="123"/>
      <c r="U1021" s="123"/>
      <c r="W1021" s="123"/>
      <c r="AA1021" s="123"/>
      <c r="AB1021" s="123"/>
      <c r="AC1021" s="123"/>
      <c r="AE1021" s="123"/>
    </row>
    <row r="1022" spans="1:31">
      <c r="A1022" s="123"/>
      <c r="B1022" s="123"/>
      <c r="C1022" s="123"/>
      <c r="D1022" s="123"/>
      <c r="E1022" s="123"/>
      <c r="G1022" s="123"/>
      <c r="I1022" s="123"/>
      <c r="M1022" s="123"/>
      <c r="N1022" s="123"/>
      <c r="O1022" s="123"/>
      <c r="Q1022" s="123"/>
      <c r="S1022" s="123"/>
      <c r="U1022" s="123"/>
      <c r="W1022" s="123"/>
      <c r="AA1022" s="123"/>
      <c r="AB1022" s="123"/>
      <c r="AC1022" s="123"/>
      <c r="AE1022" s="123"/>
    </row>
    <row r="1023" spans="1:31">
      <c r="A1023" s="123"/>
      <c r="B1023" s="123"/>
      <c r="C1023" s="123"/>
      <c r="D1023" s="123"/>
      <c r="E1023" s="123"/>
      <c r="G1023" s="123"/>
      <c r="I1023" s="123"/>
      <c r="M1023" s="123"/>
      <c r="N1023" s="123"/>
      <c r="O1023" s="123"/>
      <c r="Q1023" s="123"/>
      <c r="S1023" s="123"/>
      <c r="U1023" s="123"/>
      <c r="W1023" s="123"/>
      <c r="AA1023" s="123"/>
      <c r="AB1023" s="123"/>
      <c r="AC1023" s="123"/>
      <c r="AE1023" s="123"/>
    </row>
    <row r="1024" spans="1:31">
      <c r="A1024" s="123"/>
      <c r="B1024" s="123"/>
      <c r="C1024" s="123"/>
      <c r="D1024" s="123"/>
      <c r="E1024" s="123"/>
      <c r="G1024" s="123"/>
      <c r="I1024" s="123"/>
      <c r="M1024" s="123"/>
      <c r="N1024" s="123"/>
      <c r="O1024" s="123"/>
      <c r="Q1024" s="123"/>
      <c r="S1024" s="123"/>
      <c r="U1024" s="123"/>
      <c r="W1024" s="123"/>
      <c r="AA1024" s="123"/>
      <c r="AB1024" s="123"/>
      <c r="AC1024" s="123"/>
      <c r="AE1024" s="123"/>
    </row>
    <row r="1025" spans="1:31">
      <c r="A1025" s="123"/>
      <c r="B1025" s="123"/>
      <c r="C1025" s="123"/>
      <c r="D1025" s="123"/>
      <c r="E1025" s="123"/>
      <c r="G1025" s="123"/>
      <c r="I1025" s="123"/>
      <c r="M1025" s="123"/>
      <c r="N1025" s="123"/>
      <c r="O1025" s="123"/>
      <c r="Q1025" s="123"/>
      <c r="S1025" s="123"/>
      <c r="U1025" s="123"/>
      <c r="W1025" s="123"/>
      <c r="AA1025" s="123"/>
      <c r="AB1025" s="123"/>
      <c r="AC1025" s="123"/>
      <c r="AE1025" s="123"/>
    </row>
    <row r="1026" spans="1:31">
      <c r="A1026" s="123"/>
      <c r="B1026" s="123"/>
      <c r="C1026" s="123"/>
      <c r="D1026" s="123"/>
      <c r="E1026" s="123"/>
      <c r="G1026" s="123"/>
      <c r="I1026" s="123"/>
      <c r="M1026" s="123"/>
      <c r="N1026" s="123"/>
      <c r="O1026" s="123"/>
      <c r="Q1026" s="123"/>
      <c r="S1026" s="123"/>
      <c r="U1026" s="123"/>
      <c r="W1026" s="123"/>
      <c r="AA1026" s="123"/>
      <c r="AB1026" s="123"/>
      <c r="AC1026" s="123"/>
      <c r="AE1026" s="123"/>
    </row>
    <row r="1027" spans="1:31">
      <c r="A1027" s="123"/>
      <c r="B1027" s="123"/>
      <c r="C1027" s="123"/>
      <c r="D1027" s="123"/>
      <c r="E1027" s="123"/>
      <c r="G1027" s="123"/>
      <c r="I1027" s="123"/>
      <c r="M1027" s="123"/>
      <c r="N1027" s="123"/>
      <c r="O1027" s="123"/>
      <c r="Q1027" s="123"/>
      <c r="S1027" s="123"/>
      <c r="U1027" s="123"/>
      <c r="W1027" s="123"/>
      <c r="AA1027" s="123"/>
      <c r="AB1027" s="123"/>
      <c r="AC1027" s="123"/>
      <c r="AE1027" s="123"/>
    </row>
    <row r="1028" spans="1:31">
      <c r="A1028" s="123"/>
      <c r="B1028" s="123"/>
      <c r="C1028" s="123"/>
      <c r="D1028" s="123"/>
      <c r="E1028" s="123"/>
      <c r="G1028" s="123"/>
      <c r="I1028" s="123"/>
      <c r="M1028" s="123"/>
      <c r="N1028" s="123"/>
      <c r="O1028" s="123"/>
      <c r="Q1028" s="123"/>
      <c r="S1028" s="123"/>
      <c r="U1028" s="123"/>
      <c r="W1028" s="123"/>
      <c r="AA1028" s="123"/>
      <c r="AB1028" s="123"/>
      <c r="AC1028" s="123"/>
      <c r="AE1028" s="123"/>
    </row>
    <row r="1029" spans="1:31">
      <c r="A1029" s="123"/>
      <c r="B1029" s="123"/>
      <c r="C1029" s="123"/>
      <c r="D1029" s="123"/>
      <c r="E1029" s="123"/>
      <c r="G1029" s="123"/>
      <c r="I1029" s="123"/>
      <c r="M1029" s="123"/>
      <c r="N1029" s="123"/>
      <c r="O1029" s="123"/>
      <c r="Q1029" s="123"/>
      <c r="S1029" s="123"/>
      <c r="U1029" s="123"/>
      <c r="W1029" s="123"/>
      <c r="AA1029" s="123"/>
      <c r="AB1029" s="123"/>
      <c r="AC1029" s="123"/>
      <c r="AE1029" s="123"/>
    </row>
    <row r="1030" spans="1:31">
      <c r="A1030" s="123"/>
      <c r="B1030" s="123"/>
      <c r="C1030" s="123"/>
      <c r="D1030" s="123"/>
      <c r="E1030" s="123"/>
      <c r="G1030" s="123"/>
      <c r="I1030" s="123"/>
      <c r="M1030" s="123"/>
      <c r="N1030" s="123"/>
      <c r="O1030" s="123"/>
      <c r="Q1030" s="123"/>
      <c r="S1030" s="123"/>
      <c r="U1030" s="123"/>
      <c r="W1030" s="123"/>
      <c r="AA1030" s="123"/>
      <c r="AB1030" s="123"/>
      <c r="AC1030" s="123"/>
      <c r="AE1030" s="123"/>
    </row>
    <row r="1031" spans="1:31">
      <c r="A1031" s="123"/>
      <c r="B1031" s="123"/>
      <c r="C1031" s="123"/>
      <c r="D1031" s="123"/>
      <c r="E1031" s="123"/>
      <c r="G1031" s="123"/>
      <c r="I1031" s="123"/>
      <c r="M1031" s="123"/>
      <c r="N1031" s="123"/>
      <c r="O1031" s="123"/>
      <c r="Q1031" s="123"/>
      <c r="S1031" s="123"/>
      <c r="U1031" s="123"/>
      <c r="W1031" s="123"/>
      <c r="AA1031" s="123"/>
      <c r="AB1031" s="123"/>
      <c r="AC1031" s="123"/>
      <c r="AE1031" s="123"/>
    </row>
    <row r="1032" spans="1:31">
      <c r="A1032" s="123"/>
      <c r="B1032" s="123"/>
      <c r="C1032" s="123"/>
      <c r="D1032" s="123"/>
      <c r="E1032" s="123"/>
      <c r="G1032" s="123"/>
      <c r="I1032" s="123"/>
      <c r="M1032" s="123"/>
      <c r="N1032" s="123"/>
      <c r="O1032" s="123"/>
      <c r="Q1032" s="123"/>
      <c r="S1032" s="123"/>
      <c r="U1032" s="123"/>
      <c r="W1032" s="123"/>
      <c r="AA1032" s="123"/>
      <c r="AB1032" s="123"/>
      <c r="AC1032" s="123"/>
      <c r="AE1032" s="123"/>
    </row>
    <row r="1033" spans="1:31">
      <c r="A1033" s="123"/>
      <c r="B1033" s="123"/>
      <c r="C1033" s="123"/>
      <c r="D1033" s="123"/>
      <c r="E1033" s="123"/>
      <c r="G1033" s="123"/>
      <c r="I1033" s="123"/>
      <c r="M1033" s="123"/>
      <c r="N1033" s="123"/>
      <c r="O1033" s="123"/>
      <c r="Q1033" s="123"/>
      <c r="S1033" s="123"/>
      <c r="U1033" s="123"/>
      <c r="W1033" s="123"/>
      <c r="AA1033" s="123"/>
      <c r="AB1033" s="123"/>
      <c r="AC1033" s="123"/>
      <c r="AE1033" s="123"/>
    </row>
    <row r="1034" spans="1:31">
      <c r="A1034" s="123"/>
      <c r="B1034" s="123"/>
      <c r="C1034" s="123"/>
      <c r="D1034" s="123"/>
      <c r="E1034" s="123"/>
      <c r="G1034" s="123"/>
      <c r="I1034" s="123"/>
      <c r="M1034" s="123"/>
      <c r="N1034" s="123"/>
      <c r="O1034" s="123"/>
      <c r="Q1034" s="123"/>
      <c r="S1034" s="123"/>
      <c r="U1034" s="123"/>
      <c r="W1034" s="123"/>
      <c r="AA1034" s="123"/>
      <c r="AB1034" s="123"/>
      <c r="AC1034" s="123"/>
      <c r="AE1034" s="123"/>
    </row>
    <row r="1035" spans="1:31">
      <c r="A1035" s="123"/>
      <c r="B1035" s="123"/>
      <c r="C1035" s="123"/>
      <c r="D1035" s="123"/>
      <c r="E1035" s="123"/>
      <c r="G1035" s="123"/>
      <c r="I1035" s="123"/>
      <c r="M1035" s="123"/>
      <c r="N1035" s="123"/>
      <c r="O1035" s="123"/>
      <c r="Q1035" s="123"/>
      <c r="S1035" s="123"/>
      <c r="U1035" s="123"/>
      <c r="W1035" s="123"/>
      <c r="AA1035" s="123"/>
      <c r="AB1035" s="123"/>
      <c r="AC1035" s="123"/>
      <c r="AE1035" s="123"/>
    </row>
    <row r="1036" spans="1:31">
      <c r="A1036" s="123"/>
      <c r="B1036" s="123"/>
      <c r="C1036" s="123"/>
      <c r="D1036" s="123"/>
      <c r="E1036" s="123"/>
      <c r="G1036" s="123"/>
      <c r="I1036" s="123"/>
      <c r="M1036" s="123"/>
      <c r="N1036" s="123"/>
      <c r="O1036" s="123"/>
      <c r="Q1036" s="123"/>
      <c r="S1036" s="123"/>
      <c r="U1036" s="123"/>
      <c r="W1036" s="123"/>
      <c r="AA1036" s="123"/>
      <c r="AB1036" s="123"/>
      <c r="AC1036" s="123"/>
      <c r="AE1036" s="123"/>
    </row>
    <row r="1037" spans="1:31">
      <c r="A1037" s="123"/>
      <c r="B1037" s="123"/>
      <c r="C1037" s="123"/>
      <c r="D1037" s="123"/>
      <c r="E1037" s="123"/>
      <c r="G1037" s="123"/>
      <c r="I1037" s="123"/>
      <c r="M1037" s="123"/>
      <c r="N1037" s="123"/>
      <c r="O1037" s="123"/>
      <c r="Q1037" s="123"/>
      <c r="S1037" s="123"/>
      <c r="U1037" s="123"/>
      <c r="W1037" s="123"/>
      <c r="AA1037" s="123"/>
      <c r="AB1037" s="123"/>
      <c r="AC1037" s="123"/>
      <c r="AE1037" s="123"/>
    </row>
    <row r="1038" spans="1:31">
      <c r="A1038" s="123"/>
      <c r="B1038" s="123"/>
      <c r="C1038" s="123"/>
      <c r="D1038" s="123"/>
      <c r="E1038" s="123"/>
      <c r="G1038" s="123"/>
      <c r="I1038" s="123"/>
      <c r="M1038" s="123"/>
      <c r="N1038" s="123"/>
      <c r="O1038" s="123"/>
      <c r="Q1038" s="123"/>
      <c r="S1038" s="123"/>
      <c r="U1038" s="123"/>
      <c r="W1038" s="123"/>
      <c r="AA1038" s="123"/>
      <c r="AB1038" s="123"/>
      <c r="AC1038" s="123"/>
      <c r="AE1038" s="123"/>
    </row>
    <row r="1039" spans="1:31">
      <c r="A1039" s="123"/>
      <c r="B1039" s="123"/>
      <c r="C1039" s="123"/>
      <c r="D1039" s="123"/>
      <c r="E1039" s="123"/>
      <c r="G1039" s="123"/>
      <c r="I1039" s="123"/>
      <c r="M1039" s="123"/>
      <c r="N1039" s="123"/>
      <c r="O1039" s="123"/>
      <c r="Q1039" s="123"/>
      <c r="S1039" s="123"/>
      <c r="U1039" s="123"/>
      <c r="W1039" s="123"/>
      <c r="AA1039" s="123"/>
      <c r="AB1039" s="123"/>
      <c r="AC1039" s="123"/>
      <c r="AE1039" s="123"/>
    </row>
    <row r="1040" spans="1:31">
      <c r="A1040" s="123"/>
      <c r="B1040" s="123"/>
      <c r="C1040" s="123"/>
      <c r="D1040" s="123"/>
      <c r="E1040" s="123"/>
      <c r="G1040" s="123"/>
      <c r="I1040" s="123"/>
      <c r="M1040" s="123"/>
      <c r="N1040" s="123"/>
      <c r="O1040" s="123"/>
      <c r="Q1040" s="123"/>
      <c r="S1040" s="123"/>
      <c r="U1040" s="123"/>
      <c r="W1040" s="123"/>
      <c r="AA1040" s="123"/>
      <c r="AB1040" s="123"/>
      <c r="AC1040" s="123"/>
      <c r="AE1040" s="123"/>
    </row>
    <row r="1041" spans="1:31">
      <c r="A1041" s="123"/>
      <c r="B1041" s="123"/>
      <c r="C1041" s="123"/>
      <c r="D1041" s="123"/>
      <c r="E1041" s="123"/>
      <c r="G1041" s="123"/>
      <c r="I1041" s="123"/>
      <c r="M1041" s="123"/>
      <c r="N1041" s="123"/>
      <c r="O1041" s="123"/>
      <c r="Q1041" s="123"/>
      <c r="S1041" s="123"/>
      <c r="U1041" s="123"/>
      <c r="W1041" s="123"/>
      <c r="AA1041" s="123"/>
      <c r="AB1041" s="123"/>
      <c r="AC1041" s="123"/>
      <c r="AE1041" s="123"/>
    </row>
    <row r="1042" spans="1:31">
      <c r="A1042" s="123"/>
      <c r="B1042" s="123"/>
      <c r="C1042" s="123"/>
      <c r="D1042" s="123"/>
      <c r="E1042" s="123"/>
      <c r="G1042" s="123"/>
      <c r="I1042" s="123"/>
      <c r="M1042" s="123"/>
      <c r="N1042" s="123"/>
      <c r="O1042" s="123"/>
      <c r="Q1042" s="123"/>
      <c r="S1042" s="123"/>
      <c r="U1042" s="123"/>
      <c r="W1042" s="123"/>
      <c r="AA1042" s="123"/>
      <c r="AB1042" s="123"/>
      <c r="AC1042" s="123"/>
      <c r="AE1042" s="123"/>
    </row>
    <row r="1043" spans="1:31">
      <c r="A1043" s="123"/>
      <c r="B1043" s="123"/>
      <c r="C1043" s="123"/>
      <c r="D1043" s="123"/>
      <c r="E1043" s="123"/>
      <c r="G1043" s="123"/>
      <c r="I1043" s="123"/>
      <c r="M1043" s="123"/>
      <c r="N1043" s="123"/>
      <c r="O1043" s="123"/>
      <c r="Q1043" s="123"/>
      <c r="S1043" s="123"/>
      <c r="U1043" s="123"/>
      <c r="W1043" s="123"/>
      <c r="AA1043" s="123"/>
      <c r="AB1043" s="123"/>
      <c r="AC1043" s="123"/>
      <c r="AE1043" s="123"/>
    </row>
    <row r="1044" spans="1:31">
      <c r="A1044" s="123"/>
      <c r="B1044" s="123"/>
      <c r="C1044" s="123"/>
      <c r="D1044" s="123"/>
      <c r="E1044" s="123"/>
      <c r="G1044" s="123"/>
      <c r="I1044" s="123"/>
      <c r="M1044" s="123"/>
      <c r="N1044" s="123"/>
      <c r="O1044" s="123"/>
      <c r="Q1044" s="123"/>
      <c r="S1044" s="123"/>
      <c r="U1044" s="123"/>
      <c r="W1044" s="123"/>
      <c r="AA1044" s="123"/>
      <c r="AB1044" s="123"/>
      <c r="AC1044" s="123"/>
      <c r="AE1044" s="123"/>
    </row>
    <row r="1045" spans="1:31">
      <c r="A1045" s="123"/>
      <c r="B1045" s="123"/>
      <c r="C1045" s="123"/>
      <c r="D1045" s="123"/>
      <c r="E1045" s="123"/>
      <c r="G1045" s="123"/>
      <c r="I1045" s="123"/>
      <c r="M1045" s="123"/>
      <c r="N1045" s="123"/>
      <c r="O1045" s="123"/>
      <c r="Q1045" s="123"/>
      <c r="S1045" s="123"/>
      <c r="U1045" s="123"/>
      <c r="W1045" s="123"/>
      <c r="AA1045" s="123"/>
      <c r="AB1045" s="123"/>
      <c r="AC1045" s="123"/>
      <c r="AE1045" s="123"/>
    </row>
    <row r="1046" spans="1:31">
      <c r="A1046" s="123"/>
      <c r="B1046" s="123"/>
      <c r="C1046" s="123"/>
      <c r="D1046" s="123"/>
      <c r="E1046" s="123"/>
      <c r="G1046" s="123"/>
      <c r="I1046" s="123"/>
      <c r="M1046" s="123"/>
      <c r="N1046" s="123"/>
      <c r="O1046" s="123"/>
      <c r="Q1046" s="123"/>
      <c r="S1046" s="123"/>
      <c r="U1046" s="123"/>
      <c r="W1046" s="123"/>
      <c r="AA1046" s="123"/>
      <c r="AB1046" s="123"/>
      <c r="AC1046" s="123"/>
      <c r="AE1046" s="123"/>
    </row>
    <row r="1047" spans="1:31">
      <c r="A1047" s="123"/>
      <c r="B1047" s="123"/>
      <c r="C1047" s="123"/>
      <c r="D1047" s="123"/>
      <c r="E1047" s="123"/>
      <c r="G1047" s="123"/>
      <c r="I1047" s="123"/>
      <c r="M1047" s="123"/>
      <c r="N1047" s="123"/>
      <c r="O1047" s="123"/>
      <c r="Q1047" s="123"/>
      <c r="S1047" s="123"/>
      <c r="U1047" s="123"/>
      <c r="W1047" s="123"/>
      <c r="AA1047" s="123"/>
      <c r="AB1047" s="123"/>
      <c r="AC1047" s="123"/>
      <c r="AE1047" s="123"/>
    </row>
    <row r="1048" spans="1:31">
      <c r="A1048" s="123"/>
      <c r="B1048" s="123"/>
      <c r="C1048" s="123"/>
      <c r="D1048" s="123"/>
      <c r="E1048" s="123"/>
      <c r="G1048" s="123"/>
      <c r="I1048" s="123"/>
      <c r="M1048" s="123"/>
      <c r="N1048" s="123"/>
      <c r="O1048" s="123"/>
      <c r="Q1048" s="123"/>
      <c r="S1048" s="123"/>
      <c r="U1048" s="123"/>
      <c r="W1048" s="123"/>
      <c r="AA1048" s="123"/>
      <c r="AB1048" s="123"/>
      <c r="AC1048" s="123"/>
      <c r="AE1048" s="123"/>
    </row>
    <row r="1049" spans="1:31">
      <c r="A1049" s="123"/>
      <c r="B1049" s="123"/>
      <c r="C1049" s="123"/>
      <c r="D1049" s="123"/>
      <c r="E1049" s="123"/>
      <c r="G1049" s="123"/>
      <c r="I1049" s="123"/>
      <c r="M1049" s="123"/>
      <c r="N1049" s="123"/>
      <c r="O1049" s="123"/>
      <c r="Q1049" s="123"/>
      <c r="S1049" s="123"/>
      <c r="U1049" s="123"/>
      <c r="W1049" s="123"/>
      <c r="AA1049" s="123"/>
      <c r="AB1049" s="123"/>
      <c r="AC1049" s="123"/>
      <c r="AE1049" s="123"/>
    </row>
    <row r="1050" spans="1:31">
      <c r="A1050" s="123"/>
      <c r="B1050" s="123"/>
      <c r="C1050" s="123"/>
      <c r="D1050" s="123"/>
      <c r="E1050" s="123"/>
      <c r="G1050" s="123"/>
      <c r="I1050" s="123"/>
      <c r="M1050" s="123"/>
      <c r="N1050" s="123"/>
      <c r="O1050" s="123"/>
      <c r="Q1050" s="123"/>
      <c r="S1050" s="123"/>
      <c r="U1050" s="123"/>
      <c r="W1050" s="123"/>
      <c r="AA1050" s="123"/>
      <c r="AB1050" s="123"/>
      <c r="AC1050" s="123"/>
      <c r="AE1050" s="123"/>
    </row>
    <row r="1051" spans="1:31">
      <c r="A1051" s="123"/>
      <c r="B1051" s="123"/>
      <c r="C1051" s="123"/>
      <c r="D1051" s="123"/>
      <c r="E1051" s="123"/>
      <c r="G1051" s="123"/>
      <c r="I1051" s="123"/>
      <c r="M1051" s="123"/>
      <c r="N1051" s="123"/>
      <c r="O1051" s="123"/>
      <c r="Q1051" s="123"/>
      <c r="S1051" s="123"/>
      <c r="U1051" s="123"/>
      <c r="W1051" s="123"/>
      <c r="AA1051" s="123"/>
      <c r="AB1051" s="123"/>
      <c r="AC1051" s="123"/>
      <c r="AE1051" s="123"/>
    </row>
    <row r="1052" spans="1:31">
      <c r="A1052" s="123"/>
      <c r="B1052" s="123"/>
      <c r="C1052" s="123"/>
      <c r="D1052" s="123"/>
      <c r="E1052" s="123"/>
      <c r="G1052" s="123"/>
      <c r="I1052" s="123"/>
      <c r="M1052" s="123"/>
      <c r="N1052" s="123"/>
      <c r="O1052" s="123"/>
      <c r="Q1052" s="123"/>
      <c r="S1052" s="123"/>
      <c r="U1052" s="123"/>
      <c r="W1052" s="123"/>
      <c r="AA1052" s="123"/>
      <c r="AB1052" s="123"/>
      <c r="AC1052" s="123"/>
      <c r="AE1052" s="123"/>
    </row>
    <row r="1053" spans="1:31">
      <c r="A1053" s="123"/>
      <c r="B1053" s="123"/>
      <c r="C1053" s="123"/>
      <c r="D1053" s="123"/>
      <c r="E1053" s="123"/>
      <c r="G1053" s="123"/>
      <c r="I1053" s="123"/>
      <c r="M1053" s="123"/>
      <c r="N1053" s="123"/>
      <c r="O1053" s="123"/>
      <c r="Q1053" s="123"/>
      <c r="S1053" s="123"/>
      <c r="U1053" s="123"/>
      <c r="W1053" s="123"/>
      <c r="AA1053" s="123"/>
      <c r="AB1053" s="123"/>
      <c r="AC1053" s="123"/>
      <c r="AE1053" s="123"/>
    </row>
    <row r="1054" spans="1:31">
      <c r="A1054" s="123"/>
      <c r="B1054" s="123"/>
      <c r="C1054" s="123"/>
      <c r="D1054" s="123"/>
      <c r="E1054" s="123"/>
      <c r="G1054" s="123"/>
      <c r="I1054" s="123"/>
      <c r="M1054" s="123"/>
      <c r="N1054" s="123"/>
      <c r="O1054" s="123"/>
      <c r="Q1054" s="123"/>
      <c r="S1054" s="123"/>
      <c r="U1054" s="123"/>
      <c r="W1054" s="123"/>
      <c r="AA1054" s="123"/>
      <c r="AB1054" s="123"/>
      <c r="AC1054" s="123"/>
      <c r="AE1054" s="123"/>
    </row>
    <row r="1055" spans="1:31">
      <c r="A1055" s="123"/>
      <c r="B1055" s="123"/>
      <c r="C1055" s="123"/>
      <c r="D1055" s="123"/>
      <c r="E1055" s="123"/>
      <c r="G1055" s="123"/>
      <c r="I1055" s="123"/>
      <c r="M1055" s="123"/>
      <c r="N1055" s="123"/>
      <c r="O1055" s="123"/>
      <c r="Q1055" s="123"/>
      <c r="S1055" s="123"/>
      <c r="U1055" s="123"/>
      <c r="W1055" s="123"/>
      <c r="AA1055" s="123"/>
      <c r="AB1055" s="123"/>
      <c r="AC1055" s="123"/>
      <c r="AE1055" s="123"/>
    </row>
    <row r="1056" spans="1:31">
      <c r="A1056" s="123"/>
      <c r="B1056" s="123"/>
      <c r="C1056" s="123"/>
      <c r="D1056" s="123"/>
      <c r="E1056" s="123"/>
      <c r="G1056" s="123"/>
      <c r="I1056" s="123"/>
      <c r="M1056" s="123"/>
      <c r="N1056" s="123"/>
      <c r="O1056" s="123"/>
      <c r="Q1056" s="123"/>
      <c r="S1056" s="123"/>
      <c r="U1056" s="123"/>
      <c r="W1056" s="123"/>
      <c r="AA1056" s="123"/>
      <c r="AB1056" s="123"/>
      <c r="AC1056" s="123"/>
      <c r="AE1056" s="123"/>
    </row>
    <row r="1057" spans="1:31">
      <c r="A1057" s="123"/>
      <c r="B1057" s="123"/>
      <c r="C1057" s="123"/>
      <c r="D1057" s="123"/>
      <c r="E1057" s="123"/>
      <c r="G1057" s="123"/>
      <c r="I1057" s="123"/>
      <c r="M1057" s="123"/>
      <c r="N1057" s="123"/>
      <c r="O1057" s="123"/>
      <c r="Q1057" s="123"/>
      <c r="S1057" s="123"/>
      <c r="U1057" s="123"/>
      <c r="W1057" s="123"/>
      <c r="AA1057" s="123"/>
      <c r="AB1057" s="123"/>
      <c r="AC1057" s="123"/>
      <c r="AE1057" s="123"/>
    </row>
    <row r="1058" spans="1:31">
      <c r="A1058" s="123"/>
      <c r="B1058" s="123"/>
      <c r="C1058" s="123"/>
      <c r="D1058" s="123"/>
      <c r="E1058" s="123"/>
      <c r="G1058" s="123"/>
      <c r="I1058" s="123"/>
      <c r="M1058" s="123"/>
      <c r="N1058" s="123"/>
      <c r="O1058" s="123"/>
      <c r="Q1058" s="123"/>
      <c r="S1058" s="123"/>
      <c r="U1058" s="123"/>
      <c r="W1058" s="123"/>
      <c r="AA1058" s="123"/>
      <c r="AB1058" s="123"/>
      <c r="AC1058" s="123"/>
      <c r="AE1058" s="123"/>
    </row>
    <row r="1059" spans="1:31">
      <c r="A1059" s="123"/>
      <c r="B1059" s="123"/>
      <c r="C1059" s="123"/>
      <c r="D1059" s="123"/>
      <c r="E1059" s="123"/>
      <c r="G1059" s="123"/>
      <c r="I1059" s="123"/>
      <c r="M1059" s="123"/>
      <c r="N1059" s="123"/>
      <c r="O1059" s="123"/>
      <c r="Q1059" s="123"/>
      <c r="S1059" s="123"/>
      <c r="U1059" s="123"/>
      <c r="W1059" s="123"/>
      <c r="AA1059" s="123"/>
      <c r="AB1059" s="123"/>
      <c r="AC1059" s="123"/>
      <c r="AE1059" s="123"/>
    </row>
    <row r="1060" spans="1:31">
      <c r="A1060" s="123"/>
      <c r="B1060" s="123"/>
      <c r="C1060" s="123"/>
      <c r="D1060" s="123"/>
      <c r="E1060" s="123"/>
      <c r="G1060" s="123"/>
      <c r="I1060" s="123"/>
      <c r="M1060" s="123"/>
      <c r="N1060" s="123"/>
      <c r="O1060" s="123"/>
      <c r="Q1060" s="123"/>
      <c r="S1060" s="123"/>
      <c r="U1060" s="123"/>
      <c r="W1060" s="123"/>
      <c r="AA1060" s="123"/>
      <c r="AB1060" s="123"/>
      <c r="AC1060" s="123"/>
      <c r="AE1060" s="123"/>
    </row>
    <row r="1061" spans="1:31">
      <c r="A1061" s="123"/>
      <c r="B1061" s="123"/>
      <c r="C1061" s="123"/>
      <c r="D1061" s="123"/>
      <c r="E1061" s="123"/>
      <c r="G1061" s="123"/>
      <c r="I1061" s="123"/>
      <c r="M1061" s="123"/>
      <c r="N1061" s="123"/>
      <c r="O1061" s="123"/>
      <c r="Q1061" s="123"/>
      <c r="S1061" s="123"/>
      <c r="U1061" s="123"/>
      <c r="W1061" s="123"/>
      <c r="AA1061" s="123"/>
      <c r="AB1061" s="123"/>
      <c r="AC1061" s="123"/>
      <c r="AE1061" s="123"/>
    </row>
    <row r="1062" spans="1:31">
      <c r="A1062" s="123"/>
      <c r="B1062" s="123"/>
      <c r="C1062" s="123"/>
      <c r="D1062" s="123"/>
      <c r="E1062" s="123"/>
      <c r="G1062" s="123"/>
      <c r="I1062" s="123"/>
      <c r="M1062" s="123"/>
      <c r="N1062" s="123"/>
      <c r="O1062" s="123"/>
      <c r="Q1062" s="123"/>
      <c r="S1062" s="123"/>
      <c r="U1062" s="123"/>
      <c r="W1062" s="123"/>
      <c r="AA1062" s="123"/>
      <c r="AB1062" s="123"/>
      <c r="AC1062" s="123"/>
      <c r="AE1062" s="123"/>
    </row>
    <row r="1063" spans="1:31">
      <c r="A1063" s="123"/>
      <c r="B1063" s="123"/>
      <c r="C1063" s="123"/>
      <c r="D1063" s="123"/>
      <c r="E1063" s="123"/>
      <c r="G1063" s="123"/>
      <c r="I1063" s="123"/>
      <c r="M1063" s="123"/>
      <c r="N1063" s="123"/>
      <c r="O1063" s="123"/>
      <c r="Q1063" s="123"/>
      <c r="S1063" s="123"/>
      <c r="U1063" s="123"/>
      <c r="W1063" s="123"/>
      <c r="AA1063" s="123"/>
      <c r="AB1063" s="123"/>
      <c r="AC1063" s="123"/>
      <c r="AE1063" s="123"/>
    </row>
    <row r="1064" spans="1:31">
      <c r="A1064" s="123"/>
      <c r="B1064" s="123"/>
      <c r="C1064" s="123"/>
      <c r="D1064" s="123"/>
      <c r="E1064" s="123"/>
      <c r="G1064" s="123"/>
      <c r="I1064" s="123"/>
      <c r="M1064" s="123"/>
      <c r="N1064" s="123"/>
      <c r="O1064" s="123"/>
      <c r="Q1064" s="123"/>
      <c r="S1064" s="123"/>
      <c r="U1064" s="123"/>
      <c r="W1064" s="123"/>
      <c r="AA1064" s="123"/>
      <c r="AB1064" s="123"/>
      <c r="AC1064" s="123"/>
      <c r="AE1064" s="123"/>
    </row>
    <row r="1065" spans="1:31">
      <c r="A1065" s="123"/>
      <c r="B1065" s="123"/>
      <c r="C1065" s="123"/>
      <c r="D1065" s="123"/>
      <c r="E1065" s="123"/>
      <c r="G1065" s="123"/>
      <c r="I1065" s="123"/>
      <c r="M1065" s="123"/>
      <c r="N1065" s="123"/>
      <c r="O1065" s="123"/>
      <c r="Q1065" s="123"/>
      <c r="S1065" s="123"/>
      <c r="U1065" s="123"/>
      <c r="W1065" s="123"/>
      <c r="AA1065" s="123"/>
      <c r="AB1065" s="123"/>
      <c r="AC1065" s="123"/>
      <c r="AE1065" s="123"/>
    </row>
    <row r="1066" spans="1:31">
      <c r="A1066" s="123"/>
      <c r="B1066" s="123"/>
      <c r="C1066" s="123"/>
      <c r="D1066" s="123"/>
      <c r="E1066" s="123"/>
      <c r="G1066" s="123"/>
      <c r="I1066" s="123"/>
      <c r="M1066" s="123"/>
      <c r="N1066" s="123"/>
      <c r="O1066" s="123"/>
      <c r="Q1066" s="123"/>
      <c r="S1066" s="123"/>
      <c r="U1066" s="123"/>
      <c r="W1066" s="123"/>
      <c r="AA1066" s="123"/>
      <c r="AB1066" s="123"/>
      <c r="AC1066" s="123"/>
      <c r="AE1066" s="123"/>
    </row>
    <row r="1067" spans="1:31">
      <c r="A1067" s="123"/>
      <c r="B1067" s="123"/>
      <c r="C1067" s="123"/>
      <c r="D1067" s="123"/>
      <c r="E1067" s="123"/>
      <c r="G1067" s="123"/>
      <c r="I1067" s="123"/>
      <c r="M1067" s="123"/>
      <c r="N1067" s="123"/>
      <c r="O1067" s="123"/>
      <c r="Q1067" s="123"/>
      <c r="S1067" s="123"/>
      <c r="U1067" s="123"/>
      <c r="W1067" s="123"/>
      <c r="AA1067" s="123"/>
      <c r="AB1067" s="123"/>
      <c r="AC1067" s="123"/>
      <c r="AE1067" s="123"/>
    </row>
    <row r="1068" spans="1:31">
      <c r="A1068" s="123"/>
      <c r="B1068" s="123"/>
      <c r="C1068" s="123"/>
      <c r="D1068" s="123"/>
      <c r="E1068" s="123"/>
      <c r="G1068" s="123"/>
      <c r="I1068" s="123"/>
      <c r="M1068" s="123"/>
      <c r="N1068" s="123"/>
      <c r="O1068" s="123"/>
      <c r="Q1068" s="123"/>
      <c r="S1068" s="123"/>
      <c r="U1068" s="123"/>
      <c r="W1068" s="123"/>
      <c r="AA1068" s="123"/>
      <c r="AB1068" s="123"/>
      <c r="AC1068" s="123"/>
      <c r="AE1068" s="123"/>
    </row>
    <row r="1069" spans="1:31">
      <c r="A1069" s="123"/>
      <c r="B1069" s="123"/>
      <c r="C1069" s="123"/>
      <c r="D1069" s="123"/>
      <c r="E1069" s="123"/>
      <c r="G1069" s="123"/>
      <c r="I1069" s="123"/>
      <c r="M1069" s="123"/>
      <c r="N1069" s="123"/>
      <c r="O1069" s="123"/>
      <c r="Q1069" s="123"/>
      <c r="S1069" s="123"/>
      <c r="U1069" s="123"/>
      <c r="W1069" s="123"/>
      <c r="AA1069" s="123"/>
      <c r="AB1069" s="123"/>
      <c r="AC1069" s="123"/>
      <c r="AE1069" s="123"/>
    </row>
    <row r="1070" spans="1:31">
      <c r="A1070" s="123"/>
      <c r="B1070" s="123"/>
      <c r="C1070" s="123"/>
      <c r="D1070" s="123"/>
      <c r="E1070" s="123"/>
      <c r="G1070" s="123"/>
      <c r="I1070" s="123"/>
      <c r="M1070" s="123"/>
      <c r="N1070" s="123"/>
      <c r="O1070" s="123"/>
      <c r="Q1070" s="123"/>
      <c r="S1070" s="123"/>
      <c r="U1070" s="123"/>
      <c r="W1070" s="123"/>
      <c r="AA1070" s="123"/>
      <c r="AB1070" s="123"/>
      <c r="AC1070" s="123"/>
      <c r="AE1070" s="123"/>
    </row>
    <row r="1071" spans="1:31">
      <c r="A1071" s="123"/>
      <c r="B1071" s="123"/>
      <c r="C1071" s="123"/>
      <c r="D1071" s="123"/>
      <c r="E1071" s="123"/>
      <c r="G1071" s="123"/>
      <c r="I1071" s="123"/>
      <c r="M1071" s="123"/>
      <c r="N1071" s="123"/>
      <c r="O1071" s="123"/>
      <c r="Q1071" s="123"/>
      <c r="S1071" s="123"/>
      <c r="U1071" s="123"/>
      <c r="W1071" s="123"/>
      <c r="AA1071" s="123"/>
      <c r="AB1071" s="123"/>
      <c r="AC1071" s="123"/>
      <c r="AE1071" s="123"/>
    </row>
    <row r="1072" spans="1:31">
      <c r="A1072" s="123"/>
      <c r="B1072" s="123"/>
      <c r="C1072" s="123"/>
      <c r="D1072" s="123"/>
      <c r="E1072" s="123"/>
      <c r="G1072" s="123"/>
      <c r="I1072" s="123"/>
      <c r="M1072" s="123"/>
      <c r="N1072" s="123"/>
      <c r="O1072" s="123"/>
      <c r="Q1072" s="123"/>
      <c r="S1072" s="123"/>
      <c r="U1072" s="123"/>
      <c r="W1072" s="123"/>
      <c r="AA1072" s="123"/>
      <c r="AB1072" s="123"/>
      <c r="AC1072" s="123"/>
      <c r="AE1072" s="123"/>
    </row>
    <row r="1073" spans="1:31">
      <c r="A1073" s="123"/>
      <c r="B1073" s="123"/>
      <c r="C1073" s="123"/>
      <c r="D1073" s="123"/>
      <c r="E1073" s="123"/>
      <c r="G1073" s="123"/>
      <c r="I1073" s="123"/>
      <c r="M1073" s="123"/>
      <c r="N1073" s="123"/>
      <c r="O1073" s="123"/>
      <c r="Q1073" s="123"/>
      <c r="S1073" s="123"/>
      <c r="U1073" s="123"/>
      <c r="W1073" s="123"/>
      <c r="AA1073" s="123"/>
      <c r="AB1073" s="123"/>
      <c r="AC1073" s="123"/>
      <c r="AE1073" s="123"/>
    </row>
    <row r="1074" spans="1:31">
      <c r="A1074" s="123"/>
      <c r="B1074" s="123"/>
      <c r="C1074" s="123"/>
      <c r="D1074" s="123"/>
      <c r="E1074" s="123"/>
      <c r="G1074" s="123"/>
      <c r="I1074" s="123"/>
      <c r="M1074" s="123"/>
      <c r="N1074" s="123"/>
      <c r="O1074" s="123"/>
      <c r="Q1074" s="123"/>
      <c r="S1074" s="123"/>
      <c r="U1074" s="123"/>
      <c r="W1074" s="123"/>
      <c r="AA1074" s="123"/>
      <c r="AB1074" s="123"/>
      <c r="AC1074" s="123"/>
      <c r="AE1074" s="123"/>
    </row>
    <row r="1075" spans="1:31">
      <c r="A1075" s="123"/>
      <c r="B1075" s="123"/>
      <c r="C1075" s="123"/>
      <c r="D1075" s="123"/>
      <c r="E1075" s="123"/>
      <c r="G1075" s="123"/>
      <c r="I1075" s="123"/>
      <c r="M1075" s="123"/>
      <c r="N1075" s="123"/>
      <c r="O1075" s="123"/>
      <c r="Q1075" s="123"/>
      <c r="S1075" s="123"/>
      <c r="U1075" s="123"/>
      <c r="W1075" s="123"/>
      <c r="AA1075" s="123"/>
      <c r="AB1075" s="123"/>
      <c r="AC1075" s="123"/>
      <c r="AE1075" s="123"/>
    </row>
    <row r="1076" spans="1:31">
      <c r="A1076" s="123"/>
      <c r="B1076" s="123"/>
      <c r="C1076" s="123"/>
      <c r="D1076" s="123"/>
      <c r="E1076" s="123"/>
      <c r="G1076" s="123"/>
      <c r="I1076" s="123"/>
      <c r="M1076" s="123"/>
      <c r="N1076" s="123"/>
      <c r="O1076" s="123"/>
      <c r="Q1076" s="123"/>
      <c r="S1076" s="123"/>
      <c r="U1076" s="123"/>
      <c r="W1076" s="123"/>
      <c r="AA1076" s="123"/>
      <c r="AB1076" s="123"/>
      <c r="AC1076" s="123"/>
      <c r="AE1076" s="123"/>
    </row>
    <row r="1077" spans="1:31">
      <c r="A1077" s="123"/>
      <c r="B1077" s="123"/>
      <c r="C1077" s="123"/>
      <c r="D1077" s="123"/>
      <c r="E1077" s="123"/>
      <c r="G1077" s="123"/>
      <c r="I1077" s="123"/>
      <c r="M1077" s="123"/>
      <c r="N1077" s="123"/>
      <c r="O1077" s="123"/>
      <c r="Q1077" s="123"/>
      <c r="S1077" s="123"/>
      <c r="U1077" s="123"/>
      <c r="W1077" s="123"/>
      <c r="AA1077" s="123"/>
      <c r="AB1077" s="123"/>
      <c r="AC1077" s="123"/>
      <c r="AE1077" s="123"/>
    </row>
    <row r="1078" spans="1:31">
      <c r="A1078" s="123"/>
      <c r="B1078" s="123"/>
      <c r="C1078" s="123"/>
      <c r="D1078" s="123"/>
      <c r="E1078" s="123"/>
      <c r="G1078" s="123"/>
      <c r="I1078" s="123"/>
      <c r="M1078" s="123"/>
      <c r="N1078" s="123"/>
      <c r="O1078" s="123"/>
      <c r="Q1078" s="123"/>
      <c r="S1078" s="123"/>
      <c r="U1078" s="123"/>
      <c r="W1078" s="123"/>
      <c r="AA1078" s="123"/>
      <c r="AB1078" s="123"/>
      <c r="AC1078" s="123"/>
      <c r="AE1078" s="123"/>
    </row>
    <row r="1079" spans="1:31">
      <c r="A1079" s="123"/>
      <c r="B1079" s="123"/>
      <c r="C1079" s="123"/>
      <c r="D1079" s="123"/>
      <c r="E1079" s="123"/>
      <c r="G1079" s="123"/>
      <c r="I1079" s="123"/>
      <c r="M1079" s="123"/>
      <c r="N1079" s="123"/>
      <c r="O1079" s="123"/>
      <c r="Q1079" s="123"/>
      <c r="S1079" s="123"/>
      <c r="U1079" s="123"/>
      <c r="W1079" s="123"/>
      <c r="AA1079" s="123"/>
      <c r="AB1079" s="123"/>
      <c r="AC1079" s="123"/>
      <c r="AE1079" s="123"/>
    </row>
    <row r="1080" spans="1:31">
      <c r="A1080" s="123"/>
      <c r="B1080" s="123"/>
      <c r="C1080" s="123"/>
      <c r="D1080" s="123"/>
      <c r="E1080" s="123"/>
      <c r="G1080" s="123"/>
      <c r="I1080" s="123"/>
      <c r="M1080" s="123"/>
      <c r="N1080" s="123"/>
      <c r="O1080" s="123"/>
      <c r="Q1080" s="123"/>
      <c r="S1080" s="123"/>
      <c r="U1080" s="123"/>
      <c r="W1080" s="123"/>
      <c r="AA1080" s="123"/>
      <c r="AB1080" s="123"/>
      <c r="AC1080" s="123"/>
      <c r="AE1080" s="123"/>
    </row>
    <row r="1081" spans="1:31">
      <c r="A1081" s="123"/>
      <c r="B1081" s="123"/>
      <c r="C1081" s="123"/>
      <c r="D1081" s="123"/>
      <c r="E1081" s="123"/>
      <c r="G1081" s="123"/>
      <c r="I1081" s="123"/>
      <c r="M1081" s="123"/>
      <c r="N1081" s="123"/>
      <c r="O1081" s="123"/>
      <c r="Q1081" s="123"/>
      <c r="S1081" s="123"/>
      <c r="U1081" s="123"/>
      <c r="W1081" s="123"/>
      <c r="AA1081" s="123"/>
      <c r="AB1081" s="123"/>
      <c r="AC1081" s="123"/>
      <c r="AE1081" s="123"/>
    </row>
    <row r="1082" spans="1:31">
      <c r="A1082" s="123"/>
      <c r="B1082" s="123"/>
      <c r="C1082" s="123"/>
      <c r="D1082" s="123"/>
      <c r="E1082" s="123"/>
      <c r="G1082" s="123"/>
      <c r="I1082" s="123"/>
      <c r="M1082" s="123"/>
      <c r="N1082" s="123"/>
      <c r="O1082" s="123"/>
      <c r="Q1082" s="123"/>
      <c r="S1082" s="123"/>
      <c r="U1082" s="123"/>
      <c r="W1082" s="123"/>
      <c r="AA1082" s="123"/>
      <c r="AB1082" s="123"/>
      <c r="AC1082" s="123"/>
      <c r="AE1082" s="123"/>
    </row>
    <row r="1083" spans="1:31">
      <c r="A1083" s="123"/>
      <c r="B1083" s="123"/>
      <c r="C1083" s="123"/>
      <c r="D1083" s="123"/>
      <c r="E1083" s="123"/>
      <c r="G1083" s="123"/>
      <c r="I1083" s="123"/>
      <c r="M1083" s="123"/>
      <c r="N1083" s="123"/>
      <c r="O1083" s="123"/>
      <c r="Q1083" s="123"/>
      <c r="S1083" s="123"/>
      <c r="U1083" s="123"/>
      <c r="W1083" s="123"/>
      <c r="AA1083" s="123"/>
      <c r="AB1083" s="123"/>
      <c r="AC1083" s="123"/>
      <c r="AE1083" s="123"/>
    </row>
    <row r="1084" spans="1:31">
      <c r="A1084" s="123"/>
      <c r="B1084" s="123"/>
      <c r="C1084" s="123"/>
      <c r="D1084" s="123"/>
      <c r="E1084" s="123"/>
      <c r="G1084" s="123"/>
      <c r="I1084" s="123"/>
      <c r="M1084" s="123"/>
      <c r="N1084" s="123"/>
      <c r="O1084" s="123"/>
      <c r="Q1084" s="123"/>
      <c r="S1084" s="123"/>
      <c r="U1084" s="123"/>
      <c r="W1084" s="123"/>
      <c r="AA1084" s="123"/>
      <c r="AB1084" s="123"/>
      <c r="AC1084" s="123"/>
      <c r="AE1084" s="123"/>
    </row>
    <row r="1085" spans="1:31">
      <c r="A1085" s="123"/>
      <c r="B1085" s="123"/>
      <c r="C1085" s="123"/>
      <c r="D1085" s="123"/>
      <c r="E1085" s="123"/>
      <c r="G1085" s="123"/>
      <c r="I1085" s="123"/>
      <c r="M1085" s="123"/>
      <c r="N1085" s="123"/>
      <c r="O1085" s="123"/>
      <c r="Q1085" s="123"/>
      <c r="S1085" s="123"/>
      <c r="U1085" s="123"/>
      <c r="W1085" s="123"/>
      <c r="AA1085" s="123"/>
      <c r="AB1085" s="123"/>
      <c r="AC1085" s="123"/>
      <c r="AE1085" s="123"/>
    </row>
    <row r="1086" spans="1:31">
      <c r="A1086" s="123"/>
      <c r="B1086" s="123"/>
      <c r="C1086" s="123"/>
      <c r="D1086" s="123"/>
      <c r="E1086" s="123"/>
      <c r="G1086" s="123"/>
      <c r="I1086" s="123"/>
      <c r="M1086" s="123"/>
      <c r="N1086" s="123"/>
      <c r="O1086" s="123"/>
      <c r="Q1086" s="123"/>
      <c r="S1086" s="123"/>
      <c r="U1086" s="123"/>
      <c r="W1086" s="123"/>
      <c r="AA1086" s="123"/>
      <c r="AB1086" s="123"/>
      <c r="AC1086" s="123"/>
      <c r="AE1086" s="123"/>
    </row>
    <row r="1087" spans="1:31">
      <c r="A1087" s="123"/>
      <c r="B1087" s="123"/>
      <c r="C1087" s="123"/>
      <c r="D1087" s="123"/>
      <c r="E1087" s="123"/>
      <c r="G1087" s="123"/>
      <c r="I1087" s="123"/>
      <c r="M1087" s="123"/>
      <c r="N1087" s="123"/>
      <c r="O1087" s="123"/>
      <c r="Q1087" s="123"/>
      <c r="S1087" s="123"/>
      <c r="U1087" s="123"/>
      <c r="W1087" s="123"/>
      <c r="AA1087" s="123"/>
      <c r="AB1087" s="123"/>
      <c r="AC1087" s="123"/>
      <c r="AE1087" s="123"/>
    </row>
    <row r="1088" spans="1:31">
      <c r="A1088" s="123"/>
      <c r="B1088" s="123"/>
      <c r="C1088" s="123"/>
      <c r="D1088" s="123"/>
      <c r="E1088" s="123"/>
      <c r="G1088" s="123"/>
      <c r="I1088" s="123"/>
      <c r="M1088" s="123"/>
      <c r="N1088" s="123"/>
      <c r="O1088" s="123"/>
      <c r="Q1088" s="123"/>
      <c r="S1088" s="123"/>
      <c r="U1088" s="123"/>
      <c r="W1088" s="123"/>
      <c r="AA1088" s="123"/>
      <c r="AB1088" s="123"/>
      <c r="AC1088" s="123"/>
      <c r="AE1088" s="123"/>
    </row>
    <row r="1089" spans="1:31">
      <c r="A1089" s="123"/>
      <c r="B1089" s="123"/>
      <c r="C1089" s="123"/>
      <c r="D1089" s="123"/>
      <c r="E1089" s="123"/>
      <c r="G1089" s="123"/>
      <c r="I1089" s="123"/>
      <c r="M1089" s="123"/>
      <c r="N1089" s="123"/>
      <c r="O1089" s="123"/>
      <c r="Q1089" s="123"/>
      <c r="S1089" s="123"/>
      <c r="U1089" s="123"/>
      <c r="W1089" s="123"/>
      <c r="AA1089" s="123"/>
      <c r="AB1089" s="123"/>
      <c r="AC1089" s="123"/>
      <c r="AE1089" s="123"/>
    </row>
    <row r="1090" spans="1:31">
      <c r="A1090" s="123"/>
      <c r="B1090" s="123"/>
      <c r="C1090" s="123"/>
      <c r="D1090" s="123"/>
      <c r="E1090" s="123"/>
      <c r="G1090" s="123"/>
      <c r="I1090" s="123"/>
      <c r="M1090" s="123"/>
      <c r="N1090" s="123"/>
      <c r="O1090" s="123"/>
      <c r="Q1090" s="123"/>
      <c r="S1090" s="123"/>
      <c r="U1090" s="123"/>
      <c r="W1090" s="123"/>
      <c r="AA1090" s="123"/>
      <c r="AB1090" s="123"/>
      <c r="AC1090" s="123"/>
      <c r="AE1090" s="123"/>
    </row>
    <row r="1091" spans="1:31">
      <c r="A1091" s="123"/>
      <c r="B1091" s="123"/>
      <c r="C1091" s="123"/>
      <c r="D1091" s="123"/>
      <c r="E1091" s="123"/>
      <c r="G1091" s="123"/>
      <c r="I1091" s="123"/>
      <c r="M1091" s="123"/>
      <c r="N1091" s="123"/>
      <c r="O1091" s="123"/>
      <c r="Q1091" s="123"/>
      <c r="S1091" s="123"/>
      <c r="U1091" s="123"/>
      <c r="W1091" s="123"/>
      <c r="AA1091" s="123"/>
      <c r="AB1091" s="123"/>
      <c r="AC1091" s="123"/>
      <c r="AE1091" s="123"/>
    </row>
    <row r="1092" spans="1:31">
      <c r="A1092" s="123"/>
      <c r="B1092" s="123"/>
      <c r="C1092" s="123"/>
      <c r="D1092" s="123"/>
      <c r="E1092" s="123"/>
      <c r="G1092" s="123"/>
      <c r="I1092" s="123"/>
      <c r="M1092" s="123"/>
      <c r="N1092" s="123"/>
      <c r="O1092" s="123"/>
      <c r="Q1092" s="123"/>
      <c r="S1092" s="123"/>
      <c r="U1092" s="123"/>
      <c r="W1092" s="123"/>
      <c r="AA1092" s="123"/>
      <c r="AB1092" s="123"/>
      <c r="AC1092" s="123"/>
      <c r="AE1092" s="123"/>
    </row>
    <row r="1093" spans="1:31">
      <c r="A1093" s="123"/>
      <c r="B1093" s="123"/>
      <c r="C1093" s="123"/>
      <c r="D1093" s="123"/>
      <c r="E1093" s="123"/>
      <c r="G1093" s="123"/>
      <c r="I1093" s="123"/>
      <c r="M1093" s="123"/>
      <c r="N1093" s="123"/>
      <c r="O1093" s="123"/>
      <c r="Q1093" s="123"/>
      <c r="S1093" s="123"/>
      <c r="U1093" s="123"/>
      <c r="W1093" s="123"/>
      <c r="AA1093" s="123"/>
      <c r="AB1093" s="123"/>
      <c r="AC1093" s="123"/>
      <c r="AE1093" s="123"/>
    </row>
    <row r="1094" spans="1:31">
      <c r="A1094" s="123"/>
      <c r="B1094" s="123"/>
      <c r="C1094" s="123"/>
      <c r="D1094" s="123"/>
      <c r="E1094" s="123"/>
      <c r="G1094" s="123"/>
      <c r="I1094" s="123"/>
      <c r="M1094" s="123"/>
      <c r="N1094" s="123"/>
      <c r="O1094" s="123"/>
      <c r="Q1094" s="123"/>
      <c r="S1094" s="123"/>
      <c r="U1094" s="123"/>
      <c r="W1094" s="123"/>
      <c r="AA1094" s="123"/>
      <c r="AB1094" s="123"/>
      <c r="AC1094" s="123"/>
      <c r="AE1094" s="123"/>
    </row>
    <row r="1095" spans="1:31">
      <c r="A1095" s="123"/>
      <c r="B1095" s="123"/>
      <c r="C1095" s="123"/>
      <c r="D1095" s="123"/>
      <c r="E1095" s="123"/>
      <c r="G1095" s="123"/>
      <c r="I1095" s="123"/>
      <c r="M1095" s="123"/>
      <c r="N1095" s="123"/>
      <c r="O1095" s="123"/>
      <c r="Q1095" s="123"/>
      <c r="S1095" s="123"/>
      <c r="U1095" s="123"/>
      <c r="W1095" s="123"/>
      <c r="AA1095" s="123"/>
      <c r="AB1095" s="123"/>
      <c r="AC1095" s="123"/>
      <c r="AE1095" s="123"/>
    </row>
    <row r="1096" spans="1:31">
      <c r="A1096" s="123"/>
      <c r="B1096" s="123"/>
      <c r="C1096" s="123"/>
      <c r="D1096" s="123"/>
      <c r="E1096" s="123"/>
      <c r="G1096" s="123"/>
      <c r="I1096" s="123"/>
      <c r="M1096" s="123"/>
      <c r="N1096" s="123"/>
      <c r="O1096" s="123"/>
      <c r="Q1096" s="123"/>
      <c r="S1096" s="123"/>
      <c r="U1096" s="123"/>
      <c r="W1096" s="123"/>
      <c r="AA1096" s="123"/>
      <c r="AB1096" s="123"/>
      <c r="AC1096" s="123"/>
      <c r="AE1096" s="123"/>
    </row>
    <row r="1097" spans="1:31">
      <c r="A1097" s="123"/>
      <c r="B1097" s="123"/>
      <c r="C1097" s="123"/>
      <c r="D1097" s="123"/>
      <c r="E1097" s="123"/>
      <c r="G1097" s="123"/>
      <c r="I1097" s="123"/>
      <c r="M1097" s="123"/>
      <c r="N1097" s="123"/>
      <c r="O1097" s="123"/>
      <c r="Q1097" s="123"/>
      <c r="S1097" s="123"/>
      <c r="U1097" s="123"/>
      <c r="W1097" s="123"/>
      <c r="AA1097" s="123"/>
      <c r="AB1097" s="123"/>
      <c r="AC1097" s="123"/>
      <c r="AE1097" s="123"/>
    </row>
    <row r="1098" spans="1:31">
      <c r="A1098" s="123"/>
      <c r="B1098" s="123"/>
      <c r="C1098" s="123"/>
      <c r="D1098" s="123"/>
      <c r="E1098" s="123"/>
      <c r="G1098" s="123"/>
      <c r="I1098" s="123"/>
      <c r="M1098" s="123"/>
      <c r="N1098" s="123"/>
      <c r="O1098" s="123"/>
      <c r="Q1098" s="123"/>
      <c r="S1098" s="123"/>
      <c r="U1098" s="123"/>
      <c r="W1098" s="123"/>
      <c r="AA1098" s="123"/>
      <c r="AB1098" s="123"/>
      <c r="AC1098" s="123"/>
      <c r="AE1098" s="123"/>
    </row>
    <row r="1099" spans="1:31">
      <c r="A1099" s="123"/>
      <c r="B1099" s="123"/>
      <c r="C1099" s="123"/>
      <c r="D1099" s="123"/>
      <c r="E1099" s="123"/>
      <c r="G1099" s="123"/>
      <c r="I1099" s="123"/>
      <c r="M1099" s="123"/>
      <c r="N1099" s="123"/>
      <c r="O1099" s="123"/>
      <c r="Q1099" s="123"/>
      <c r="S1099" s="123"/>
      <c r="U1099" s="123"/>
      <c r="W1099" s="123"/>
      <c r="AA1099" s="123"/>
      <c r="AB1099" s="123"/>
      <c r="AC1099" s="123"/>
      <c r="AE1099" s="123"/>
    </row>
    <row r="1100" spans="1:31">
      <c r="A1100" s="123"/>
      <c r="B1100" s="123"/>
      <c r="C1100" s="123"/>
      <c r="D1100" s="123"/>
      <c r="E1100" s="123"/>
      <c r="G1100" s="123"/>
      <c r="I1100" s="123"/>
      <c r="M1100" s="123"/>
      <c r="N1100" s="123"/>
      <c r="O1100" s="123"/>
      <c r="Q1100" s="123"/>
      <c r="S1100" s="123"/>
      <c r="U1100" s="123"/>
      <c r="W1100" s="123"/>
      <c r="AA1100" s="123"/>
      <c r="AB1100" s="123"/>
      <c r="AC1100" s="123"/>
      <c r="AE1100" s="123"/>
    </row>
    <row r="1101" spans="1:31">
      <c r="A1101" s="123"/>
      <c r="B1101" s="123"/>
      <c r="C1101" s="123"/>
      <c r="D1101" s="123"/>
      <c r="E1101" s="123"/>
      <c r="G1101" s="123"/>
      <c r="I1101" s="123"/>
      <c r="M1101" s="123"/>
      <c r="N1101" s="123"/>
      <c r="O1101" s="123"/>
      <c r="Q1101" s="123"/>
      <c r="S1101" s="123"/>
      <c r="U1101" s="123"/>
      <c r="W1101" s="123"/>
      <c r="AA1101" s="123"/>
      <c r="AB1101" s="123"/>
      <c r="AC1101" s="123"/>
      <c r="AE1101" s="123"/>
    </row>
    <row r="1102" spans="1:31">
      <c r="A1102" s="123"/>
      <c r="B1102" s="123"/>
      <c r="C1102" s="123"/>
      <c r="D1102" s="123"/>
      <c r="E1102" s="123"/>
      <c r="G1102" s="123"/>
      <c r="I1102" s="123"/>
      <c r="M1102" s="123"/>
      <c r="N1102" s="123"/>
      <c r="O1102" s="123"/>
      <c r="Q1102" s="123"/>
      <c r="S1102" s="123"/>
      <c r="U1102" s="123"/>
      <c r="W1102" s="123"/>
      <c r="AA1102" s="123"/>
      <c r="AB1102" s="123"/>
      <c r="AC1102" s="123"/>
      <c r="AE1102" s="123"/>
    </row>
    <row r="1103" spans="1:31">
      <c r="A1103" s="123"/>
      <c r="B1103" s="123"/>
      <c r="C1103" s="123"/>
      <c r="D1103" s="123"/>
      <c r="E1103" s="123"/>
      <c r="G1103" s="123"/>
      <c r="I1103" s="123"/>
      <c r="M1103" s="123"/>
      <c r="N1103" s="123"/>
      <c r="O1103" s="123"/>
      <c r="Q1103" s="123"/>
      <c r="S1103" s="123"/>
      <c r="U1103" s="123"/>
      <c r="W1103" s="123"/>
      <c r="AA1103" s="123"/>
      <c r="AB1103" s="123"/>
      <c r="AC1103" s="123"/>
      <c r="AE1103" s="123"/>
    </row>
    <row r="1104" spans="1:31">
      <c r="A1104" s="123"/>
      <c r="B1104" s="123"/>
      <c r="C1104" s="123"/>
      <c r="D1104" s="123"/>
      <c r="E1104" s="123"/>
      <c r="G1104" s="123"/>
      <c r="I1104" s="123"/>
      <c r="M1104" s="123"/>
      <c r="N1104" s="123"/>
      <c r="O1104" s="123"/>
      <c r="Q1104" s="123"/>
      <c r="S1104" s="123"/>
      <c r="U1104" s="123"/>
      <c r="W1104" s="123"/>
      <c r="AA1104" s="123"/>
      <c r="AB1104" s="123"/>
      <c r="AC1104" s="123"/>
      <c r="AE1104" s="123"/>
    </row>
    <row r="1105" spans="1:31">
      <c r="A1105" s="123"/>
      <c r="B1105" s="123"/>
      <c r="C1105" s="123"/>
      <c r="D1105" s="123"/>
      <c r="E1105" s="123"/>
      <c r="G1105" s="123"/>
      <c r="I1105" s="123"/>
      <c r="M1105" s="123"/>
      <c r="N1105" s="123"/>
      <c r="O1105" s="123"/>
      <c r="Q1105" s="123"/>
      <c r="S1105" s="123"/>
      <c r="U1105" s="123"/>
      <c r="W1105" s="123"/>
      <c r="AA1105" s="123"/>
      <c r="AB1105" s="123"/>
      <c r="AC1105" s="123"/>
      <c r="AE1105" s="123"/>
    </row>
    <row r="1106" spans="1:31">
      <c r="A1106" s="123"/>
      <c r="B1106" s="123"/>
      <c r="C1106" s="123"/>
      <c r="D1106" s="123"/>
      <c r="E1106" s="123"/>
      <c r="G1106" s="123"/>
      <c r="I1106" s="123"/>
      <c r="M1106" s="123"/>
      <c r="N1106" s="123"/>
      <c r="O1106" s="123"/>
      <c r="Q1106" s="123"/>
      <c r="S1106" s="123"/>
      <c r="U1106" s="123"/>
      <c r="W1106" s="123"/>
      <c r="AA1106" s="123"/>
      <c r="AB1106" s="123"/>
      <c r="AC1106" s="123"/>
      <c r="AE1106" s="123"/>
    </row>
    <row r="1107" spans="1:31">
      <c r="A1107" s="123"/>
      <c r="B1107" s="123"/>
      <c r="C1107" s="123"/>
      <c r="D1107" s="123"/>
      <c r="E1107" s="123"/>
      <c r="G1107" s="123"/>
      <c r="I1107" s="123"/>
      <c r="M1107" s="123"/>
      <c r="N1107" s="123"/>
      <c r="O1107" s="123"/>
      <c r="Q1107" s="123"/>
      <c r="S1107" s="123"/>
      <c r="U1107" s="123"/>
      <c r="W1107" s="123"/>
      <c r="AA1107" s="123"/>
      <c r="AB1107" s="123"/>
      <c r="AC1107" s="123"/>
      <c r="AE1107" s="123"/>
    </row>
    <row r="1108" spans="1:31">
      <c r="A1108" s="123"/>
      <c r="B1108" s="123"/>
      <c r="C1108" s="123"/>
      <c r="D1108" s="123"/>
      <c r="E1108" s="123"/>
      <c r="G1108" s="123"/>
      <c r="I1108" s="123"/>
      <c r="M1108" s="123"/>
      <c r="N1108" s="123"/>
      <c r="O1108" s="123"/>
      <c r="Q1108" s="123"/>
      <c r="S1108" s="123"/>
      <c r="U1108" s="123"/>
      <c r="W1108" s="123"/>
      <c r="AA1108" s="123"/>
      <c r="AB1108" s="123"/>
      <c r="AC1108" s="123"/>
      <c r="AE1108" s="123"/>
    </row>
    <row r="1109" spans="1:31">
      <c r="A1109" s="123"/>
      <c r="B1109" s="123"/>
      <c r="C1109" s="123"/>
      <c r="D1109" s="123"/>
      <c r="E1109" s="123"/>
      <c r="G1109" s="123"/>
      <c r="I1109" s="123"/>
      <c r="M1109" s="123"/>
      <c r="N1109" s="123"/>
      <c r="O1109" s="123"/>
      <c r="Q1109" s="123"/>
      <c r="S1109" s="123"/>
      <c r="U1109" s="123"/>
      <c r="W1109" s="123"/>
      <c r="AA1109" s="123"/>
      <c r="AB1109" s="123"/>
      <c r="AC1109" s="123"/>
      <c r="AE1109" s="123"/>
    </row>
    <row r="1110" spans="1:31">
      <c r="A1110" s="123"/>
      <c r="B1110" s="123"/>
      <c r="C1110" s="123"/>
      <c r="D1110" s="123"/>
      <c r="E1110" s="123"/>
      <c r="G1110" s="123"/>
      <c r="I1110" s="123"/>
      <c r="M1110" s="123"/>
      <c r="N1110" s="123"/>
      <c r="O1110" s="123"/>
      <c r="Q1110" s="123"/>
      <c r="S1110" s="123"/>
      <c r="U1110" s="123"/>
      <c r="W1110" s="123"/>
      <c r="AA1110" s="123"/>
      <c r="AB1110" s="123"/>
      <c r="AC1110" s="123"/>
      <c r="AE1110" s="123"/>
    </row>
    <row r="1111" spans="1:31">
      <c r="A1111" s="123"/>
      <c r="B1111" s="123"/>
      <c r="C1111" s="123"/>
      <c r="D1111" s="123"/>
      <c r="E1111" s="123"/>
      <c r="G1111" s="123"/>
      <c r="I1111" s="123"/>
      <c r="M1111" s="123"/>
      <c r="N1111" s="123"/>
      <c r="O1111" s="123"/>
      <c r="Q1111" s="123"/>
      <c r="S1111" s="123"/>
      <c r="U1111" s="123"/>
      <c r="W1111" s="123"/>
      <c r="AA1111" s="123"/>
      <c r="AB1111" s="123"/>
      <c r="AC1111" s="123"/>
      <c r="AE1111" s="123"/>
    </row>
    <row r="1112" spans="1:31">
      <c r="A1112" s="123"/>
      <c r="B1112" s="123"/>
      <c r="C1112" s="123"/>
      <c r="D1112" s="123"/>
      <c r="E1112" s="123"/>
      <c r="G1112" s="123"/>
      <c r="I1112" s="123"/>
      <c r="M1112" s="123"/>
      <c r="N1112" s="123"/>
      <c r="O1112" s="123"/>
      <c r="Q1112" s="123"/>
      <c r="S1112" s="123"/>
      <c r="U1112" s="123"/>
      <c r="W1112" s="123"/>
      <c r="AA1112" s="123"/>
      <c r="AB1112" s="123"/>
      <c r="AC1112" s="123"/>
      <c r="AE1112" s="123"/>
    </row>
    <row r="1113" spans="1:31">
      <c r="A1113" s="123"/>
      <c r="B1113" s="123"/>
      <c r="C1113" s="123"/>
      <c r="D1113" s="123"/>
      <c r="E1113" s="123"/>
      <c r="G1113" s="123"/>
      <c r="I1113" s="123"/>
      <c r="M1113" s="123"/>
      <c r="N1113" s="123"/>
      <c r="O1113" s="123"/>
      <c r="Q1113" s="123"/>
      <c r="S1113" s="123"/>
      <c r="U1113" s="123"/>
      <c r="W1113" s="123"/>
      <c r="AA1113" s="123"/>
      <c r="AB1113" s="123"/>
      <c r="AC1113" s="123"/>
      <c r="AE1113" s="123"/>
    </row>
    <row r="1114" spans="1:31">
      <c r="A1114" s="123"/>
      <c r="B1114" s="123"/>
      <c r="C1114" s="123"/>
      <c r="D1114" s="123"/>
      <c r="E1114" s="123"/>
      <c r="G1114" s="123"/>
      <c r="I1114" s="123"/>
      <c r="M1114" s="123"/>
      <c r="N1114" s="123"/>
      <c r="O1114" s="123"/>
      <c r="Q1114" s="123"/>
      <c r="S1114" s="123"/>
      <c r="U1114" s="123"/>
      <c r="W1114" s="123"/>
      <c r="AA1114" s="123"/>
      <c r="AB1114" s="123"/>
      <c r="AC1114" s="123"/>
      <c r="AE1114" s="123"/>
    </row>
    <row r="1115" spans="1:31">
      <c r="A1115" s="123"/>
      <c r="B1115" s="123"/>
      <c r="C1115" s="123"/>
      <c r="D1115" s="123"/>
      <c r="E1115" s="123"/>
      <c r="G1115" s="123"/>
      <c r="I1115" s="123"/>
      <c r="M1115" s="123"/>
      <c r="N1115" s="123"/>
      <c r="O1115" s="123"/>
      <c r="Q1115" s="123"/>
      <c r="S1115" s="123"/>
      <c r="U1115" s="123"/>
      <c r="W1115" s="123"/>
      <c r="AA1115" s="123"/>
      <c r="AB1115" s="123"/>
      <c r="AC1115" s="123"/>
      <c r="AE1115" s="123"/>
    </row>
    <row r="1116" spans="1:31">
      <c r="A1116" s="123"/>
      <c r="B1116" s="123"/>
      <c r="C1116" s="123"/>
      <c r="D1116" s="123"/>
      <c r="E1116" s="123"/>
      <c r="G1116" s="123"/>
      <c r="I1116" s="123"/>
      <c r="M1116" s="123"/>
      <c r="N1116" s="123"/>
      <c r="O1116" s="123"/>
      <c r="Q1116" s="123"/>
      <c r="S1116" s="123"/>
      <c r="U1116" s="123"/>
      <c r="W1116" s="123"/>
      <c r="AA1116" s="123"/>
      <c r="AB1116" s="123"/>
      <c r="AC1116" s="123"/>
      <c r="AE1116" s="123"/>
    </row>
    <row r="1117" spans="1:31">
      <c r="A1117" s="123"/>
      <c r="B1117" s="123"/>
      <c r="C1117" s="123"/>
      <c r="D1117" s="123"/>
      <c r="E1117" s="123"/>
      <c r="G1117" s="123"/>
      <c r="I1117" s="123"/>
      <c r="M1117" s="123"/>
      <c r="N1117" s="123"/>
      <c r="O1117" s="123"/>
      <c r="Q1117" s="123"/>
      <c r="S1117" s="123"/>
      <c r="U1117" s="123"/>
      <c r="W1117" s="123"/>
      <c r="AA1117" s="123"/>
      <c r="AB1117" s="123"/>
      <c r="AC1117" s="123"/>
      <c r="AE1117" s="123"/>
    </row>
    <row r="1118" spans="1:31">
      <c r="A1118" s="123"/>
      <c r="B1118" s="123"/>
      <c r="C1118" s="123"/>
      <c r="D1118" s="123"/>
      <c r="E1118" s="123"/>
      <c r="G1118" s="123"/>
      <c r="I1118" s="123"/>
      <c r="M1118" s="123"/>
      <c r="N1118" s="123"/>
      <c r="O1118" s="123"/>
      <c r="Q1118" s="123"/>
      <c r="S1118" s="123"/>
      <c r="U1118" s="123"/>
      <c r="W1118" s="123"/>
      <c r="AA1118" s="123"/>
      <c r="AB1118" s="123"/>
      <c r="AC1118" s="123"/>
      <c r="AE1118" s="123"/>
    </row>
    <row r="1119" spans="1:31">
      <c r="A1119" s="123"/>
      <c r="B1119" s="123"/>
      <c r="C1119" s="123"/>
      <c r="D1119" s="123"/>
      <c r="E1119" s="123"/>
      <c r="G1119" s="123"/>
      <c r="I1119" s="123"/>
      <c r="M1119" s="123"/>
      <c r="N1119" s="123"/>
      <c r="O1119" s="123"/>
      <c r="Q1119" s="123"/>
      <c r="S1119" s="123"/>
      <c r="U1119" s="123"/>
      <c r="W1119" s="123"/>
      <c r="AA1119" s="123"/>
      <c r="AB1119" s="123"/>
      <c r="AC1119" s="123"/>
      <c r="AE1119" s="123"/>
    </row>
    <row r="1120" spans="1:31">
      <c r="A1120" s="123"/>
      <c r="B1120" s="123"/>
      <c r="C1120" s="123"/>
      <c r="D1120" s="123"/>
      <c r="E1120" s="123"/>
      <c r="G1120" s="123"/>
      <c r="I1120" s="123"/>
      <c r="M1120" s="123"/>
      <c r="N1120" s="123"/>
      <c r="O1120" s="123"/>
      <c r="Q1120" s="123"/>
      <c r="S1120" s="123"/>
      <c r="U1120" s="123"/>
      <c r="W1120" s="123"/>
      <c r="AA1120" s="123"/>
      <c r="AB1120" s="123"/>
      <c r="AC1120" s="123"/>
      <c r="AE1120" s="123"/>
    </row>
    <row r="1121" spans="1:31">
      <c r="A1121" s="123"/>
      <c r="B1121" s="123"/>
      <c r="C1121" s="123"/>
      <c r="D1121" s="123"/>
      <c r="E1121" s="123"/>
      <c r="G1121" s="123"/>
      <c r="I1121" s="123"/>
      <c r="M1121" s="123"/>
      <c r="N1121" s="123"/>
      <c r="O1121" s="123"/>
      <c r="Q1121" s="123"/>
      <c r="S1121" s="123"/>
      <c r="U1121" s="123"/>
      <c r="W1121" s="123"/>
      <c r="AA1121" s="123"/>
      <c r="AB1121" s="123"/>
      <c r="AC1121" s="123"/>
      <c r="AE1121" s="123"/>
    </row>
    <row r="1122" spans="1:31">
      <c r="A1122" s="123"/>
      <c r="B1122" s="123"/>
      <c r="C1122" s="123"/>
      <c r="D1122" s="123"/>
      <c r="E1122" s="123"/>
      <c r="G1122" s="123"/>
      <c r="I1122" s="123"/>
      <c r="M1122" s="123"/>
      <c r="N1122" s="123"/>
      <c r="O1122" s="123"/>
      <c r="Q1122" s="123"/>
      <c r="S1122" s="123"/>
      <c r="U1122" s="123"/>
      <c r="W1122" s="123"/>
      <c r="AA1122" s="123"/>
      <c r="AB1122" s="123"/>
      <c r="AC1122" s="123"/>
      <c r="AE1122" s="123"/>
    </row>
    <row r="1123" spans="1:31">
      <c r="A1123" s="123"/>
      <c r="B1123" s="123"/>
      <c r="C1123" s="123"/>
      <c r="D1123" s="123"/>
      <c r="E1123" s="123"/>
      <c r="G1123" s="123"/>
      <c r="I1123" s="123"/>
      <c r="M1123" s="123"/>
      <c r="N1123" s="123"/>
      <c r="O1123" s="123"/>
      <c r="Q1123" s="123"/>
      <c r="S1123" s="123"/>
      <c r="U1123" s="123"/>
      <c r="W1123" s="123"/>
      <c r="AA1123" s="123"/>
      <c r="AB1123" s="123"/>
      <c r="AC1123" s="123"/>
      <c r="AE1123" s="123"/>
    </row>
    <row r="1124" spans="1:31">
      <c r="A1124" s="123"/>
      <c r="B1124" s="123"/>
      <c r="C1124" s="123"/>
      <c r="D1124" s="123"/>
      <c r="E1124" s="123"/>
      <c r="G1124" s="123"/>
      <c r="I1124" s="123"/>
      <c r="M1124" s="123"/>
      <c r="N1124" s="123"/>
      <c r="O1124" s="123"/>
      <c r="Q1124" s="123"/>
      <c r="S1124" s="123"/>
      <c r="U1124" s="123"/>
      <c r="W1124" s="123"/>
      <c r="AA1124" s="123"/>
      <c r="AB1124" s="123"/>
      <c r="AC1124" s="123"/>
      <c r="AE1124" s="123"/>
    </row>
    <row r="1125" spans="1:31">
      <c r="A1125" s="123"/>
      <c r="B1125" s="123"/>
      <c r="C1125" s="123"/>
      <c r="D1125" s="123"/>
      <c r="E1125" s="123"/>
      <c r="G1125" s="123"/>
      <c r="I1125" s="123"/>
      <c r="M1125" s="123"/>
      <c r="N1125" s="123"/>
      <c r="O1125" s="123"/>
      <c r="Q1125" s="123"/>
      <c r="S1125" s="123"/>
      <c r="U1125" s="123"/>
      <c r="W1125" s="123"/>
      <c r="AA1125" s="123"/>
      <c r="AB1125" s="123"/>
      <c r="AC1125" s="123"/>
      <c r="AE1125" s="123"/>
    </row>
    <row r="1126" spans="1:31">
      <c r="A1126" s="123"/>
      <c r="B1126" s="123"/>
      <c r="C1126" s="123"/>
      <c r="D1126" s="123"/>
      <c r="E1126" s="123"/>
      <c r="G1126" s="123"/>
      <c r="I1126" s="123"/>
      <c r="M1126" s="123"/>
      <c r="N1126" s="123"/>
      <c r="O1126" s="123"/>
      <c r="Q1126" s="123"/>
      <c r="S1126" s="123"/>
      <c r="U1126" s="123"/>
      <c r="W1126" s="123"/>
      <c r="AA1126" s="123"/>
      <c r="AB1126" s="123"/>
      <c r="AC1126" s="123"/>
      <c r="AE1126" s="123"/>
    </row>
    <row r="1127" spans="1:31">
      <c r="A1127" s="123"/>
      <c r="B1127" s="123"/>
      <c r="C1127" s="123"/>
      <c r="D1127" s="123"/>
      <c r="E1127" s="123"/>
      <c r="G1127" s="123"/>
      <c r="I1127" s="123"/>
      <c r="M1127" s="123"/>
      <c r="N1127" s="123"/>
      <c r="O1127" s="123"/>
      <c r="Q1127" s="123"/>
      <c r="S1127" s="123"/>
      <c r="U1127" s="123"/>
      <c r="W1127" s="123"/>
      <c r="AA1127" s="123"/>
      <c r="AB1127" s="123"/>
      <c r="AC1127" s="123"/>
      <c r="AE1127" s="123"/>
    </row>
    <row r="1128" spans="1:31">
      <c r="A1128" s="123"/>
      <c r="B1128" s="123"/>
      <c r="C1128" s="123"/>
      <c r="D1128" s="123"/>
      <c r="E1128" s="123"/>
      <c r="G1128" s="123"/>
      <c r="I1128" s="123"/>
      <c r="M1128" s="123"/>
      <c r="N1128" s="123"/>
      <c r="O1128" s="123"/>
      <c r="Q1128" s="123"/>
      <c r="S1128" s="123"/>
      <c r="U1128" s="123"/>
      <c r="W1128" s="123"/>
      <c r="AA1128" s="123"/>
      <c r="AB1128" s="123"/>
      <c r="AC1128" s="123"/>
      <c r="AE1128" s="123"/>
    </row>
    <row r="1129" spans="1:31">
      <c r="A1129" s="123"/>
      <c r="B1129" s="123"/>
      <c r="C1129" s="123"/>
      <c r="D1129" s="123"/>
      <c r="E1129" s="123"/>
      <c r="G1129" s="123"/>
      <c r="I1129" s="123"/>
      <c r="M1129" s="123"/>
      <c r="N1129" s="123"/>
      <c r="O1129" s="123"/>
      <c r="Q1129" s="123"/>
      <c r="S1129" s="123"/>
      <c r="U1129" s="123"/>
      <c r="W1129" s="123"/>
      <c r="AA1129" s="123"/>
      <c r="AB1129" s="123"/>
      <c r="AC1129" s="123"/>
      <c r="AE1129" s="123"/>
    </row>
    <row r="1130" spans="1:31">
      <c r="A1130" s="123"/>
      <c r="B1130" s="123"/>
      <c r="C1130" s="123"/>
      <c r="D1130" s="123"/>
      <c r="E1130" s="123"/>
      <c r="G1130" s="123"/>
      <c r="I1130" s="123"/>
      <c r="M1130" s="123"/>
      <c r="N1130" s="123"/>
      <c r="O1130" s="123"/>
      <c r="Q1130" s="123"/>
      <c r="S1130" s="123"/>
      <c r="U1130" s="123"/>
      <c r="W1130" s="123"/>
      <c r="AA1130" s="123"/>
      <c r="AB1130" s="123"/>
      <c r="AC1130" s="123"/>
      <c r="AE1130" s="123"/>
    </row>
    <row r="1131" spans="1:31">
      <c r="A1131" s="123"/>
      <c r="B1131" s="123"/>
      <c r="C1131" s="123"/>
      <c r="D1131" s="123"/>
      <c r="E1131" s="123"/>
      <c r="G1131" s="123"/>
      <c r="I1131" s="123"/>
      <c r="M1131" s="123"/>
      <c r="N1131" s="123"/>
      <c r="O1131" s="123"/>
      <c r="Q1131" s="123"/>
      <c r="S1131" s="123"/>
      <c r="U1131" s="123"/>
      <c r="W1131" s="123"/>
      <c r="AA1131" s="123"/>
      <c r="AB1131" s="123"/>
      <c r="AC1131" s="123"/>
      <c r="AE1131" s="123"/>
    </row>
    <row r="1132" spans="1:31">
      <c r="A1132" s="123"/>
      <c r="B1132" s="123"/>
      <c r="C1132" s="123"/>
      <c r="D1132" s="123"/>
      <c r="E1132" s="123"/>
      <c r="G1132" s="123"/>
      <c r="I1132" s="123"/>
      <c r="M1132" s="123"/>
      <c r="N1132" s="123"/>
      <c r="O1132" s="123"/>
      <c r="Q1132" s="123"/>
      <c r="S1132" s="123"/>
      <c r="U1132" s="123"/>
      <c r="W1132" s="123"/>
      <c r="AA1132" s="123"/>
      <c r="AB1132" s="123"/>
      <c r="AC1132" s="123"/>
      <c r="AE1132" s="123"/>
    </row>
    <row r="1133" spans="1:31">
      <c r="A1133" s="123"/>
      <c r="B1133" s="123"/>
      <c r="C1133" s="123"/>
      <c r="D1133" s="123"/>
      <c r="E1133" s="123"/>
      <c r="G1133" s="123"/>
      <c r="I1133" s="123"/>
      <c r="M1133" s="123"/>
      <c r="N1133" s="123"/>
      <c r="O1133" s="123"/>
      <c r="Q1133" s="123"/>
      <c r="S1133" s="123"/>
      <c r="U1133" s="123"/>
      <c r="W1133" s="123"/>
      <c r="AA1133" s="123"/>
      <c r="AB1133" s="123"/>
      <c r="AC1133" s="123"/>
      <c r="AE1133" s="123"/>
    </row>
    <row r="1134" spans="1:31">
      <c r="A1134" s="123"/>
      <c r="B1134" s="123"/>
      <c r="C1134" s="123"/>
      <c r="D1134" s="123"/>
      <c r="E1134" s="123"/>
      <c r="G1134" s="123"/>
      <c r="I1134" s="123"/>
      <c r="M1134" s="123"/>
      <c r="N1134" s="123"/>
      <c r="O1134" s="123"/>
      <c r="Q1134" s="123"/>
      <c r="S1134" s="123"/>
      <c r="U1134" s="123"/>
      <c r="W1134" s="123"/>
      <c r="AA1134" s="123"/>
      <c r="AB1134" s="123"/>
      <c r="AC1134" s="123"/>
      <c r="AE1134" s="123"/>
    </row>
    <row r="1135" spans="1:31">
      <c r="A1135" s="123"/>
      <c r="B1135" s="123"/>
      <c r="C1135" s="123"/>
      <c r="D1135" s="123"/>
      <c r="E1135" s="123"/>
      <c r="G1135" s="123"/>
      <c r="I1135" s="123"/>
      <c r="M1135" s="123"/>
      <c r="N1135" s="123"/>
      <c r="O1135" s="123"/>
      <c r="Q1135" s="123"/>
      <c r="S1135" s="123"/>
      <c r="U1135" s="123"/>
      <c r="W1135" s="123"/>
      <c r="AA1135" s="123"/>
      <c r="AB1135" s="123"/>
      <c r="AC1135" s="123"/>
      <c r="AE1135" s="123"/>
    </row>
    <row r="1136" spans="1:31">
      <c r="A1136" s="123"/>
      <c r="B1136" s="123"/>
      <c r="C1136" s="123"/>
      <c r="D1136" s="123"/>
      <c r="E1136" s="123"/>
      <c r="G1136" s="123"/>
      <c r="I1136" s="123"/>
      <c r="M1136" s="123"/>
      <c r="N1136" s="123"/>
      <c r="O1136" s="123"/>
      <c r="Q1136" s="123"/>
      <c r="S1136" s="123"/>
      <c r="U1136" s="123"/>
      <c r="W1136" s="123"/>
      <c r="AA1136" s="123"/>
      <c r="AB1136" s="123"/>
      <c r="AC1136" s="123"/>
      <c r="AE1136" s="123"/>
    </row>
    <row r="1137" spans="1:31">
      <c r="A1137" s="123"/>
      <c r="B1137" s="123"/>
      <c r="C1137" s="123"/>
      <c r="D1137" s="123"/>
      <c r="E1137" s="123"/>
      <c r="G1137" s="123"/>
      <c r="I1137" s="123"/>
      <c r="M1137" s="123"/>
      <c r="N1137" s="123"/>
      <c r="O1137" s="123"/>
      <c r="Q1137" s="123"/>
      <c r="S1137" s="123"/>
      <c r="U1137" s="123"/>
      <c r="W1137" s="123"/>
      <c r="AA1137" s="123"/>
      <c r="AB1137" s="123"/>
      <c r="AC1137" s="123"/>
      <c r="AE1137" s="123"/>
    </row>
    <row r="1138" spans="1:31">
      <c r="A1138" s="123"/>
      <c r="B1138" s="123"/>
      <c r="C1138" s="123"/>
      <c r="D1138" s="123"/>
      <c r="E1138" s="123"/>
      <c r="G1138" s="123"/>
      <c r="I1138" s="123"/>
      <c r="M1138" s="123"/>
      <c r="N1138" s="123"/>
      <c r="O1138" s="123"/>
      <c r="Q1138" s="123"/>
      <c r="S1138" s="123"/>
      <c r="U1138" s="123"/>
      <c r="W1138" s="123"/>
      <c r="AA1138" s="123"/>
      <c r="AB1138" s="123"/>
      <c r="AC1138" s="123"/>
      <c r="AE1138" s="123"/>
    </row>
    <row r="1139" spans="1:31">
      <c r="A1139" s="123"/>
      <c r="B1139" s="123"/>
      <c r="C1139" s="123"/>
      <c r="D1139" s="123"/>
      <c r="E1139" s="123"/>
      <c r="G1139" s="123"/>
      <c r="I1139" s="123"/>
      <c r="M1139" s="123"/>
      <c r="N1139" s="123"/>
      <c r="O1139" s="123"/>
      <c r="Q1139" s="123"/>
      <c r="S1139" s="123"/>
      <c r="U1139" s="123"/>
      <c r="W1139" s="123"/>
      <c r="AA1139" s="123"/>
      <c r="AB1139" s="123"/>
      <c r="AC1139" s="123"/>
      <c r="AE1139" s="123"/>
    </row>
    <row r="1140" spans="1:31">
      <c r="A1140" s="123"/>
      <c r="B1140" s="123"/>
      <c r="C1140" s="123"/>
      <c r="D1140" s="123"/>
      <c r="E1140" s="123"/>
      <c r="G1140" s="123"/>
      <c r="I1140" s="123"/>
      <c r="M1140" s="123"/>
      <c r="N1140" s="123"/>
      <c r="O1140" s="123"/>
      <c r="Q1140" s="123"/>
      <c r="S1140" s="123"/>
      <c r="U1140" s="123"/>
      <c r="W1140" s="123"/>
      <c r="AA1140" s="123"/>
      <c r="AB1140" s="123"/>
      <c r="AC1140" s="123"/>
      <c r="AE1140" s="123"/>
    </row>
    <row r="1141" spans="1:31">
      <c r="A1141" s="123"/>
      <c r="B1141" s="123"/>
      <c r="C1141" s="123"/>
      <c r="D1141" s="123"/>
      <c r="E1141" s="123"/>
      <c r="G1141" s="123"/>
      <c r="I1141" s="123"/>
      <c r="M1141" s="123"/>
      <c r="N1141" s="123"/>
      <c r="O1141" s="123"/>
      <c r="Q1141" s="123"/>
      <c r="S1141" s="123"/>
      <c r="U1141" s="123"/>
      <c r="W1141" s="123"/>
      <c r="AA1141" s="123"/>
      <c r="AB1141" s="123"/>
      <c r="AC1141" s="123"/>
      <c r="AE1141" s="123"/>
    </row>
    <row r="1142" spans="1:31">
      <c r="A1142" s="123"/>
      <c r="B1142" s="123"/>
      <c r="C1142" s="123"/>
      <c r="D1142" s="123"/>
      <c r="E1142" s="123"/>
      <c r="G1142" s="123"/>
      <c r="I1142" s="123"/>
      <c r="M1142" s="123"/>
      <c r="N1142" s="123"/>
      <c r="O1142" s="123"/>
      <c r="Q1142" s="123"/>
      <c r="S1142" s="123"/>
      <c r="U1142" s="123"/>
      <c r="W1142" s="123"/>
      <c r="AA1142" s="123"/>
      <c r="AB1142" s="123"/>
      <c r="AC1142" s="123"/>
      <c r="AE1142" s="123"/>
    </row>
    <row r="1143" spans="1:31">
      <c r="A1143" s="123"/>
      <c r="B1143" s="123"/>
      <c r="C1143" s="123"/>
      <c r="D1143" s="123"/>
      <c r="E1143" s="123"/>
      <c r="G1143" s="123"/>
      <c r="I1143" s="123"/>
      <c r="M1143" s="123"/>
      <c r="N1143" s="123"/>
      <c r="O1143" s="123"/>
      <c r="Q1143" s="123"/>
      <c r="S1143" s="123"/>
      <c r="U1143" s="123"/>
      <c r="W1143" s="123"/>
      <c r="AA1143" s="123"/>
      <c r="AB1143" s="123"/>
      <c r="AC1143" s="123"/>
      <c r="AE1143" s="123"/>
    </row>
    <row r="1144" spans="1:31">
      <c r="A1144" s="123"/>
      <c r="B1144" s="123"/>
      <c r="C1144" s="123"/>
      <c r="D1144" s="123"/>
      <c r="E1144" s="123"/>
      <c r="G1144" s="123"/>
      <c r="I1144" s="123"/>
      <c r="M1144" s="123"/>
      <c r="N1144" s="123"/>
      <c r="O1144" s="123"/>
      <c r="Q1144" s="123"/>
      <c r="S1144" s="123"/>
      <c r="U1144" s="123"/>
      <c r="W1144" s="123"/>
      <c r="AA1144" s="123"/>
      <c r="AB1144" s="123"/>
      <c r="AC1144" s="123"/>
      <c r="AE1144" s="123"/>
    </row>
    <row r="1145" spans="1:31">
      <c r="A1145" s="123"/>
      <c r="B1145" s="123"/>
      <c r="C1145" s="123"/>
      <c r="D1145" s="123"/>
      <c r="E1145" s="123"/>
      <c r="G1145" s="123"/>
      <c r="I1145" s="123"/>
      <c r="M1145" s="123"/>
      <c r="N1145" s="123"/>
      <c r="O1145" s="123"/>
      <c r="Q1145" s="123"/>
      <c r="S1145" s="123"/>
      <c r="U1145" s="123"/>
      <c r="W1145" s="123"/>
      <c r="AA1145" s="123"/>
      <c r="AB1145" s="123"/>
      <c r="AC1145" s="123"/>
      <c r="AE1145" s="123"/>
    </row>
    <row r="1146" spans="1:31">
      <c r="A1146" s="123"/>
      <c r="B1146" s="123"/>
      <c r="C1146" s="123"/>
      <c r="D1146" s="123"/>
      <c r="E1146" s="123"/>
      <c r="G1146" s="123"/>
      <c r="I1146" s="123"/>
      <c r="M1146" s="123"/>
      <c r="N1146" s="123"/>
      <c r="O1146" s="123"/>
      <c r="Q1146" s="123"/>
      <c r="S1146" s="123"/>
      <c r="U1146" s="123"/>
      <c r="W1146" s="123"/>
      <c r="AA1146" s="123"/>
      <c r="AB1146" s="123"/>
      <c r="AC1146" s="123"/>
      <c r="AE1146" s="123"/>
    </row>
    <row r="1147" spans="1:31">
      <c r="A1147" s="123"/>
      <c r="B1147" s="123"/>
      <c r="C1147" s="123"/>
      <c r="D1147" s="123"/>
      <c r="E1147" s="123"/>
      <c r="G1147" s="123"/>
      <c r="I1147" s="123"/>
      <c r="M1147" s="123"/>
      <c r="N1147" s="123"/>
      <c r="O1147" s="123"/>
      <c r="Q1147" s="123"/>
      <c r="S1147" s="123"/>
      <c r="U1147" s="123"/>
      <c r="W1147" s="123"/>
      <c r="AA1147" s="123"/>
      <c r="AB1147" s="123"/>
      <c r="AC1147" s="123"/>
      <c r="AE1147" s="123"/>
    </row>
    <row r="1148" spans="1:31">
      <c r="A1148" s="123"/>
      <c r="B1148" s="123"/>
      <c r="C1148" s="123"/>
      <c r="D1148" s="123"/>
      <c r="E1148" s="123"/>
      <c r="G1148" s="123"/>
      <c r="I1148" s="123"/>
      <c r="M1148" s="123"/>
      <c r="N1148" s="123"/>
      <c r="O1148" s="123"/>
      <c r="Q1148" s="123"/>
      <c r="S1148" s="123"/>
      <c r="U1148" s="123"/>
      <c r="W1148" s="123"/>
      <c r="AA1148" s="123"/>
      <c r="AB1148" s="123"/>
      <c r="AC1148" s="123"/>
      <c r="AE1148" s="123"/>
    </row>
    <row r="1149" spans="1:31">
      <c r="A1149" s="123"/>
      <c r="B1149" s="123"/>
      <c r="C1149" s="123"/>
      <c r="D1149" s="123"/>
      <c r="E1149" s="123"/>
      <c r="G1149" s="123"/>
      <c r="I1149" s="123"/>
      <c r="M1149" s="123"/>
      <c r="N1149" s="123"/>
      <c r="O1149" s="123"/>
      <c r="Q1149" s="123"/>
      <c r="S1149" s="123"/>
      <c r="U1149" s="123"/>
      <c r="W1149" s="123"/>
      <c r="AA1149" s="123"/>
      <c r="AB1149" s="123"/>
      <c r="AC1149" s="123"/>
      <c r="AE1149" s="123"/>
    </row>
    <row r="1150" spans="1:31">
      <c r="A1150" s="123"/>
      <c r="B1150" s="123"/>
      <c r="C1150" s="123"/>
      <c r="D1150" s="123"/>
      <c r="E1150" s="123"/>
      <c r="G1150" s="123"/>
      <c r="I1150" s="123"/>
      <c r="M1150" s="123"/>
      <c r="N1150" s="123"/>
      <c r="O1150" s="123"/>
      <c r="Q1150" s="123"/>
      <c r="S1150" s="123"/>
      <c r="U1150" s="123"/>
      <c r="W1150" s="123"/>
      <c r="AA1150" s="123"/>
      <c r="AB1150" s="123"/>
      <c r="AC1150" s="123"/>
      <c r="AE1150" s="123"/>
    </row>
    <row r="1151" spans="1:31">
      <c r="A1151" s="123"/>
      <c r="B1151" s="123"/>
      <c r="C1151" s="123"/>
      <c r="D1151" s="123"/>
      <c r="E1151" s="123"/>
      <c r="G1151" s="123"/>
      <c r="I1151" s="123"/>
      <c r="M1151" s="123"/>
      <c r="N1151" s="123"/>
      <c r="O1151" s="123"/>
      <c r="Q1151" s="123"/>
      <c r="S1151" s="123"/>
      <c r="U1151" s="123"/>
      <c r="W1151" s="123"/>
      <c r="AA1151" s="123"/>
      <c r="AB1151" s="123"/>
      <c r="AC1151" s="123"/>
      <c r="AE1151" s="123"/>
    </row>
    <row r="1152" spans="1:31">
      <c r="A1152" s="123"/>
      <c r="B1152" s="123"/>
      <c r="C1152" s="123"/>
      <c r="D1152" s="123"/>
      <c r="E1152" s="123"/>
      <c r="G1152" s="123"/>
      <c r="I1152" s="123"/>
      <c r="M1152" s="123"/>
      <c r="N1152" s="123"/>
      <c r="O1152" s="123"/>
      <c r="Q1152" s="123"/>
      <c r="S1152" s="123"/>
      <c r="U1152" s="123"/>
      <c r="W1152" s="123"/>
      <c r="AA1152" s="123"/>
      <c r="AB1152" s="123"/>
      <c r="AC1152" s="123"/>
      <c r="AE1152" s="123"/>
    </row>
    <row r="1153" spans="1:31">
      <c r="A1153" s="123"/>
      <c r="B1153" s="123"/>
      <c r="C1153" s="123"/>
      <c r="D1153" s="123"/>
      <c r="E1153" s="123"/>
      <c r="G1153" s="123"/>
      <c r="I1153" s="123"/>
      <c r="M1153" s="123"/>
      <c r="N1153" s="123"/>
      <c r="O1153" s="123"/>
      <c r="Q1153" s="123"/>
      <c r="S1153" s="123"/>
      <c r="U1153" s="123"/>
      <c r="W1153" s="123"/>
      <c r="AA1153" s="123"/>
      <c r="AB1153" s="123"/>
      <c r="AC1153" s="123"/>
      <c r="AE1153" s="123"/>
    </row>
    <row r="1154" spans="1:31">
      <c r="A1154" s="123"/>
      <c r="B1154" s="123"/>
      <c r="C1154" s="123"/>
      <c r="D1154" s="123"/>
      <c r="E1154" s="123"/>
      <c r="G1154" s="123"/>
      <c r="I1154" s="123"/>
      <c r="M1154" s="123"/>
      <c r="N1154" s="123"/>
      <c r="O1154" s="123"/>
      <c r="Q1154" s="123"/>
      <c r="S1154" s="123"/>
      <c r="U1154" s="123"/>
      <c r="W1154" s="123"/>
      <c r="AA1154" s="123"/>
      <c r="AB1154" s="123"/>
      <c r="AC1154" s="123"/>
      <c r="AE1154" s="123"/>
    </row>
    <row r="1155" spans="1:31">
      <c r="A1155" s="123"/>
      <c r="B1155" s="123"/>
      <c r="C1155" s="123"/>
      <c r="D1155" s="123"/>
      <c r="E1155" s="123"/>
      <c r="G1155" s="123"/>
      <c r="I1155" s="123"/>
      <c r="M1155" s="123"/>
      <c r="N1155" s="123"/>
      <c r="O1155" s="123"/>
      <c r="Q1155" s="123"/>
      <c r="S1155" s="123"/>
      <c r="U1155" s="123"/>
      <c r="W1155" s="123"/>
      <c r="AA1155" s="123"/>
      <c r="AB1155" s="123"/>
      <c r="AC1155" s="123"/>
      <c r="AE1155" s="123"/>
    </row>
    <row r="1156" spans="1:31">
      <c r="A1156" s="123"/>
      <c r="B1156" s="123"/>
      <c r="C1156" s="123"/>
      <c r="D1156" s="123"/>
      <c r="E1156" s="123"/>
      <c r="G1156" s="123"/>
      <c r="I1156" s="123"/>
      <c r="M1156" s="123"/>
      <c r="N1156" s="123"/>
      <c r="O1156" s="123"/>
      <c r="Q1156" s="123"/>
      <c r="S1156" s="123"/>
      <c r="U1156" s="123"/>
      <c r="W1156" s="123"/>
      <c r="AA1156" s="123"/>
      <c r="AB1156" s="123"/>
      <c r="AC1156" s="123"/>
      <c r="AE1156" s="123"/>
    </row>
    <row r="1157" spans="1:31">
      <c r="A1157" s="123"/>
      <c r="B1157" s="123"/>
      <c r="C1157" s="123"/>
      <c r="D1157" s="123"/>
      <c r="E1157" s="123"/>
      <c r="G1157" s="123"/>
      <c r="I1157" s="123"/>
      <c r="M1157" s="123"/>
      <c r="N1157" s="123"/>
      <c r="O1157" s="123"/>
      <c r="Q1157" s="123"/>
      <c r="S1157" s="123"/>
      <c r="U1157" s="123"/>
      <c r="W1157" s="123"/>
      <c r="AA1157" s="123"/>
      <c r="AB1157" s="123"/>
      <c r="AC1157" s="123"/>
      <c r="AE1157" s="123"/>
    </row>
    <row r="1158" spans="1:31">
      <c r="A1158" s="123"/>
      <c r="B1158" s="123"/>
      <c r="C1158" s="123"/>
      <c r="D1158" s="123"/>
      <c r="E1158" s="123"/>
      <c r="G1158" s="123"/>
      <c r="I1158" s="123"/>
      <c r="M1158" s="123"/>
      <c r="N1158" s="123"/>
      <c r="O1158" s="123"/>
      <c r="Q1158" s="123"/>
      <c r="S1158" s="123"/>
      <c r="U1158" s="123"/>
      <c r="W1158" s="123"/>
      <c r="AA1158" s="123"/>
      <c r="AB1158" s="123"/>
      <c r="AC1158" s="123"/>
      <c r="AE1158" s="123"/>
    </row>
    <row r="1159" spans="1:31">
      <c r="A1159" s="123"/>
      <c r="B1159" s="123"/>
      <c r="C1159" s="123"/>
      <c r="D1159" s="123"/>
      <c r="E1159" s="123"/>
      <c r="G1159" s="123"/>
      <c r="I1159" s="123"/>
      <c r="M1159" s="123"/>
      <c r="N1159" s="123"/>
      <c r="O1159" s="123"/>
      <c r="Q1159" s="123"/>
      <c r="S1159" s="123"/>
      <c r="U1159" s="123"/>
      <c r="W1159" s="123"/>
      <c r="AA1159" s="123"/>
      <c r="AB1159" s="123"/>
      <c r="AC1159" s="123"/>
      <c r="AE1159" s="123"/>
    </row>
    <row r="1160" spans="1:31">
      <c r="A1160" s="123"/>
      <c r="B1160" s="123"/>
      <c r="C1160" s="123"/>
      <c r="D1160" s="123"/>
      <c r="E1160" s="123"/>
      <c r="G1160" s="123"/>
      <c r="I1160" s="123"/>
      <c r="M1160" s="123"/>
      <c r="N1160" s="123"/>
      <c r="O1160" s="123"/>
      <c r="Q1160" s="123"/>
      <c r="S1160" s="123"/>
      <c r="U1160" s="123"/>
      <c r="W1160" s="123"/>
      <c r="AA1160" s="123"/>
      <c r="AB1160" s="123"/>
      <c r="AC1160" s="123"/>
      <c r="AE1160" s="123"/>
    </row>
    <row r="1161" spans="1:31">
      <c r="A1161" s="123"/>
      <c r="B1161" s="123"/>
      <c r="C1161" s="123"/>
      <c r="D1161" s="123"/>
      <c r="E1161" s="123"/>
      <c r="G1161" s="123"/>
      <c r="I1161" s="123"/>
      <c r="M1161" s="123"/>
      <c r="N1161" s="123"/>
      <c r="O1161" s="123"/>
      <c r="Q1161" s="123"/>
      <c r="S1161" s="123"/>
      <c r="U1161" s="123"/>
      <c r="W1161" s="123"/>
      <c r="AA1161" s="123"/>
      <c r="AB1161" s="123"/>
      <c r="AC1161" s="123"/>
      <c r="AE1161" s="123"/>
    </row>
    <row r="1162" spans="1:31">
      <c r="A1162" s="123"/>
      <c r="B1162" s="123"/>
      <c r="C1162" s="123"/>
      <c r="D1162" s="123"/>
      <c r="E1162" s="123"/>
      <c r="G1162" s="123"/>
      <c r="I1162" s="123"/>
      <c r="M1162" s="123"/>
      <c r="N1162" s="123"/>
      <c r="O1162" s="123"/>
      <c r="Q1162" s="123"/>
      <c r="S1162" s="123"/>
      <c r="U1162" s="123"/>
      <c r="W1162" s="123"/>
      <c r="AA1162" s="123"/>
      <c r="AB1162" s="123"/>
      <c r="AC1162" s="123"/>
      <c r="AE1162" s="123"/>
    </row>
    <row r="1163" spans="1:31">
      <c r="A1163" s="123"/>
      <c r="B1163" s="123"/>
      <c r="C1163" s="123"/>
      <c r="D1163" s="123"/>
      <c r="E1163" s="123"/>
      <c r="G1163" s="123"/>
      <c r="I1163" s="123"/>
      <c r="M1163" s="123"/>
      <c r="N1163" s="123"/>
      <c r="O1163" s="123"/>
      <c r="Q1163" s="123"/>
      <c r="S1163" s="123"/>
      <c r="U1163" s="123"/>
      <c r="W1163" s="123"/>
      <c r="AA1163" s="123"/>
      <c r="AB1163" s="123"/>
      <c r="AC1163" s="123"/>
      <c r="AE1163" s="123"/>
    </row>
    <row r="1164" spans="1:31">
      <c r="A1164" s="123"/>
      <c r="B1164" s="123"/>
      <c r="C1164" s="123"/>
      <c r="D1164" s="123"/>
      <c r="E1164" s="123"/>
      <c r="G1164" s="123"/>
      <c r="I1164" s="123"/>
      <c r="M1164" s="123"/>
      <c r="N1164" s="123"/>
      <c r="O1164" s="123"/>
      <c r="Q1164" s="123"/>
      <c r="S1164" s="123"/>
      <c r="U1164" s="123"/>
      <c r="W1164" s="123"/>
      <c r="AA1164" s="123"/>
      <c r="AB1164" s="123"/>
      <c r="AC1164" s="123"/>
      <c r="AE1164" s="123"/>
    </row>
    <row r="1165" spans="1:31">
      <c r="A1165" s="123"/>
      <c r="B1165" s="123"/>
      <c r="C1165" s="123"/>
      <c r="D1165" s="123"/>
      <c r="E1165" s="123"/>
      <c r="G1165" s="123"/>
      <c r="I1165" s="123"/>
      <c r="M1165" s="123"/>
      <c r="N1165" s="123"/>
      <c r="O1165" s="123"/>
      <c r="Q1165" s="123"/>
      <c r="S1165" s="123"/>
      <c r="U1165" s="123"/>
      <c r="W1165" s="123"/>
      <c r="AA1165" s="123"/>
      <c r="AB1165" s="123"/>
      <c r="AC1165" s="123"/>
      <c r="AE1165" s="123"/>
    </row>
    <row r="1166" spans="1:31">
      <c r="A1166" s="123"/>
      <c r="B1166" s="123"/>
      <c r="C1166" s="123"/>
      <c r="D1166" s="123"/>
      <c r="E1166" s="123"/>
      <c r="G1166" s="123"/>
      <c r="I1166" s="123"/>
      <c r="M1166" s="123"/>
      <c r="N1166" s="123"/>
      <c r="O1166" s="123"/>
      <c r="Q1166" s="123"/>
      <c r="S1166" s="123"/>
      <c r="U1166" s="123"/>
      <c r="W1166" s="123"/>
      <c r="AA1166" s="123"/>
      <c r="AB1166" s="123"/>
      <c r="AC1166" s="123"/>
      <c r="AE1166" s="123"/>
    </row>
    <row r="1167" spans="1:31">
      <c r="A1167" s="123"/>
      <c r="B1167" s="123"/>
      <c r="C1167" s="123"/>
      <c r="D1167" s="123"/>
      <c r="E1167" s="123"/>
      <c r="G1167" s="123"/>
      <c r="I1167" s="123"/>
      <c r="M1167" s="123"/>
      <c r="N1167" s="123"/>
      <c r="O1167" s="123"/>
      <c r="Q1167" s="123"/>
      <c r="S1167" s="123"/>
      <c r="U1167" s="123"/>
      <c r="W1167" s="123"/>
      <c r="AA1167" s="123"/>
      <c r="AB1167" s="123"/>
      <c r="AC1167" s="123"/>
      <c r="AE1167" s="123"/>
    </row>
    <row r="1168" spans="1:31">
      <c r="A1168" s="123"/>
      <c r="B1168" s="123"/>
      <c r="C1168" s="123"/>
      <c r="D1168" s="123"/>
      <c r="E1168" s="123"/>
      <c r="G1168" s="123"/>
      <c r="I1168" s="123"/>
      <c r="M1168" s="123"/>
      <c r="N1168" s="123"/>
      <c r="O1168" s="123"/>
      <c r="Q1168" s="123"/>
      <c r="S1168" s="123"/>
      <c r="U1168" s="123"/>
      <c r="W1168" s="123"/>
      <c r="AA1168" s="123"/>
      <c r="AB1168" s="123"/>
      <c r="AC1168" s="123"/>
      <c r="AE1168" s="123"/>
    </row>
    <row r="1169" spans="1:31">
      <c r="A1169" s="123"/>
      <c r="B1169" s="123"/>
      <c r="C1169" s="123"/>
      <c r="D1169" s="123"/>
      <c r="E1169" s="123"/>
      <c r="G1169" s="123"/>
      <c r="I1169" s="123"/>
      <c r="M1169" s="123"/>
      <c r="N1169" s="123"/>
      <c r="O1169" s="123"/>
      <c r="Q1169" s="123"/>
      <c r="S1169" s="123"/>
      <c r="U1169" s="123"/>
      <c r="W1169" s="123"/>
      <c r="AA1169" s="123"/>
      <c r="AB1169" s="123"/>
      <c r="AC1169" s="123"/>
      <c r="AE1169" s="123"/>
    </row>
    <row r="1170" spans="1:31">
      <c r="A1170" s="123"/>
      <c r="B1170" s="123"/>
      <c r="C1170" s="123"/>
      <c r="D1170" s="123"/>
      <c r="E1170" s="123"/>
      <c r="G1170" s="123"/>
      <c r="I1170" s="123"/>
      <c r="M1170" s="123"/>
      <c r="N1170" s="123"/>
      <c r="O1170" s="123"/>
      <c r="Q1170" s="123"/>
      <c r="S1170" s="123"/>
      <c r="U1170" s="123"/>
      <c r="W1170" s="123"/>
      <c r="AA1170" s="123"/>
      <c r="AB1170" s="123"/>
      <c r="AC1170" s="123"/>
      <c r="AE1170" s="123"/>
    </row>
    <row r="1171" spans="1:31">
      <c r="A1171" s="123"/>
      <c r="B1171" s="123"/>
      <c r="C1171" s="123"/>
      <c r="D1171" s="123"/>
      <c r="E1171" s="123"/>
      <c r="G1171" s="123"/>
      <c r="I1171" s="123"/>
      <c r="M1171" s="123"/>
      <c r="N1171" s="123"/>
      <c r="O1171" s="123"/>
      <c r="Q1171" s="123"/>
      <c r="S1171" s="123"/>
      <c r="U1171" s="123"/>
      <c r="W1171" s="123"/>
      <c r="AA1171" s="123"/>
      <c r="AB1171" s="123"/>
      <c r="AC1171" s="123"/>
      <c r="AE1171" s="123"/>
    </row>
    <row r="1172" spans="1:31">
      <c r="A1172" s="123"/>
      <c r="B1172" s="123"/>
      <c r="C1172" s="123"/>
      <c r="D1172" s="123"/>
      <c r="E1172" s="123"/>
      <c r="G1172" s="123"/>
      <c r="I1172" s="123"/>
      <c r="M1172" s="123"/>
      <c r="N1172" s="123"/>
      <c r="O1172" s="123"/>
      <c r="Q1172" s="123"/>
      <c r="S1172" s="123"/>
      <c r="U1172" s="123"/>
      <c r="W1172" s="123"/>
      <c r="AA1172" s="123"/>
      <c r="AB1172" s="123"/>
      <c r="AC1172" s="123"/>
      <c r="AE1172" s="123"/>
    </row>
    <row r="1173" spans="1:31">
      <c r="A1173" s="123"/>
      <c r="B1173" s="123"/>
      <c r="C1173" s="123"/>
      <c r="D1173" s="123"/>
      <c r="E1173" s="123"/>
      <c r="G1173" s="123"/>
      <c r="I1173" s="123"/>
      <c r="M1173" s="123"/>
      <c r="N1173" s="123"/>
      <c r="O1173" s="123"/>
      <c r="Q1173" s="123"/>
      <c r="S1173" s="123"/>
      <c r="U1173" s="123"/>
      <c r="W1173" s="123"/>
      <c r="AA1173" s="123"/>
      <c r="AB1173" s="123"/>
      <c r="AC1173" s="123"/>
      <c r="AE1173" s="123"/>
    </row>
    <row r="1174" spans="1:31">
      <c r="A1174" s="123"/>
      <c r="B1174" s="123"/>
      <c r="C1174" s="123"/>
      <c r="D1174" s="123"/>
      <c r="E1174" s="123"/>
      <c r="G1174" s="123"/>
      <c r="I1174" s="123"/>
      <c r="M1174" s="123"/>
      <c r="N1174" s="123"/>
      <c r="O1174" s="123"/>
      <c r="Q1174" s="123"/>
      <c r="S1174" s="123"/>
      <c r="U1174" s="123"/>
      <c r="W1174" s="123"/>
      <c r="AA1174" s="123"/>
      <c r="AB1174" s="123"/>
      <c r="AC1174" s="123"/>
      <c r="AE1174" s="123"/>
    </row>
    <row r="1175" spans="1:31">
      <c r="A1175" s="123"/>
      <c r="B1175" s="123"/>
      <c r="C1175" s="123"/>
      <c r="D1175" s="123"/>
      <c r="E1175" s="123"/>
      <c r="G1175" s="123"/>
      <c r="I1175" s="123"/>
      <c r="M1175" s="123"/>
      <c r="N1175" s="123"/>
      <c r="O1175" s="123"/>
      <c r="Q1175" s="123"/>
      <c r="S1175" s="123"/>
      <c r="U1175" s="123"/>
      <c r="W1175" s="123"/>
      <c r="AA1175" s="123"/>
      <c r="AB1175" s="123"/>
      <c r="AC1175" s="123"/>
      <c r="AE1175" s="123"/>
    </row>
    <row r="1176" spans="1:31">
      <c r="A1176" s="123"/>
      <c r="B1176" s="123"/>
      <c r="C1176" s="123"/>
      <c r="D1176" s="123"/>
      <c r="E1176" s="123"/>
      <c r="G1176" s="123"/>
      <c r="I1176" s="123"/>
      <c r="M1176" s="123"/>
      <c r="N1176" s="123"/>
      <c r="O1176" s="123"/>
      <c r="Q1176" s="123"/>
      <c r="S1176" s="123"/>
      <c r="U1176" s="123"/>
      <c r="W1176" s="123"/>
      <c r="AA1176" s="123"/>
      <c r="AB1176" s="123"/>
      <c r="AC1176" s="123"/>
      <c r="AE1176" s="123"/>
    </row>
    <row r="1177" spans="1:31">
      <c r="A1177" s="123"/>
      <c r="B1177" s="123"/>
      <c r="C1177" s="123"/>
      <c r="D1177" s="123"/>
      <c r="E1177" s="123"/>
      <c r="G1177" s="123"/>
      <c r="I1177" s="123"/>
      <c r="M1177" s="123"/>
      <c r="N1177" s="123"/>
      <c r="O1177" s="123"/>
      <c r="Q1177" s="123"/>
      <c r="S1177" s="123"/>
      <c r="U1177" s="123"/>
      <c r="W1177" s="123"/>
      <c r="AA1177" s="123"/>
      <c r="AB1177" s="123"/>
      <c r="AC1177" s="123"/>
      <c r="AE1177" s="123"/>
    </row>
    <row r="1178" spans="1:31">
      <c r="A1178" s="123"/>
      <c r="B1178" s="123"/>
      <c r="C1178" s="123"/>
      <c r="D1178" s="123"/>
      <c r="E1178" s="123"/>
      <c r="G1178" s="123"/>
      <c r="I1178" s="123"/>
      <c r="M1178" s="123"/>
      <c r="N1178" s="123"/>
      <c r="O1178" s="123"/>
      <c r="Q1178" s="123"/>
      <c r="S1178" s="123"/>
      <c r="U1178" s="123"/>
      <c r="W1178" s="123"/>
      <c r="AA1178" s="123"/>
      <c r="AB1178" s="123"/>
      <c r="AC1178" s="123"/>
      <c r="AE1178" s="123"/>
    </row>
    <row r="1179" spans="1:31">
      <c r="A1179" s="123"/>
      <c r="B1179" s="123"/>
      <c r="C1179" s="123"/>
      <c r="D1179" s="123"/>
      <c r="E1179" s="123"/>
      <c r="G1179" s="123"/>
      <c r="I1179" s="123"/>
      <c r="M1179" s="123"/>
      <c r="N1179" s="123"/>
      <c r="O1179" s="123"/>
      <c r="Q1179" s="123"/>
      <c r="S1179" s="123"/>
      <c r="U1179" s="123"/>
      <c r="W1179" s="123"/>
      <c r="AA1179" s="123"/>
      <c r="AB1179" s="123"/>
      <c r="AC1179" s="123"/>
      <c r="AE1179" s="123"/>
    </row>
    <row r="1180" spans="1:31">
      <c r="A1180" s="123"/>
      <c r="B1180" s="123"/>
      <c r="C1180" s="123"/>
      <c r="D1180" s="123"/>
      <c r="E1180" s="123"/>
      <c r="G1180" s="123"/>
      <c r="I1180" s="123"/>
      <c r="M1180" s="123"/>
      <c r="N1180" s="123"/>
      <c r="O1180" s="123"/>
      <c r="Q1180" s="123"/>
      <c r="S1180" s="123"/>
      <c r="U1180" s="123"/>
      <c r="W1180" s="123"/>
      <c r="AA1180" s="123"/>
      <c r="AB1180" s="123"/>
      <c r="AC1180" s="123"/>
      <c r="AE1180" s="123"/>
    </row>
    <row r="1181" spans="1:31">
      <c r="A1181" s="123"/>
      <c r="B1181" s="123"/>
      <c r="C1181" s="123"/>
      <c r="D1181" s="123"/>
      <c r="E1181" s="123"/>
      <c r="G1181" s="123"/>
      <c r="I1181" s="123"/>
      <c r="M1181" s="123"/>
      <c r="N1181" s="123"/>
      <c r="O1181" s="123"/>
      <c r="Q1181" s="123"/>
      <c r="S1181" s="123"/>
      <c r="U1181" s="123"/>
      <c r="W1181" s="123"/>
      <c r="AA1181" s="123"/>
      <c r="AB1181" s="123"/>
      <c r="AC1181" s="123"/>
      <c r="AE1181" s="123"/>
    </row>
    <row r="1182" spans="1:31">
      <c r="A1182" s="123"/>
      <c r="B1182" s="123"/>
      <c r="C1182" s="123"/>
      <c r="D1182" s="123"/>
      <c r="E1182" s="123"/>
      <c r="G1182" s="123"/>
      <c r="I1182" s="123"/>
      <c r="M1182" s="123"/>
      <c r="N1182" s="123"/>
      <c r="O1182" s="123"/>
      <c r="Q1182" s="123"/>
      <c r="S1182" s="123"/>
      <c r="U1182" s="123"/>
      <c r="W1182" s="123"/>
      <c r="AA1182" s="123"/>
      <c r="AB1182" s="123"/>
      <c r="AC1182" s="123"/>
      <c r="AE1182" s="123"/>
    </row>
    <row r="1183" spans="1:31">
      <c r="A1183" s="123"/>
      <c r="B1183" s="123"/>
      <c r="C1183" s="123"/>
      <c r="D1183" s="123"/>
      <c r="E1183" s="123"/>
      <c r="G1183" s="123"/>
      <c r="I1183" s="123"/>
      <c r="M1183" s="123"/>
      <c r="N1183" s="123"/>
      <c r="O1183" s="123"/>
      <c r="Q1183" s="123"/>
      <c r="S1183" s="123"/>
      <c r="U1183" s="123"/>
      <c r="W1183" s="123"/>
      <c r="AA1183" s="123"/>
      <c r="AB1183" s="123"/>
      <c r="AC1183" s="123"/>
      <c r="AE1183" s="123"/>
    </row>
    <row r="1184" spans="1:31">
      <c r="A1184" s="123"/>
      <c r="B1184" s="123"/>
      <c r="C1184" s="123"/>
      <c r="D1184" s="123"/>
      <c r="E1184" s="123"/>
      <c r="G1184" s="123"/>
      <c r="I1184" s="123"/>
      <c r="M1184" s="123"/>
      <c r="N1184" s="123"/>
      <c r="O1184" s="123"/>
      <c r="Q1184" s="123"/>
      <c r="S1184" s="123"/>
      <c r="U1184" s="123"/>
      <c r="W1184" s="123"/>
      <c r="AA1184" s="123"/>
      <c r="AB1184" s="123"/>
      <c r="AC1184" s="123"/>
      <c r="AE1184" s="123"/>
    </row>
    <row r="1185" spans="1:31">
      <c r="A1185" s="123"/>
      <c r="B1185" s="123"/>
      <c r="C1185" s="123"/>
      <c r="D1185" s="123"/>
      <c r="E1185" s="123"/>
      <c r="G1185" s="123"/>
      <c r="I1185" s="123"/>
      <c r="M1185" s="123"/>
      <c r="N1185" s="123"/>
      <c r="O1185" s="123"/>
      <c r="Q1185" s="123"/>
      <c r="S1185" s="123"/>
      <c r="U1185" s="123"/>
      <c r="W1185" s="123"/>
      <c r="AA1185" s="123"/>
      <c r="AB1185" s="123"/>
      <c r="AC1185" s="123"/>
      <c r="AE1185" s="123"/>
    </row>
    <row r="1186" spans="1:31">
      <c r="A1186" s="123"/>
      <c r="B1186" s="123"/>
      <c r="C1186" s="123"/>
      <c r="D1186" s="123"/>
      <c r="E1186" s="123"/>
      <c r="G1186" s="123"/>
      <c r="I1186" s="123"/>
      <c r="M1186" s="123"/>
      <c r="N1186" s="123"/>
      <c r="O1186" s="123"/>
      <c r="Q1186" s="123"/>
      <c r="S1186" s="123"/>
      <c r="U1186" s="123"/>
      <c r="W1186" s="123"/>
      <c r="AA1186" s="123"/>
      <c r="AB1186" s="123"/>
      <c r="AC1186" s="123"/>
      <c r="AE1186" s="123"/>
    </row>
    <row r="1187" spans="1:31">
      <c r="A1187" s="123"/>
      <c r="B1187" s="123"/>
      <c r="C1187" s="123"/>
      <c r="D1187" s="123"/>
      <c r="E1187" s="123"/>
      <c r="G1187" s="123"/>
      <c r="I1187" s="123"/>
      <c r="M1187" s="123"/>
      <c r="N1187" s="123"/>
      <c r="O1187" s="123"/>
      <c r="Q1187" s="123"/>
      <c r="S1187" s="123"/>
      <c r="U1187" s="123"/>
      <c r="W1187" s="123"/>
      <c r="AA1187" s="123"/>
      <c r="AB1187" s="123"/>
      <c r="AC1187" s="123"/>
      <c r="AE1187" s="123"/>
    </row>
    <row r="1188" spans="1:31">
      <c r="A1188" s="123"/>
      <c r="B1188" s="123"/>
      <c r="C1188" s="123"/>
      <c r="D1188" s="123"/>
      <c r="E1188" s="123"/>
      <c r="G1188" s="123"/>
      <c r="I1188" s="123"/>
      <c r="M1188" s="123"/>
      <c r="N1188" s="123"/>
      <c r="O1188" s="123"/>
      <c r="Q1188" s="123"/>
      <c r="S1188" s="123"/>
      <c r="U1188" s="123"/>
      <c r="W1188" s="123"/>
      <c r="AA1188" s="123"/>
      <c r="AB1188" s="123"/>
      <c r="AC1188" s="123"/>
      <c r="AE1188" s="123"/>
    </row>
    <row r="1189" spans="1:31">
      <c r="A1189" s="123"/>
      <c r="B1189" s="123"/>
      <c r="C1189" s="123"/>
      <c r="D1189" s="123"/>
      <c r="E1189" s="123"/>
      <c r="G1189" s="123"/>
      <c r="I1189" s="123"/>
      <c r="M1189" s="123"/>
      <c r="N1189" s="123"/>
      <c r="O1189" s="123"/>
      <c r="Q1189" s="123"/>
      <c r="S1189" s="123"/>
      <c r="U1189" s="123"/>
      <c r="W1189" s="123"/>
      <c r="AA1189" s="123"/>
      <c r="AB1189" s="123"/>
      <c r="AC1189" s="123"/>
      <c r="AE1189" s="123"/>
    </row>
    <row r="1190" spans="1:31">
      <c r="A1190" s="123"/>
      <c r="B1190" s="123"/>
      <c r="C1190" s="123"/>
      <c r="D1190" s="123"/>
      <c r="E1190" s="123"/>
      <c r="G1190" s="123"/>
      <c r="I1190" s="123"/>
      <c r="M1190" s="123"/>
      <c r="N1190" s="123"/>
      <c r="O1190" s="123"/>
      <c r="Q1190" s="123"/>
      <c r="S1190" s="123"/>
      <c r="U1190" s="123"/>
      <c r="W1190" s="123"/>
      <c r="AA1190" s="123"/>
      <c r="AB1190" s="123"/>
      <c r="AC1190" s="123"/>
      <c r="AE1190" s="123"/>
    </row>
    <row r="1191" spans="1:31">
      <c r="A1191" s="123"/>
      <c r="B1191" s="123"/>
      <c r="C1191" s="123"/>
      <c r="D1191" s="123"/>
      <c r="E1191" s="123"/>
      <c r="G1191" s="123"/>
      <c r="I1191" s="123"/>
      <c r="M1191" s="123"/>
      <c r="N1191" s="123"/>
      <c r="O1191" s="123"/>
      <c r="Q1191" s="123"/>
      <c r="S1191" s="123"/>
      <c r="U1191" s="123"/>
      <c r="W1191" s="123"/>
      <c r="AA1191" s="123"/>
      <c r="AB1191" s="123"/>
      <c r="AC1191" s="123"/>
      <c r="AE1191" s="123"/>
    </row>
  </sheetData>
  <sortState ref="A7:AG46">
    <sortCondition ref="A7:A46"/>
    <sortCondition ref="E7:E46"/>
    <sortCondition ref="B7:B46"/>
  </sortState>
  <mergeCells count="1">
    <mergeCell ref="H4:I4"/>
  </mergeCell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W725"/>
  <sheetViews>
    <sheetView workbookViewId="0">
      <selection activeCell="C6" sqref="C6"/>
    </sheetView>
  </sheetViews>
  <sheetFormatPr defaultRowHeight="15"/>
  <cols>
    <col min="1" max="1" width="6" style="289" customWidth="1"/>
    <col min="2" max="2" width="21.7109375" style="289" customWidth="1"/>
    <col min="3" max="3" width="12.85546875" style="289" customWidth="1"/>
    <col min="4" max="9" width="12.85546875" style="290" customWidth="1"/>
    <col min="10" max="10" width="16" style="290" customWidth="1"/>
    <col min="11" max="14" width="11.140625" style="290" customWidth="1"/>
    <col min="15" max="15" width="14.28515625" style="290" customWidth="1"/>
    <col min="16" max="17" width="11.28515625" style="290" customWidth="1"/>
    <col min="18" max="18" width="14.5703125" style="290" customWidth="1"/>
    <col min="19" max="21" width="11.42578125" style="290" customWidth="1"/>
    <col min="22" max="16384" width="9.140625" style="289"/>
  </cols>
  <sheetData>
    <row r="2" spans="1:22">
      <c r="D2" s="290" t="s">
        <v>320</v>
      </c>
    </row>
    <row r="3" spans="1:22">
      <c r="A3" s="291"/>
      <c r="B3" s="292"/>
      <c r="C3" s="291" t="s">
        <v>760</v>
      </c>
      <c r="D3" s="293" t="s">
        <v>31</v>
      </c>
      <c r="E3" s="293"/>
      <c r="F3" s="294"/>
      <c r="G3" s="294"/>
      <c r="H3" s="294"/>
      <c r="I3" s="294"/>
      <c r="J3" s="294"/>
      <c r="K3" s="294"/>
      <c r="L3" s="294"/>
      <c r="M3" s="294"/>
      <c r="N3" s="294"/>
      <c r="O3" s="294"/>
      <c r="P3" s="294"/>
      <c r="Q3" s="294"/>
      <c r="R3" s="294"/>
      <c r="S3" s="295"/>
      <c r="T3" s="295"/>
      <c r="U3" s="294"/>
      <c r="V3" s="316"/>
    </row>
    <row r="4" spans="1:22">
      <c r="A4" s="296"/>
      <c r="B4" s="297"/>
      <c r="C4" s="296" t="s">
        <v>761</v>
      </c>
      <c r="D4" s="298"/>
      <c r="E4" s="297"/>
      <c r="F4" s="297"/>
      <c r="G4" s="297"/>
      <c r="H4" s="297"/>
      <c r="I4" s="297"/>
      <c r="J4" s="291" t="s">
        <v>762</v>
      </c>
      <c r="K4" s="299" t="s">
        <v>763</v>
      </c>
      <c r="L4" s="298"/>
      <c r="M4" s="297"/>
      <c r="N4" s="297"/>
      <c r="O4" s="291" t="s">
        <v>764</v>
      </c>
      <c r="P4" s="291" t="s">
        <v>765</v>
      </c>
      <c r="Q4" s="292"/>
      <c r="R4" s="291" t="s">
        <v>766</v>
      </c>
      <c r="S4" s="300" t="s">
        <v>767</v>
      </c>
      <c r="T4" s="300"/>
      <c r="U4" s="301"/>
      <c r="V4" s="316"/>
    </row>
    <row r="5" spans="1:22">
      <c r="A5" s="291" t="s">
        <v>24</v>
      </c>
      <c r="B5" s="291" t="s">
        <v>768</v>
      </c>
      <c r="C5" s="291">
        <v>1</v>
      </c>
      <c r="D5" s="302">
        <v>2</v>
      </c>
      <c r="E5" s="302">
        <v>3</v>
      </c>
      <c r="F5" s="302">
        <v>4</v>
      </c>
      <c r="G5" s="302">
        <v>5</v>
      </c>
      <c r="H5" s="302">
        <v>6</v>
      </c>
      <c r="I5" s="302">
        <v>15</v>
      </c>
      <c r="J5" s="303"/>
      <c r="K5" s="304">
        <v>7</v>
      </c>
      <c r="L5" s="302">
        <v>8</v>
      </c>
      <c r="M5" s="302">
        <v>9</v>
      </c>
      <c r="N5" s="302">
        <v>10</v>
      </c>
      <c r="O5" s="303"/>
      <c r="P5" s="340">
        <v>12</v>
      </c>
      <c r="Q5" s="290">
        <v>13</v>
      </c>
      <c r="R5" s="303"/>
      <c r="S5" s="305"/>
      <c r="T5" s="305"/>
      <c r="U5" s="306"/>
      <c r="V5" s="316"/>
    </row>
    <row r="6" spans="1:22">
      <c r="A6" s="307" t="s">
        <v>60</v>
      </c>
      <c r="B6" s="291" t="s">
        <v>769</v>
      </c>
      <c r="C6" s="308">
        <v>0.93555745868708384</v>
      </c>
      <c r="D6" s="309">
        <v>0.85923185555909354</v>
      </c>
      <c r="E6" s="309">
        <v>0.83909413866896443</v>
      </c>
      <c r="F6" s="309">
        <v>0.85203369821850183</v>
      </c>
      <c r="G6" s="309">
        <v>0.94861264467339756</v>
      </c>
      <c r="H6" s="309">
        <v>0.23614234506821496</v>
      </c>
      <c r="I6" s="309">
        <v>1</v>
      </c>
      <c r="J6" s="310">
        <v>0.87655015386612301</v>
      </c>
      <c r="K6" s="310">
        <v>0</v>
      </c>
      <c r="L6" s="309">
        <v>0.66657442660862132</v>
      </c>
      <c r="M6" s="309">
        <v>0.68067658632861028</v>
      </c>
      <c r="N6" s="309">
        <v>0.65961704032785751</v>
      </c>
      <c r="O6" s="310">
        <v>0.67428353278534725</v>
      </c>
      <c r="P6" s="310">
        <v>0.85871127205840092</v>
      </c>
      <c r="Q6" s="309">
        <v>0.88958180484225968</v>
      </c>
      <c r="R6" s="310">
        <v>0.87791177748804872</v>
      </c>
      <c r="S6" s="310">
        <v>0.80559001437497335</v>
      </c>
      <c r="T6" s="310"/>
      <c r="U6" s="310"/>
      <c r="V6" s="316"/>
    </row>
    <row r="7" spans="1:22">
      <c r="A7" s="311"/>
      <c r="B7" s="312" t="s">
        <v>770</v>
      </c>
      <c r="C7" s="313">
        <v>0.92957352109835101</v>
      </c>
      <c r="D7" s="314">
        <v>0.84665446117803345</v>
      </c>
      <c r="E7" s="314">
        <v>0.83260696227839182</v>
      </c>
      <c r="F7" s="314">
        <v>0.84971188898906358</v>
      </c>
      <c r="G7" s="314">
        <v>0.94621082070004914</v>
      </c>
      <c r="H7" s="314">
        <v>0.22256305385139741</v>
      </c>
      <c r="I7" s="314">
        <v>1</v>
      </c>
      <c r="J7" s="315">
        <v>0.87173367143945768</v>
      </c>
      <c r="K7" s="315">
        <v>0</v>
      </c>
      <c r="L7" s="314">
        <v>0.63286081542893136</v>
      </c>
      <c r="M7" s="314">
        <v>0.67886973840403697</v>
      </c>
      <c r="N7" s="314">
        <v>0.64202252255328451</v>
      </c>
      <c r="O7" s="315">
        <v>0.66289575205520057</v>
      </c>
      <c r="P7" s="315">
        <v>0.86917726605148671</v>
      </c>
      <c r="Q7" s="314">
        <v>0.94973231896308818</v>
      </c>
      <c r="R7" s="315">
        <v>0.91718725509952759</v>
      </c>
      <c r="S7" s="315">
        <v>0.80147469184222375</v>
      </c>
      <c r="T7" s="315"/>
      <c r="U7" s="315"/>
      <c r="V7" s="316"/>
    </row>
    <row r="8" spans="1:22">
      <c r="A8" s="311"/>
      <c r="B8" s="317" t="s">
        <v>771</v>
      </c>
      <c r="C8" s="318">
        <v>-0.5983937588732835</v>
      </c>
      <c r="D8" s="319">
        <v>-1.2577394381060092</v>
      </c>
      <c r="E8" s="319">
        <v>-0.64871763905726132</v>
      </c>
      <c r="F8" s="319">
        <v>-0.23218092294382542</v>
      </c>
      <c r="G8" s="319">
        <v>-0.2401823973348427</v>
      </c>
      <c r="H8" s="319">
        <v>-1.3579291216817557</v>
      </c>
      <c r="I8" s="319">
        <v>0</v>
      </c>
      <c r="J8" s="320">
        <v>-0.4816482426665325</v>
      </c>
      <c r="K8" s="320">
        <v>0</v>
      </c>
      <c r="L8" s="319">
        <v>-3.3713611179689962</v>
      </c>
      <c r="M8" s="319">
        <v>-0.18068479245733071</v>
      </c>
      <c r="N8" s="319">
        <v>-1.7594517774572993</v>
      </c>
      <c r="O8" s="320">
        <v>-1.1387780730146679</v>
      </c>
      <c r="P8" s="320">
        <v>1.0465993993085787</v>
      </c>
      <c r="Q8" s="321">
        <v>6.0150514120828502</v>
      </c>
      <c r="R8" s="320">
        <v>3.9275477611478871</v>
      </c>
      <c r="S8" s="320">
        <v>-0.4115322532749599</v>
      </c>
      <c r="T8" s="320"/>
      <c r="U8" s="320"/>
      <c r="V8" s="316"/>
    </row>
    <row r="9" spans="1:22">
      <c r="A9" s="311"/>
      <c r="B9" s="291" t="s">
        <v>772</v>
      </c>
      <c r="C9" s="308">
        <v>2.6100748890718172E-4</v>
      </c>
      <c r="D9" s="309">
        <v>3.3543425367093898E-4</v>
      </c>
      <c r="E9" s="309">
        <v>4.1740530690943505E-3</v>
      </c>
      <c r="F9" s="309">
        <v>5.1440028098109231E-3</v>
      </c>
      <c r="G9" s="309">
        <v>3.9718159937086432E-3</v>
      </c>
      <c r="H9" s="309">
        <v>4.732114868272206E-2</v>
      </c>
      <c r="I9" s="309">
        <v>0</v>
      </c>
      <c r="J9" s="310">
        <v>3.0472763502871507E-3</v>
      </c>
      <c r="K9" s="310">
        <v>0</v>
      </c>
      <c r="L9" s="309">
        <v>5.5578752832058029E-2</v>
      </c>
      <c r="M9" s="309">
        <v>0.15203785112882795</v>
      </c>
      <c r="N9" s="309">
        <v>0.10672245755415505</v>
      </c>
      <c r="O9" s="310">
        <v>0.12381165587078906</v>
      </c>
      <c r="P9" s="310">
        <v>7.2483761568086447E-2</v>
      </c>
      <c r="Q9" s="309">
        <v>5.1235020787478602E-2</v>
      </c>
      <c r="R9" s="310">
        <v>5.9267709691438505E-2</v>
      </c>
      <c r="S9" s="310">
        <v>4.6410573907762959E-2</v>
      </c>
      <c r="T9" s="310"/>
      <c r="U9" s="310"/>
      <c r="V9" s="316"/>
    </row>
    <row r="10" spans="1:22">
      <c r="A10" s="311"/>
      <c r="B10" s="312" t="s">
        <v>773</v>
      </c>
      <c r="C10" s="313">
        <v>2.4350886319181067E-4</v>
      </c>
      <c r="D10" s="314">
        <v>3.8606751865293611E-4</v>
      </c>
      <c r="E10" s="314">
        <v>4.2493889728829363E-3</v>
      </c>
      <c r="F10" s="314">
        <v>1.4626043667437577E-3</v>
      </c>
      <c r="G10" s="314">
        <v>3.1029119014805324E-3</v>
      </c>
      <c r="H10" s="314">
        <v>4.6353101567825496E-2</v>
      </c>
      <c r="I10" s="314">
        <v>0</v>
      </c>
      <c r="J10" s="315">
        <v>2.4705332214515876E-3</v>
      </c>
      <c r="K10" s="315">
        <v>0</v>
      </c>
      <c r="L10" s="314">
        <v>6.0416387044818651E-2</v>
      </c>
      <c r="M10" s="314">
        <v>0.13898506130185098</v>
      </c>
      <c r="N10" s="314">
        <v>0.10836844657210563</v>
      </c>
      <c r="O10" s="315">
        <v>0.11698803917091978</v>
      </c>
      <c r="P10" s="315">
        <v>6.2626430570565578E-2</v>
      </c>
      <c r="Q10" s="314">
        <v>5.0267681036911809E-2</v>
      </c>
      <c r="R10" s="315">
        <v>5.5260742034437205E-2</v>
      </c>
      <c r="S10" s="315">
        <v>4.2315395106555041E-2</v>
      </c>
      <c r="T10" s="315"/>
      <c r="U10" s="315"/>
      <c r="V10" s="316"/>
    </row>
    <row r="11" spans="1:22">
      <c r="A11" s="311"/>
      <c r="B11" s="317" t="s">
        <v>774</v>
      </c>
      <c r="C11" s="318">
        <v>-1.749862571537105E-3</v>
      </c>
      <c r="D11" s="319">
        <v>5.0633264981997132E-3</v>
      </c>
      <c r="E11" s="319">
        <v>7.5335903788585797E-3</v>
      </c>
      <c r="F11" s="319">
        <v>-0.36813984430671653</v>
      </c>
      <c r="G11" s="319">
        <v>-8.6890409222811077E-2</v>
      </c>
      <c r="H11" s="319">
        <v>-9.6804711489656414E-2</v>
      </c>
      <c r="I11" s="319">
        <v>0</v>
      </c>
      <c r="J11" s="320">
        <v>-5.767431288355631E-2</v>
      </c>
      <c r="K11" s="320">
        <v>0</v>
      </c>
      <c r="L11" s="319">
        <v>0.4837634212760622</v>
      </c>
      <c r="M11" s="319">
        <v>-1.3052789826976969</v>
      </c>
      <c r="N11" s="319">
        <v>0.16459890179505859</v>
      </c>
      <c r="O11" s="320">
        <v>-0.68236166998692782</v>
      </c>
      <c r="P11" s="320">
        <v>-0.98573309975208689</v>
      </c>
      <c r="Q11" s="319">
        <v>-9.6733975056679383E-2</v>
      </c>
      <c r="R11" s="320">
        <v>-0.40069676570013008</v>
      </c>
      <c r="S11" s="320">
        <v>-0.40951788012079171</v>
      </c>
      <c r="T11" s="320"/>
      <c r="U11" s="320"/>
      <c r="V11" s="316"/>
    </row>
    <row r="12" spans="1:22">
      <c r="A12" s="311"/>
      <c r="B12" s="291" t="s">
        <v>775</v>
      </c>
      <c r="C12" s="308">
        <v>6.3772368237950211E-2</v>
      </c>
      <c r="D12" s="309">
        <v>0.14018478052147873</v>
      </c>
      <c r="E12" s="309">
        <v>0.15405151530132991</v>
      </c>
      <c r="F12" s="309">
        <v>0.14282229897168724</v>
      </c>
      <c r="G12" s="309">
        <v>4.7415539332893789E-2</v>
      </c>
      <c r="H12" s="309">
        <v>0.71653650624906295</v>
      </c>
      <c r="I12" s="309">
        <v>0</v>
      </c>
      <c r="J12" s="310">
        <v>0.11951020035346242</v>
      </c>
      <c r="K12" s="310">
        <v>0</v>
      </c>
      <c r="L12" s="309">
        <v>0.27408639105007893</v>
      </c>
      <c r="M12" s="309">
        <v>0.16116187231741994</v>
      </c>
      <c r="N12" s="309">
        <v>0.23366050211798739</v>
      </c>
      <c r="O12" s="310">
        <v>0.19725985323230144</v>
      </c>
      <c r="P12" s="310">
        <v>6.8804966373512674E-2</v>
      </c>
      <c r="Q12" s="309">
        <v>5.9183174370261681E-2</v>
      </c>
      <c r="R12" s="310">
        <v>6.2820512820512819E-2</v>
      </c>
      <c r="S12" s="310">
        <v>0.14580568641683628</v>
      </c>
      <c r="T12" s="310"/>
      <c r="U12" s="310"/>
      <c r="V12" s="316"/>
    </row>
    <row r="13" spans="1:22">
      <c r="A13" s="311"/>
      <c r="B13" s="312" t="s">
        <v>776</v>
      </c>
      <c r="C13" s="313">
        <v>6.9648842967968305E-2</v>
      </c>
      <c r="D13" s="314">
        <v>0.15278681999062407</v>
      </c>
      <c r="E13" s="314">
        <v>0.15857247976453273</v>
      </c>
      <c r="F13" s="314">
        <v>0.1488255066441927</v>
      </c>
      <c r="G13" s="314">
        <v>5.0686267398470305E-2</v>
      </c>
      <c r="H13" s="314">
        <v>0.73108384458077713</v>
      </c>
      <c r="I13" s="314">
        <v>0</v>
      </c>
      <c r="J13" s="315">
        <v>0.12439574776523202</v>
      </c>
      <c r="K13" s="315">
        <v>0</v>
      </c>
      <c r="L13" s="314">
        <v>0.30338024097380673</v>
      </c>
      <c r="M13" s="314">
        <v>0.17566357464984192</v>
      </c>
      <c r="N13" s="314">
        <v>0.24767638000150241</v>
      </c>
      <c r="O13" s="315">
        <v>0.21505712472319616</v>
      </c>
      <c r="P13" s="315">
        <v>6.8196303377947742E-2</v>
      </c>
      <c r="Q13" s="322">
        <v>0</v>
      </c>
      <c r="R13" s="315">
        <v>2.7552002866035243E-2</v>
      </c>
      <c r="S13" s="315">
        <v>0.15358909935919737</v>
      </c>
      <c r="T13" s="315"/>
      <c r="U13" s="315"/>
      <c r="V13" s="316"/>
    </row>
    <row r="14" spans="1:22" s="323" customFormat="1">
      <c r="A14" s="311"/>
      <c r="B14" s="317" t="s">
        <v>777</v>
      </c>
      <c r="C14" s="318">
        <v>0.58764747300180942</v>
      </c>
      <c r="D14" s="319">
        <v>1.2602039469145343</v>
      </c>
      <c r="E14" s="319">
        <v>0.45209644632028256</v>
      </c>
      <c r="F14" s="319">
        <v>0.60032076725054506</v>
      </c>
      <c r="G14" s="319">
        <v>0.3270728065576517</v>
      </c>
      <c r="H14" s="319">
        <v>1.4547338331714177</v>
      </c>
      <c r="I14" s="319">
        <v>0</v>
      </c>
      <c r="J14" s="320">
        <v>0.48855474117695946</v>
      </c>
      <c r="K14" s="320">
        <v>0</v>
      </c>
      <c r="L14" s="319">
        <v>2.9293849923727802</v>
      </c>
      <c r="M14" s="319">
        <v>1.4501702332421984</v>
      </c>
      <c r="N14" s="319">
        <v>1.401587788351502</v>
      </c>
      <c r="O14" s="320">
        <v>1.7797271490894717</v>
      </c>
      <c r="P14" s="320">
        <v>-6.0866299556493197E-2</v>
      </c>
      <c r="Q14" s="321">
        <v>-5.9183174370261682</v>
      </c>
      <c r="R14" s="320">
        <v>-3.5268509954477576</v>
      </c>
      <c r="S14" s="320">
        <v>0.77834129423610954</v>
      </c>
      <c r="T14" s="320"/>
      <c r="U14" s="320"/>
      <c r="V14" s="316"/>
    </row>
    <row r="15" spans="1:22">
      <c r="A15" s="311"/>
      <c r="B15" s="291" t="s">
        <v>778</v>
      </c>
      <c r="C15" s="308">
        <v>4.0916558605873845E-4</v>
      </c>
      <c r="D15" s="309">
        <v>2.4792966575678101E-4</v>
      </c>
      <c r="E15" s="309">
        <v>2.1435280989342393E-3</v>
      </c>
      <c r="F15" s="309">
        <v>0</v>
      </c>
      <c r="G15" s="309">
        <v>0</v>
      </c>
      <c r="H15" s="309">
        <v>0</v>
      </c>
      <c r="I15" s="309">
        <v>0</v>
      </c>
      <c r="J15" s="310">
        <v>7.5535917418870994E-4</v>
      </c>
      <c r="K15" s="310">
        <v>0</v>
      </c>
      <c r="L15" s="309">
        <v>3.7604295092417126E-3</v>
      </c>
      <c r="M15" s="309">
        <v>4.2358123246630155E-3</v>
      </c>
      <c r="N15" s="309">
        <v>0</v>
      </c>
      <c r="O15" s="310">
        <v>3.4666852681287199E-3</v>
      </c>
      <c r="P15" s="310">
        <v>0</v>
      </c>
      <c r="Q15" s="309">
        <v>0</v>
      </c>
      <c r="R15" s="310">
        <v>0</v>
      </c>
      <c r="S15" s="310">
        <v>1.6936849745947254E-3</v>
      </c>
      <c r="T15" s="310"/>
      <c r="U15" s="310"/>
      <c r="V15" s="316"/>
    </row>
    <row r="16" spans="1:22">
      <c r="A16" s="311"/>
      <c r="B16" s="312" t="s">
        <v>779</v>
      </c>
      <c r="C16" s="324">
        <v>5.3412707048884904E-4</v>
      </c>
      <c r="D16" s="314">
        <v>1.726513126895118E-4</v>
      </c>
      <c r="E16" s="314">
        <v>1.9200329351305692E-3</v>
      </c>
      <c r="F16" s="314">
        <v>0</v>
      </c>
      <c r="G16" s="314">
        <v>0</v>
      </c>
      <c r="H16" s="314">
        <v>0</v>
      </c>
      <c r="I16" s="314">
        <v>0</v>
      </c>
      <c r="J16" s="315">
        <v>7.3826596385715619E-4</v>
      </c>
      <c r="K16" s="315">
        <v>0</v>
      </c>
      <c r="L16" s="314">
        <v>3.3425565524432925E-3</v>
      </c>
      <c r="M16" s="314">
        <v>4.6024761933903978E-3</v>
      </c>
      <c r="N16" s="314">
        <v>0</v>
      </c>
      <c r="O16" s="315">
        <v>3.5775868565409443E-3</v>
      </c>
      <c r="P16" s="315">
        <v>0</v>
      </c>
      <c r="Q16" s="314">
        <v>0</v>
      </c>
      <c r="R16" s="315">
        <v>0</v>
      </c>
      <c r="S16" s="315">
        <v>1.6914538671573636E-3</v>
      </c>
      <c r="T16" s="315"/>
      <c r="U16" s="315"/>
      <c r="V16" s="316"/>
    </row>
    <row r="17" spans="1:22">
      <c r="A17" s="311"/>
      <c r="B17" s="317" t="s">
        <v>780</v>
      </c>
      <c r="C17" s="318">
        <v>1.2496148443011059E-2</v>
      </c>
      <c r="D17" s="319">
        <v>-7.5278353067269209E-3</v>
      </c>
      <c r="E17" s="319">
        <v>-2.2349516380367005E-2</v>
      </c>
      <c r="F17" s="319">
        <v>0</v>
      </c>
      <c r="G17" s="319">
        <v>0</v>
      </c>
      <c r="H17" s="319">
        <v>0</v>
      </c>
      <c r="I17" s="319">
        <v>0</v>
      </c>
      <c r="J17" s="320">
        <v>-1.7093210331553749E-3</v>
      </c>
      <c r="K17" s="320">
        <v>0</v>
      </c>
      <c r="L17" s="319">
        <v>-4.1787295679842011E-2</v>
      </c>
      <c r="M17" s="319">
        <v>3.6666386872738224E-2</v>
      </c>
      <c r="N17" s="319">
        <v>0</v>
      </c>
      <c r="O17" s="320">
        <v>1.1090158841222438E-2</v>
      </c>
      <c r="P17" s="320">
        <v>0</v>
      </c>
      <c r="Q17" s="319">
        <v>0</v>
      </c>
      <c r="R17" s="320">
        <v>0</v>
      </c>
      <c r="S17" s="320">
        <v>-2.2311074373618494E-4</v>
      </c>
      <c r="T17" s="320"/>
      <c r="U17" s="320"/>
      <c r="V17" s="316"/>
    </row>
    <row r="18" spans="1:22">
      <c r="A18" s="311"/>
      <c r="B18" s="291" t="s">
        <v>781</v>
      </c>
      <c r="C18" s="308">
        <v>0</v>
      </c>
      <c r="D18" s="309">
        <v>0</v>
      </c>
      <c r="E18" s="309">
        <v>5.3676486167710772E-4</v>
      </c>
      <c r="F18" s="309">
        <v>0</v>
      </c>
      <c r="G18" s="309">
        <v>0</v>
      </c>
      <c r="H18" s="309">
        <v>0</v>
      </c>
      <c r="I18" s="309">
        <v>0</v>
      </c>
      <c r="J18" s="310">
        <v>1.3701025593876364E-4</v>
      </c>
      <c r="K18" s="310">
        <v>0</v>
      </c>
      <c r="L18" s="309">
        <v>0</v>
      </c>
      <c r="M18" s="309">
        <v>1.8878779004787706E-3</v>
      </c>
      <c r="N18" s="309">
        <v>0</v>
      </c>
      <c r="O18" s="310">
        <v>1.1782728434335487E-3</v>
      </c>
      <c r="P18" s="310">
        <v>0</v>
      </c>
      <c r="Q18" s="309">
        <v>0</v>
      </c>
      <c r="R18" s="310">
        <v>0</v>
      </c>
      <c r="S18" s="310">
        <v>5.0004032583272841E-4</v>
      </c>
      <c r="T18" s="310"/>
      <c r="U18" s="310"/>
      <c r="V18" s="316"/>
    </row>
    <row r="19" spans="1:22">
      <c r="A19" s="311"/>
      <c r="B19" s="312" t="s">
        <v>782</v>
      </c>
      <c r="C19" s="313">
        <v>0</v>
      </c>
      <c r="D19" s="314">
        <v>0</v>
      </c>
      <c r="E19" s="314">
        <v>2.6511360490619877E-3</v>
      </c>
      <c r="F19" s="314">
        <v>0</v>
      </c>
      <c r="G19" s="314">
        <v>0</v>
      </c>
      <c r="H19" s="314">
        <v>0</v>
      </c>
      <c r="I19" s="314">
        <v>0</v>
      </c>
      <c r="J19" s="315">
        <v>6.6178161000155476E-4</v>
      </c>
      <c r="K19" s="315">
        <v>0</v>
      </c>
      <c r="L19" s="314">
        <v>0</v>
      </c>
      <c r="M19" s="314">
        <v>1.8791494508797713E-3</v>
      </c>
      <c r="N19" s="322">
        <v>1.9326508731074704E-3</v>
      </c>
      <c r="O19" s="315">
        <v>1.4814971941425597E-3</v>
      </c>
      <c r="P19" s="315">
        <v>0</v>
      </c>
      <c r="Q19" s="314">
        <v>0</v>
      </c>
      <c r="R19" s="315">
        <v>0</v>
      </c>
      <c r="S19" s="315">
        <v>9.2935982486646034E-4</v>
      </c>
      <c r="T19" s="315"/>
      <c r="U19" s="315"/>
      <c r="V19" s="316"/>
    </row>
    <row r="20" spans="1:22">
      <c r="A20" s="311"/>
      <c r="B20" s="317" t="s">
        <v>783</v>
      </c>
      <c r="C20" s="318">
        <v>0</v>
      </c>
      <c r="D20" s="319">
        <v>0</v>
      </c>
      <c r="E20" s="319">
        <v>0.211437118738488</v>
      </c>
      <c r="F20" s="319">
        <v>0</v>
      </c>
      <c r="G20" s="319">
        <v>0</v>
      </c>
      <c r="H20" s="319">
        <v>0</v>
      </c>
      <c r="I20" s="319">
        <v>0</v>
      </c>
      <c r="J20" s="320">
        <v>5.2477135406279109E-2</v>
      </c>
      <c r="K20" s="320">
        <v>0</v>
      </c>
      <c r="L20" s="319">
        <v>0</v>
      </c>
      <c r="M20" s="319">
        <v>-8.7284495989992539E-4</v>
      </c>
      <c r="N20" s="319">
        <v>0</v>
      </c>
      <c r="O20" s="320">
        <v>3.0322435070901103E-2</v>
      </c>
      <c r="P20" s="320">
        <v>0</v>
      </c>
      <c r="Q20" s="319">
        <v>0</v>
      </c>
      <c r="R20" s="320">
        <v>0</v>
      </c>
      <c r="S20" s="320">
        <v>4.2931949903373193E-2</v>
      </c>
      <c r="T20" s="320"/>
      <c r="U20" s="320"/>
      <c r="V20" s="316"/>
    </row>
    <row r="21" spans="1:22">
      <c r="A21" s="311"/>
      <c r="B21" s="291" t="s">
        <v>784</v>
      </c>
      <c r="C21" s="308">
        <v>0</v>
      </c>
      <c r="D21" s="309">
        <v>0</v>
      </c>
      <c r="E21" s="309">
        <v>0</v>
      </c>
      <c r="F21" s="309">
        <v>0</v>
      </c>
      <c r="G21" s="309">
        <v>0</v>
      </c>
      <c r="H21" s="309">
        <v>0</v>
      </c>
      <c r="I21" s="309">
        <v>0</v>
      </c>
      <c r="J21" s="310">
        <v>0</v>
      </c>
      <c r="K21" s="310">
        <v>0</v>
      </c>
      <c r="L21" s="309">
        <v>0</v>
      </c>
      <c r="M21" s="309">
        <v>0</v>
      </c>
      <c r="N21" s="309">
        <v>0</v>
      </c>
      <c r="O21" s="310">
        <v>0</v>
      </c>
      <c r="P21" s="310">
        <v>0</v>
      </c>
      <c r="Q21" s="309">
        <v>0</v>
      </c>
      <c r="R21" s="310">
        <v>0</v>
      </c>
      <c r="S21" s="310">
        <v>0</v>
      </c>
      <c r="T21" s="310"/>
      <c r="U21" s="310"/>
      <c r="V21" s="316"/>
    </row>
    <row r="22" spans="1:22">
      <c r="A22" s="311"/>
      <c r="B22" s="312" t="s">
        <v>785</v>
      </c>
      <c r="C22" s="313">
        <v>0</v>
      </c>
      <c r="D22" s="314">
        <v>0</v>
      </c>
      <c r="E22" s="314">
        <v>0</v>
      </c>
      <c r="F22" s="314">
        <v>0</v>
      </c>
      <c r="G22" s="314">
        <v>0</v>
      </c>
      <c r="H22" s="314">
        <v>0</v>
      </c>
      <c r="I22" s="314">
        <v>0</v>
      </c>
      <c r="J22" s="315">
        <v>0</v>
      </c>
      <c r="K22" s="315">
        <v>0</v>
      </c>
      <c r="L22" s="314">
        <v>0</v>
      </c>
      <c r="M22" s="314">
        <v>0</v>
      </c>
      <c r="N22" s="314">
        <v>0</v>
      </c>
      <c r="O22" s="315">
        <v>0</v>
      </c>
      <c r="P22" s="315">
        <v>0</v>
      </c>
      <c r="Q22" s="314">
        <v>0</v>
      </c>
      <c r="R22" s="315">
        <v>0</v>
      </c>
      <c r="S22" s="315">
        <v>0</v>
      </c>
      <c r="T22" s="315"/>
      <c r="U22" s="315"/>
      <c r="V22" s="316"/>
    </row>
    <row r="23" spans="1:22" ht="15.75" thickBot="1">
      <c r="A23" s="311"/>
      <c r="B23" s="325" t="s">
        <v>786</v>
      </c>
      <c r="C23" s="326">
        <v>0</v>
      </c>
      <c r="D23" s="327">
        <v>0</v>
      </c>
      <c r="E23" s="327">
        <v>0</v>
      </c>
      <c r="F23" s="327">
        <v>0</v>
      </c>
      <c r="G23" s="327">
        <v>0</v>
      </c>
      <c r="H23" s="327">
        <v>0</v>
      </c>
      <c r="I23" s="327">
        <v>0</v>
      </c>
      <c r="J23" s="328">
        <v>0</v>
      </c>
      <c r="K23" s="328">
        <v>0</v>
      </c>
      <c r="L23" s="327">
        <v>0</v>
      </c>
      <c r="M23" s="327">
        <v>0</v>
      </c>
      <c r="N23" s="327">
        <v>0</v>
      </c>
      <c r="O23" s="328">
        <v>0</v>
      </c>
      <c r="P23" s="328">
        <v>0</v>
      </c>
      <c r="Q23" s="327">
        <v>0</v>
      </c>
      <c r="R23" s="328">
        <v>0</v>
      </c>
      <c r="S23" s="328">
        <v>0</v>
      </c>
      <c r="T23" s="328"/>
      <c r="U23" s="328"/>
      <c r="V23" s="316"/>
    </row>
    <row r="24" spans="1:22" ht="15.75" thickTop="1">
      <c r="A24" s="311"/>
      <c r="B24" s="312" t="s">
        <v>787</v>
      </c>
      <c r="C24" s="313">
        <v>0.8117331347821366</v>
      </c>
      <c r="D24" s="314">
        <v>0.7172151171145279</v>
      </c>
      <c r="E24" s="314">
        <v>0.67092577918647645</v>
      </c>
      <c r="F24" s="314">
        <v>0.54750832253309956</v>
      </c>
      <c r="G24" s="314">
        <v>0.23887799728547732</v>
      </c>
      <c r="H24" s="314">
        <v>0</v>
      </c>
      <c r="I24" s="314">
        <v>0</v>
      </c>
      <c r="J24" s="315">
        <v>0.69034300864681097</v>
      </c>
      <c r="K24" s="315">
        <v>0</v>
      </c>
      <c r="L24" s="314">
        <v>0</v>
      </c>
      <c r="M24" s="314">
        <v>0</v>
      </c>
      <c r="N24" s="314">
        <v>0</v>
      </c>
      <c r="O24" s="315">
        <v>0</v>
      </c>
      <c r="P24" s="315">
        <v>0</v>
      </c>
      <c r="Q24" s="314">
        <v>0</v>
      </c>
      <c r="R24" s="315">
        <v>0</v>
      </c>
      <c r="S24" s="315">
        <v>0.69034300864681097</v>
      </c>
      <c r="T24" s="315"/>
      <c r="U24" s="315"/>
      <c r="V24" s="316"/>
    </row>
    <row r="25" spans="1:22">
      <c r="A25" s="311"/>
      <c r="B25" s="312" t="s">
        <v>788</v>
      </c>
      <c r="C25" s="313">
        <v>0.78905892009204848</v>
      </c>
      <c r="D25" s="314">
        <v>0.71690947225213986</v>
      </c>
      <c r="E25" s="314">
        <v>0.67211800369036112</v>
      </c>
      <c r="F25" s="314">
        <v>0.55738116141979177</v>
      </c>
      <c r="G25" s="314">
        <v>0.24309958061055301</v>
      </c>
      <c r="H25" s="314">
        <v>0</v>
      </c>
      <c r="I25" s="314">
        <v>0</v>
      </c>
      <c r="J25" s="315">
        <v>0.68167452616305435</v>
      </c>
      <c r="K25" s="315">
        <v>0</v>
      </c>
      <c r="L25" s="314">
        <v>0</v>
      </c>
      <c r="M25" s="314">
        <v>0</v>
      </c>
      <c r="N25" s="314">
        <v>0</v>
      </c>
      <c r="O25" s="315">
        <v>0</v>
      </c>
      <c r="P25" s="315">
        <v>0</v>
      </c>
      <c r="Q25" s="314">
        <v>0</v>
      </c>
      <c r="R25" s="315">
        <v>0</v>
      </c>
      <c r="S25" s="315">
        <v>0.68167452616305435</v>
      </c>
      <c r="T25" s="315"/>
      <c r="U25" s="315"/>
      <c r="V25" s="316"/>
    </row>
    <row r="26" spans="1:22">
      <c r="A26" s="311"/>
      <c r="B26" s="317" t="s">
        <v>789</v>
      </c>
      <c r="C26" s="318">
        <v>-2.2674214690088124</v>
      </c>
      <c r="D26" s="319">
        <v>-3.0564486238804367E-2</v>
      </c>
      <c r="E26" s="319">
        <v>0.11922245038846757</v>
      </c>
      <c r="F26" s="319">
        <v>0.98728388866922145</v>
      </c>
      <c r="G26" s="319">
        <v>0.42215833250756896</v>
      </c>
      <c r="H26" s="319">
        <v>0</v>
      </c>
      <c r="I26" s="319">
        <v>0</v>
      </c>
      <c r="J26" s="320">
        <v>-0.86684824837566232</v>
      </c>
      <c r="K26" s="320">
        <v>0</v>
      </c>
      <c r="L26" s="319">
        <v>0</v>
      </c>
      <c r="M26" s="319">
        <v>0</v>
      </c>
      <c r="N26" s="319">
        <v>0</v>
      </c>
      <c r="O26" s="320">
        <v>0</v>
      </c>
      <c r="P26" s="320">
        <v>0</v>
      </c>
      <c r="Q26" s="319">
        <v>0</v>
      </c>
      <c r="R26" s="320">
        <v>0</v>
      </c>
      <c r="S26" s="320">
        <v>-0.86684824837566232</v>
      </c>
      <c r="T26" s="320"/>
      <c r="U26" s="320"/>
      <c r="V26" s="316"/>
    </row>
    <row r="27" spans="1:22">
      <c r="A27" s="311"/>
      <c r="B27" s="291" t="s">
        <v>790</v>
      </c>
      <c r="C27" s="308">
        <v>2.8469346073701791E-2</v>
      </c>
      <c r="D27" s="309">
        <v>2.7561431240120705E-2</v>
      </c>
      <c r="E27" s="309">
        <v>5.6127839408346542E-4</v>
      </c>
      <c r="F27" s="309">
        <v>4.8029274986658536E-3</v>
      </c>
      <c r="G27" s="309">
        <v>2.8401950434826322E-3</v>
      </c>
      <c r="H27" s="309">
        <v>0</v>
      </c>
      <c r="I27" s="309">
        <v>0</v>
      </c>
      <c r="J27" s="310">
        <v>1.7961070874288672E-2</v>
      </c>
      <c r="K27" s="310">
        <v>0</v>
      </c>
      <c r="L27" s="309">
        <v>0</v>
      </c>
      <c r="M27" s="309">
        <v>0</v>
      </c>
      <c r="N27" s="309">
        <v>0</v>
      </c>
      <c r="O27" s="310">
        <v>0</v>
      </c>
      <c r="P27" s="310">
        <v>0</v>
      </c>
      <c r="Q27" s="309">
        <v>0</v>
      </c>
      <c r="R27" s="310">
        <v>0</v>
      </c>
      <c r="S27" s="310">
        <v>1.7961070874288672E-2</v>
      </c>
      <c r="T27" s="310"/>
      <c r="U27" s="310"/>
      <c r="V27" s="316"/>
    </row>
    <row r="28" spans="1:22">
      <c r="A28" s="311"/>
      <c r="B28" s="312" t="s">
        <v>791</v>
      </c>
      <c r="C28" s="313">
        <v>2.6889436077163618E-2</v>
      </c>
      <c r="D28" s="314">
        <v>3.3019670086729775E-3</v>
      </c>
      <c r="E28" s="314">
        <v>4.2834548809419208E-4</v>
      </c>
      <c r="F28" s="322">
        <v>0</v>
      </c>
      <c r="G28" s="322">
        <v>0</v>
      </c>
      <c r="H28" s="314">
        <v>0</v>
      </c>
      <c r="I28" s="314">
        <v>0</v>
      </c>
      <c r="J28" s="315">
        <v>1.2723315498322299E-2</v>
      </c>
      <c r="K28" s="315">
        <v>0</v>
      </c>
      <c r="L28" s="314">
        <v>0</v>
      </c>
      <c r="M28" s="314">
        <v>0</v>
      </c>
      <c r="N28" s="314">
        <v>0</v>
      </c>
      <c r="O28" s="315">
        <v>0</v>
      </c>
      <c r="P28" s="315">
        <v>0</v>
      </c>
      <c r="Q28" s="314">
        <v>0</v>
      </c>
      <c r="R28" s="315">
        <v>0</v>
      </c>
      <c r="S28" s="315">
        <v>1.2723315498322299E-2</v>
      </c>
      <c r="T28" s="315"/>
      <c r="U28" s="315"/>
      <c r="V28" s="316"/>
    </row>
    <row r="29" spans="1:22">
      <c r="A29" s="311"/>
      <c r="B29" s="317" t="s">
        <v>792</v>
      </c>
      <c r="C29" s="318">
        <v>-0.15799099965381724</v>
      </c>
      <c r="D29" s="319">
        <v>-2.4259464231447727</v>
      </c>
      <c r="E29" s="319">
        <v>-1.3293290598927334E-2</v>
      </c>
      <c r="F29" s="321">
        <v>-0.48029274986658538</v>
      </c>
      <c r="G29" s="321">
        <v>-0.28401950434826323</v>
      </c>
      <c r="H29" s="319">
        <v>0</v>
      </c>
      <c r="I29" s="319">
        <v>0</v>
      </c>
      <c r="J29" s="320">
        <v>-0.52377553759663731</v>
      </c>
      <c r="K29" s="320">
        <v>0</v>
      </c>
      <c r="L29" s="319">
        <v>0</v>
      </c>
      <c r="M29" s="319">
        <v>0</v>
      </c>
      <c r="N29" s="319">
        <v>0</v>
      </c>
      <c r="O29" s="320">
        <v>0</v>
      </c>
      <c r="P29" s="320">
        <v>0</v>
      </c>
      <c r="Q29" s="319">
        <v>0</v>
      </c>
      <c r="R29" s="320">
        <v>0</v>
      </c>
      <c r="S29" s="320">
        <v>-0.52377553759663731</v>
      </c>
      <c r="T29" s="320"/>
      <c r="U29" s="320"/>
      <c r="V29" s="316"/>
    </row>
    <row r="30" spans="1:22">
      <c r="A30" s="311"/>
      <c r="B30" s="291" t="s">
        <v>793</v>
      </c>
      <c r="C30" s="308">
        <v>0.15804468436047384</v>
      </c>
      <c r="D30" s="309">
        <v>0.25210518752694355</v>
      </c>
      <c r="E30" s="309">
        <v>0.32719228737453776</v>
      </c>
      <c r="F30" s="309">
        <v>0.4476887499682346</v>
      </c>
      <c r="G30" s="309">
        <v>0.75828180767104003</v>
      </c>
      <c r="H30" s="309">
        <v>0</v>
      </c>
      <c r="I30" s="309">
        <v>0</v>
      </c>
      <c r="J30" s="310">
        <v>0.29013469071022097</v>
      </c>
      <c r="K30" s="310">
        <v>0</v>
      </c>
      <c r="L30" s="309">
        <v>0</v>
      </c>
      <c r="M30" s="309">
        <v>0</v>
      </c>
      <c r="N30" s="309">
        <v>0</v>
      </c>
      <c r="O30" s="310">
        <v>0</v>
      </c>
      <c r="P30" s="310">
        <v>0</v>
      </c>
      <c r="Q30" s="309">
        <v>0</v>
      </c>
      <c r="R30" s="310">
        <v>0</v>
      </c>
      <c r="S30" s="310">
        <v>0.29013469071022097</v>
      </c>
      <c r="T30" s="310"/>
      <c r="U30" s="310"/>
      <c r="V30" s="316"/>
    </row>
    <row r="31" spans="1:22">
      <c r="A31" s="311"/>
      <c r="B31" s="312" t="s">
        <v>794</v>
      </c>
      <c r="C31" s="313">
        <v>0.1825561077793052</v>
      </c>
      <c r="D31" s="314">
        <v>0.27796043308202484</v>
      </c>
      <c r="E31" s="314">
        <v>0.32343379316404536</v>
      </c>
      <c r="F31" s="314">
        <v>0.44261883858020823</v>
      </c>
      <c r="G31" s="314">
        <v>0.75690041938944697</v>
      </c>
      <c r="H31" s="314">
        <v>0</v>
      </c>
      <c r="I31" s="314">
        <v>0</v>
      </c>
      <c r="J31" s="315">
        <v>0.30380656570236692</v>
      </c>
      <c r="K31" s="315">
        <v>0</v>
      </c>
      <c r="L31" s="314">
        <v>0</v>
      </c>
      <c r="M31" s="314">
        <v>0</v>
      </c>
      <c r="N31" s="314">
        <v>0</v>
      </c>
      <c r="O31" s="315">
        <v>0</v>
      </c>
      <c r="P31" s="315">
        <v>0</v>
      </c>
      <c r="Q31" s="314">
        <v>0</v>
      </c>
      <c r="R31" s="315">
        <v>0</v>
      </c>
      <c r="S31" s="315">
        <v>0.30380656570236692</v>
      </c>
      <c r="T31" s="315"/>
      <c r="U31" s="315"/>
      <c r="V31" s="316"/>
    </row>
    <row r="32" spans="1:22">
      <c r="A32" s="311"/>
      <c r="B32" s="317" t="s">
        <v>795</v>
      </c>
      <c r="C32" s="318">
        <v>2.4511423418831364</v>
      </c>
      <c r="D32" s="319">
        <v>2.5855245555081288</v>
      </c>
      <c r="E32" s="319">
        <v>-0.37584942104924024</v>
      </c>
      <c r="F32" s="319">
        <v>-0.50699113880263713</v>
      </c>
      <c r="G32" s="319">
        <v>-0.13813882815930656</v>
      </c>
      <c r="H32" s="319">
        <v>0</v>
      </c>
      <c r="I32" s="319">
        <v>0</v>
      </c>
      <c r="J32" s="320">
        <v>1.3671874992145949</v>
      </c>
      <c r="K32" s="320">
        <v>0</v>
      </c>
      <c r="L32" s="319">
        <v>0</v>
      </c>
      <c r="M32" s="319">
        <v>0</v>
      </c>
      <c r="N32" s="319">
        <v>0</v>
      </c>
      <c r="O32" s="320">
        <v>0</v>
      </c>
      <c r="P32" s="320">
        <v>0</v>
      </c>
      <c r="Q32" s="319">
        <v>0</v>
      </c>
      <c r="R32" s="320">
        <v>0</v>
      </c>
      <c r="S32" s="320">
        <v>1.3671874992145949</v>
      </c>
      <c r="T32" s="320"/>
      <c r="U32" s="320"/>
      <c r="V32" s="316"/>
    </row>
    <row r="33" spans="1:22">
      <c r="A33" s="311"/>
      <c r="B33" s="291" t="s">
        <v>796</v>
      </c>
      <c r="C33" s="308">
        <v>1.7528347836877783E-3</v>
      </c>
      <c r="D33" s="309">
        <v>3.1182641184078173E-3</v>
      </c>
      <c r="E33" s="309">
        <v>0</v>
      </c>
      <c r="F33" s="309">
        <v>0</v>
      </c>
      <c r="G33" s="309">
        <v>0</v>
      </c>
      <c r="H33" s="309">
        <v>0</v>
      </c>
      <c r="I33" s="309">
        <v>0</v>
      </c>
      <c r="J33" s="310">
        <v>1.2840883896238268E-3</v>
      </c>
      <c r="K33" s="310">
        <v>0</v>
      </c>
      <c r="L33" s="309">
        <v>0</v>
      </c>
      <c r="M33" s="309">
        <v>0</v>
      </c>
      <c r="N33" s="309">
        <v>0</v>
      </c>
      <c r="O33" s="310">
        <v>0</v>
      </c>
      <c r="P33" s="310">
        <v>0</v>
      </c>
      <c r="Q33" s="309">
        <v>0</v>
      </c>
      <c r="R33" s="310">
        <v>0</v>
      </c>
      <c r="S33" s="310">
        <v>1.2840883896238268E-3</v>
      </c>
      <c r="T33" s="310"/>
      <c r="U33" s="310"/>
      <c r="V33" s="316"/>
    </row>
    <row r="34" spans="1:22">
      <c r="A34" s="311"/>
      <c r="B34" s="312" t="s">
        <v>797</v>
      </c>
      <c r="C34" s="313">
        <v>1.4955360514826955E-3</v>
      </c>
      <c r="D34" s="314">
        <v>1.8281276571622924E-3</v>
      </c>
      <c r="E34" s="314">
        <v>1.9769791758193479E-4</v>
      </c>
      <c r="F34" s="314">
        <v>0</v>
      </c>
      <c r="G34" s="314">
        <v>0</v>
      </c>
      <c r="H34" s="314">
        <v>0</v>
      </c>
      <c r="I34" s="314">
        <v>0</v>
      </c>
      <c r="J34" s="315">
        <v>1.0066201142649859E-3</v>
      </c>
      <c r="K34" s="315">
        <v>0</v>
      </c>
      <c r="L34" s="314">
        <v>0</v>
      </c>
      <c r="M34" s="314">
        <v>0</v>
      </c>
      <c r="N34" s="314">
        <v>0</v>
      </c>
      <c r="O34" s="315">
        <v>0</v>
      </c>
      <c r="P34" s="315">
        <v>0</v>
      </c>
      <c r="Q34" s="314">
        <v>0</v>
      </c>
      <c r="R34" s="315">
        <v>0</v>
      </c>
      <c r="S34" s="315">
        <v>1.0066201142649859E-3</v>
      </c>
      <c r="T34" s="315"/>
      <c r="U34" s="315"/>
      <c r="V34" s="316"/>
    </row>
    <row r="35" spans="1:22">
      <c r="A35" s="311"/>
      <c r="B35" s="317" t="s">
        <v>798</v>
      </c>
      <c r="C35" s="318">
        <v>-2.5729873220508279E-2</v>
      </c>
      <c r="D35" s="319">
        <v>-0.12901364612455249</v>
      </c>
      <c r="E35" s="319">
        <v>0</v>
      </c>
      <c r="F35" s="319">
        <v>0</v>
      </c>
      <c r="G35" s="319">
        <v>0</v>
      </c>
      <c r="H35" s="319">
        <v>0</v>
      </c>
      <c r="I35" s="319">
        <v>0</v>
      </c>
      <c r="J35" s="320">
        <v>-2.7746827535884089E-2</v>
      </c>
      <c r="K35" s="320">
        <v>0</v>
      </c>
      <c r="L35" s="319">
        <v>0</v>
      </c>
      <c r="M35" s="319">
        <v>0</v>
      </c>
      <c r="N35" s="319">
        <v>0</v>
      </c>
      <c r="O35" s="320">
        <v>0</v>
      </c>
      <c r="P35" s="320">
        <v>0</v>
      </c>
      <c r="Q35" s="319">
        <v>0</v>
      </c>
      <c r="R35" s="320">
        <v>0</v>
      </c>
      <c r="S35" s="320">
        <v>-2.7746827535884089E-2</v>
      </c>
      <c r="T35" s="320"/>
      <c r="U35" s="320"/>
      <c r="V35" s="316"/>
    </row>
    <row r="36" spans="1:22">
      <c r="A36" s="311"/>
      <c r="B36" s="291" t="s">
        <v>799</v>
      </c>
      <c r="C36" s="308">
        <v>0</v>
      </c>
      <c r="D36" s="309">
        <v>0</v>
      </c>
      <c r="E36" s="309">
        <v>1.3206550449022716E-3</v>
      </c>
      <c r="F36" s="309">
        <v>0</v>
      </c>
      <c r="G36" s="309">
        <v>0</v>
      </c>
      <c r="H36" s="309">
        <v>0</v>
      </c>
      <c r="I36" s="309">
        <v>0</v>
      </c>
      <c r="J36" s="310">
        <v>2.7714137905550216E-4</v>
      </c>
      <c r="K36" s="310">
        <v>0</v>
      </c>
      <c r="L36" s="309">
        <v>0</v>
      </c>
      <c r="M36" s="309">
        <v>0</v>
      </c>
      <c r="N36" s="309">
        <v>0</v>
      </c>
      <c r="O36" s="310">
        <v>0</v>
      </c>
      <c r="P36" s="310">
        <v>0</v>
      </c>
      <c r="Q36" s="309">
        <v>0</v>
      </c>
      <c r="R36" s="310">
        <v>0</v>
      </c>
      <c r="S36" s="310">
        <v>2.7714137905550216E-4</v>
      </c>
      <c r="T36" s="310"/>
      <c r="U36" s="310"/>
      <c r="V36" s="316"/>
    </row>
    <row r="37" spans="1:22">
      <c r="A37" s="311"/>
      <c r="B37" s="312" t="s">
        <v>800</v>
      </c>
      <c r="C37" s="313">
        <v>0</v>
      </c>
      <c r="D37" s="314">
        <v>0</v>
      </c>
      <c r="E37" s="314">
        <v>3.8221597399174063E-3</v>
      </c>
      <c r="F37" s="314">
        <v>0</v>
      </c>
      <c r="G37" s="314">
        <v>0</v>
      </c>
      <c r="H37" s="314">
        <v>0</v>
      </c>
      <c r="I37" s="314">
        <v>0</v>
      </c>
      <c r="J37" s="315">
        <v>7.8897252199147542E-4</v>
      </c>
      <c r="K37" s="315">
        <v>0</v>
      </c>
      <c r="L37" s="314">
        <v>0</v>
      </c>
      <c r="M37" s="314">
        <v>0</v>
      </c>
      <c r="N37" s="314">
        <v>0</v>
      </c>
      <c r="O37" s="315">
        <v>0</v>
      </c>
      <c r="P37" s="315">
        <v>0</v>
      </c>
      <c r="Q37" s="314">
        <v>0</v>
      </c>
      <c r="R37" s="315">
        <v>0</v>
      </c>
      <c r="S37" s="315">
        <v>7.8897252199147542E-4</v>
      </c>
      <c r="T37" s="315"/>
      <c r="U37" s="315"/>
      <c r="V37" s="316"/>
    </row>
    <row r="38" spans="1:22">
      <c r="A38" s="311"/>
      <c r="B38" s="317" t="s">
        <v>801</v>
      </c>
      <c r="C38" s="318">
        <v>0</v>
      </c>
      <c r="D38" s="319">
        <v>0</v>
      </c>
      <c r="E38" s="319">
        <v>0.25015046950151348</v>
      </c>
      <c r="F38" s="319">
        <v>0</v>
      </c>
      <c r="G38" s="319">
        <v>0</v>
      </c>
      <c r="H38" s="319">
        <v>0</v>
      </c>
      <c r="I38" s="319">
        <v>0</v>
      </c>
      <c r="J38" s="320">
        <v>5.1183114293597329E-2</v>
      </c>
      <c r="K38" s="320">
        <v>0</v>
      </c>
      <c r="L38" s="319">
        <v>0</v>
      </c>
      <c r="M38" s="319">
        <v>0</v>
      </c>
      <c r="N38" s="319">
        <v>0</v>
      </c>
      <c r="O38" s="320">
        <v>0</v>
      </c>
      <c r="P38" s="320">
        <v>0</v>
      </c>
      <c r="Q38" s="319">
        <v>0</v>
      </c>
      <c r="R38" s="320">
        <v>0</v>
      </c>
      <c r="S38" s="320">
        <v>5.1183114293597329E-2</v>
      </c>
      <c r="T38" s="320"/>
      <c r="U38" s="320"/>
      <c r="V38" s="316"/>
    </row>
    <row r="39" spans="1:22">
      <c r="A39" s="311"/>
      <c r="B39" s="291" t="s">
        <v>802</v>
      </c>
      <c r="C39" s="308">
        <v>0</v>
      </c>
      <c r="D39" s="309">
        <v>0</v>
      </c>
      <c r="E39" s="309">
        <v>0</v>
      </c>
      <c r="F39" s="309">
        <v>0</v>
      </c>
      <c r="G39" s="309">
        <v>0</v>
      </c>
      <c r="H39" s="309">
        <v>0</v>
      </c>
      <c r="I39" s="309">
        <v>0</v>
      </c>
      <c r="J39" s="310">
        <v>0</v>
      </c>
      <c r="K39" s="310">
        <v>0</v>
      </c>
      <c r="L39" s="309">
        <v>0</v>
      </c>
      <c r="M39" s="309">
        <v>0</v>
      </c>
      <c r="N39" s="309">
        <v>0</v>
      </c>
      <c r="O39" s="310">
        <v>0</v>
      </c>
      <c r="P39" s="310">
        <v>0</v>
      </c>
      <c r="Q39" s="309">
        <v>0</v>
      </c>
      <c r="R39" s="310">
        <v>0</v>
      </c>
      <c r="S39" s="310">
        <v>0</v>
      </c>
      <c r="T39" s="310"/>
      <c r="U39" s="310"/>
      <c r="V39" s="316"/>
    </row>
    <row r="40" spans="1:22">
      <c r="A40" s="311"/>
      <c r="B40" s="312" t="s">
        <v>803</v>
      </c>
      <c r="C40" s="313">
        <v>0</v>
      </c>
      <c r="D40" s="314">
        <v>0</v>
      </c>
      <c r="E40" s="314">
        <v>0</v>
      </c>
      <c r="F40" s="314">
        <v>0</v>
      </c>
      <c r="G40" s="314">
        <v>0</v>
      </c>
      <c r="H40" s="314">
        <v>0</v>
      </c>
      <c r="I40" s="314">
        <v>0</v>
      </c>
      <c r="J40" s="315">
        <v>0</v>
      </c>
      <c r="K40" s="315">
        <v>0</v>
      </c>
      <c r="L40" s="314">
        <v>0</v>
      </c>
      <c r="M40" s="314">
        <v>0</v>
      </c>
      <c r="N40" s="314">
        <v>0</v>
      </c>
      <c r="O40" s="315">
        <v>0</v>
      </c>
      <c r="P40" s="315">
        <v>0</v>
      </c>
      <c r="Q40" s="314">
        <v>0</v>
      </c>
      <c r="R40" s="315">
        <v>0</v>
      </c>
      <c r="S40" s="315">
        <v>0</v>
      </c>
      <c r="T40" s="315"/>
      <c r="U40" s="315"/>
      <c r="V40" s="316"/>
    </row>
    <row r="41" spans="1:22" ht="15.75" thickBot="1">
      <c r="A41" s="329"/>
      <c r="B41" s="330" t="s">
        <v>804</v>
      </c>
      <c r="C41" s="331">
        <v>0</v>
      </c>
      <c r="D41" s="332">
        <v>0</v>
      </c>
      <c r="E41" s="332">
        <v>0</v>
      </c>
      <c r="F41" s="332">
        <v>0</v>
      </c>
      <c r="G41" s="332">
        <v>0</v>
      </c>
      <c r="H41" s="332">
        <v>0</v>
      </c>
      <c r="I41" s="332">
        <v>0</v>
      </c>
      <c r="J41" s="333">
        <v>0</v>
      </c>
      <c r="K41" s="333">
        <v>0</v>
      </c>
      <c r="L41" s="332">
        <v>0</v>
      </c>
      <c r="M41" s="332">
        <v>0</v>
      </c>
      <c r="N41" s="332">
        <v>0</v>
      </c>
      <c r="O41" s="333">
        <v>0</v>
      </c>
      <c r="P41" s="333">
        <v>0</v>
      </c>
      <c r="Q41" s="332">
        <v>0</v>
      </c>
      <c r="R41" s="333">
        <v>0</v>
      </c>
      <c r="S41" s="333">
        <v>0</v>
      </c>
      <c r="T41" s="333"/>
      <c r="U41" s="333"/>
      <c r="V41" s="316"/>
    </row>
    <row r="42" spans="1:22">
      <c r="A42" s="334" t="s">
        <v>102</v>
      </c>
      <c r="B42" s="312" t="s">
        <v>769</v>
      </c>
      <c r="C42" s="313">
        <v>0.88802610975301632</v>
      </c>
      <c r="D42" s="314">
        <v>0.61267628464905166</v>
      </c>
      <c r="E42" s="314">
        <v>0.76643511147790266</v>
      </c>
      <c r="F42" s="314">
        <v>0.83453363780080803</v>
      </c>
      <c r="G42" s="314">
        <v>0.74290198111034322</v>
      </c>
      <c r="H42" s="314">
        <v>0.82640521789705457</v>
      </c>
      <c r="I42" s="314">
        <v>1</v>
      </c>
      <c r="J42" s="315">
        <v>0.80042813562738568</v>
      </c>
      <c r="K42" s="315">
        <v>0</v>
      </c>
      <c r="L42" s="314">
        <v>0.64663156533059574</v>
      </c>
      <c r="M42" s="314">
        <v>0.73029137749805773</v>
      </c>
      <c r="N42" s="314">
        <v>0.65654452661317519</v>
      </c>
      <c r="O42" s="315">
        <v>0.66336891850180413</v>
      </c>
      <c r="P42" s="315">
        <v>0</v>
      </c>
      <c r="Q42" s="314">
        <v>0</v>
      </c>
      <c r="R42" s="315">
        <v>0</v>
      </c>
      <c r="S42" s="315">
        <v>0.7527466339173996</v>
      </c>
      <c r="T42" s="315"/>
      <c r="U42" s="315"/>
      <c r="V42" s="316"/>
    </row>
    <row r="43" spans="1:22">
      <c r="A43" s="311"/>
      <c r="B43" s="312" t="s">
        <v>770</v>
      </c>
      <c r="C43" s="313">
        <v>0.89819440757525426</v>
      </c>
      <c r="D43" s="314">
        <v>0.59573227502280568</v>
      </c>
      <c r="E43" s="314">
        <v>0.77212618414686807</v>
      </c>
      <c r="F43" s="314">
        <v>0.82497833325730963</v>
      </c>
      <c r="G43" s="314">
        <v>0.70998461651161082</v>
      </c>
      <c r="H43" s="314">
        <v>0.81622294417957053</v>
      </c>
      <c r="I43" s="314">
        <v>1</v>
      </c>
      <c r="J43" s="315">
        <v>0.80141850017879257</v>
      </c>
      <c r="K43" s="315">
        <v>0</v>
      </c>
      <c r="L43" s="314">
        <v>0.63175674618938438</v>
      </c>
      <c r="M43" s="314">
        <v>0.68675115207373272</v>
      </c>
      <c r="N43" s="314">
        <v>0.6313469797727902</v>
      </c>
      <c r="O43" s="315">
        <v>0.63929801789797824</v>
      </c>
      <c r="P43" s="315">
        <v>0</v>
      </c>
      <c r="Q43" s="314">
        <v>0</v>
      </c>
      <c r="R43" s="315">
        <v>0</v>
      </c>
      <c r="S43" s="315">
        <v>0.74775481260955035</v>
      </c>
      <c r="T43" s="315"/>
      <c r="U43" s="315"/>
      <c r="V43" s="316"/>
    </row>
    <row r="44" spans="1:22">
      <c r="A44" s="311"/>
      <c r="B44" s="317" t="s">
        <v>771</v>
      </c>
      <c r="C44" s="318">
        <v>1.0168297822237937</v>
      </c>
      <c r="D44" s="319">
        <v>-1.6944009626245982</v>
      </c>
      <c r="E44" s="319">
        <v>0.56910726689654023</v>
      </c>
      <c r="F44" s="319">
        <v>-0.95553045434983996</v>
      </c>
      <c r="G44" s="319">
        <v>-3.2917364598732402</v>
      </c>
      <c r="H44" s="319">
        <v>-1.0182273717484036</v>
      </c>
      <c r="I44" s="319">
        <v>0</v>
      </c>
      <c r="J44" s="320">
        <v>9.9036455140688595E-2</v>
      </c>
      <c r="K44" s="320">
        <v>0</v>
      </c>
      <c r="L44" s="319">
        <v>-1.487481914121136</v>
      </c>
      <c r="M44" s="321">
        <v>-4.3540225424325012</v>
      </c>
      <c r="N44" s="319">
        <v>-2.5197546840384999</v>
      </c>
      <c r="O44" s="320">
        <v>-2.4070900603825884</v>
      </c>
      <c r="P44" s="320">
        <v>0</v>
      </c>
      <c r="Q44" s="319">
        <v>0</v>
      </c>
      <c r="R44" s="320">
        <v>0</v>
      </c>
      <c r="S44" s="320">
        <v>-0.49918213078492535</v>
      </c>
      <c r="T44" s="320"/>
      <c r="U44" s="320"/>
      <c r="V44" s="316"/>
    </row>
    <row r="45" spans="1:22">
      <c r="A45" s="311"/>
      <c r="B45" s="291" t="s">
        <v>772</v>
      </c>
      <c r="C45" s="308">
        <v>1.5447948668843553E-2</v>
      </c>
      <c r="D45" s="309">
        <v>8.2342588518630022E-2</v>
      </c>
      <c r="E45" s="309">
        <v>4.3654109833839112E-2</v>
      </c>
      <c r="F45" s="309">
        <v>2.014358323464583E-2</v>
      </c>
      <c r="G45" s="309">
        <v>5.5949090071412119E-2</v>
      </c>
      <c r="H45" s="309">
        <v>9.758630717460845E-3</v>
      </c>
      <c r="I45" s="309">
        <v>0</v>
      </c>
      <c r="J45" s="310">
        <v>3.3480982081047661E-2</v>
      </c>
      <c r="K45" s="310">
        <v>0</v>
      </c>
      <c r="L45" s="309">
        <v>5.8423632575434384E-2</v>
      </c>
      <c r="M45" s="309">
        <v>6.6149155507968321E-2</v>
      </c>
      <c r="N45" s="309">
        <v>0.10994896372463327</v>
      </c>
      <c r="O45" s="310">
        <v>8.7393874242085584E-2</v>
      </c>
      <c r="P45" s="310">
        <v>0</v>
      </c>
      <c r="Q45" s="309">
        <v>0</v>
      </c>
      <c r="R45" s="310">
        <v>0</v>
      </c>
      <c r="S45" s="310">
        <v>5.2236726595562492E-2</v>
      </c>
      <c r="T45" s="310"/>
      <c r="U45" s="310"/>
      <c r="V45" s="316"/>
    </row>
    <row r="46" spans="1:22">
      <c r="A46" s="311"/>
      <c r="B46" s="312" t="s">
        <v>773</v>
      </c>
      <c r="C46" s="313">
        <v>1.4021595896366403E-2</v>
      </c>
      <c r="D46" s="314">
        <v>9.3550450001410657E-2</v>
      </c>
      <c r="E46" s="314">
        <v>4.7038137202370114E-2</v>
      </c>
      <c r="F46" s="314">
        <v>2.1706655111070564E-2</v>
      </c>
      <c r="G46" s="314">
        <v>8.1385979049153914E-2</v>
      </c>
      <c r="H46" s="314">
        <v>9.3371587696721662E-3</v>
      </c>
      <c r="I46" s="314">
        <v>0</v>
      </c>
      <c r="J46" s="315">
        <v>3.6212722928314824E-2</v>
      </c>
      <c r="K46" s="315">
        <v>0</v>
      </c>
      <c r="L46" s="314">
        <v>5.8805313748244444E-2</v>
      </c>
      <c r="M46" s="314">
        <v>0.10148414204391434</v>
      </c>
      <c r="N46" s="314">
        <v>0.11906691604322527</v>
      </c>
      <c r="O46" s="315">
        <v>9.814214429227941E-2</v>
      </c>
      <c r="P46" s="315">
        <v>0</v>
      </c>
      <c r="Q46" s="314">
        <v>0</v>
      </c>
      <c r="R46" s="315">
        <v>0</v>
      </c>
      <c r="S46" s="315">
        <v>5.6712052023963871E-2</v>
      </c>
      <c r="T46" s="315"/>
      <c r="U46" s="315"/>
      <c r="V46" s="316"/>
    </row>
    <row r="47" spans="1:22">
      <c r="A47" s="311"/>
      <c r="B47" s="317" t="s">
        <v>774</v>
      </c>
      <c r="C47" s="318">
        <v>-0.14263527724771505</v>
      </c>
      <c r="D47" s="319">
        <v>1.1207861482780634</v>
      </c>
      <c r="E47" s="319">
        <v>0.33840273685310018</v>
      </c>
      <c r="F47" s="319">
        <v>0.15630718764247342</v>
      </c>
      <c r="G47" s="319">
        <v>2.5436888977741794</v>
      </c>
      <c r="H47" s="319">
        <v>-4.2147194778867879E-2</v>
      </c>
      <c r="I47" s="319">
        <v>0</v>
      </c>
      <c r="J47" s="320">
        <v>0.27317408472671623</v>
      </c>
      <c r="K47" s="320">
        <v>0</v>
      </c>
      <c r="L47" s="319">
        <v>3.816811728100597E-2</v>
      </c>
      <c r="M47" s="319">
        <v>3.5334986535946022</v>
      </c>
      <c r="N47" s="319">
        <v>0.91179523185919986</v>
      </c>
      <c r="O47" s="320">
        <v>1.0748270050193827</v>
      </c>
      <c r="P47" s="320">
        <v>0</v>
      </c>
      <c r="Q47" s="319">
        <v>0</v>
      </c>
      <c r="R47" s="320">
        <v>0</v>
      </c>
      <c r="S47" s="320">
        <v>0.44753254284013788</v>
      </c>
      <c r="T47" s="320"/>
      <c r="U47" s="320"/>
      <c r="V47" s="316"/>
    </row>
    <row r="48" spans="1:22">
      <c r="A48" s="311"/>
      <c r="B48" s="291" t="s">
        <v>775</v>
      </c>
      <c r="C48" s="308">
        <v>8.9557547189548378E-2</v>
      </c>
      <c r="D48" s="309">
        <v>0.30498112683231826</v>
      </c>
      <c r="E48" s="309">
        <v>0.18435995243262915</v>
      </c>
      <c r="F48" s="309">
        <v>0.14493180646294543</v>
      </c>
      <c r="G48" s="309">
        <v>0.17998445058742224</v>
      </c>
      <c r="H48" s="309">
        <v>0.16287649038261809</v>
      </c>
      <c r="I48" s="309">
        <v>0</v>
      </c>
      <c r="J48" s="310">
        <v>0.16118350542196297</v>
      </c>
      <c r="K48" s="310">
        <v>0</v>
      </c>
      <c r="L48" s="309">
        <v>0.2946530554951573</v>
      </c>
      <c r="M48" s="309">
        <v>0.20355946699397398</v>
      </c>
      <c r="N48" s="309">
        <v>0.21617905581253744</v>
      </c>
      <c r="O48" s="310">
        <v>0.2397537421192866</v>
      </c>
      <c r="P48" s="310">
        <v>0</v>
      </c>
      <c r="Q48" s="309">
        <v>0</v>
      </c>
      <c r="R48" s="310">
        <v>0</v>
      </c>
      <c r="S48" s="310">
        <v>0.1885172882496062</v>
      </c>
      <c r="T48" s="310"/>
      <c r="U48" s="310"/>
      <c r="V48" s="316"/>
    </row>
    <row r="49" spans="1:22">
      <c r="A49" s="311"/>
      <c r="B49" s="312" t="s">
        <v>776</v>
      </c>
      <c r="C49" s="313">
        <v>8.1357365510466517E-2</v>
      </c>
      <c r="D49" s="314">
        <v>0.31071727497578361</v>
      </c>
      <c r="E49" s="314">
        <v>0.17714603047438704</v>
      </c>
      <c r="F49" s="314">
        <v>0.15331501163161976</v>
      </c>
      <c r="G49" s="314">
        <v>0.20862940443923522</v>
      </c>
      <c r="H49" s="314">
        <v>0.17443989705075735</v>
      </c>
      <c r="I49" s="314">
        <v>0</v>
      </c>
      <c r="J49" s="315">
        <v>0.15911025227516534</v>
      </c>
      <c r="K49" s="315">
        <v>0</v>
      </c>
      <c r="L49" s="314">
        <v>0.3090563311114517</v>
      </c>
      <c r="M49" s="314">
        <v>0.21176470588235294</v>
      </c>
      <c r="N49" s="314">
        <v>0.2317972430036021</v>
      </c>
      <c r="O49" s="315">
        <v>0.25261056055380543</v>
      </c>
      <c r="P49" s="315">
        <v>0</v>
      </c>
      <c r="Q49" s="314">
        <v>0</v>
      </c>
      <c r="R49" s="315">
        <v>0</v>
      </c>
      <c r="S49" s="315">
        <v>0.19005989701161313</v>
      </c>
      <c r="T49" s="315"/>
      <c r="U49" s="315"/>
      <c r="V49" s="316"/>
    </row>
    <row r="50" spans="1:22">
      <c r="A50" s="311"/>
      <c r="B50" s="317" t="s">
        <v>777</v>
      </c>
      <c r="C50" s="318">
        <v>-0.82001816790818616</v>
      </c>
      <c r="D50" s="319">
        <v>0.57361481434653472</v>
      </c>
      <c r="E50" s="319">
        <v>-0.72139219582421088</v>
      </c>
      <c r="F50" s="319">
        <v>0.83832051686743292</v>
      </c>
      <c r="G50" s="319">
        <v>2.8644953851812982</v>
      </c>
      <c r="H50" s="319">
        <v>1.1563406668139264</v>
      </c>
      <c r="I50" s="319">
        <v>0</v>
      </c>
      <c r="J50" s="320">
        <v>-0.20732531467976267</v>
      </c>
      <c r="K50" s="320">
        <v>0</v>
      </c>
      <c r="L50" s="319">
        <v>1.4403275616294398</v>
      </c>
      <c r="M50" s="319">
        <v>0.82052388883789573</v>
      </c>
      <c r="N50" s="319">
        <v>1.561818719106467</v>
      </c>
      <c r="O50" s="320">
        <v>1.2856818434518829</v>
      </c>
      <c r="P50" s="320">
        <v>0</v>
      </c>
      <c r="Q50" s="319">
        <v>0</v>
      </c>
      <c r="R50" s="320">
        <v>0</v>
      </c>
      <c r="S50" s="320">
        <v>0.15426087620069306</v>
      </c>
      <c r="T50" s="320"/>
      <c r="U50" s="320"/>
      <c r="V50" s="316"/>
    </row>
    <row r="51" spans="1:22">
      <c r="A51" s="311"/>
      <c r="B51" s="291" t="s">
        <v>778</v>
      </c>
      <c r="C51" s="308">
        <v>1.1748101394161677E-3</v>
      </c>
      <c r="D51" s="309">
        <v>0</v>
      </c>
      <c r="E51" s="309">
        <v>3.4518835249241326E-3</v>
      </c>
      <c r="F51" s="309">
        <v>3.9097250160072077E-4</v>
      </c>
      <c r="G51" s="309">
        <v>2.1164478230822389E-2</v>
      </c>
      <c r="H51" s="309">
        <v>9.5966100286651985E-4</v>
      </c>
      <c r="I51" s="309">
        <v>0</v>
      </c>
      <c r="J51" s="310">
        <v>2.4397295477462549E-3</v>
      </c>
      <c r="K51" s="310">
        <v>0</v>
      </c>
      <c r="L51" s="309">
        <v>2.917465988126464E-4</v>
      </c>
      <c r="M51" s="309">
        <v>0</v>
      </c>
      <c r="N51" s="309">
        <v>1.7219423247530848E-2</v>
      </c>
      <c r="O51" s="310">
        <v>9.4249252285717334E-3</v>
      </c>
      <c r="P51" s="310">
        <v>0</v>
      </c>
      <c r="Q51" s="309">
        <v>0</v>
      </c>
      <c r="R51" s="310">
        <v>0</v>
      </c>
      <c r="S51" s="310">
        <v>4.8698077780537736E-3</v>
      </c>
      <c r="T51" s="310"/>
      <c r="U51" s="310"/>
      <c r="V51" s="316"/>
    </row>
    <row r="52" spans="1:22">
      <c r="A52" s="311"/>
      <c r="B52" s="312" t="s">
        <v>779</v>
      </c>
      <c r="C52" s="313">
        <v>8.1862848731761677E-4</v>
      </c>
      <c r="D52" s="314">
        <v>0</v>
      </c>
      <c r="E52" s="314">
        <v>2.1576053311969704E-3</v>
      </c>
      <c r="F52" s="314">
        <v>0</v>
      </c>
      <c r="G52" s="322">
        <v>0</v>
      </c>
      <c r="H52" s="322">
        <v>0</v>
      </c>
      <c r="I52" s="314">
        <v>0</v>
      </c>
      <c r="J52" s="315">
        <v>1.0296558893806672E-3</v>
      </c>
      <c r="K52" s="315">
        <v>0</v>
      </c>
      <c r="L52" s="314">
        <v>3.816089509194586E-4</v>
      </c>
      <c r="M52" s="314">
        <v>0</v>
      </c>
      <c r="N52" s="314">
        <v>1.7788861180382379E-2</v>
      </c>
      <c r="O52" s="315">
        <v>9.949277255936877E-3</v>
      </c>
      <c r="P52" s="315">
        <v>0</v>
      </c>
      <c r="Q52" s="314">
        <v>0</v>
      </c>
      <c r="R52" s="315">
        <v>0</v>
      </c>
      <c r="S52" s="315">
        <v>3.9821500314947255E-3</v>
      </c>
      <c r="T52" s="315"/>
      <c r="U52" s="315"/>
      <c r="V52" s="316"/>
    </row>
    <row r="53" spans="1:22">
      <c r="A53" s="311"/>
      <c r="B53" s="317" t="s">
        <v>780</v>
      </c>
      <c r="C53" s="318">
        <v>-3.5618165209855092E-2</v>
      </c>
      <c r="D53" s="319">
        <v>0</v>
      </c>
      <c r="E53" s="319">
        <v>-0.12942781937271622</v>
      </c>
      <c r="F53" s="319">
        <v>-3.9097250160072074E-2</v>
      </c>
      <c r="G53" s="321">
        <v>-2.1164478230822388</v>
      </c>
      <c r="H53" s="321">
        <v>-9.5966100286651979E-2</v>
      </c>
      <c r="I53" s="319">
        <v>0</v>
      </c>
      <c r="J53" s="320">
        <v>-0.14100736583655876</v>
      </c>
      <c r="K53" s="320">
        <v>0</v>
      </c>
      <c r="L53" s="319">
        <v>8.9862352106812194E-3</v>
      </c>
      <c r="M53" s="319">
        <v>0</v>
      </c>
      <c r="N53" s="319">
        <v>5.6943793285153116E-2</v>
      </c>
      <c r="O53" s="320">
        <v>5.2435202736514364E-2</v>
      </c>
      <c r="P53" s="320">
        <v>0</v>
      </c>
      <c r="Q53" s="319">
        <v>0</v>
      </c>
      <c r="R53" s="320">
        <v>0</v>
      </c>
      <c r="S53" s="320">
        <v>-8.8765774655904808E-2</v>
      </c>
      <c r="T53" s="320"/>
      <c r="U53" s="320"/>
      <c r="V53" s="316"/>
    </row>
    <row r="54" spans="1:22">
      <c r="A54" s="311"/>
      <c r="B54" s="291" t="s">
        <v>781</v>
      </c>
      <c r="C54" s="308">
        <v>0</v>
      </c>
      <c r="D54" s="309">
        <v>0</v>
      </c>
      <c r="E54" s="309">
        <v>1.8844996653388526E-3</v>
      </c>
      <c r="F54" s="309">
        <v>0</v>
      </c>
      <c r="G54" s="309">
        <v>0</v>
      </c>
      <c r="H54" s="309">
        <v>0</v>
      </c>
      <c r="I54" s="309">
        <v>0</v>
      </c>
      <c r="J54" s="310">
        <v>6.8611478747712749E-4</v>
      </c>
      <c r="K54" s="310">
        <v>0</v>
      </c>
      <c r="L54" s="309">
        <v>0</v>
      </c>
      <c r="M54" s="309">
        <v>0</v>
      </c>
      <c r="N54" s="309">
        <v>6.8746746805731508E-5</v>
      </c>
      <c r="O54" s="310">
        <v>3.7252668887635305E-5</v>
      </c>
      <c r="P54" s="310">
        <v>0</v>
      </c>
      <c r="Q54" s="309">
        <v>0</v>
      </c>
      <c r="R54" s="310">
        <v>0</v>
      </c>
      <c r="S54" s="310">
        <v>4.6038228392195101E-4</v>
      </c>
      <c r="T54" s="310"/>
      <c r="U54" s="310"/>
      <c r="V54" s="316"/>
    </row>
    <row r="55" spans="1:22">
      <c r="A55" s="311"/>
      <c r="B55" s="312" t="s">
        <v>782</v>
      </c>
      <c r="C55" s="313">
        <v>0</v>
      </c>
      <c r="D55" s="314">
        <v>0</v>
      </c>
      <c r="E55" s="314">
        <v>1.5320428451778365E-3</v>
      </c>
      <c r="F55" s="314">
        <v>0</v>
      </c>
      <c r="G55" s="314">
        <v>0</v>
      </c>
      <c r="H55" s="314">
        <v>0</v>
      </c>
      <c r="I55" s="314">
        <v>0</v>
      </c>
      <c r="J55" s="315">
        <v>5.5792761623294667E-4</v>
      </c>
      <c r="K55" s="315">
        <v>0</v>
      </c>
      <c r="L55" s="314">
        <v>0</v>
      </c>
      <c r="M55" s="314">
        <v>0</v>
      </c>
      <c r="N55" s="314">
        <v>0</v>
      </c>
      <c r="O55" s="315">
        <v>0</v>
      </c>
      <c r="P55" s="315">
        <v>0</v>
      </c>
      <c r="Q55" s="314">
        <v>0</v>
      </c>
      <c r="R55" s="315">
        <v>0</v>
      </c>
      <c r="S55" s="315">
        <v>3.7324735336575327E-4</v>
      </c>
      <c r="T55" s="315"/>
      <c r="U55" s="315"/>
      <c r="V55" s="316"/>
    </row>
    <row r="56" spans="1:22">
      <c r="A56" s="311"/>
      <c r="B56" s="317" t="s">
        <v>783</v>
      </c>
      <c r="C56" s="318">
        <v>0</v>
      </c>
      <c r="D56" s="319">
        <v>0</v>
      </c>
      <c r="E56" s="319">
        <v>-3.5245682016101607E-2</v>
      </c>
      <c r="F56" s="319">
        <v>0</v>
      </c>
      <c r="G56" s="319">
        <v>0</v>
      </c>
      <c r="H56" s="319">
        <v>0</v>
      </c>
      <c r="I56" s="319">
        <v>0</v>
      </c>
      <c r="J56" s="320">
        <v>-1.2818717124418082E-2</v>
      </c>
      <c r="K56" s="320">
        <v>0</v>
      </c>
      <c r="L56" s="319">
        <v>0</v>
      </c>
      <c r="M56" s="319">
        <v>0</v>
      </c>
      <c r="N56" s="319">
        <v>-6.8746746805731507E-3</v>
      </c>
      <c r="O56" s="320">
        <v>-3.7252668887635303E-3</v>
      </c>
      <c r="P56" s="320">
        <v>0</v>
      </c>
      <c r="Q56" s="319">
        <v>0</v>
      </c>
      <c r="R56" s="320">
        <v>0</v>
      </c>
      <c r="S56" s="320">
        <v>-8.7134930556197737E-3</v>
      </c>
      <c r="T56" s="320"/>
      <c r="U56" s="320"/>
      <c r="V56" s="316"/>
    </row>
    <row r="57" spans="1:22">
      <c r="A57" s="311"/>
      <c r="B57" s="291" t="s">
        <v>784</v>
      </c>
      <c r="C57" s="308">
        <v>5.7935842491756212E-3</v>
      </c>
      <c r="D57" s="309">
        <v>0</v>
      </c>
      <c r="E57" s="309">
        <v>2.1444306536614528E-4</v>
      </c>
      <c r="F57" s="309">
        <v>0</v>
      </c>
      <c r="G57" s="309">
        <v>0</v>
      </c>
      <c r="H57" s="309">
        <v>0</v>
      </c>
      <c r="I57" s="309">
        <v>0</v>
      </c>
      <c r="J57" s="310">
        <v>1.7815325343802657E-3</v>
      </c>
      <c r="K57" s="310">
        <v>0</v>
      </c>
      <c r="L57" s="309">
        <v>0</v>
      </c>
      <c r="M57" s="309">
        <v>0</v>
      </c>
      <c r="N57" s="309">
        <v>3.9283855317560867E-5</v>
      </c>
      <c r="O57" s="310">
        <v>2.1287239364363032E-5</v>
      </c>
      <c r="P57" s="310">
        <v>0</v>
      </c>
      <c r="Q57" s="309">
        <v>0</v>
      </c>
      <c r="R57" s="310">
        <v>0</v>
      </c>
      <c r="S57" s="310">
        <v>1.1691611754559466E-3</v>
      </c>
      <c r="T57" s="310"/>
      <c r="U57" s="310"/>
      <c r="V57" s="316"/>
    </row>
    <row r="58" spans="1:22">
      <c r="A58" s="311"/>
      <c r="B58" s="312" t="s">
        <v>785</v>
      </c>
      <c r="C58" s="313">
        <v>5.6080025305952465E-3</v>
      </c>
      <c r="D58" s="314">
        <v>0</v>
      </c>
      <c r="E58" s="314">
        <v>0</v>
      </c>
      <c r="F58" s="314">
        <v>0</v>
      </c>
      <c r="G58" s="314">
        <v>0</v>
      </c>
      <c r="H58" s="314">
        <v>0</v>
      </c>
      <c r="I58" s="314">
        <v>0</v>
      </c>
      <c r="J58" s="315">
        <v>1.6709411121136127E-3</v>
      </c>
      <c r="K58" s="315">
        <v>0</v>
      </c>
      <c r="L58" s="314">
        <v>0</v>
      </c>
      <c r="M58" s="314">
        <v>0</v>
      </c>
      <c r="N58" s="314">
        <v>0</v>
      </c>
      <c r="O58" s="315">
        <v>0</v>
      </c>
      <c r="P58" s="315">
        <v>0</v>
      </c>
      <c r="Q58" s="314">
        <v>0</v>
      </c>
      <c r="R58" s="315">
        <v>0</v>
      </c>
      <c r="S58" s="315">
        <v>1.117840970012205E-3</v>
      </c>
      <c r="T58" s="315"/>
      <c r="U58" s="315"/>
      <c r="V58" s="316"/>
    </row>
    <row r="59" spans="1:22" ht="15.75" thickBot="1">
      <c r="A59" s="311"/>
      <c r="B59" s="325" t="s">
        <v>786</v>
      </c>
      <c r="C59" s="326">
        <v>-1.8558171858037466E-2</v>
      </c>
      <c r="D59" s="327">
        <v>0</v>
      </c>
      <c r="E59" s="327">
        <v>-2.1444306536614527E-2</v>
      </c>
      <c r="F59" s="327">
        <v>0</v>
      </c>
      <c r="G59" s="327">
        <v>0</v>
      </c>
      <c r="H59" s="327">
        <v>0</v>
      </c>
      <c r="I59" s="327">
        <v>0</v>
      </c>
      <c r="J59" s="328">
        <v>-1.1059142226665302E-2</v>
      </c>
      <c r="K59" s="328">
        <v>0</v>
      </c>
      <c r="L59" s="327">
        <v>0</v>
      </c>
      <c r="M59" s="327">
        <v>0</v>
      </c>
      <c r="N59" s="327">
        <v>-3.9283855317560866E-3</v>
      </c>
      <c r="O59" s="328">
        <v>-2.128723936436303E-3</v>
      </c>
      <c r="P59" s="328">
        <v>0</v>
      </c>
      <c r="Q59" s="327">
        <v>0</v>
      </c>
      <c r="R59" s="328">
        <v>0</v>
      </c>
      <c r="S59" s="328">
        <v>-5.1320205443741544E-3</v>
      </c>
      <c r="T59" s="328"/>
      <c r="U59" s="328"/>
      <c r="V59" s="316"/>
    </row>
    <row r="60" spans="1:22" ht="15.75" thickTop="1">
      <c r="A60" s="311"/>
      <c r="B60" s="312" t="s">
        <v>787</v>
      </c>
      <c r="C60" s="313">
        <v>0.72800311816330121</v>
      </c>
      <c r="D60" s="314">
        <v>0.49512132344338627</v>
      </c>
      <c r="E60" s="314">
        <v>0.39606707973493455</v>
      </c>
      <c r="F60" s="314">
        <v>0.31049371128214753</v>
      </c>
      <c r="G60" s="314">
        <v>0.17082477252714998</v>
      </c>
      <c r="H60" s="314">
        <v>0.7646276595744681</v>
      </c>
      <c r="I60" s="314">
        <v>1</v>
      </c>
      <c r="J60" s="315">
        <v>0.59359919417609086</v>
      </c>
      <c r="K60" s="315">
        <v>0</v>
      </c>
      <c r="L60" s="314">
        <v>0</v>
      </c>
      <c r="M60" s="314">
        <v>0</v>
      </c>
      <c r="N60" s="314">
        <v>0</v>
      </c>
      <c r="O60" s="315">
        <v>0</v>
      </c>
      <c r="P60" s="315">
        <v>0</v>
      </c>
      <c r="Q60" s="314">
        <v>0</v>
      </c>
      <c r="R60" s="315">
        <v>0</v>
      </c>
      <c r="S60" s="315">
        <v>0.59359919417609086</v>
      </c>
      <c r="T60" s="315"/>
      <c r="U60" s="315"/>
      <c r="V60" s="316"/>
    </row>
    <row r="61" spans="1:22">
      <c r="A61" s="311"/>
      <c r="B61" s="312" t="s">
        <v>788</v>
      </c>
      <c r="C61" s="313">
        <v>0.71494983486009844</v>
      </c>
      <c r="D61" s="314">
        <v>0.48298217179902753</v>
      </c>
      <c r="E61" s="314">
        <v>0.37768349343412461</v>
      </c>
      <c r="F61" s="314">
        <v>0.31051127967687914</v>
      </c>
      <c r="G61" s="314">
        <v>0.13561253561253561</v>
      </c>
      <c r="H61" s="314">
        <v>0.74454828660436134</v>
      </c>
      <c r="I61" s="314">
        <v>1</v>
      </c>
      <c r="J61" s="315">
        <v>0.5777984006661</v>
      </c>
      <c r="K61" s="315">
        <v>0</v>
      </c>
      <c r="L61" s="314">
        <v>0</v>
      </c>
      <c r="M61" s="314">
        <v>0</v>
      </c>
      <c r="N61" s="314">
        <v>0</v>
      </c>
      <c r="O61" s="315">
        <v>0</v>
      </c>
      <c r="P61" s="315">
        <v>0</v>
      </c>
      <c r="Q61" s="314">
        <v>0</v>
      </c>
      <c r="R61" s="315">
        <v>0</v>
      </c>
      <c r="S61" s="315">
        <v>0.5777984006661</v>
      </c>
      <c r="T61" s="315"/>
      <c r="U61" s="315"/>
      <c r="V61" s="316"/>
    </row>
    <row r="62" spans="1:22">
      <c r="A62" s="311"/>
      <c r="B62" s="317" t="s">
        <v>789</v>
      </c>
      <c r="C62" s="318">
        <v>-1.3053283303202767</v>
      </c>
      <c r="D62" s="319">
        <v>-1.2139151644358748</v>
      </c>
      <c r="E62" s="319">
        <v>-1.838358630080994</v>
      </c>
      <c r="F62" s="319">
        <v>1.7568394731604098E-3</v>
      </c>
      <c r="G62" s="319">
        <v>-3.5212236914614365</v>
      </c>
      <c r="H62" s="319">
        <v>-2.0079372970106757</v>
      </c>
      <c r="I62" s="319">
        <v>0</v>
      </c>
      <c r="J62" s="320">
        <v>-1.5800793509990863</v>
      </c>
      <c r="K62" s="320">
        <v>0</v>
      </c>
      <c r="L62" s="319">
        <v>0</v>
      </c>
      <c r="M62" s="319">
        <v>0</v>
      </c>
      <c r="N62" s="319">
        <v>0</v>
      </c>
      <c r="O62" s="320">
        <v>0</v>
      </c>
      <c r="P62" s="320">
        <v>0</v>
      </c>
      <c r="Q62" s="319">
        <v>0</v>
      </c>
      <c r="R62" s="320">
        <v>0</v>
      </c>
      <c r="S62" s="320">
        <v>-1.5800793509990863</v>
      </c>
      <c r="T62" s="320"/>
      <c r="U62" s="320"/>
      <c r="V62" s="316"/>
    </row>
    <row r="63" spans="1:22">
      <c r="A63" s="311"/>
      <c r="B63" s="291" t="s">
        <v>790</v>
      </c>
      <c r="C63" s="308">
        <v>3.9542837025674557E-2</v>
      </c>
      <c r="D63" s="309">
        <v>0.28331422420853125</v>
      </c>
      <c r="E63" s="309">
        <v>3.3890736266277521E-3</v>
      </c>
      <c r="F63" s="309">
        <v>0.15017833677492021</v>
      </c>
      <c r="G63" s="309">
        <v>0</v>
      </c>
      <c r="H63" s="309">
        <v>0</v>
      </c>
      <c r="I63" s="309">
        <v>0</v>
      </c>
      <c r="J63" s="310">
        <v>5.5180623597820611E-2</v>
      </c>
      <c r="K63" s="310">
        <v>0</v>
      </c>
      <c r="L63" s="309">
        <v>0</v>
      </c>
      <c r="M63" s="309">
        <v>0</v>
      </c>
      <c r="N63" s="309">
        <v>0</v>
      </c>
      <c r="O63" s="310">
        <v>0</v>
      </c>
      <c r="P63" s="310">
        <v>0</v>
      </c>
      <c r="Q63" s="309">
        <v>0</v>
      </c>
      <c r="R63" s="310">
        <v>0</v>
      </c>
      <c r="S63" s="310">
        <v>5.5180623597820611E-2</v>
      </c>
      <c r="T63" s="310"/>
      <c r="U63" s="310"/>
      <c r="V63" s="316"/>
    </row>
    <row r="64" spans="1:22">
      <c r="A64" s="311"/>
      <c r="B64" s="312" t="s">
        <v>791</v>
      </c>
      <c r="C64" s="313">
        <v>2.4677509814918678E-2</v>
      </c>
      <c r="D64" s="314">
        <v>0.26543181291965734</v>
      </c>
      <c r="E64" s="314">
        <v>9.2997893541688446E-3</v>
      </c>
      <c r="F64" s="314">
        <v>1.1673726726430893E-2</v>
      </c>
      <c r="G64" s="314">
        <v>0</v>
      </c>
      <c r="H64" s="314">
        <v>0</v>
      </c>
      <c r="I64" s="314">
        <v>0</v>
      </c>
      <c r="J64" s="315">
        <v>4.3151948284734627E-2</v>
      </c>
      <c r="K64" s="315">
        <v>0</v>
      </c>
      <c r="L64" s="314">
        <v>0</v>
      </c>
      <c r="M64" s="314">
        <v>0</v>
      </c>
      <c r="N64" s="314">
        <v>0</v>
      </c>
      <c r="O64" s="315">
        <v>0</v>
      </c>
      <c r="P64" s="315">
        <v>0</v>
      </c>
      <c r="Q64" s="314">
        <v>0</v>
      </c>
      <c r="R64" s="315">
        <v>0</v>
      </c>
      <c r="S64" s="315">
        <v>4.3151948284734627E-2</v>
      </c>
      <c r="T64" s="315"/>
      <c r="U64" s="315"/>
      <c r="V64" s="316"/>
    </row>
    <row r="65" spans="1:23">
      <c r="A65" s="311"/>
      <c r="B65" s="317" t="s">
        <v>792</v>
      </c>
      <c r="C65" s="318">
        <v>-1.4865327210755879</v>
      </c>
      <c r="D65" s="319">
        <v>-1.7882411288873912</v>
      </c>
      <c r="E65" s="319">
        <v>0.59107157275410915</v>
      </c>
      <c r="F65" s="321">
        <v>-13.850461004848933</v>
      </c>
      <c r="G65" s="319">
        <v>0</v>
      </c>
      <c r="H65" s="319">
        <v>0</v>
      </c>
      <c r="I65" s="319">
        <v>0</v>
      </c>
      <c r="J65" s="320">
        <v>-1.2028675313085984</v>
      </c>
      <c r="K65" s="320">
        <v>0</v>
      </c>
      <c r="L65" s="319">
        <v>0</v>
      </c>
      <c r="M65" s="319">
        <v>0</v>
      </c>
      <c r="N65" s="319">
        <v>0</v>
      </c>
      <c r="O65" s="320">
        <v>0</v>
      </c>
      <c r="P65" s="320">
        <v>0</v>
      </c>
      <c r="Q65" s="319">
        <v>0</v>
      </c>
      <c r="R65" s="320">
        <v>0</v>
      </c>
      <c r="S65" s="320">
        <v>-1.2028675313085984</v>
      </c>
      <c r="T65" s="320"/>
      <c r="U65" s="320"/>
      <c r="V65" s="316"/>
    </row>
    <row r="66" spans="1:23">
      <c r="A66" s="311"/>
      <c r="B66" s="291" t="s">
        <v>793</v>
      </c>
      <c r="C66" s="308">
        <v>0.23226544622425629</v>
      </c>
      <c r="D66" s="309">
        <v>0.22156445234808245</v>
      </c>
      <c r="E66" s="309">
        <v>0.56112692678803533</v>
      </c>
      <c r="F66" s="309">
        <v>0.53932795194293226</v>
      </c>
      <c r="G66" s="309">
        <v>0.82917522747285</v>
      </c>
      <c r="H66" s="309">
        <v>0.23537234042553193</v>
      </c>
      <c r="I66" s="309">
        <v>0</v>
      </c>
      <c r="J66" s="310">
        <v>0.33608656502296902</v>
      </c>
      <c r="K66" s="310">
        <v>0</v>
      </c>
      <c r="L66" s="309">
        <v>0</v>
      </c>
      <c r="M66" s="309">
        <v>0</v>
      </c>
      <c r="N66" s="309">
        <v>0</v>
      </c>
      <c r="O66" s="310">
        <v>0</v>
      </c>
      <c r="P66" s="310">
        <v>0</v>
      </c>
      <c r="Q66" s="309">
        <v>0</v>
      </c>
      <c r="R66" s="310">
        <v>0</v>
      </c>
      <c r="S66" s="310">
        <v>0.33608656502296902</v>
      </c>
      <c r="T66" s="310"/>
      <c r="U66" s="310"/>
      <c r="V66" s="316"/>
    </row>
    <row r="67" spans="1:23">
      <c r="A67" s="311"/>
      <c r="B67" s="312" t="s">
        <v>794</v>
      </c>
      <c r="C67" s="313">
        <v>0.26037265532498288</v>
      </c>
      <c r="D67" s="314">
        <v>0.25158601528131513</v>
      </c>
      <c r="E67" s="314">
        <v>0.57424892062685806</v>
      </c>
      <c r="F67" s="314">
        <v>0.67559846320559547</v>
      </c>
      <c r="G67" s="314">
        <v>0.86438746438746439</v>
      </c>
      <c r="H67" s="314">
        <v>0.2554517133956386</v>
      </c>
      <c r="I67" s="314">
        <v>0</v>
      </c>
      <c r="J67" s="315">
        <v>0.36391495660520273</v>
      </c>
      <c r="K67" s="315">
        <v>0</v>
      </c>
      <c r="L67" s="314">
        <v>0</v>
      </c>
      <c r="M67" s="314">
        <v>0</v>
      </c>
      <c r="N67" s="314">
        <v>0</v>
      </c>
      <c r="O67" s="315">
        <v>0</v>
      </c>
      <c r="P67" s="315">
        <v>0</v>
      </c>
      <c r="Q67" s="314">
        <v>0</v>
      </c>
      <c r="R67" s="315">
        <v>0</v>
      </c>
      <c r="S67" s="315">
        <v>0.36391495660520273</v>
      </c>
      <c r="T67" s="315"/>
      <c r="U67" s="315"/>
      <c r="V67" s="316"/>
    </row>
    <row r="68" spans="1:23">
      <c r="A68" s="311"/>
      <c r="B68" s="317" t="s">
        <v>795</v>
      </c>
      <c r="C68" s="318">
        <v>2.8107209100726589</v>
      </c>
      <c r="D68" s="319">
        <v>3.0021562933232686</v>
      </c>
      <c r="E68" s="319">
        <v>1.3121993838822732</v>
      </c>
      <c r="F68" s="321">
        <v>13.62705112626632</v>
      </c>
      <c r="G68" s="319">
        <v>3.5212236914614392</v>
      </c>
      <c r="H68" s="319">
        <v>2.0079372970106673</v>
      </c>
      <c r="I68" s="319">
        <v>0</v>
      </c>
      <c r="J68" s="320">
        <v>2.7828391582233714</v>
      </c>
      <c r="K68" s="320">
        <v>0</v>
      </c>
      <c r="L68" s="319">
        <v>0</v>
      </c>
      <c r="M68" s="319">
        <v>0</v>
      </c>
      <c r="N68" s="319">
        <v>0</v>
      </c>
      <c r="O68" s="320">
        <v>0</v>
      </c>
      <c r="P68" s="320">
        <v>0</v>
      </c>
      <c r="Q68" s="319">
        <v>0</v>
      </c>
      <c r="R68" s="320">
        <v>0</v>
      </c>
      <c r="S68" s="320">
        <v>2.7828391582233714</v>
      </c>
      <c r="T68" s="320"/>
      <c r="U68" s="320"/>
      <c r="V68" s="316"/>
    </row>
    <row r="69" spans="1:23">
      <c r="A69" s="311"/>
      <c r="B69" s="291" t="s">
        <v>796</v>
      </c>
      <c r="C69" s="308">
        <v>3.7719717353584631E-5</v>
      </c>
      <c r="D69" s="309">
        <v>0</v>
      </c>
      <c r="E69" s="309">
        <v>3.5613183097693041E-2</v>
      </c>
      <c r="F69" s="309">
        <v>0</v>
      </c>
      <c r="G69" s="309">
        <v>0</v>
      </c>
      <c r="H69" s="309">
        <v>0</v>
      </c>
      <c r="I69" s="309">
        <v>0</v>
      </c>
      <c r="J69" s="310">
        <v>1.3641011553195061E-2</v>
      </c>
      <c r="K69" s="310">
        <v>0</v>
      </c>
      <c r="L69" s="309">
        <v>0</v>
      </c>
      <c r="M69" s="309">
        <v>0</v>
      </c>
      <c r="N69" s="309">
        <v>0</v>
      </c>
      <c r="O69" s="310">
        <v>0</v>
      </c>
      <c r="P69" s="310">
        <v>0</v>
      </c>
      <c r="Q69" s="309">
        <v>0</v>
      </c>
      <c r="R69" s="310">
        <v>0</v>
      </c>
      <c r="S69" s="310">
        <v>1.3641011553195061E-2</v>
      </c>
      <c r="T69" s="310"/>
      <c r="U69" s="310"/>
      <c r="V69" s="316"/>
    </row>
    <row r="70" spans="1:23">
      <c r="A70" s="311"/>
      <c r="B70" s="312" t="s">
        <v>797</v>
      </c>
      <c r="C70" s="313">
        <v>0</v>
      </c>
      <c r="D70" s="314">
        <v>0</v>
      </c>
      <c r="E70" s="314">
        <v>3.5137517367076508E-2</v>
      </c>
      <c r="F70" s="322">
        <v>2.2165303910944736E-3</v>
      </c>
      <c r="G70" s="314">
        <v>0</v>
      </c>
      <c r="H70" s="314">
        <v>0</v>
      </c>
      <c r="I70" s="314">
        <v>0</v>
      </c>
      <c r="J70" s="315">
        <v>1.3729639716213637E-2</v>
      </c>
      <c r="K70" s="315">
        <v>0</v>
      </c>
      <c r="L70" s="314">
        <v>0</v>
      </c>
      <c r="M70" s="314">
        <v>0</v>
      </c>
      <c r="N70" s="314">
        <v>0</v>
      </c>
      <c r="O70" s="315">
        <v>0</v>
      </c>
      <c r="P70" s="315">
        <v>0</v>
      </c>
      <c r="Q70" s="314">
        <v>0</v>
      </c>
      <c r="R70" s="315">
        <v>0</v>
      </c>
      <c r="S70" s="315">
        <v>1.3729639716213637E-2</v>
      </c>
      <c r="T70" s="315"/>
      <c r="U70" s="315"/>
      <c r="V70" s="316"/>
    </row>
    <row r="71" spans="1:23">
      <c r="A71" s="311"/>
      <c r="B71" s="317" t="s">
        <v>798</v>
      </c>
      <c r="C71" s="318">
        <v>-3.7719717353584632E-3</v>
      </c>
      <c r="D71" s="319">
        <v>0</v>
      </c>
      <c r="E71" s="319">
        <v>-4.7566573061653267E-2</v>
      </c>
      <c r="F71" s="319">
        <v>0</v>
      </c>
      <c r="G71" s="319">
        <v>0</v>
      </c>
      <c r="H71" s="319">
        <v>0</v>
      </c>
      <c r="I71" s="319">
        <v>0</v>
      </c>
      <c r="J71" s="320">
        <v>8.8628163018576386E-3</v>
      </c>
      <c r="K71" s="320">
        <v>0</v>
      </c>
      <c r="L71" s="319">
        <v>0</v>
      </c>
      <c r="M71" s="319">
        <v>0</v>
      </c>
      <c r="N71" s="319">
        <v>0</v>
      </c>
      <c r="O71" s="320">
        <v>0</v>
      </c>
      <c r="P71" s="320">
        <v>0</v>
      </c>
      <c r="Q71" s="319">
        <v>0</v>
      </c>
      <c r="R71" s="320">
        <v>0</v>
      </c>
      <c r="S71" s="320">
        <v>8.8628163018576386E-3</v>
      </c>
      <c r="T71" s="320"/>
      <c r="U71" s="320"/>
      <c r="V71" s="316"/>
    </row>
    <row r="72" spans="1:23">
      <c r="A72" s="311"/>
      <c r="B72" s="291" t="s">
        <v>799</v>
      </c>
      <c r="C72" s="308">
        <v>1.5087886941433852E-4</v>
      </c>
      <c r="D72" s="309">
        <v>0</v>
      </c>
      <c r="E72" s="309">
        <v>3.8037367527092654E-3</v>
      </c>
      <c r="F72" s="309">
        <v>0</v>
      </c>
      <c r="G72" s="309">
        <v>0</v>
      </c>
      <c r="H72" s="309">
        <v>0</v>
      </c>
      <c r="I72" s="309">
        <v>0</v>
      </c>
      <c r="J72" s="310">
        <v>1.492605649924454E-3</v>
      </c>
      <c r="K72" s="310">
        <v>0</v>
      </c>
      <c r="L72" s="309">
        <v>0</v>
      </c>
      <c r="M72" s="309">
        <v>0</v>
      </c>
      <c r="N72" s="309">
        <v>0</v>
      </c>
      <c r="O72" s="310">
        <v>0</v>
      </c>
      <c r="P72" s="310">
        <v>0</v>
      </c>
      <c r="Q72" s="309">
        <v>0</v>
      </c>
      <c r="R72" s="310">
        <v>0</v>
      </c>
      <c r="S72" s="310">
        <v>1.492605649924454E-3</v>
      </c>
      <c r="T72" s="310"/>
      <c r="U72" s="310"/>
      <c r="V72" s="316"/>
    </row>
    <row r="73" spans="1:23">
      <c r="A73" s="311"/>
      <c r="B73" s="312" t="s">
        <v>800</v>
      </c>
      <c r="C73" s="313">
        <v>0</v>
      </c>
      <c r="D73" s="314">
        <v>0</v>
      </c>
      <c r="E73" s="314">
        <v>3.6302792177719347E-3</v>
      </c>
      <c r="F73" s="314">
        <v>0</v>
      </c>
      <c r="G73" s="314">
        <v>0</v>
      </c>
      <c r="H73" s="314">
        <v>0</v>
      </c>
      <c r="I73" s="314">
        <v>0</v>
      </c>
      <c r="J73" s="315">
        <v>1.4050547277489635E-3</v>
      </c>
      <c r="K73" s="315">
        <v>0</v>
      </c>
      <c r="L73" s="314">
        <v>0</v>
      </c>
      <c r="M73" s="314">
        <v>0</v>
      </c>
      <c r="N73" s="314">
        <v>0</v>
      </c>
      <c r="O73" s="315">
        <v>0</v>
      </c>
      <c r="P73" s="315">
        <v>0</v>
      </c>
      <c r="Q73" s="314">
        <v>0</v>
      </c>
      <c r="R73" s="315">
        <v>0</v>
      </c>
      <c r="S73" s="315">
        <v>1.4050547277489635E-3</v>
      </c>
      <c r="T73" s="315"/>
      <c r="U73" s="315"/>
      <c r="V73" s="316"/>
    </row>
    <row r="74" spans="1:23">
      <c r="A74" s="311"/>
      <c r="B74" s="317" t="s">
        <v>801</v>
      </c>
      <c r="C74" s="318">
        <v>-1.5087886941433853E-2</v>
      </c>
      <c r="D74" s="319">
        <v>0</v>
      </c>
      <c r="E74" s="319">
        <v>-1.7345753493733067E-2</v>
      </c>
      <c r="F74" s="319">
        <v>0</v>
      </c>
      <c r="G74" s="319">
        <v>0</v>
      </c>
      <c r="H74" s="319">
        <v>0</v>
      </c>
      <c r="I74" s="319">
        <v>0</v>
      </c>
      <c r="J74" s="320">
        <v>-8.7550922175490525E-3</v>
      </c>
      <c r="K74" s="320">
        <v>0</v>
      </c>
      <c r="L74" s="319">
        <v>0</v>
      </c>
      <c r="M74" s="319">
        <v>0</v>
      </c>
      <c r="N74" s="319">
        <v>0</v>
      </c>
      <c r="O74" s="320">
        <v>0</v>
      </c>
      <c r="P74" s="320">
        <v>0</v>
      </c>
      <c r="Q74" s="319">
        <v>0</v>
      </c>
      <c r="R74" s="320">
        <v>0</v>
      </c>
      <c r="S74" s="320">
        <v>-8.7550922175490525E-3</v>
      </c>
      <c r="T74" s="320"/>
      <c r="U74" s="320"/>
      <c r="V74" s="316"/>
    </row>
    <row r="75" spans="1:23">
      <c r="A75" s="311"/>
      <c r="B75" s="291" t="s">
        <v>802</v>
      </c>
      <c r="C75" s="308">
        <v>0</v>
      </c>
      <c r="D75" s="309">
        <v>0</v>
      </c>
      <c r="E75" s="309">
        <v>0</v>
      </c>
      <c r="F75" s="309">
        <v>0</v>
      </c>
      <c r="G75" s="309">
        <v>0</v>
      </c>
      <c r="H75" s="309">
        <v>0</v>
      </c>
      <c r="I75" s="309">
        <v>0</v>
      </c>
      <c r="J75" s="310">
        <v>0</v>
      </c>
      <c r="K75" s="310">
        <v>0</v>
      </c>
      <c r="L75" s="309">
        <v>0</v>
      </c>
      <c r="M75" s="309">
        <v>0</v>
      </c>
      <c r="N75" s="309">
        <v>0</v>
      </c>
      <c r="O75" s="310">
        <v>0</v>
      </c>
      <c r="P75" s="310">
        <v>0</v>
      </c>
      <c r="Q75" s="309">
        <v>0</v>
      </c>
      <c r="R75" s="310">
        <v>0</v>
      </c>
      <c r="S75" s="310">
        <v>0</v>
      </c>
      <c r="T75" s="310"/>
      <c r="U75" s="310"/>
      <c r="V75" s="316"/>
    </row>
    <row r="76" spans="1:23">
      <c r="A76" s="311"/>
      <c r="B76" s="312" t="s">
        <v>803</v>
      </c>
      <c r="C76" s="313">
        <v>0</v>
      </c>
      <c r="D76" s="314">
        <v>0</v>
      </c>
      <c r="E76" s="314">
        <v>0</v>
      </c>
      <c r="F76" s="314">
        <v>0</v>
      </c>
      <c r="G76" s="314">
        <v>0</v>
      </c>
      <c r="H76" s="314">
        <v>0</v>
      </c>
      <c r="I76" s="314">
        <v>0</v>
      </c>
      <c r="J76" s="315">
        <v>0</v>
      </c>
      <c r="K76" s="315">
        <v>0</v>
      </c>
      <c r="L76" s="314">
        <v>0</v>
      </c>
      <c r="M76" s="314">
        <v>0</v>
      </c>
      <c r="N76" s="314">
        <v>0</v>
      </c>
      <c r="O76" s="315">
        <v>0</v>
      </c>
      <c r="P76" s="315">
        <v>0</v>
      </c>
      <c r="Q76" s="314">
        <v>0</v>
      </c>
      <c r="R76" s="315">
        <v>0</v>
      </c>
      <c r="S76" s="315">
        <v>0</v>
      </c>
      <c r="T76" s="315"/>
      <c r="U76" s="315"/>
      <c r="V76" s="316"/>
      <c r="W76" s="335"/>
    </row>
    <row r="77" spans="1:23" ht="15.75" thickBot="1">
      <c r="A77" s="329"/>
      <c r="B77" s="330" t="s">
        <v>804</v>
      </c>
      <c r="C77" s="331">
        <v>0</v>
      </c>
      <c r="D77" s="332">
        <v>0</v>
      </c>
      <c r="E77" s="332">
        <v>0</v>
      </c>
      <c r="F77" s="332">
        <v>0</v>
      </c>
      <c r="G77" s="332">
        <v>0</v>
      </c>
      <c r="H77" s="332">
        <v>0</v>
      </c>
      <c r="I77" s="332">
        <v>0</v>
      </c>
      <c r="J77" s="333">
        <v>0</v>
      </c>
      <c r="K77" s="333">
        <v>0</v>
      </c>
      <c r="L77" s="332">
        <v>0</v>
      </c>
      <c r="M77" s="332">
        <v>0</v>
      </c>
      <c r="N77" s="332">
        <v>0</v>
      </c>
      <c r="O77" s="333">
        <v>0</v>
      </c>
      <c r="P77" s="333">
        <v>0</v>
      </c>
      <c r="Q77" s="332">
        <v>0</v>
      </c>
      <c r="R77" s="333">
        <v>0</v>
      </c>
      <c r="S77" s="333">
        <v>0</v>
      </c>
      <c r="T77" s="333"/>
      <c r="U77" s="333"/>
      <c r="V77" s="316"/>
    </row>
    <row r="78" spans="1:23">
      <c r="A78" s="307" t="s">
        <v>524</v>
      </c>
      <c r="B78" s="291" t="s">
        <v>769</v>
      </c>
      <c r="C78" s="308">
        <v>0.97167301032749187</v>
      </c>
      <c r="D78" s="309">
        <v>0</v>
      </c>
      <c r="E78" s="309">
        <v>0.9816308166196549</v>
      </c>
      <c r="F78" s="309">
        <v>0</v>
      </c>
      <c r="G78" s="309">
        <v>0</v>
      </c>
      <c r="H78" s="309">
        <v>0</v>
      </c>
      <c r="I78" s="309">
        <v>0</v>
      </c>
      <c r="J78" s="310">
        <v>0.97339291185019694</v>
      </c>
      <c r="K78" s="310">
        <v>0</v>
      </c>
      <c r="L78" s="309">
        <v>0</v>
      </c>
      <c r="M78" s="309">
        <v>0.89394331673430683</v>
      </c>
      <c r="N78" s="309">
        <v>0</v>
      </c>
      <c r="O78" s="310">
        <v>0.89394331673430683</v>
      </c>
      <c r="P78" s="310">
        <v>0</v>
      </c>
      <c r="Q78" s="309">
        <v>0</v>
      </c>
      <c r="R78" s="310">
        <v>0</v>
      </c>
      <c r="S78" s="310">
        <v>0.94894635777485326</v>
      </c>
      <c r="T78" s="310"/>
      <c r="U78" s="310"/>
      <c r="V78" s="316"/>
    </row>
    <row r="79" spans="1:23">
      <c r="A79" s="311"/>
      <c r="B79" s="312" t="s">
        <v>770</v>
      </c>
      <c r="C79" s="313">
        <v>0.96921737321819812</v>
      </c>
      <c r="D79" s="314">
        <v>0</v>
      </c>
      <c r="E79" s="314">
        <v>0.96862700078719499</v>
      </c>
      <c r="F79" s="314">
        <v>0</v>
      </c>
      <c r="G79" s="314">
        <v>0</v>
      </c>
      <c r="H79" s="314">
        <v>0</v>
      </c>
      <c r="I79" s="314">
        <v>0</v>
      </c>
      <c r="J79" s="315">
        <v>0.96911292136054028</v>
      </c>
      <c r="K79" s="315">
        <v>0</v>
      </c>
      <c r="L79" s="314">
        <v>0</v>
      </c>
      <c r="M79" s="314">
        <v>0.87471846537536124</v>
      </c>
      <c r="N79" s="314">
        <v>0</v>
      </c>
      <c r="O79" s="315">
        <v>0.87471846537536124</v>
      </c>
      <c r="P79" s="315">
        <v>0</v>
      </c>
      <c r="Q79" s="314">
        <v>0</v>
      </c>
      <c r="R79" s="315">
        <v>0</v>
      </c>
      <c r="S79" s="315">
        <v>0.94232923430547555</v>
      </c>
      <c r="T79" s="315"/>
      <c r="U79" s="315"/>
      <c r="V79" s="316"/>
    </row>
    <row r="80" spans="1:23">
      <c r="A80" s="311"/>
      <c r="B80" s="317" t="s">
        <v>771</v>
      </c>
      <c r="C80" s="318">
        <v>-0.24556371092937512</v>
      </c>
      <c r="D80" s="319">
        <v>0</v>
      </c>
      <c r="E80" s="319">
        <v>-1.3003815832459908</v>
      </c>
      <c r="F80" s="319">
        <v>0</v>
      </c>
      <c r="G80" s="319">
        <v>0</v>
      </c>
      <c r="H80" s="319">
        <v>0</v>
      </c>
      <c r="I80" s="319">
        <v>0</v>
      </c>
      <c r="J80" s="320">
        <v>-0.42799904896566598</v>
      </c>
      <c r="K80" s="320">
        <v>0</v>
      </c>
      <c r="L80" s="319">
        <v>0</v>
      </c>
      <c r="M80" s="319">
        <v>-1.9224851358945583</v>
      </c>
      <c r="N80" s="319">
        <v>0</v>
      </c>
      <c r="O80" s="320">
        <v>-1.9224851358945583</v>
      </c>
      <c r="P80" s="320">
        <v>0</v>
      </c>
      <c r="Q80" s="319">
        <v>0</v>
      </c>
      <c r="R80" s="320">
        <v>0</v>
      </c>
      <c r="S80" s="320">
        <v>-0.66171234693777059</v>
      </c>
      <c r="T80" s="320"/>
      <c r="U80" s="320"/>
      <c r="V80" s="316"/>
    </row>
    <row r="81" spans="1:22">
      <c r="A81" s="311"/>
      <c r="B81" s="291" t="s">
        <v>772</v>
      </c>
      <c r="C81" s="308">
        <v>0</v>
      </c>
      <c r="D81" s="309">
        <v>0</v>
      </c>
      <c r="E81" s="309">
        <v>0</v>
      </c>
      <c r="F81" s="309">
        <v>0</v>
      </c>
      <c r="G81" s="309">
        <v>0</v>
      </c>
      <c r="H81" s="309">
        <v>0</v>
      </c>
      <c r="I81" s="309">
        <v>0</v>
      </c>
      <c r="J81" s="310">
        <v>0</v>
      </c>
      <c r="K81" s="310">
        <v>0</v>
      </c>
      <c r="L81" s="309">
        <v>0</v>
      </c>
      <c r="M81" s="309">
        <v>0</v>
      </c>
      <c r="N81" s="309">
        <v>0</v>
      </c>
      <c r="O81" s="310">
        <v>0</v>
      </c>
      <c r="P81" s="310">
        <v>0</v>
      </c>
      <c r="Q81" s="309">
        <v>0</v>
      </c>
      <c r="R81" s="310">
        <v>0</v>
      </c>
      <c r="S81" s="310">
        <v>0</v>
      </c>
      <c r="T81" s="310"/>
      <c r="U81" s="310"/>
      <c r="V81" s="316"/>
    </row>
    <row r="82" spans="1:22">
      <c r="A82" s="311"/>
      <c r="B82" s="312" t="s">
        <v>773</v>
      </c>
      <c r="C82" s="313">
        <v>0</v>
      </c>
      <c r="D82" s="314">
        <v>0</v>
      </c>
      <c r="E82" s="314">
        <v>0</v>
      </c>
      <c r="F82" s="314">
        <v>0</v>
      </c>
      <c r="G82" s="314">
        <v>0</v>
      </c>
      <c r="H82" s="314">
        <v>0</v>
      </c>
      <c r="I82" s="314">
        <v>0</v>
      </c>
      <c r="J82" s="315">
        <v>0</v>
      </c>
      <c r="K82" s="315">
        <v>0</v>
      </c>
      <c r="L82" s="314">
        <v>0</v>
      </c>
      <c r="M82" s="314">
        <v>0</v>
      </c>
      <c r="N82" s="314">
        <v>0</v>
      </c>
      <c r="O82" s="315">
        <v>0</v>
      </c>
      <c r="P82" s="315">
        <v>0</v>
      </c>
      <c r="Q82" s="314">
        <v>0</v>
      </c>
      <c r="R82" s="315">
        <v>0</v>
      </c>
      <c r="S82" s="315">
        <v>0</v>
      </c>
      <c r="T82" s="315"/>
      <c r="U82" s="315"/>
      <c r="V82" s="316"/>
    </row>
    <row r="83" spans="1:22">
      <c r="A83" s="311"/>
      <c r="B83" s="317" t="s">
        <v>774</v>
      </c>
      <c r="C83" s="318">
        <v>0</v>
      </c>
      <c r="D83" s="319">
        <v>0</v>
      </c>
      <c r="E83" s="319">
        <v>0</v>
      </c>
      <c r="F83" s="319">
        <v>0</v>
      </c>
      <c r="G83" s="319">
        <v>0</v>
      </c>
      <c r="H83" s="319">
        <v>0</v>
      </c>
      <c r="I83" s="319">
        <v>0</v>
      </c>
      <c r="J83" s="320">
        <v>0</v>
      </c>
      <c r="K83" s="320">
        <v>0</v>
      </c>
      <c r="L83" s="319">
        <v>0</v>
      </c>
      <c r="M83" s="319">
        <v>0</v>
      </c>
      <c r="N83" s="319">
        <v>0</v>
      </c>
      <c r="O83" s="320">
        <v>0</v>
      </c>
      <c r="P83" s="320">
        <v>0</v>
      </c>
      <c r="Q83" s="319">
        <v>0</v>
      </c>
      <c r="R83" s="320">
        <v>0</v>
      </c>
      <c r="S83" s="320">
        <v>0</v>
      </c>
      <c r="T83" s="320"/>
      <c r="U83" s="320"/>
      <c r="V83" s="316"/>
    </row>
    <row r="84" spans="1:22">
      <c r="A84" s="311"/>
      <c r="B84" s="291" t="s">
        <v>775</v>
      </c>
      <c r="C84" s="308">
        <v>2.8326989672508133E-2</v>
      </c>
      <c r="D84" s="309">
        <v>0</v>
      </c>
      <c r="E84" s="309">
        <v>1.8369183380345062E-2</v>
      </c>
      <c r="F84" s="309">
        <v>0</v>
      </c>
      <c r="G84" s="309">
        <v>0</v>
      </c>
      <c r="H84" s="309">
        <v>0</v>
      </c>
      <c r="I84" s="309">
        <v>0</v>
      </c>
      <c r="J84" s="310">
        <v>2.6607088149803108E-2</v>
      </c>
      <c r="K84" s="310">
        <v>0</v>
      </c>
      <c r="L84" s="309">
        <v>0</v>
      </c>
      <c r="M84" s="309">
        <v>0.10223700181905604</v>
      </c>
      <c r="N84" s="309">
        <v>0</v>
      </c>
      <c r="O84" s="310">
        <v>0.10223700181905604</v>
      </c>
      <c r="P84" s="310">
        <v>0</v>
      </c>
      <c r="Q84" s="309">
        <v>0</v>
      </c>
      <c r="R84" s="310">
        <v>0</v>
      </c>
      <c r="S84" s="310">
        <v>4.9878330395053759E-2</v>
      </c>
      <c r="T84" s="310"/>
      <c r="U84" s="310"/>
      <c r="V84" s="316"/>
    </row>
    <row r="85" spans="1:22">
      <c r="A85" s="311"/>
      <c r="B85" s="312" t="s">
        <v>776</v>
      </c>
      <c r="C85" s="313">
        <v>3.078262678180187E-2</v>
      </c>
      <c r="D85" s="314">
        <v>0</v>
      </c>
      <c r="E85" s="314">
        <v>3.1372999212805036E-2</v>
      </c>
      <c r="F85" s="314">
        <v>0</v>
      </c>
      <c r="G85" s="314">
        <v>0</v>
      </c>
      <c r="H85" s="314">
        <v>0</v>
      </c>
      <c r="I85" s="314">
        <v>0</v>
      </c>
      <c r="J85" s="315">
        <v>3.088707863945973E-2</v>
      </c>
      <c r="K85" s="315">
        <v>0</v>
      </c>
      <c r="L85" s="314">
        <v>0</v>
      </c>
      <c r="M85" s="314">
        <v>0.12133730320043068</v>
      </c>
      <c r="N85" s="314">
        <v>0</v>
      </c>
      <c r="O85" s="315">
        <v>0.12133730320043068</v>
      </c>
      <c r="P85" s="315">
        <v>0</v>
      </c>
      <c r="Q85" s="314">
        <v>0</v>
      </c>
      <c r="R85" s="315">
        <v>0</v>
      </c>
      <c r="S85" s="315">
        <v>5.6551620941411682E-2</v>
      </c>
      <c r="T85" s="315"/>
      <c r="U85" s="315"/>
      <c r="V85" s="316"/>
    </row>
    <row r="86" spans="1:22">
      <c r="A86" s="311"/>
      <c r="B86" s="317" t="s">
        <v>777</v>
      </c>
      <c r="C86" s="318">
        <v>0.24556371092937374</v>
      </c>
      <c r="D86" s="319">
        <v>0</v>
      </c>
      <c r="E86" s="319">
        <v>1.3003815832459975</v>
      </c>
      <c r="F86" s="319">
        <v>0</v>
      </c>
      <c r="G86" s="319">
        <v>0</v>
      </c>
      <c r="H86" s="319">
        <v>0</v>
      </c>
      <c r="I86" s="319">
        <v>0</v>
      </c>
      <c r="J86" s="320">
        <v>0.42799904896566215</v>
      </c>
      <c r="K86" s="320">
        <v>0</v>
      </c>
      <c r="L86" s="319">
        <v>0</v>
      </c>
      <c r="M86" s="319">
        <v>1.910030138137464</v>
      </c>
      <c r="N86" s="319">
        <v>0</v>
      </c>
      <c r="O86" s="320">
        <v>1.910030138137464</v>
      </c>
      <c r="P86" s="320">
        <v>0</v>
      </c>
      <c r="Q86" s="319">
        <v>0</v>
      </c>
      <c r="R86" s="320">
        <v>0</v>
      </c>
      <c r="S86" s="320">
        <v>0.66732905463579228</v>
      </c>
      <c r="T86" s="320"/>
      <c r="U86" s="320"/>
      <c r="V86" s="316"/>
    </row>
    <row r="87" spans="1:22">
      <c r="A87" s="311"/>
      <c r="B87" s="291" t="s">
        <v>778</v>
      </c>
      <c r="C87" s="308">
        <v>0</v>
      </c>
      <c r="D87" s="309">
        <v>0</v>
      </c>
      <c r="E87" s="309">
        <v>0</v>
      </c>
      <c r="F87" s="309">
        <v>0</v>
      </c>
      <c r="G87" s="309">
        <v>0</v>
      </c>
      <c r="H87" s="309">
        <v>0</v>
      </c>
      <c r="I87" s="309">
        <v>0</v>
      </c>
      <c r="J87" s="310">
        <v>0</v>
      </c>
      <c r="K87" s="310">
        <v>0</v>
      </c>
      <c r="L87" s="309">
        <v>0</v>
      </c>
      <c r="M87" s="309">
        <v>3.1942758576630676E-3</v>
      </c>
      <c r="N87" s="309">
        <v>0</v>
      </c>
      <c r="O87" s="310">
        <v>3.1942758576630676E-3</v>
      </c>
      <c r="P87" s="310">
        <v>0</v>
      </c>
      <c r="Q87" s="309">
        <v>0</v>
      </c>
      <c r="R87" s="310">
        <v>0</v>
      </c>
      <c r="S87" s="310">
        <v>9.8287521002491328E-4</v>
      </c>
      <c r="T87" s="310"/>
      <c r="U87" s="310"/>
      <c r="V87" s="316"/>
    </row>
    <row r="88" spans="1:22">
      <c r="A88" s="311"/>
      <c r="B88" s="312" t="s">
        <v>779</v>
      </c>
      <c r="C88" s="313">
        <v>0</v>
      </c>
      <c r="D88" s="314">
        <v>0</v>
      </c>
      <c r="E88" s="314">
        <v>0</v>
      </c>
      <c r="F88" s="314">
        <v>0</v>
      </c>
      <c r="G88" s="314">
        <v>0</v>
      </c>
      <c r="H88" s="314">
        <v>0</v>
      </c>
      <c r="I88" s="314">
        <v>0</v>
      </c>
      <c r="J88" s="315">
        <v>0</v>
      </c>
      <c r="K88" s="315">
        <v>0</v>
      </c>
      <c r="L88" s="314">
        <v>0</v>
      </c>
      <c r="M88" s="314">
        <v>3.1092409277183883E-3</v>
      </c>
      <c r="N88" s="314">
        <v>0</v>
      </c>
      <c r="O88" s="315">
        <v>3.1092409277183883E-3</v>
      </c>
      <c r="P88" s="315">
        <v>0</v>
      </c>
      <c r="Q88" s="314">
        <v>0</v>
      </c>
      <c r="R88" s="315">
        <v>0</v>
      </c>
      <c r="S88" s="315">
        <v>8.8222274409721288E-4</v>
      </c>
      <c r="T88" s="315"/>
      <c r="U88" s="315"/>
      <c r="V88" s="316"/>
    </row>
    <row r="89" spans="1:22">
      <c r="A89" s="311"/>
      <c r="B89" s="317" t="s">
        <v>780</v>
      </c>
      <c r="C89" s="318">
        <v>0</v>
      </c>
      <c r="D89" s="319">
        <v>0</v>
      </c>
      <c r="E89" s="319">
        <v>0</v>
      </c>
      <c r="F89" s="319">
        <v>0</v>
      </c>
      <c r="G89" s="319">
        <v>0</v>
      </c>
      <c r="H89" s="319">
        <v>0</v>
      </c>
      <c r="I89" s="319">
        <v>0</v>
      </c>
      <c r="J89" s="320">
        <v>0</v>
      </c>
      <c r="K89" s="320">
        <v>0</v>
      </c>
      <c r="L89" s="319">
        <v>0</v>
      </c>
      <c r="M89" s="319">
        <v>-8.5034929944679313E-3</v>
      </c>
      <c r="N89" s="319">
        <v>0</v>
      </c>
      <c r="O89" s="320">
        <v>-8.5034929944679313E-3</v>
      </c>
      <c r="P89" s="320">
        <v>0</v>
      </c>
      <c r="Q89" s="319">
        <v>0</v>
      </c>
      <c r="R89" s="320">
        <v>0</v>
      </c>
      <c r="S89" s="320">
        <v>-1.0065246592770041E-2</v>
      </c>
      <c r="T89" s="320"/>
      <c r="U89" s="320"/>
      <c r="V89" s="316"/>
    </row>
    <row r="90" spans="1:22">
      <c r="A90" s="311"/>
      <c r="B90" s="291" t="s">
        <v>781</v>
      </c>
      <c r="C90" s="308">
        <v>0</v>
      </c>
      <c r="D90" s="309">
        <v>0</v>
      </c>
      <c r="E90" s="309">
        <v>0</v>
      </c>
      <c r="F90" s="309">
        <v>0</v>
      </c>
      <c r="G90" s="309">
        <v>0</v>
      </c>
      <c r="H90" s="309">
        <v>0</v>
      </c>
      <c r="I90" s="309">
        <v>0</v>
      </c>
      <c r="J90" s="310">
        <v>0</v>
      </c>
      <c r="K90" s="310">
        <v>0</v>
      </c>
      <c r="L90" s="309">
        <v>0</v>
      </c>
      <c r="M90" s="309">
        <v>6.2540558897403219E-4</v>
      </c>
      <c r="N90" s="309">
        <v>0</v>
      </c>
      <c r="O90" s="310">
        <v>6.2540558897403219E-4</v>
      </c>
      <c r="P90" s="310">
        <v>0</v>
      </c>
      <c r="Q90" s="309">
        <v>0</v>
      </c>
      <c r="R90" s="310">
        <v>0</v>
      </c>
      <c r="S90" s="310">
        <v>1.9243662006803567E-4</v>
      </c>
      <c r="T90" s="310"/>
      <c r="U90" s="310"/>
      <c r="V90" s="316"/>
    </row>
    <row r="91" spans="1:22">
      <c r="A91" s="311"/>
      <c r="B91" s="312" t="s">
        <v>782</v>
      </c>
      <c r="C91" s="313">
        <v>0</v>
      </c>
      <c r="D91" s="314">
        <v>0</v>
      </c>
      <c r="E91" s="314">
        <v>0</v>
      </c>
      <c r="F91" s="314">
        <v>0</v>
      </c>
      <c r="G91" s="314">
        <v>0</v>
      </c>
      <c r="H91" s="314">
        <v>0</v>
      </c>
      <c r="I91" s="314">
        <v>0</v>
      </c>
      <c r="J91" s="315">
        <v>0</v>
      </c>
      <c r="K91" s="315">
        <v>0</v>
      </c>
      <c r="L91" s="314">
        <v>0</v>
      </c>
      <c r="M91" s="314">
        <v>8.3499049648974393E-4</v>
      </c>
      <c r="N91" s="314">
        <v>0</v>
      </c>
      <c r="O91" s="315">
        <v>8.3499049648974393E-4</v>
      </c>
      <c r="P91" s="315">
        <v>0</v>
      </c>
      <c r="Q91" s="314">
        <v>0</v>
      </c>
      <c r="R91" s="315">
        <v>0</v>
      </c>
      <c r="S91" s="315">
        <v>2.3692200901550593E-4</v>
      </c>
      <c r="T91" s="315"/>
      <c r="U91" s="315"/>
      <c r="V91" s="316"/>
    </row>
    <row r="92" spans="1:22">
      <c r="A92" s="311"/>
      <c r="B92" s="317" t="s">
        <v>783</v>
      </c>
      <c r="C92" s="318">
        <v>0</v>
      </c>
      <c r="D92" s="319">
        <v>0</v>
      </c>
      <c r="E92" s="319">
        <v>0</v>
      </c>
      <c r="F92" s="319">
        <v>0</v>
      </c>
      <c r="G92" s="319">
        <v>0</v>
      </c>
      <c r="H92" s="319">
        <v>0</v>
      </c>
      <c r="I92" s="319">
        <v>0</v>
      </c>
      <c r="J92" s="320">
        <v>0</v>
      </c>
      <c r="K92" s="320">
        <v>0</v>
      </c>
      <c r="L92" s="319">
        <v>0</v>
      </c>
      <c r="M92" s="319">
        <v>2.0958490751571173E-2</v>
      </c>
      <c r="N92" s="319">
        <v>0</v>
      </c>
      <c r="O92" s="320">
        <v>2.0958490751571173E-2</v>
      </c>
      <c r="P92" s="320">
        <v>0</v>
      </c>
      <c r="Q92" s="319">
        <v>0</v>
      </c>
      <c r="R92" s="320">
        <v>0</v>
      </c>
      <c r="S92" s="320">
        <v>4.4485388947470266E-3</v>
      </c>
      <c r="T92" s="320"/>
      <c r="U92" s="320"/>
      <c r="V92" s="316"/>
    </row>
    <row r="93" spans="1:22">
      <c r="A93" s="311"/>
      <c r="B93" s="291" t="s">
        <v>784</v>
      </c>
      <c r="C93" s="308">
        <v>0</v>
      </c>
      <c r="D93" s="309">
        <v>0</v>
      </c>
      <c r="E93" s="309">
        <v>0</v>
      </c>
      <c r="F93" s="309">
        <v>0</v>
      </c>
      <c r="G93" s="309">
        <v>0</v>
      </c>
      <c r="H93" s="309">
        <v>0</v>
      </c>
      <c r="I93" s="309">
        <v>0</v>
      </c>
      <c r="J93" s="310">
        <v>0</v>
      </c>
      <c r="K93" s="310">
        <v>0</v>
      </c>
      <c r="L93" s="309">
        <v>0</v>
      </c>
      <c r="M93" s="309">
        <v>0</v>
      </c>
      <c r="N93" s="309">
        <v>0</v>
      </c>
      <c r="O93" s="310">
        <v>0</v>
      </c>
      <c r="P93" s="310">
        <v>0</v>
      </c>
      <c r="Q93" s="309">
        <v>0</v>
      </c>
      <c r="R93" s="310">
        <v>0</v>
      </c>
      <c r="S93" s="310">
        <v>0</v>
      </c>
      <c r="T93" s="310"/>
      <c r="U93" s="310"/>
      <c r="V93" s="316"/>
    </row>
    <row r="94" spans="1:22">
      <c r="A94" s="311"/>
      <c r="B94" s="312" t="s">
        <v>785</v>
      </c>
      <c r="C94" s="313">
        <v>0</v>
      </c>
      <c r="D94" s="314">
        <v>0</v>
      </c>
      <c r="E94" s="314">
        <v>0</v>
      </c>
      <c r="F94" s="314">
        <v>0</v>
      </c>
      <c r="G94" s="314">
        <v>0</v>
      </c>
      <c r="H94" s="314">
        <v>0</v>
      </c>
      <c r="I94" s="314">
        <v>0</v>
      </c>
      <c r="J94" s="315">
        <v>0</v>
      </c>
      <c r="K94" s="315">
        <v>0</v>
      </c>
      <c r="L94" s="314">
        <v>0</v>
      </c>
      <c r="M94" s="314">
        <v>0</v>
      </c>
      <c r="N94" s="314">
        <v>0</v>
      </c>
      <c r="O94" s="315">
        <v>0</v>
      </c>
      <c r="P94" s="315">
        <v>0</v>
      </c>
      <c r="Q94" s="314">
        <v>0</v>
      </c>
      <c r="R94" s="315">
        <v>0</v>
      </c>
      <c r="S94" s="315">
        <v>0</v>
      </c>
      <c r="T94" s="315"/>
      <c r="U94" s="315"/>
      <c r="V94" s="316"/>
    </row>
    <row r="95" spans="1:22" ht="15.75" thickBot="1">
      <c r="A95" s="311"/>
      <c r="B95" s="325" t="s">
        <v>786</v>
      </c>
      <c r="C95" s="326">
        <v>0</v>
      </c>
      <c r="D95" s="327">
        <v>0</v>
      </c>
      <c r="E95" s="327">
        <v>0</v>
      </c>
      <c r="F95" s="327">
        <v>0</v>
      </c>
      <c r="G95" s="327">
        <v>0</v>
      </c>
      <c r="H95" s="327">
        <v>0</v>
      </c>
      <c r="I95" s="327">
        <v>0</v>
      </c>
      <c r="J95" s="328">
        <v>0</v>
      </c>
      <c r="K95" s="328">
        <v>0</v>
      </c>
      <c r="L95" s="327">
        <v>0</v>
      </c>
      <c r="M95" s="327">
        <v>0</v>
      </c>
      <c r="N95" s="327">
        <v>0</v>
      </c>
      <c r="O95" s="328">
        <v>0</v>
      </c>
      <c r="P95" s="328">
        <v>0</v>
      </c>
      <c r="Q95" s="327">
        <v>0</v>
      </c>
      <c r="R95" s="328">
        <v>0</v>
      </c>
      <c r="S95" s="328">
        <v>0</v>
      </c>
      <c r="T95" s="328"/>
      <c r="U95" s="328"/>
      <c r="V95" s="316"/>
    </row>
    <row r="96" spans="1:22" ht="15.75" thickTop="1">
      <c r="A96" s="311"/>
      <c r="B96" s="312" t="s">
        <v>787</v>
      </c>
      <c r="C96" s="313">
        <v>0.92366048295160119</v>
      </c>
      <c r="D96" s="314">
        <v>0</v>
      </c>
      <c r="E96" s="314">
        <v>0.98247955948606713</v>
      </c>
      <c r="F96" s="314">
        <v>0</v>
      </c>
      <c r="G96" s="314">
        <v>0</v>
      </c>
      <c r="H96" s="314">
        <v>0</v>
      </c>
      <c r="I96" s="314">
        <v>0</v>
      </c>
      <c r="J96" s="315">
        <v>0.93015966665437522</v>
      </c>
      <c r="K96" s="315">
        <v>0</v>
      </c>
      <c r="L96" s="314">
        <v>0</v>
      </c>
      <c r="M96" s="314">
        <v>0</v>
      </c>
      <c r="N96" s="314">
        <v>0</v>
      </c>
      <c r="O96" s="315">
        <v>0</v>
      </c>
      <c r="P96" s="315">
        <v>0</v>
      </c>
      <c r="Q96" s="314">
        <v>0</v>
      </c>
      <c r="R96" s="315">
        <v>0</v>
      </c>
      <c r="S96" s="315">
        <v>0.93015966665437522</v>
      </c>
      <c r="T96" s="315"/>
      <c r="U96" s="315"/>
      <c r="V96" s="316"/>
    </row>
    <row r="97" spans="1:22">
      <c r="A97" s="311"/>
      <c r="B97" s="312" t="s">
        <v>788</v>
      </c>
      <c r="C97" s="313">
        <v>0.91579647735043523</v>
      </c>
      <c r="D97" s="314">
        <v>0</v>
      </c>
      <c r="E97" s="314">
        <v>0.95306530835000913</v>
      </c>
      <c r="F97" s="314">
        <v>0</v>
      </c>
      <c r="G97" s="314">
        <v>0</v>
      </c>
      <c r="H97" s="314">
        <v>0</v>
      </c>
      <c r="I97" s="314">
        <v>0</v>
      </c>
      <c r="J97" s="315">
        <v>0.91923360848265212</v>
      </c>
      <c r="K97" s="315">
        <v>0</v>
      </c>
      <c r="L97" s="314">
        <v>0</v>
      </c>
      <c r="M97" s="314">
        <v>0</v>
      </c>
      <c r="N97" s="314">
        <v>0</v>
      </c>
      <c r="O97" s="315">
        <v>0</v>
      </c>
      <c r="P97" s="315">
        <v>0</v>
      </c>
      <c r="Q97" s="314">
        <v>0</v>
      </c>
      <c r="R97" s="315">
        <v>0</v>
      </c>
      <c r="S97" s="315">
        <v>0.91923360848265212</v>
      </c>
      <c r="T97" s="315"/>
      <c r="U97" s="315"/>
      <c r="V97" s="316"/>
    </row>
    <row r="98" spans="1:22">
      <c r="A98" s="311"/>
      <c r="B98" s="317" t="s">
        <v>789</v>
      </c>
      <c r="C98" s="318">
        <v>-0.78640056011659576</v>
      </c>
      <c r="D98" s="319">
        <v>0</v>
      </c>
      <c r="E98" s="319">
        <v>-2.9414251136058001</v>
      </c>
      <c r="F98" s="319">
        <v>0</v>
      </c>
      <c r="G98" s="319">
        <v>0</v>
      </c>
      <c r="H98" s="319">
        <v>0</v>
      </c>
      <c r="I98" s="319">
        <v>0</v>
      </c>
      <c r="J98" s="320">
        <v>-1.0926058171723096</v>
      </c>
      <c r="K98" s="320">
        <v>0</v>
      </c>
      <c r="L98" s="319">
        <v>0</v>
      </c>
      <c r="M98" s="319">
        <v>0</v>
      </c>
      <c r="N98" s="319">
        <v>0</v>
      </c>
      <c r="O98" s="320">
        <v>0</v>
      </c>
      <c r="P98" s="320">
        <v>0</v>
      </c>
      <c r="Q98" s="319">
        <v>0</v>
      </c>
      <c r="R98" s="320">
        <v>0</v>
      </c>
      <c r="S98" s="320">
        <v>-1.0926058171723096</v>
      </c>
      <c r="T98" s="320"/>
      <c r="U98" s="320"/>
      <c r="V98" s="316"/>
    </row>
    <row r="99" spans="1:22">
      <c r="A99" s="311"/>
      <c r="B99" s="291" t="s">
        <v>790</v>
      </c>
      <c r="C99" s="308">
        <v>0</v>
      </c>
      <c r="D99" s="309">
        <v>0</v>
      </c>
      <c r="E99" s="309">
        <v>0</v>
      </c>
      <c r="F99" s="309">
        <v>0</v>
      </c>
      <c r="G99" s="309">
        <v>0</v>
      </c>
      <c r="H99" s="309">
        <v>0</v>
      </c>
      <c r="I99" s="309">
        <v>0</v>
      </c>
      <c r="J99" s="310">
        <v>0</v>
      </c>
      <c r="K99" s="310">
        <v>0</v>
      </c>
      <c r="L99" s="309">
        <v>0</v>
      </c>
      <c r="M99" s="309">
        <v>0</v>
      </c>
      <c r="N99" s="309">
        <v>0</v>
      </c>
      <c r="O99" s="310">
        <v>0</v>
      </c>
      <c r="P99" s="310">
        <v>0</v>
      </c>
      <c r="Q99" s="309">
        <v>0</v>
      </c>
      <c r="R99" s="310">
        <v>0</v>
      </c>
      <c r="S99" s="310">
        <v>0</v>
      </c>
      <c r="T99" s="310"/>
      <c r="U99" s="310"/>
      <c r="V99" s="316"/>
    </row>
    <row r="100" spans="1:22">
      <c r="A100" s="311"/>
      <c r="B100" s="312" t="s">
        <v>791</v>
      </c>
      <c r="C100" s="313">
        <v>0</v>
      </c>
      <c r="D100" s="314">
        <v>0</v>
      </c>
      <c r="E100" s="314">
        <v>0</v>
      </c>
      <c r="F100" s="314">
        <v>0</v>
      </c>
      <c r="G100" s="314">
        <v>0</v>
      </c>
      <c r="H100" s="314">
        <v>0</v>
      </c>
      <c r="I100" s="314">
        <v>0</v>
      </c>
      <c r="J100" s="315">
        <v>0</v>
      </c>
      <c r="K100" s="315">
        <v>0</v>
      </c>
      <c r="L100" s="314">
        <v>0</v>
      </c>
      <c r="M100" s="314">
        <v>0</v>
      </c>
      <c r="N100" s="314">
        <v>0</v>
      </c>
      <c r="O100" s="315">
        <v>0</v>
      </c>
      <c r="P100" s="315">
        <v>0</v>
      </c>
      <c r="Q100" s="314">
        <v>0</v>
      </c>
      <c r="R100" s="315">
        <v>0</v>
      </c>
      <c r="S100" s="315">
        <v>0</v>
      </c>
      <c r="T100" s="315"/>
      <c r="U100" s="315"/>
      <c r="V100" s="316"/>
    </row>
    <row r="101" spans="1:22">
      <c r="A101" s="311"/>
      <c r="B101" s="317" t="s">
        <v>792</v>
      </c>
      <c r="C101" s="318">
        <v>0</v>
      </c>
      <c r="D101" s="319">
        <v>0</v>
      </c>
      <c r="E101" s="319">
        <v>0</v>
      </c>
      <c r="F101" s="319">
        <v>0</v>
      </c>
      <c r="G101" s="319">
        <v>0</v>
      </c>
      <c r="H101" s="319">
        <v>0</v>
      </c>
      <c r="I101" s="319">
        <v>0</v>
      </c>
      <c r="J101" s="320">
        <v>0</v>
      </c>
      <c r="K101" s="320">
        <v>0</v>
      </c>
      <c r="L101" s="319">
        <v>0</v>
      </c>
      <c r="M101" s="319">
        <v>0</v>
      </c>
      <c r="N101" s="319">
        <v>0</v>
      </c>
      <c r="O101" s="320">
        <v>0</v>
      </c>
      <c r="P101" s="320">
        <v>0</v>
      </c>
      <c r="Q101" s="319">
        <v>0</v>
      </c>
      <c r="R101" s="320">
        <v>0</v>
      </c>
      <c r="S101" s="320">
        <v>0</v>
      </c>
      <c r="T101" s="320"/>
      <c r="U101" s="320"/>
      <c r="V101" s="316"/>
    </row>
    <row r="102" spans="1:22">
      <c r="A102" s="311"/>
      <c r="B102" s="291" t="s">
        <v>793</v>
      </c>
      <c r="C102" s="308">
        <v>7.6339517048398794E-2</v>
      </c>
      <c r="D102" s="309">
        <v>0</v>
      </c>
      <c r="E102" s="309">
        <v>1.7520440513932922E-2</v>
      </c>
      <c r="F102" s="309">
        <v>0</v>
      </c>
      <c r="G102" s="309">
        <v>0</v>
      </c>
      <c r="H102" s="309">
        <v>0</v>
      </c>
      <c r="I102" s="309">
        <v>0</v>
      </c>
      <c r="J102" s="310">
        <v>6.9840333345624839E-2</v>
      </c>
      <c r="K102" s="310">
        <v>0</v>
      </c>
      <c r="L102" s="309">
        <v>0</v>
      </c>
      <c r="M102" s="309">
        <v>0</v>
      </c>
      <c r="N102" s="309">
        <v>0</v>
      </c>
      <c r="O102" s="310">
        <v>0</v>
      </c>
      <c r="P102" s="310">
        <v>0</v>
      </c>
      <c r="Q102" s="309">
        <v>0</v>
      </c>
      <c r="R102" s="310">
        <v>0</v>
      </c>
      <c r="S102" s="310">
        <v>6.9840333345624839E-2</v>
      </c>
      <c r="T102" s="310"/>
      <c r="U102" s="310"/>
      <c r="V102" s="316"/>
    </row>
    <row r="103" spans="1:22">
      <c r="A103" s="311"/>
      <c r="B103" s="312" t="s">
        <v>794</v>
      </c>
      <c r="C103" s="313">
        <v>8.4203522649564752E-2</v>
      </c>
      <c r="D103" s="314">
        <v>0</v>
      </c>
      <c r="E103" s="314">
        <v>4.6934691649990902E-2</v>
      </c>
      <c r="F103" s="314">
        <v>0</v>
      </c>
      <c r="G103" s="314">
        <v>0</v>
      </c>
      <c r="H103" s="314">
        <v>0</v>
      </c>
      <c r="I103" s="314">
        <v>0</v>
      </c>
      <c r="J103" s="315">
        <v>8.0766391517347824E-2</v>
      </c>
      <c r="K103" s="315">
        <v>0</v>
      </c>
      <c r="L103" s="314">
        <v>0</v>
      </c>
      <c r="M103" s="314">
        <v>0</v>
      </c>
      <c r="N103" s="314">
        <v>0</v>
      </c>
      <c r="O103" s="315">
        <v>0</v>
      </c>
      <c r="P103" s="315">
        <v>0</v>
      </c>
      <c r="Q103" s="314">
        <v>0</v>
      </c>
      <c r="R103" s="315">
        <v>0</v>
      </c>
      <c r="S103" s="315">
        <v>8.0766391517347824E-2</v>
      </c>
      <c r="T103" s="315"/>
      <c r="U103" s="315"/>
      <c r="V103" s="316"/>
    </row>
    <row r="104" spans="1:22">
      <c r="A104" s="311"/>
      <c r="B104" s="317" t="s">
        <v>795</v>
      </c>
      <c r="C104" s="318">
        <v>0.78640056011659576</v>
      </c>
      <c r="D104" s="319">
        <v>0</v>
      </c>
      <c r="E104" s="319">
        <v>2.9414251136057978</v>
      </c>
      <c r="F104" s="319">
        <v>0</v>
      </c>
      <c r="G104" s="319">
        <v>0</v>
      </c>
      <c r="H104" s="319">
        <v>0</v>
      </c>
      <c r="I104" s="319">
        <v>0</v>
      </c>
      <c r="J104" s="320">
        <v>1.0926058171722985</v>
      </c>
      <c r="K104" s="320">
        <v>0</v>
      </c>
      <c r="L104" s="319">
        <v>0</v>
      </c>
      <c r="M104" s="319">
        <v>0</v>
      </c>
      <c r="N104" s="319">
        <v>0</v>
      </c>
      <c r="O104" s="320">
        <v>0</v>
      </c>
      <c r="P104" s="320">
        <v>0</v>
      </c>
      <c r="Q104" s="319">
        <v>0</v>
      </c>
      <c r="R104" s="320">
        <v>0</v>
      </c>
      <c r="S104" s="320">
        <v>1.0926058171722985</v>
      </c>
      <c r="T104" s="320"/>
      <c r="U104" s="320"/>
      <c r="V104" s="316"/>
    </row>
    <row r="105" spans="1:22">
      <c r="A105" s="311"/>
      <c r="B105" s="291" t="s">
        <v>796</v>
      </c>
      <c r="C105" s="308">
        <v>0</v>
      </c>
      <c r="D105" s="309">
        <v>0</v>
      </c>
      <c r="E105" s="309">
        <v>0</v>
      </c>
      <c r="F105" s="309">
        <v>0</v>
      </c>
      <c r="G105" s="309">
        <v>0</v>
      </c>
      <c r="H105" s="309">
        <v>0</v>
      </c>
      <c r="I105" s="309">
        <v>0</v>
      </c>
      <c r="J105" s="310">
        <v>0</v>
      </c>
      <c r="K105" s="310">
        <v>0</v>
      </c>
      <c r="L105" s="309">
        <v>0</v>
      </c>
      <c r="M105" s="309">
        <v>0</v>
      </c>
      <c r="N105" s="309">
        <v>0</v>
      </c>
      <c r="O105" s="310">
        <v>0</v>
      </c>
      <c r="P105" s="310">
        <v>0</v>
      </c>
      <c r="Q105" s="309">
        <v>0</v>
      </c>
      <c r="R105" s="310">
        <v>0</v>
      </c>
      <c r="S105" s="310">
        <v>0</v>
      </c>
      <c r="T105" s="310"/>
      <c r="U105" s="310"/>
      <c r="V105" s="316"/>
    </row>
    <row r="106" spans="1:22">
      <c r="A106" s="311"/>
      <c r="B106" s="312" t="s">
        <v>797</v>
      </c>
      <c r="C106" s="313">
        <v>0</v>
      </c>
      <c r="D106" s="314">
        <v>0</v>
      </c>
      <c r="E106" s="314">
        <v>0</v>
      </c>
      <c r="F106" s="314">
        <v>0</v>
      </c>
      <c r="G106" s="314">
        <v>0</v>
      </c>
      <c r="H106" s="314">
        <v>0</v>
      </c>
      <c r="I106" s="314">
        <v>0</v>
      </c>
      <c r="J106" s="315">
        <v>0</v>
      </c>
      <c r="K106" s="315">
        <v>0</v>
      </c>
      <c r="L106" s="314">
        <v>0</v>
      </c>
      <c r="M106" s="314">
        <v>0</v>
      </c>
      <c r="N106" s="314">
        <v>0</v>
      </c>
      <c r="O106" s="315">
        <v>0</v>
      </c>
      <c r="P106" s="315">
        <v>0</v>
      </c>
      <c r="Q106" s="314">
        <v>0</v>
      </c>
      <c r="R106" s="315">
        <v>0</v>
      </c>
      <c r="S106" s="315">
        <v>0</v>
      </c>
      <c r="T106" s="315"/>
      <c r="U106" s="315"/>
      <c r="V106" s="316"/>
    </row>
    <row r="107" spans="1:22">
      <c r="A107" s="311"/>
      <c r="B107" s="317" t="s">
        <v>798</v>
      </c>
      <c r="C107" s="318">
        <v>0</v>
      </c>
      <c r="D107" s="319">
        <v>0</v>
      </c>
      <c r="E107" s="319">
        <v>0</v>
      </c>
      <c r="F107" s="319">
        <v>0</v>
      </c>
      <c r="G107" s="319">
        <v>0</v>
      </c>
      <c r="H107" s="319">
        <v>0</v>
      </c>
      <c r="I107" s="319">
        <v>0</v>
      </c>
      <c r="J107" s="320">
        <v>0</v>
      </c>
      <c r="K107" s="320">
        <v>0</v>
      </c>
      <c r="L107" s="319">
        <v>0</v>
      </c>
      <c r="M107" s="319">
        <v>0</v>
      </c>
      <c r="N107" s="319">
        <v>0</v>
      </c>
      <c r="O107" s="320">
        <v>0</v>
      </c>
      <c r="P107" s="320">
        <v>0</v>
      </c>
      <c r="Q107" s="319">
        <v>0</v>
      </c>
      <c r="R107" s="320">
        <v>0</v>
      </c>
      <c r="S107" s="320">
        <v>0</v>
      </c>
      <c r="T107" s="320"/>
      <c r="U107" s="320"/>
      <c r="V107" s="316"/>
    </row>
    <row r="108" spans="1:22">
      <c r="A108" s="311"/>
      <c r="B108" s="291" t="s">
        <v>799</v>
      </c>
      <c r="C108" s="308">
        <v>0</v>
      </c>
      <c r="D108" s="309">
        <v>0</v>
      </c>
      <c r="E108" s="309">
        <v>0</v>
      </c>
      <c r="F108" s="309">
        <v>0</v>
      </c>
      <c r="G108" s="309">
        <v>0</v>
      </c>
      <c r="H108" s="309">
        <v>0</v>
      </c>
      <c r="I108" s="309">
        <v>0</v>
      </c>
      <c r="J108" s="310">
        <v>0</v>
      </c>
      <c r="K108" s="310">
        <v>0</v>
      </c>
      <c r="L108" s="309">
        <v>0</v>
      </c>
      <c r="M108" s="309">
        <v>0</v>
      </c>
      <c r="N108" s="309">
        <v>0</v>
      </c>
      <c r="O108" s="310">
        <v>0</v>
      </c>
      <c r="P108" s="310">
        <v>0</v>
      </c>
      <c r="Q108" s="309">
        <v>0</v>
      </c>
      <c r="R108" s="310">
        <v>0</v>
      </c>
      <c r="S108" s="310">
        <v>0</v>
      </c>
      <c r="T108" s="310"/>
      <c r="U108" s="310"/>
      <c r="V108" s="316"/>
    </row>
    <row r="109" spans="1:22">
      <c r="A109" s="311"/>
      <c r="B109" s="312" t="s">
        <v>800</v>
      </c>
      <c r="C109" s="313">
        <v>0</v>
      </c>
      <c r="D109" s="314">
        <v>0</v>
      </c>
      <c r="E109" s="314">
        <v>0</v>
      </c>
      <c r="F109" s="314">
        <v>0</v>
      </c>
      <c r="G109" s="314">
        <v>0</v>
      </c>
      <c r="H109" s="314">
        <v>0</v>
      </c>
      <c r="I109" s="314">
        <v>0</v>
      </c>
      <c r="J109" s="315">
        <v>0</v>
      </c>
      <c r="K109" s="315">
        <v>0</v>
      </c>
      <c r="L109" s="314">
        <v>0</v>
      </c>
      <c r="M109" s="314">
        <v>0</v>
      </c>
      <c r="N109" s="314">
        <v>0</v>
      </c>
      <c r="O109" s="315">
        <v>0</v>
      </c>
      <c r="P109" s="315">
        <v>0</v>
      </c>
      <c r="Q109" s="314">
        <v>0</v>
      </c>
      <c r="R109" s="315">
        <v>0</v>
      </c>
      <c r="S109" s="315">
        <v>0</v>
      </c>
      <c r="T109" s="315"/>
      <c r="U109" s="315"/>
      <c r="V109" s="316"/>
    </row>
    <row r="110" spans="1:22">
      <c r="A110" s="311"/>
      <c r="B110" s="317" t="s">
        <v>801</v>
      </c>
      <c r="C110" s="318">
        <v>0</v>
      </c>
      <c r="D110" s="319">
        <v>0</v>
      </c>
      <c r="E110" s="319">
        <v>0</v>
      </c>
      <c r="F110" s="319">
        <v>0</v>
      </c>
      <c r="G110" s="319">
        <v>0</v>
      </c>
      <c r="H110" s="319">
        <v>0</v>
      </c>
      <c r="I110" s="319">
        <v>0</v>
      </c>
      <c r="J110" s="320">
        <v>0</v>
      </c>
      <c r="K110" s="320">
        <v>0</v>
      </c>
      <c r="L110" s="319">
        <v>0</v>
      </c>
      <c r="M110" s="319">
        <v>0</v>
      </c>
      <c r="N110" s="319">
        <v>0</v>
      </c>
      <c r="O110" s="320">
        <v>0</v>
      </c>
      <c r="P110" s="320">
        <v>0</v>
      </c>
      <c r="Q110" s="319">
        <v>0</v>
      </c>
      <c r="R110" s="320">
        <v>0</v>
      </c>
      <c r="S110" s="320">
        <v>0</v>
      </c>
      <c r="T110" s="320"/>
      <c r="U110" s="320"/>
      <c r="V110" s="316"/>
    </row>
    <row r="111" spans="1:22">
      <c r="A111" s="311"/>
      <c r="B111" s="291" t="s">
        <v>802</v>
      </c>
      <c r="C111" s="308">
        <v>0</v>
      </c>
      <c r="D111" s="309">
        <v>0</v>
      </c>
      <c r="E111" s="309">
        <v>0</v>
      </c>
      <c r="F111" s="309">
        <v>0</v>
      </c>
      <c r="G111" s="309">
        <v>0</v>
      </c>
      <c r="H111" s="309">
        <v>0</v>
      </c>
      <c r="I111" s="309">
        <v>0</v>
      </c>
      <c r="J111" s="310">
        <v>0</v>
      </c>
      <c r="K111" s="310">
        <v>0</v>
      </c>
      <c r="L111" s="309">
        <v>0</v>
      </c>
      <c r="M111" s="309">
        <v>0</v>
      </c>
      <c r="N111" s="309">
        <v>0</v>
      </c>
      <c r="O111" s="310">
        <v>0</v>
      </c>
      <c r="P111" s="310">
        <v>0</v>
      </c>
      <c r="Q111" s="309">
        <v>0</v>
      </c>
      <c r="R111" s="310">
        <v>0</v>
      </c>
      <c r="S111" s="310">
        <v>0</v>
      </c>
      <c r="T111" s="310"/>
      <c r="U111" s="310"/>
      <c r="V111" s="316"/>
    </row>
    <row r="112" spans="1:22">
      <c r="A112" s="311"/>
      <c r="B112" s="312" t="s">
        <v>803</v>
      </c>
      <c r="C112" s="313">
        <v>0</v>
      </c>
      <c r="D112" s="314">
        <v>0</v>
      </c>
      <c r="E112" s="314">
        <v>0</v>
      </c>
      <c r="F112" s="314">
        <v>0</v>
      </c>
      <c r="G112" s="314">
        <v>0</v>
      </c>
      <c r="H112" s="314">
        <v>0</v>
      </c>
      <c r="I112" s="314">
        <v>0</v>
      </c>
      <c r="J112" s="315">
        <v>0</v>
      </c>
      <c r="K112" s="315">
        <v>0</v>
      </c>
      <c r="L112" s="314">
        <v>0</v>
      </c>
      <c r="M112" s="314">
        <v>0</v>
      </c>
      <c r="N112" s="314">
        <v>0</v>
      </c>
      <c r="O112" s="315">
        <v>0</v>
      </c>
      <c r="P112" s="315">
        <v>0</v>
      </c>
      <c r="Q112" s="314">
        <v>0</v>
      </c>
      <c r="R112" s="315">
        <v>0</v>
      </c>
      <c r="S112" s="315">
        <v>0</v>
      </c>
      <c r="T112" s="315"/>
      <c r="U112" s="315"/>
      <c r="V112" s="316"/>
    </row>
    <row r="113" spans="1:22" ht="15.75" thickBot="1">
      <c r="A113" s="329"/>
      <c r="B113" s="330" t="s">
        <v>804</v>
      </c>
      <c r="C113" s="331">
        <v>0</v>
      </c>
      <c r="D113" s="332">
        <v>0</v>
      </c>
      <c r="E113" s="332">
        <v>0</v>
      </c>
      <c r="F113" s="332">
        <v>0</v>
      </c>
      <c r="G113" s="332">
        <v>0</v>
      </c>
      <c r="H113" s="332">
        <v>0</v>
      </c>
      <c r="I113" s="332">
        <v>0</v>
      </c>
      <c r="J113" s="333">
        <v>0</v>
      </c>
      <c r="K113" s="333">
        <v>0</v>
      </c>
      <c r="L113" s="332">
        <v>0</v>
      </c>
      <c r="M113" s="332">
        <v>0</v>
      </c>
      <c r="N113" s="332">
        <v>0</v>
      </c>
      <c r="O113" s="333">
        <v>0</v>
      </c>
      <c r="P113" s="333">
        <v>0</v>
      </c>
      <c r="Q113" s="332">
        <v>0</v>
      </c>
      <c r="R113" s="333">
        <v>0</v>
      </c>
      <c r="S113" s="333">
        <v>0</v>
      </c>
      <c r="T113" s="333"/>
      <c r="U113" s="333"/>
      <c r="V113" s="316"/>
    </row>
    <row r="114" spans="1:22">
      <c r="A114" s="307" t="s">
        <v>136</v>
      </c>
      <c r="B114" s="291" t="s">
        <v>769</v>
      </c>
      <c r="C114" s="308">
        <v>0.73246710411389737</v>
      </c>
      <c r="D114" s="309">
        <v>0</v>
      </c>
      <c r="E114" s="309">
        <v>0.85885760789768562</v>
      </c>
      <c r="F114" s="309">
        <v>0.78985358663706895</v>
      </c>
      <c r="G114" s="309">
        <v>0</v>
      </c>
      <c r="H114" s="309">
        <v>1</v>
      </c>
      <c r="I114" s="309">
        <v>0</v>
      </c>
      <c r="J114" s="310">
        <v>0.7523243117183005</v>
      </c>
      <c r="K114" s="310">
        <v>0.75194187139094537</v>
      </c>
      <c r="L114" s="309">
        <v>0.77902697435636403</v>
      </c>
      <c r="M114" s="309">
        <v>0.6599183006535948</v>
      </c>
      <c r="N114" s="309">
        <v>0.72128162686214237</v>
      </c>
      <c r="O114" s="310">
        <v>0.75394498119004716</v>
      </c>
      <c r="P114" s="310">
        <v>0</v>
      </c>
      <c r="Q114" s="309">
        <v>0</v>
      </c>
      <c r="R114" s="310">
        <v>0</v>
      </c>
      <c r="S114" s="310">
        <v>0.75328016668509612</v>
      </c>
      <c r="T114" s="310"/>
      <c r="U114" s="310"/>
      <c r="V114" s="316"/>
    </row>
    <row r="115" spans="1:22">
      <c r="A115" s="311"/>
      <c r="B115" s="312" t="s">
        <v>770</v>
      </c>
      <c r="C115" s="313">
        <v>0.73187992229791132</v>
      </c>
      <c r="D115" s="314">
        <v>0</v>
      </c>
      <c r="E115" s="314">
        <v>0.87416132828803805</v>
      </c>
      <c r="F115" s="314">
        <v>0.77847608716158856</v>
      </c>
      <c r="G115" s="314">
        <v>0</v>
      </c>
      <c r="H115" s="314">
        <v>1</v>
      </c>
      <c r="I115" s="314">
        <v>0</v>
      </c>
      <c r="J115" s="315">
        <v>0.75293736201671402</v>
      </c>
      <c r="K115" s="315">
        <v>0.73899239123149385</v>
      </c>
      <c r="L115" s="314">
        <v>0.77404459602231657</v>
      </c>
      <c r="M115" s="314">
        <v>0.62658582704865773</v>
      </c>
      <c r="N115" s="314">
        <v>0.70555151515151515</v>
      </c>
      <c r="O115" s="315">
        <v>0.74172432479550743</v>
      </c>
      <c r="P115" s="315">
        <v>0</v>
      </c>
      <c r="Q115" s="314">
        <v>0</v>
      </c>
      <c r="R115" s="315">
        <v>0</v>
      </c>
      <c r="S115" s="315">
        <v>0.74633864367536529</v>
      </c>
      <c r="T115" s="315"/>
      <c r="U115" s="315"/>
      <c r="V115" s="316"/>
    </row>
    <row r="116" spans="1:22">
      <c r="A116" s="311"/>
      <c r="B116" s="317" t="s">
        <v>771</v>
      </c>
      <c r="C116" s="318">
        <v>-5.8718181598604868E-2</v>
      </c>
      <c r="D116" s="319">
        <v>0</v>
      </c>
      <c r="E116" s="319">
        <v>1.5303720390352438</v>
      </c>
      <c r="F116" s="319">
        <v>-1.137749947548039</v>
      </c>
      <c r="G116" s="319">
        <v>0</v>
      </c>
      <c r="H116" s="319">
        <v>0</v>
      </c>
      <c r="I116" s="319">
        <v>0</v>
      </c>
      <c r="J116" s="320">
        <v>6.1305029841351999E-2</v>
      </c>
      <c r="K116" s="320">
        <v>-1.2949480159451521</v>
      </c>
      <c r="L116" s="319">
        <v>-0.49823783340474659</v>
      </c>
      <c r="M116" s="319">
        <v>-3.3332473604937074</v>
      </c>
      <c r="N116" s="319">
        <v>-1.5730111710627215</v>
      </c>
      <c r="O116" s="320">
        <v>-1.2220656394539731</v>
      </c>
      <c r="P116" s="320">
        <v>0</v>
      </c>
      <c r="Q116" s="319">
        <v>0</v>
      </c>
      <c r="R116" s="320">
        <v>0</v>
      </c>
      <c r="S116" s="320">
        <v>-0.69415230097308322</v>
      </c>
      <c r="T116" s="320"/>
      <c r="U116" s="320"/>
      <c r="V116" s="316"/>
    </row>
    <row r="117" spans="1:22">
      <c r="A117" s="311"/>
      <c r="B117" s="291" t="s">
        <v>772</v>
      </c>
      <c r="C117" s="308">
        <v>8.6384904337110366E-2</v>
      </c>
      <c r="D117" s="309">
        <v>0</v>
      </c>
      <c r="E117" s="309">
        <v>1.3450987210695105E-2</v>
      </c>
      <c r="F117" s="309">
        <v>2.8515986009455801E-2</v>
      </c>
      <c r="G117" s="309">
        <v>0</v>
      </c>
      <c r="H117" s="309">
        <v>0</v>
      </c>
      <c r="I117" s="309">
        <v>0</v>
      </c>
      <c r="J117" s="310">
        <v>7.3951302337774652E-2</v>
      </c>
      <c r="K117" s="310">
        <v>3.0586986510354668E-2</v>
      </c>
      <c r="L117" s="309">
        <v>3.1426815833390902E-2</v>
      </c>
      <c r="M117" s="309">
        <v>8.0038126361655776E-2</v>
      </c>
      <c r="N117" s="309">
        <v>4.8001891700165521E-2</v>
      </c>
      <c r="O117" s="310">
        <v>3.1740238371883389E-2</v>
      </c>
      <c r="P117" s="310">
        <v>0</v>
      </c>
      <c r="Q117" s="309">
        <v>0</v>
      </c>
      <c r="R117" s="310">
        <v>0</v>
      </c>
      <c r="S117" s="310">
        <v>4.9055630611423276E-2</v>
      </c>
      <c r="T117" s="310"/>
      <c r="U117" s="310"/>
      <c r="V117" s="316"/>
    </row>
    <row r="118" spans="1:22">
      <c r="A118" s="311"/>
      <c r="B118" s="312" t="s">
        <v>773</v>
      </c>
      <c r="C118" s="313">
        <v>6.3983608359930916E-2</v>
      </c>
      <c r="D118" s="314">
        <v>0</v>
      </c>
      <c r="E118" s="314">
        <v>6.2055126410215595E-3</v>
      </c>
      <c r="F118" s="322">
        <v>0</v>
      </c>
      <c r="G118" s="314">
        <v>0</v>
      </c>
      <c r="H118" s="314">
        <v>0</v>
      </c>
      <c r="I118" s="314">
        <v>0</v>
      </c>
      <c r="J118" s="315">
        <v>5.3287396857469763E-2</v>
      </c>
      <c r="K118" s="315">
        <v>3.1184624959142114E-2</v>
      </c>
      <c r="L118" s="314">
        <v>3.2410891364386199E-2</v>
      </c>
      <c r="M118" s="314">
        <v>7.9011015588927244E-2</v>
      </c>
      <c r="N118" s="314">
        <v>3.5733333333333332E-2</v>
      </c>
      <c r="O118" s="315">
        <v>3.2316356014845331E-2</v>
      </c>
      <c r="P118" s="315">
        <v>0</v>
      </c>
      <c r="Q118" s="314">
        <v>0</v>
      </c>
      <c r="R118" s="315">
        <v>0</v>
      </c>
      <c r="S118" s="315">
        <v>4.0946227456579387E-2</v>
      </c>
      <c r="T118" s="315"/>
      <c r="U118" s="315"/>
      <c r="V118" s="316"/>
    </row>
    <row r="119" spans="1:22">
      <c r="A119" s="311"/>
      <c r="B119" s="317" t="s">
        <v>774</v>
      </c>
      <c r="C119" s="318">
        <v>-2.240129597717945</v>
      </c>
      <c r="D119" s="319">
        <v>0</v>
      </c>
      <c r="E119" s="319">
        <v>-0.72454745696735456</v>
      </c>
      <c r="F119" s="321">
        <v>-2.85159860094558</v>
      </c>
      <c r="G119" s="319">
        <v>0</v>
      </c>
      <c r="H119" s="319">
        <v>0</v>
      </c>
      <c r="I119" s="319">
        <v>0</v>
      </c>
      <c r="J119" s="320">
        <v>-2.0663905480304887</v>
      </c>
      <c r="K119" s="320">
        <v>5.9763844878744574E-2</v>
      </c>
      <c r="L119" s="319">
        <v>9.8407553099529727E-2</v>
      </c>
      <c r="M119" s="319">
        <v>-0.10271107727285317</v>
      </c>
      <c r="N119" s="319">
        <v>-1.2268558366832187</v>
      </c>
      <c r="O119" s="320">
        <v>5.7611764296194162E-2</v>
      </c>
      <c r="P119" s="320">
        <v>0</v>
      </c>
      <c r="Q119" s="319">
        <v>0</v>
      </c>
      <c r="R119" s="320">
        <v>0</v>
      </c>
      <c r="S119" s="320">
        <v>-0.81094031548438883</v>
      </c>
      <c r="T119" s="320"/>
      <c r="U119" s="320"/>
      <c r="V119" s="316"/>
    </row>
    <row r="120" spans="1:22">
      <c r="A120" s="311"/>
      <c r="B120" s="291" t="s">
        <v>775</v>
      </c>
      <c r="C120" s="308">
        <v>0.17817913212438458</v>
      </c>
      <c r="D120" s="309">
        <v>0</v>
      </c>
      <c r="E120" s="309">
        <v>0.10670472547428615</v>
      </c>
      <c r="F120" s="309">
        <v>0.1816304273534752</v>
      </c>
      <c r="G120" s="309">
        <v>0</v>
      </c>
      <c r="H120" s="309">
        <v>0</v>
      </c>
      <c r="I120" s="309">
        <v>0</v>
      </c>
      <c r="J120" s="310">
        <v>0.16866356166466417</v>
      </c>
      <c r="K120" s="310">
        <v>0.21339047572341613</v>
      </c>
      <c r="L120" s="309">
        <v>0.18857180254436642</v>
      </c>
      <c r="M120" s="309">
        <v>0.2542156862745098</v>
      </c>
      <c r="N120" s="309">
        <v>0.230148971388035</v>
      </c>
      <c r="O120" s="310">
        <v>0.21066505984631417</v>
      </c>
      <c r="P120" s="310">
        <v>0</v>
      </c>
      <c r="Q120" s="309">
        <v>0</v>
      </c>
      <c r="R120" s="310">
        <v>0</v>
      </c>
      <c r="S120" s="310">
        <v>0.19343563354587159</v>
      </c>
      <c r="T120" s="310"/>
      <c r="U120" s="310"/>
      <c r="V120" s="316"/>
    </row>
    <row r="121" spans="1:22">
      <c r="A121" s="311"/>
      <c r="B121" s="312" t="s">
        <v>776</v>
      </c>
      <c r="C121" s="313">
        <v>0.20051110740436279</v>
      </c>
      <c r="D121" s="314">
        <v>0</v>
      </c>
      <c r="E121" s="314">
        <v>0.11963315907094038</v>
      </c>
      <c r="F121" s="314">
        <v>0.22152391283841147</v>
      </c>
      <c r="G121" s="314">
        <v>0</v>
      </c>
      <c r="H121" s="314">
        <v>0</v>
      </c>
      <c r="I121" s="314">
        <v>0</v>
      </c>
      <c r="J121" s="315">
        <v>0.19079900084787615</v>
      </c>
      <c r="K121" s="315">
        <v>0.22819977469563055</v>
      </c>
      <c r="L121" s="314">
        <v>0.19306407666215641</v>
      </c>
      <c r="M121" s="314">
        <v>0.28858754205052661</v>
      </c>
      <c r="N121" s="314">
        <v>0.24649696969696969</v>
      </c>
      <c r="O121" s="315">
        <v>0.22437278132679608</v>
      </c>
      <c r="P121" s="315">
        <v>0</v>
      </c>
      <c r="Q121" s="314">
        <v>0</v>
      </c>
      <c r="R121" s="315">
        <v>0</v>
      </c>
      <c r="S121" s="315">
        <v>0.21055670936735491</v>
      </c>
      <c r="T121" s="315"/>
      <c r="U121" s="315"/>
      <c r="V121" s="316"/>
    </row>
    <row r="122" spans="1:22">
      <c r="A122" s="311"/>
      <c r="B122" s="317" t="s">
        <v>777</v>
      </c>
      <c r="C122" s="318">
        <v>2.2331975279978211</v>
      </c>
      <c r="D122" s="319">
        <v>0</v>
      </c>
      <c r="E122" s="319">
        <v>1.292843359665423</v>
      </c>
      <c r="F122" s="321">
        <v>3.9893485484936262</v>
      </c>
      <c r="G122" s="319">
        <v>0</v>
      </c>
      <c r="H122" s="319">
        <v>0</v>
      </c>
      <c r="I122" s="319">
        <v>0</v>
      </c>
      <c r="J122" s="320">
        <v>2.2135439183211982</v>
      </c>
      <c r="K122" s="320">
        <v>1.4809298972214417</v>
      </c>
      <c r="L122" s="319">
        <v>0.44922741177899905</v>
      </c>
      <c r="M122" s="319">
        <v>3.4371855776016815</v>
      </c>
      <c r="N122" s="319">
        <v>1.6347998308934686</v>
      </c>
      <c r="O122" s="320">
        <v>1.3707721480481911</v>
      </c>
      <c r="P122" s="320">
        <v>0</v>
      </c>
      <c r="Q122" s="319">
        <v>0</v>
      </c>
      <c r="R122" s="320">
        <v>0</v>
      </c>
      <c r="S122" s="320">
        <v>1.7121075821483311</v>
      </c>
      <c r="T122" s="320"/>
      <c r="U122" s="320"/>
      <c r="V122" s="316"/>
    </row>
    <row r="123" spans="1:22">
      <c r="A123" s="311"/>
      <c r="B123" s="291" t="s">
        <v>778</v>
      </c>
      <c r="C123" s="308">
        <v>8.519592250581839E-4</v>
      </c>
      <c r="D123" s="309">
        <v>0</v>
      </c>
      <c r="E123" s="309">
        <v>2.098667941733318E-2</v>
      </c>
      <c r="F123" s="309">
        <v>0</v>
      </c>
      <c r="G123" s="309">
        <v>0</v>
      </c>
      <c r="H123" s="309">
        <v>0</v>
      </c>
      <c r="I123" s="309">
        <v>0</v>
      </c>
      <c r="J123" s="310">
        <v>3.3254167898785327E-3</v>
      </c>
      <c r="K123" s="310">
        <v>3.0228656351645373E-3</v>
      </c>
      <c r="L123" s="309">
        <v>0</v>
      </c>
      <c r="M123" s="309">
        <v>5.550108932461874E-3</v>
      </c>
      <c r="N123" s="309">
        <v>5.6751004965712934E-4</v>
      </c>
      <c r="O123" s="310">
        <v>2.6237327183853557E-3</v>
      </c>
      <c r="P123" s="310">
        <v>0</v>
      </c>
      <c r="Q123" s="309">
        <v>0</v>
      </c>
      <c r="R123" s="310">
        <v>0</v>
      </c>
      <c r="S123" s="310">
        <v>2.9115704032150842E-3</v>
      </c>
      <c r="T123" s="310"/>
      <c r="U123" s="310"/>
      <c r="V123" s="316"/>
    </row>
    <row r="124" spans="1:22">
      <c r="A124" s="311"/>
      <c r="B124" s="312" t="s">
        <v>779</v>
      </c>
      <c r="C124" s="313">
        <v>8.4392935602561447E-4</v>
      </c>
      <c r="D124" s="314">
        <v>0</v>
      </c>
      <c r="E124" s="322">
        <v>0</v>
      </c>
      <c r="F124" s="314">
        <v>0</v>
      </c>
      <c r="G124" s="314">
        <v>0</v>
      </c>
      <c r="H124" s="314">
        <v>0</v>
      </c>
      <c r="I124" s="314">
        <v>0</v>
      </c>
      <c r="J124" s="315">
        <v>6.9282366401936279E-4</v>
      </c>
      <c r="K124" s="315">
        <v>1.2397810081821673E-5</v>
      </c>
      <c r="L124" s="314">
        <v>0</v>
      </c>
      <c r="M124" s="314">
        <v>5.5132912644840701E-3</v>
      </c>
      <c r="N124" s="314">
        <v>1.2218181818181819E-2</v>
      </c>
      <c r="O124" s="315">
        <v>1.7208337466340147E-4</v>
      </c>
      <c r="P124" s="315">
        <v>0</v>
      </c>
      <c r="Q124" s="314">
        <v>0</v>
      </c>
      <c r="R124" s="315">
        <v>0</v>
      </c>
      <c r="S124" s="315">
        <v>3.863751585284767E-4</v>
      </c>
      <c r="T124" s="315"/>
      <c r="U124" s="315"/>
      <c r="V124" s="316"/>
    </row>
    <row r="125" spans="1:22">
      <c r="A125" s="311"/>
      <c r="B125" s="317" t="s">
        <v>780</v>
      </c>
      <c r="C125" s="318">
        <v>-8.0298690325694309E-4</v>
      </c>
      <c r="D125" s="319">
        <v>0</v>
      </c>
      <c r="E125" s="321">
        <v>-2.0986679417333178</v>
      </c>
      <c r="F125" s="319">
        <v>0</v>
      </c>
      <c r="G125" s="319">
        <v>0</v>
      </c>
      <c r="H125" s="319">
        <v>0</v>
      </c>
      <c r="I125" s="319">
        <v>0</v>
      </c>
      <c r="J125" s="320">
        <v>-0.263259312585917</v>
      </c>
      <c r="K125" s="320">
        <v>-0.30104678250827155</v>
      </c>
      <c r="L125" s="319">
        <v>0</v>
      </c>
      <c r="M125" s="319">
        <v>-3.6817667977803899E-3</v>
      </c>
      <c r="N125" s="319">
        <v>1.165067176852469</v>
      </c>
      <c r="O125" s="320">
        <v>-0.24516493437219544</v>
      </c>
      <c r="P125" s="320">
        <v>0</v>
      </c>
      <c r="Q125" s="319">
        <v>0</v>
      </c>
      <c r="R125" s="320">
        <v>0</v>
      </c>
      <c r="S125" s="320">
        <v>-0.25251952446866072</v>
      </c>
      <c r="T125" s="320"/>
      <c r="U125" s="320"/>
      <c r="V125" s="316"/>
    </row>
    <row r="126" spans="1:22">
      <c r="A126" s="311"/>
      <c r="B126" s="291" t="s">
        <v>781</v>
      </c>
      <c r="C126" s="308">
        <v>9.1206281894889323E-4</v>
      </c>
      <c r="D126" s="309">
        <v>0</v>
      </c>
      <c r="E126" s="309">
        <v>0</v>
      </c>
      <c r="F126" s="309">
        <v>0</v>
      </c>
      <c r="G126" s="309">
        <v>0</v>
      </c>
      <c r="H126" s="309">
        <v>0</v>
      </c>
      <c r="I126" s="309">
        <v>0</v>
      </c>
      <c r="J126" s="310">
        <v>7.4769733931138538E-4</v>
      </c>
      <c r="K126" s="310">
        <v>1.0034508395037323E-3</v>
      </c>
      <c r="L126" s="309">
        <v>9.7440726587865725E-4</v>
      </c>
      <c r="M126" s="309">
        <v>2.7777777777777778E-4</v>
      </c>
      <c r="N126" s="309">
        <v>0</v>
      </c>
      <c r="O126" s="310">
        <v>9.8078553878502232E-4</v>
      </c>
      <c r="P126" s="310">
        <v>0</v>
      </c>
      <c r="Q126" s="309">
        <v>0</v>
      </c>
      <c r="R126" s="310">
        <v>0</v>
      </c>
      <c r="S126" s="310">
        <v>8.8517047436600059E-4</v>
      </c>
      <c r="T126" s="310"/>
      <c r="U126" s="310"/>
      <c r="V126" s="316"/>
    </row>
    <row r="127" spans="1:22">
      <c r="A127" s="311"/>
      <c r="B127" s="312" t="s">
        <v>782</v>
      </c>
      <c r="C127" s="313">
        <v>1.3175994333163039E-3</v>
      </c>
      <c r="D127" s="314">
        <v>0</v>
      </c>
      <c r="E127" s="314">
        <v>0</v>
      </c>
      <c r="F127" s="314">
        <v>0</v>
      </c>
      <c r="G127" s="314">
        <v>0</v>
      </c>
      <c r="H127" s="314">
        <v>0</v>
      </c>
      <c r="I127" s="314">
        <v>0</v>
      </c>
      <c r="J127" s="315">
        <v>1.0816830349391602E-3</v>
      </c>
      <c r="K127" s="315">
        <v>1.2867893714090745E-3</v>
      </c>
      <c r="L127" s="314">
        <v>4.8043595114085003E-4</v>
      </c>
      <c r="M127" s="314">
        <v>3.0232404740441061E-4</v>
      </c>
      <c r="N127" s="314">
        <v>0</v>
      </c>
      <c r="O127" s="315">
        <v>1.1451112648374945E-3</v>
      </c>
      <c r="P127" s="315">
        <v>0</v>
      </c>
      <c r="Q127" s="314">
        <v>0</v>
      </c>
      <c r="R127" s="315">
        <v>0</v>
      </c>
      <c r="S127" s="315">
        <v>1.119009676751947E-3</v>
      </c>
      <c r="T127" s="315"/>
      <c r="U127" s="315"/>
      <c r="V127" s="316"/>
    </row>
    <row r="128" spans="1:22">
      <c r="A128" s="311"/>
      <c r="B128" s="317" t="s">
        <v>783</v>
      </c>
      <c r="C128" s="318">
        <v>4.0553661436741065E-2</v>
      </c>
      <c r="D128" s="319">
        <v>0</v>
      </c>
      <c r="E128" s="319">
        <v>0</v>
      </c>
      <c r="F128" s="319">
        <v>0</v>
      </c>
      <c r="G128" s="319">
        <v>0</v>
      </c>
      <c r="H128" s="319">
        <v>0</v>
      </c>
      <c r="I128" s="319">
        <v>0</v>
      </c>
      <c r="J128" s="320">
        <v>3.3398569562777487E-2</v>
      </c>
      <c r="K128" s="320">
        <v>2.8333853190534219E-2</v>
      </c>
      <c r="L128" s="319">
        <v>-4.939713147378072E-2</v>
      </c>
      <c r="M128" s="319">
        <v>2.4546269626632834E-3</v>
      </c>
      <c r="N128" s="319">
        <v>0</v>
      </c>
      <c r="O128" s="320">
        <v>1.6432572605247216E-2</v>
      </c>
      <c r="P128" s="320">
        <v>0</v>
      </c>
      <c r="Q128" s="319">
        <v>0</v>
      </c>
      <c r="R128" s="320">
        <v>0</v>
      </c>
      <c r="S128" s="320">
        <v>2.3383920238594643E-2</v>
      </c>
      <c r="T128" s="320"/>
      <c r="U128" s="320"/>
      <c r="V128" s="316"/>
    </row>
    <row r="129" spans="1:22">
      <c r="A129" s="311"/>
      <c r="B129" s="291" t="s">
        <v>784</v>
      </c>
      <c r="C129" s="308">
        <v>1.2048373806005696E-3</v>
      </c>
      <c r="D129" s="309">
        <v>0</v>
      </c>
      <c r="E129" s="309">
        <v>0</v>
      </c>
      <c r="F129" s="309">
        <v>0</v>
      </c>
      <c r="G129" s="309">
        <v>0</v>
      </c>
      <c r="H129" s="309">
        <v>0</v>
      </c>
      <c r="I129" s="309">
        <v>0</v>
      </c>
      <c r="J129" s="310">
        <v>9.8771015007073052E-4</v>
      </c>
      <c r="K129" s="310">
        <v>5.4349900615518947E-5</v>
      </c>
      <c r="L129" s="309">
        <v>0</v>
      </c>
      <c r="M129" s="309">
        <v>0</v>
      </c>
      <c r="N129" s="309">
        <v>0</v>
      </c>
      <c r="O129" s="310">
        <v>4.5202334584947434E-5</v>
      </c>
      <c r="P129" s="310">
        <v>0</v>
      </c>
      <c r="Q129" s="309">
        <v>0</v>
      </c>
      <c r="R129" s="310">
        <v>0</v>
      </c>
      <c r="S129" s="310">
        <v>4.3182828002796066E-4</v>
      </c>
      <c r="T129" s="310"/>
      <c r="U129" s="310"/>
      <c r="V129" s="316"/>
    </row>
    <row r="130" spans="1:22">
      <c r="A130" s="311"/>
      <c r="B130" s="312" t="s">
        <v>785</v>
      </c>
      <c r="C130" s="313">
        <v>1.4638331484530269E-3</v>
      </c>
      <c r="D130" s="314">
        <v>0</v>
      </c>
      <c r="E130" s="314">
        <v>0</v>
      </c>
      <c r="F130" s="314">
        <v>0</v>
      </c>
      <c r="G130" s="314">
        <v>0</v>
      </c>
      <c r="H130" s="314">
        <v>0</v>
      </c>
      <c r="I130" s="314">
        <v>0</v>
      </c>
      <c r="J130" s="315">
        <v>1.201733578981514E-3</v>
      </c>
      <c r="K130" s="315">
        <v>3.2402193224261017E-4</v>
      </c>
      <c r="L130" s="314">
        <v>0</v>
      </c>
      <c r="M130" s="314">
        <v>0</v>
      </c>
      <c r="N130" s="314">
        <v>0</v>
      </c>
      <c r="O130" s="315">
        <v>2.6934322335026473E-4</v>
      </c>
      <c r="P130" s="315">
        <v>0</v>
      </c>
      <c r="Q130" s="314">
        <v>0</v>
      </c>
      <c r="R130" s="315">
        <v>0</v>
      </c>
      <c r="S130" s="315">
        <v>6.5303466542002348E-4</v>
      </c>
      <c r="T130" s="315"/>
      <c r="U130" s="315"/>
      <c r="V130" s="316"/>
    </row>
    <row r="131" spans="1:22" ht="15.75" thickBot="1">
      <c r="A131" s="311"/>
      <c r="B131" s="325" t="s">
        <v>786</v>
      </c>
      <c r="C131" s="326">
        <v>2.5899576785245734E-2</v>
      </c>
      <c r="D131" s="327">
        <v>0</v>
      </c>
      <c r="E131" s="327">
        <v>0</v>
      </c>
      <c r="F131" s="327">
        <v>0</v>
      </c>
      <c r="G131" s="327">
        <v>0</v>
      </c>
      <c r="H131" s="327">
        <v>0</v>
      </c>
      <c r="I131" s="327">
        <v>0</v>
      </c>
      <c r="J131" s="328">
        <v>2.1402342891078344E-2</v>
      </c>
      <c r="K131" s="328">
        <v>2.6967203162709123E-2</v>
      </c>
      <c r="L131" s="327">
        <v>0</v>
      </c>
      <c r="M131" s="327">
        <v>0</v>
      </c>
      <c r="N131" s="327">
        <v>0</v>
      </c>
      <c r="O131" s="328">
        <v>2.2414088876531728E-2</v>
      </c>
      <c r="P131" s="328">
        <v>0</v>
      </c>
      <c r="Q131" s="327">
        <v>0</v>
      </c>
      <c r="R131" s="328">
        <v>0</v>
      </c>
      <c r="S131" s="328">
        <v>2.2120638539206282E-2</v>
      </c>
      <c r="T131" s="328"/>
      <c r="U131" s="328"/>
      <c r="V131" s="316"/>
    </row>
    <row r="132" spans="1:22" ht="15.75" thickTop="1">
      <c r="A132" s="311"/>
      <c r="B132" s="312" t="s">
        <v>787</v>
      </c>
      <c r="C132" s="313">
        <v>0.73248570617990116</v>
      </c>
      <c r="D132" s="314">
        <v>0</v>
      </c>
      <c r="E132" s="314">
        <v>0.56875056957987791</v>
      </c>
      <c r="F132" s="314">
        <v>0.56061493411420205</v>
      </c>
      <c r="G132" s="314">
        <v>0</v>
      </c>
      <c r="H132" s="314">
        <v>0</v>
      </c>
      <c r="I132" s="314">
        <v>0</v>
      </c>
      <c r="J132" s="315">
        <v>0.71386785296702893</v>
      </c>
      <c r="K132" s="315">
        <v>0</v>
      </c>
      <c r="L132" s="314">
        <v>0</v>
      </c>
      <c r="M132" s="314">
        <v>0</v>
      </c>
      <c r="N132" s="314">
        <v>0</v>
      </c>
      <c r="O132" s="315">
        <v>0</v>
      </c>
      <c r="P132" s="315">
        <v>0</v>
      </c>
      <c r="Q132" s="314">
        <v>0</v>
      </c>
      <c r="R132" s="315">
        <v>0</v>
      </c>
      <c r="S132" s="315">
        <v>0.71386785296702893</v>
      </c>
      <c r="T132" s="315"/>
      <c r="U132" s="315"/>
      <c r="V132" s="316"/>
    </row>
    <row r="133" spans="1:22">
      <c r="A133" s="311"/>
      <c r="B133" s="312" t="s">
        <v>788</v>
      </c>
      <c r="C133" s="313">
        <v>0.72870501706054314</v>
      </c>
      <c r="D133" s="314">
        <v>0</v>
      </c>
      <c r="E133" s="314">
        <v>0.55831165956504902</v>
      </c>
      <c r="F133" s="314">
        <v>0.51062648291180779</v>
      </c>
      <c r="G133" s="314">
        <v>0</v>
      </c>
      <c r="H133" s="314">
        <v>0</v>
      </c>
      <c r="I133" s="314">
        <v>0</v>
      </c>
      <c r="J133" s="315">
        <v>0.70901489384344507</v>
      </c>
      <c r="K133" s="315">
        <v>0</v>
      </c>
      <c r="L133" s="314">
        <v>0</v>
      </c>
      <c r="M133" s="314">
        <v>0</v>
      </c>
      <c r="N133" s="314">
        <v>0</v>
      </c>
      <c r="O133" s="315">
        <v>0</v>
      </c>
      <c r="P133" s="315">
        <v>0</v>
      </c>
      <c r="Q133" s="314">
        <v>0</v>
      </c>
      <c r="R133" s="315">
        <v>0</v>
      </c>
      <c r="S133" s="315">
        <v>0.70901489384344507</v>
      </c>
      <c r="T133" s="315"/>
      <c r="U133" s="315"/>
      <c r="V133" s="316"/>
    </row>
    <row r="134" spans="1:22">
      <c r="A134" s="311"/>
      <c r="B134" s="317" t="s">
        <v>789</v>
      </c>
      <c r="C134" s="318">
        <v>-0.37806891193580272</v>
      </c>
      <c r="D134" s="319">
        <v>0</v>
      </c>
      <c r="E134" s="319">
        <v>-1.0438910014828884</v>
      </c>
      <c r="F134" s="321">
        <v>-4.9988451202394257</v>
      </c>
      <c r="G134" s="319">
        <v>0</v>
      </c>
      <c r="H134" s="319">
        <v>0</v>
      </c>
      <c r="I134" s="319">
        <v>0</v>
      </c>
      <c r="J134" s="320">
        <v>-0.48529591235838554</v>
      </c>
      <c r="K134" s="320">
        <v>0</v>
      </c>
      <c r="L134" s="319">
        <v>0</v>
      </c>
      <c r="M134" s="319">
        <v>0</v>
      </c>
      <c r="N134" s="319">
        <v>0</v>
      </c>
      <c r="O134" s="320">
        <v>0</v>
      </c>
      <c r="P134" s="320">
        <v>0</v>
      </c>
      <c r="Q134" s="319">
        <v>0</v>
      </c>
      <c r="R134" s="320">
        <v>0</v>
      </c>
      <c r="S134" s="320">
        <v>-0.48529591235838554</v>
      </c>
      <c r="T134" s="320"/>
      <c r="U134" s="320"/>
      <c r="V134" s="316"/>
    </row>
    <row r="135" spans="1:22">
      <c r="A135" s="311"/>
      <c r="B135" s="291" t="s">
        <v>790</v>
      </c>
      <c r="C135" s="308">
        <v>7.5453400608326629E-2</v>
      </c>
      <c r="D135" s="309">
        <v>0</v>
      </c>
      <c r="E135" s="309">
        <v>0.15085209149731157</v>
      </c>
      <c r="F135" s="309">
        <v>0.11342118106393363</v>
      </c>
      <c r="G135" s="309">
        <v>0</v>
      </c>
      <c r="H135" s="309">
        <v>0</v>
      </c>
      <c r="I135" s="309">
        <v>0</v>
      </c>
      <c r="J135" s="310">
        <v>8.3295752426080408E-2</v>
      </c>
      <c r="K135" s="310">
        <v>0</v>
      </c>
      <c r="L135" s="309">
        <v>0</v>
      </c>
      <c r="M135" s="309">
        <v>0</v>
      </c>
      <c r="N135" s="309">
        <v>0</v>
      </c>
      <c r="O135" s="310">
        <v>0</v>
      </c>
      <c r="P135" s="310">
        <v>0</v>
      </c>
      <c r="Q135" s="309">
        <v>0</v>
      </c>
      <c r="R135" s="310">
        <v>0</v>
      </c>
      <c r="S135" s="310">
        <v>8.3295752426080408E-2</v>
      </c>
      <c r="T135" s="310"/>
      <c r="U135" s="310"/>
      <c r="V135" s="316"/>
    </row>
    <row r="136" spans="1:22">
      <c r="A136" s="311"/>
      <c r="B136" s="312" t="s">
        <v>791</v>
      </c>
      <c r="C136" s="313">
        <v>7.2784397592737263E-2</v>
      </c>
      <c r="D136" s="314">
        <v>0</v>
      </c>
      <c r="E136" s="314">
        <v>0.14071348200616088</v>
      </c>
      <c r="F136" s="314">
        <v>0.11732040991468524</v>
      </c>
      <c r="G136" s="314">
        <v>0</v>
      </c>
      <c r="H136" s="314">
        <v>0</v>
      </c>
      <c r="I136" s="314">
        <v>0</v>
      </c>
      <c r="J136" s="315">
        <v>7.9908514084643306E-2</v>
      </c>
      <c r="K136" s="315">
        <v>0</v>
      </c>
      <c r="L136" s="314">
        <v>0</v>
      </c>
      <c r="M136" s="314">
        <v>0</v>
      </c>
      <c r="N136" s="314">
        <v>0</v>
      </c>
      <c r="O136" s="315">
        <v>0</v>
      </c>
      <c r="P136" s="315">
        <v>0</v>
      </c>
      <c r="Q136" s="314">
        <v>0</v>
      </c>
      <c r="R136" s="315">
        <v>0</v>
      </c>
      <c r="S136" s="315">
        <v>7.9908514084643306E-2</v>
      </c>
      <c r="T136" s="315"/>
      <c r="U136" s="315"/>
      <c r="V136" s="316"/>
    </row>
    <row r="137" spans="1:22">
      <c r="A137" s="311"/>
      <c r="B137" s="317" t="s">
        <v>792</v>
      </c>
      <c r="C137" s="318">
        <v>-0.26690030155893663</v>
      </c>
      <c r="D137" s="319">
        <v>0</v>
      </c>
      <c r="E137" s="319">
        <v>-1.0138609491150696</v>
      </c>
      <c r="F137" s="319">
        <v>0.38992288507516126</v>
      </c>
      <c r="G137" s="319">
        <v>0</v>
      </c>
      <c r="H137" s="319">
        <v>0</v>
      </c>
      <c r="I137" s="319">
        <v>0</v>
      </c>
      <c r="J137" s="320">
        <v>-0.33872383414371016</v>
      </c>
      <c r="K137" s="320">
        <v>0</v>
      </c>
      <c r="L137" s="319">
        <v>0</v>
      </c>
      <c r="M137" s="319">
        <v>0</v>
      </c>
      <c r="N137" s="319">
        <v>0</v>
      </c>
      <c r="O137" s="320">
        <v>0</v>
      </c>
      <c r="P137" s="320">
        <v>0</v>
      </c>
      <c r="Q137" s="319">
        <v>0</v>
      </c>
      <c r="R137" s="320">
        <v>0</v>
      </c>
      <c r="S137" s="320">
        <v>-0.33872383414371016</v>
      </c>
      <c r="T137" s="320"/>
      <c r="U137" s="320"/>
      <c r="V137" s="316"/>
    </row>
    <row r="138" spans="1:22">
      <c r="A138" s="311"/>
      <c r="B138" s="291" t="s">
        <v>793</v>
      </c>
      <c r="C138" s="308">
        <v>0.18982837649841569</v>
      </c>
      <c r="D138" s="309">
        <v>0</v>
      </c>
      <c r="E138" s="309">
        <v>0.242431422582703</v>
      </c>
      <c r="F138" s="309">
        <v>0.32596388482186434</v>
      </c>
      <c r="G138" s="309">
        <v>0</v>
      </c>
      <c r="H138" s="309">
        <v>0</v>
      </c>
      <c r="I138" s="309">
        <v>0</v>
      </c>
      <c r="J138" s="310">
        <v>0.19724626172860044</v>
      </c>
      <c r="K138" s="310">
        <v>0</v>
      </c>
      <c r="L138" s="309">
        <v>0</v>
      </c>
      <c r="M138" s="309">
        <v>0</v>
      </c>
      <c r="N138" s="309">
        <v>0</v>
      </c>
      <c r="O138" s="310">
        <v>0</v>
      </c>
      <c r="P138" s="310">
        <v>0</v>
      </c>
      <c r="Q138" s="309">
        <v>0</v>
      </c>
      <c r="R138" s="310">
        <v>0</v>
      </c>
      <c r="S138" s="310">
        <v>0.19724626172860044</v>
      </c>
      <c r="T138" s="310"/>
      <c r="U138" s="310"/>
      <c r="V138" s="316"/>
    </row>
    <row r="139" spans="1:22">
      <c r="A139" s="311"/>
      <c r="B139" s="312" t="s">
        <v>794</v>
      </c>
      <c r="C139" s="313">
        <v>0.19716520857614064</v>
      </c>
      <c r="D139" s="314">
        <v>0</v>
      </c>
      <c r="E139" s="314">
        <v>0.30097485842879013</v>
      </c>
      <c r="F139" s="314">
        <v>0.37205310717350698</v>
      </c>
      <c r="G139" s="314">
        <v>0</v>
      </c>
      <c r="H139" s="314">
        <v>0</v>
      </c>
      <c r="I139" s="314">
        <v>0</v>
      </c>
      <c r="J139" s="315">
        <v>0.20988024045199116</v>
      </c>
      <c r="K139" s="315">
        <v>0</v>
      </c>
      <c r="L139" s="314">
        <v>0</v>
      </c>
      <c r="M139" s="314">
        <v>0</v>
      </c>
      <c r="N139" s="314">
        <v>0</v>
      </c>
      <c r="O139" s="315">
        <v>0</v>
      </c>
      <c r="P139" s="315">
        <v>0</v>
      </c>
      <c r="Q139" s="314">
        <v>0</v>
      </c>
      <c r="R139" s="315">
        <v>0</v>
      </c>
      <c r="S139" s="315">
        <v>0.20988024045199116</v>
      </c>
      <c r="T139" s="315"/>
      <c r="U139" s="315"/>
      <c r="V139" s="316"/>
    </row>
    <row r="140" spans="1:22">
      <c r="A140" s="311"/>
      <c r="B140" s="317" t="s">
        <v>795</v>
      </c>
      <c r="C140" s="318">
        <v>0.73368320777249529</v>
      </c>
      <c r="D140" s="319">
        <v>0</v>
      </c>
      <c r="E140" s="321">
        <v>5.8543435846087117</v>
      </c>
      <c r="F140" s="321">
        <v>4.6089222351642647</v>
      </c>
      <c r="G140" s="319">
        <v>0</v>
      </c>
      <c r="H140" s="319">
        <v>0</v>
      </c>
      <c r="I140" s="319">
        <v>0</v>
      </c>
      <c r="J140" s="320">
        <v>1.2633978723390726</v>
      </c>
      <c r="K140" s="320">
        <v>0</v>
      </c>
      <c r="L140" s="319">
        <v>0</v>
      </c>
      <c r="M140" s="319">
        <v>0</v>
      </c>
      <c r="N140" s="319">
        <v>0</v>
      </c>
      <c r="O140" s="320">
        <v>0</v>
      </c>
      <c r="P140" s="320">
        <v>0</v>
      </c>
      <c r="Q140" s="319">
        <v>0</v>
      </c>
      <c r="R140" s="320">
        <v>0</v>
      </c>
      <c r="S140" s="320">
        <v>1.2633978723390726</v>
      </c>
      <c r="T140" s="320"/>
      <c r="U140" s="320"/>
      <c r="V140" s="316"/>
    </row>
    <row r="141" spans="1:22">
      <c r="A141" s="311"/>
      <c r="B141" s="291" t="s">
        <v>796</v>
      </c>
      <c r="C141" s="308">
        <v>1.4990871194235302E-3</v>
      </c>
      <c r="D141" s="309">
        <v>0</v>
      </c>
      <c r="E141" s="309">
        <v>3.7965916340107535E-2</v>
      </c>
      <c r="F141" s="309">
        <v>0</v>
      </c>
      <c r="G141" s="309">
        <v>0</v>
      </c>
      <c r="H141" s="309">
        <v>0</v>
      </c>
      <c r="I141" s="309">
        <v>0</v>
      </c>
      <c r="J141" s="310">
        <v>4.9394525014155111E-3</v>
      </c>
      <c r="K141" s="310">
        <v>0</v>
      </c>
      <c r="L141" s="309">
        <v>0</v>
      </c>
      <c r="M141" s="309">
        <v>0</v>
      </c>
      <c r="N141" s="309">
        <v>0</v>
      </c>
      <c r="O141" s="310">
        <v>0</v>
      </c>
      <c r="P141" s="310">
        <v>0</v>
      </c>
      <c r="Q141" s="309">
        <v>0</v>
      </c>
      <c r="R141" s="310">
        <v>0</v>
      </c>
      <c r="S141" s="310">
        <v>4.9394525014155111E-3</v>
      </c>
      <c r="T141" s="310"/>
      <c r="U141" s="310"/>
      <c r="V141" s="316"/>
    </row>
    <row r="142" spans="1:22">
      <c r="A142" s="311"/>
      <c r="B142" s="312" t="s">
        <v>797</v>
      </c>
      <c r="C142" s="313">
        <v>8.6065257670250384E-4</v>
      </c>
      <c r="D142" s="314">
        <v>0</v>
      </c>
      <c r="E142" s="322">
        <v>0</v>
      </c>
      <c r="F142" s="314">
        <v>0</v>
      </c>
      <c r="G142" s="314">
        <v>0</v>
      </c>
      <c r="H142" s="314">
        <v>0</v>
      </c>
      <c r="I142" s="314">
        <v>0</v>
      </c>
      <c r="J142" s="315">
        <v>7.653195200358232E-4</v>
      </c>
      <c r="K142" s="315">
        <v>0</v>
      </c>
      <c r="L142" s="314">
        <v>0</v>
      </c>
      <c r="M142" s="314">
        <v>0</v>
      </c>
      <c r="N142" s="314">
        <v>0</v>
      </c>
      <c r="O142" s="315">
        <v>0</v>
      </c>
      <c r="P142" s="315">
        <v>0</v>
      </c>
      <c r="Q142" s="314">
        <v>0</v>
      </c>
      <c r="R142" s="315">
        <v>0</v>
      </c>
      <c r="S142" s="315">
        <v>7.653195200358232E-4</v>
      </c>
      <c r="T142" s="315"/>
      <c r="U142" s="315"/>
      <c r="V142" s="316"/>
    </row>
    <row r="143" spans="1:22">
      <c r="A143" s="311"/>
      <c r="B143" s="317" t="s">
        <v>798</v>
      </c>
      <c r="C143" s="318">
        <v>-6.384345427210264E-2</v>
      </c>
      <c r="D143" s="319">
        <v>0</v>
      </c>
      <c r="E143" s="321">
        <v>-3.7965916340107535</v>
      </c>
      <c r="F143" s="319">
        <v>0</v>
      </c>
      <c r="G143" s="319">
        <v>0</v>
      </c>
      <c r="H143" s="319">
        <v>0</v>
      </c>
      <c r="I143" s="319">
        <v>0</v>
      </c>
      <c r="J143" s="320">
        <v>-0.41741329813796879</v>
      </c>
      <c r="K143" s="320">
        <v>0</v>
      </c>
      <c r="L143" s="319">
        <v>0</v>
      </c>
      <c r="M143" s="319">
        <v>0</v>
      </c>
      <c r="N143" s="319">
        <v>0</v>
      </c>
      <c r="O143" s="320">
        <v>0</v>
      </c>
      <c r="P143" s="320">
        <v>0</v>
      </c>
      <c r="Q143" s="319">
        <v>0</v>
      </c>
      <c r="R143" s="320">
        <v>0</v>
      </c>
      <c r="S143" s="320">
        <v>-0.41741329813796879</v>
      </c>
      <c r="T143" s="320"/>
      <c r="U143" s="320"/>
      <c r="V143" s="316"/>
    </row>
    <row r="144" spans="1:22">
      <c r="A144" s="311"/>
      <c r="B144" s="291" t="s">
        <v>799</v>
      </c>
      <c r="C144" s="308">
        <v>1.943441933324316E-4</v>
      </c>
      <c r="D144" s="309">
        <v>0</v>
      </c>
      <c r="E144" s="309">
        <v>0</v>
      </c>
      <c r="F144" s="309">
        <v>0</v>
      </c>
      <c r="G144" s="309">
        <v>0</v>
      </c>
      <c r="H144" s="309">
        <v>0</v>
      </c>
      <c r="I144" s="309">
        <v>0</v>
      </c>
      <c r="J144" s="310">
        <v>1.724173035926481E-4</v>
      </c>
      <c r="K144" s="310">
        <v>0</v>
      </c>
      <c r="L144" s="309">
        <v>0</v>
      </c>
      <c r="M144" s="309">
        <v>0</v>
      </c>
      <c r="N144" s="309">
        <v>0</v>
      </c>
      <c r="O144" s="310">
        <v>0</v>
      </c>
      <c r="P144" s="310">
        <v>0</v>
      </c>
      <c r="Q144" s="309">
        <v>0</v>
      </c>
      <c r="R144" s="310">
        <v>0</v>
      </c>
      <c r="S144" s="310">
        <v>1.724173035926481E-4</v>
      </c>
      <c r="T144" s="310"/>
      <c r="U144" s="310"/>
      <c r="V144" s="316"/>
    </row>
    <row r="145" spans="1:22">
      <c r="A145" s="311"/>
      <c r="B145" s="312" t="s">
        <v>800</v>
      </c>
      <c r="C145" s="313">
        <v>1.0296746402987066E-4</v>
      </c>
      <c r="D145" s="314">
        <v>0</v>
      </c>
      <c r="E145" s="314">
        <v>0</v>
      </c>
      <c r="F145" s="314">
        <v>0</v>
      </c>
      <c r="G145" s="314">
        <v>0</v>
      </c>
      <c r="H145" s="314">
        <v>0</v>
      </c>
      <c r="I145" s="314">
        <v>0</v>
      </c>
      <c r="J145" s="315">
        <v>9.1561929033631221E-5</v>
      </c>
      <c r="K145" s="315">
        <v>0</v>
      </c>
      <c r="L145" s="314">
        <v>0</v>
      </c>
      <c r="M145" s="314">
        <v>0</v>
      </c>
      <c r="N145" s="314">
        <v>0</v>
      </c>
      <c r="O145" s="315">
        <v>0</v>
      </c>
      <c r="P145" s="315">
        <v>0</v>
      </c>
      <c r="Q145" s="314">
        <v>0</v>
      </c>
      <c r="R145" s="315">
        <v>0</v>
      </c>
      <c r="S145" s="315">
        <v>9.1561929033631221E-5</v>
      </c>
      <c r="T145" s="315"/>
      <c r="U145" s="315"/>
      <c r="V145" s="316"/>
    </row>
    <row r="146" spans="1:22">
      <c r="A146" s="311"/>
      <c r="B146" s="317" t="s">
        <v>801</v>
      </c>
      <c r="C146" s="318">
        <v>-9.1376729302560938E-3</v>
      </c>
      <c r="D146" s="319">
        <v>0</v>
      </c>
      <c r="E146" s="319">
        <v>0</v>
      </c>
      <c r="F146" s="319">
        <v>0</v>
      </c>
      <c r="G146" s="319">
        <v>0</v>
      </c>
      <c r="H146" s="319">
        <v>0</v>
      </c>
      <c r="I146" s="319">
        <v>0</v>
      </c>
      <c r="J146" s="320">
        <v>-8.0855374559016882E-3</v>
      </c>
      <c r="K146" s="320">
        <v>0</v>
      </c>
      <c r="L146" s="319">
        <v>0</v>
      </c>
      <c r="M146" s="319">
        <v>0</v>
      </c>
      <c r="N146" s="319">
        <v>0</v>
      </c>
      <c r="O146" s="320">
        <v>0</v>
      </c>
      <c r="P146" s="320">
        <v>0</v>
      </c>
      <c r="Q146" s="319">
        <v>0</v>
      </c>
      <c r="R146" s="320">
        <v>0</v>
      </c>
      <c r="S146" s="320">
        <v>-8.0855374559016882E-3</v>
      </c>
      <c r="T146" s="320"/>
      <c r="U146" s="320"/>
      <c r="V146" s="316"/>
    </row>
    <row r="147" spans="1:22">
      <c r="A147" s="311"/>
      <c r="B147" s="291" t="s">
        <v>802</v>
      </c>
      <c r="C147" s="308">
        <v>5.3908540060051383E-4</v>
      </c>
      <c r="D147" s="309">
        <v>0</v>
      </c>
      <c r="E147" s="309">
        <v>0</v>
      </c>
      <c r="F147" s="309">
        <v>0</v>
      </c>
      <c r="G147" s="309">
        <v>0</v>
      </c>
      <c r="H147" s="309">
        <v>0</v>
      </c>
      <c r="I147" s="309">
        <v>0</v>
      </c>
      <c r="J147" s="310">
        <v>4.7826307328211934E-4</v>
      </c>
      <c r="K147" s="310">
        <v>0</v>
      </c>
      <c r="L147" s="309">
        <v>0</v>
      </c>
      <c r="M147" s="309">
        <v>0</v>
      </c>
      <c r="N147" s="309">
        <v>0</v>
      </c>
      <c r="O147" s="310">
        <v>0</v>
      </c>
      <c r="P147" s="310">
        <v>0</v>
      </c>
      <c r="Q147" s="309">
        <v>0</v>
      </c>
      <c r="R147" s="310">
        <v>0</v>
      </c>
      <c r="S147" s="310">
        <v>4.7826307328211934E-4</v>
      </c>
      <c r="T147" s="310"/>
      <c r="U147" s="310"/>
      <c r="V147" s="316"/>
    </row>
    <row r="148" spans="1:22">
      <c r="A148" s="311"/>
      <c r="B148" s="312" t="s">
        <v>803</v>
      </c>
      <c r="C148" s="313">
        <v>3.8175672984659594E-4</v>
      </c>
      <c r="D148" s="314">
        <v>0</v>
      </c>
      <c r="E148" s="314">
        <v>0</v>
      </c>
      <c r="F148" s="314">
        <v>0</v>
      </c>
      <c r="G148" s="314">
        <v>0</v>
      </c>
      <c r="H148" s="314">
        <v>0</v>
      </c>
      <c r="I148" s="314">
        <v>0</v>
      </c>
      <c r="J148" s="315">
        <v>3.3947017085110445E-4</v>
      </c>
      <c r="K148" s="315">
        <v>0</v>
      </c>
      <c r="L148" s="314">
        <v>0</v>
      </c>
      <c r="M148" s="314">
        <v>0</v>
      </c>
      <c r="N148" s="314">
        <v>0</v>
      </c>
      <c r="O148" s="315">
        <v>0</v>
      </c>
      <c r="P148" s="315">
        <v>0</v>
      </c>
      <c r="Q148" s="314">
        <v>0</v>
      </c>
      <c r="R148" s="315">
        <v>0</v>
      </c>
      <c r="S148" s="315">
        <v>3.3947017085110445E-4</v>
      </c>
      <c r="T148" s="315"/>
      <c r="U148" s="315"/>
      <c r="V148" s="316"/>
    </row>
    <row r="149" spans="1:22" ht="15.75" thickBot="1">
      <c r="A149" s="329"/>
      <c r="B149" s="330" t="s">
        <v>804</v>
      </c>
      <c r="C149" s="331">
        <v>-1.5732867075391788E-2</v>
      </c>
      <c r="D149" s="332">
        <v>0</v>
      </c>
      <c r="E149" s="332">
        <v>0</v>
      </c>
      <c r="F149" s="332">
        <v>0</v>
      </c>
      <c r="G149" s="332">
        <v>0</v>
      </c>
      <c r="H149" s="332">
        <v>0</v>
      </c>
      <c r="I149" s="332">
        <v>0</v>
      </c>
      <c r="J149" s="333">
        <v>-1.3879290243101489E-2</v>
      </c>
      <c r="K149" s="333">
        <v>0</v>
      </c>
      <c r="L149" s="332">
        <v>0</v>
      </c>
      <c r="M149" s="332">
        <v>0</v>
      </c>
      <c r="N149" s="332">
        <v>0</v>
      </c>
      <c r="O149" s="333">
        <v>0</v>
      </c>
      <c r="P149" s="333">
        <v>0</v>
      </c>
      <c r="Q149" s="332">
        <v>0</v>
      </c>
      <c r="R149" s="333">
        <v>0</v>
      </c>
      <c r="S149" s="333">
        <v>-1.3879290243101489E-2</v>
      </c>
      <c r="T149" s="333"/>
      <c r="U149" s="333"/>
      <c r="V149" s="316"/>
    </row>
    <row r="150" spans="1:22">
      <c r="A150" s="307" t="s">
        <v>176</v>
      </c>
      <c r="B150" s="291" t="s">
        <v>769</v>
      </c>
      <c r="C150" s="308">
        <v>0.94973720875211398</v>
      </c>
      <c r="D150" s="309">
        <v>0.96789560943078135</v>
      </c>
      <c r="E150" s="309">
        <v>0.82748204384732016</v>
      </c>
      <c r="F150" s="309">
        <v>0.86550607501204446</v>
      </c>
      <c r="G150" s="309">
        <v>0.85356114727071974</v>
      </c>
      <c r="H150" s="309">
        <v>0.86303478481655449</v>
      </c>
      <c r="I150" s="309">
        <v>0</v>
      </c>
      <c r="J150" s="310">
        <v>0.88131817092884479</v>
      </c>
      <c r="K150" s="310">
        <v>0.90170812464887218</v>
      </c>
      <c r="L150" s="309">
        <v>0.77730572396556996</v>
      </c>
      <c r="M150" s="309">
        <v>0.61197722757725215</v>
      </c>
      <c r="N150" s="309">
        <v>0</v>
      </c>
      <c r="O150" s="310">
        <v>0.73350043372420848</v>
      </c>
      <c r="P150" s="310">
        <v>0.69083958373390064</v>
      </c>
      <c r="Q150" s="309">
        <v>0</v>
      </c>
      <c r="R150" s="310">
        <v>0.69083958373390064</v>
      </c>
      <c r="S150" s="310">
        <v>0.81687158829417639</v>
      </c>
      <c r="T150" s="310"/>
      <c r="U150" s="310"/>
      <c r="V150" s="316"/>
    </row>
    <row r="151" spans="1:22">
      <c r="A151" s="311"/>
      <c r="B151" s="312" t="s">
        <v>770</v>
      </c>
      <c r="C151" s="313">
        <v>0.93509101812651174</v>
      </c>
      <c r="D151" s="314">
        <v>0.95812683484810401</v>
      </c>
      <c r="E151" s="314">
        <v>0.80503381592469725</v>
      </c>
      <c r="F151" s="314">
        <v>0.85155398854378561</v>
      </c>
      <c r="G151" s="314">
        <v>0.83397584437458483</v>
      </c>
      <c r="H151" s="314">
        <v>0.85714408645083784</v>
      </c>
      <c r="I151" s="314">
        <v>0</v>
      </c>
      <c r="J151" s="315">
        <v>0.86556436146040938</v>
      </c>
      <c r="K151" s="315">
        <v>0.86926249518690679</v>
      </c>
      <c r="L151" s="314">
        <v>0.75762874572458527</v>
      </c>
      <c r="M151" s="314">
        <v>0.58966828159673812</v>
      </c>
      <c r="N151" s="314">
        <v>0</v>
      </c>
      <c r="O151" s="315">
        <v>0.71092852915124705</v>
      </c>
      <c r="P151" s="315">
        <v>0.67398714291569128</v>
      </c>
      <c r="Q151" s="314">
        <v>0</v>
      </c>
      <c r="R151" s="315">
        <v>0.67398714291569128</v>
      </c>
      <c r="S151" s="315">
        <v>0.80232094002864129</v>
      </c>
      <c r="T151" s="315"/>
      <c r="U151" s="315"/>
      <c r="V151" s="316"/>
    </row>
    <row r="152" spans="1:22">
      <c r="A152" s="311"/>
      <c r="B152" s="317" t="s">
        <v>771</v>
      </c>
      <c r="C152" s="318">
        <v>-1.464619062560224</v>
      </c>
      <c r="D152" s="319">
        <v>-0.97687745826773309</v>
      </c>
      <c r="E152" s="319">
        <v>-2.244822792262291</v>
      </c>
      <c r="F152" s="319">
        <v>-1.3952086468258851</v>
      </c>
      <c r="G152" s="319">
        <v>-1.9585302896134915</v>
      </c>
      <c r="H152" s="319">
        <v>-0.58906983657166512</v>
      </c>
      <c r="I152" s="319">
        <v>0</v>
      </c>
      <c r="J152" s="320">
        <v>-1.5753809468435409</v>
      </c>
      <c r="K152" s="320">
        <v>-3.2445629461965386</v>
      </c>
      <c r="L152" s="319">
        <v>-1.9676978240984688</v>
      </c>
      <c r="M152" s="319">
        <v>-2.2308945980514028</v>
      </c>
      <c r="N152" s="319">
        <v>0</v>
      </c>
      <c r="O152" s="320">
        <v>-2.2571904572961432</v>
      </c>
      <c r="P152" s="320">
        <v>-1.6852440818209358</v>
      </c>
      <c r="Q152" s="319">
        <v>0</v>
      </c>
      <c r="R152" s="320">
        <v>-1.6852440818209358</v>
      </c>
      <c r="S152" s="320">
        <v>-1.4550648265535093</v>
      </c>
      <c r="T152" s="320"/>
      <c r="U152" s="320"/>
      <c r="V152" s="316"/>
    </row>
    <row r="153" spans="1:22">
      <c r="A153" s="311"/>
      <c r="B153" s="291" t="s">
        <v>772</v>
      </c>
      <c r="C153" s="308">
        <v>1.5704383943358366E-2</v>
      </c>
      <c r="D153" s="309">
        <v>3.0392840403776603E-2</v>
      </c>
      <c r="E153" s="309">
        <v>1.119257627906462E-2</v>
      </c>
      <c r="F153" s="309">
        <v>1.998201951894147E-2</v>
      </c>
      <c r="G153" s="309">
        <v>8.2480879661606561E-3</v>
      </c>
      <c r="H153" s="309">
        <v>6.0429097372095973E-2</v>
      </c>
      <c r="I153" s="309">
        <v>0</v>
      </c>
      <c r="J153" s="310">
        <v>2.0515605204828431E-2</v>
      </c>
      <c r="K153" s="310">
        <v>2.9735792522820815E-2</v>
      </c>
      <c r="L153" s="309">
        <v>6.8647703108980123E-3</v>
      </c>
      <c r="M153" s="309">
        <v>0.14460430044102346</v>
      </c>
      <c r="N153" s="309">
        <v>0</v>
      </c>
      <c r="O153" s="310">
        <v>6.9258843426580299E-2</v>
      </c>
      <c r="P153" s="310">
        <v>0</v>
      </c>
      <c r="Q153" s="309">
        <v>0</v>
      </c>
      <c r="R153" s="310">
        <v>0</v>
      </c>
      <c r="S153" s="310">
        <v>2.2221355713969018E-2</v>
      </c>
      <c r="T153" s="310"/>
      <c r="U153" s="310"/>
      <c r="V153" s="316"/>
    </row>
    <row r="154" spans="1:22">
      <c r="A154" s="311"/>
      <c r="B154" s="312" t="s">
        <v>773</v>
      </c>
      <c r="C154" s="313">
        <v>1.8543751286660796E-2</v>
      </c>
      <c r="D154" s="314">
        <v>3.2357899446288099E-2</v>
      </c>
      <c r="E154" s="314">
        <v>1.1704317152756386E-2</v>
      </c>
      <c r="F154" s="314">
        <v>2.0681581875958768E-2</v>
      </c>
      <c r="G154" s="314">
        <v>1.2621811201138212E-2</v>
      </c>
      <c r="H154" s="314">
        <v>5.2233296101692292E-2</v>
      </c>
      <c r="I154" s="314">
        <v>0</v>
      </c>
      <c r="J154" s="315">
        <v>2.1071373903748462E-2</v>
      </c>
      <c r="K154" s="315">
        <v>3.2205051663841661E-2</v>
      </c>
      <c r="L154" s="314">
        <v>6.2189847084590053E-3</v>
      </c>
      <c r="M154" s="314">
        <v>0.15135854422284051</v>
      </c>
      <c r="N154" s="314">
        <v>0</v>
      </c>
      <c r="O154" s="315">
        <v>7.203879183317663E-2</v>
      </c>
      <c r="P154" s="315">
        <v>0</v>
      </c>
      <c r="Q154" s="314">
        <v>0</v>
      </c>
      <c r="R154" s="315">
        <v>0</v>
      </c>
      <c r="S154" s="315">
        <v>2.3167516777313518E-2</v>
      </c>
      <c r="T154" s="315"/>
      <c r="U154" s="315"/>
      <c r="V154" s="316"/>
    </row>
    <row r="155" spans="1:22">
      <c r="A155" s="311"/>
      <c r="B155" s="317" t="s">
        <v>774</v>
      </c>
      <c r="C155" s="318">
        <v>0.28393673433024302</v>
      </c>
      <c r="D155" s="319">
        <v>0.19650590425114961</v>
      </c>
      <c r="E155" s="319">
        <v>5.1174087369176662E-2</v>
      </c>
      <c r="F155" s="319">
        <v>6.9956235701729846E-2</v>
      </c>
      <c r="G155" s="319">
        <v>0.43737232349775562</v>
      </c>
      <c r="H155" s="319">
        <v>-0.81958012704036809</v>
      </c>
      <c r="I155" s="319">
        <v>0</v>
      </c>
      <c r="J155" s="320">
        <v>5.5576869892003111E-2</v>
      </c>
      <c r="K155" s="320">
        <v>0.24692591410208459</v>
      </c>
      <c r="L155" s="319">
        <v>-6.4578560243900698E-2</v>
      </c>
      <c r="M155" s="319">
        <v>0.67542437818170487</v>
      </c>
      <c r="N155" s="319">
        <v>0</v>
      </c>
      <c r="O155" s="320">
        <v>0.27799484065963304</v>
      </c>
      <c r="P155" s="320">
        <v>0</v>
      </c>
      <c r="Q155" s="319">
        <v>0</v>
      </c>
      <c r="R155" s="320">
        <v>0</v>
      </c>
      <c r="S155" s="320">
        <v>9.461610633445007E-2</v>
      </c>
      <c r="T155" s="320"/>
      <c r="U155" s="320"/>
      <c r="V155" s="316"/>
    </row>
    <row r="156" spans="1:22">
      <c r="A156" s="311"/>
      <c r="B156" s="291" t="s">
        <v>775</v>
      </c>
      <c r="C156" s="308">
        <v>3.2957299708204449E-2</v>
      </c>
      <c r="D156" s="309">
        <v>1.7115501654420765E-3</v>
      </c>
      <c r="E156" s="309">
        <v>0.15935269314622783</v>
      </c>
      <c r="F156" s="309">
        <v>0.11273658961898539</v>
      </c>
      <c r="G156" s="309">
        <v>0.13819076476311956</v>
      </c>
      <c r="H156" s="309">
        <v>7.6536117811349502E-2</v>
      </c>
      <c r="I156" s="309">
        <v>0</v>
      </c>
      <c r="J156" s="310">
        <v>9.6738327660740836E-2</v>
      </c>
      <c r="K156" s="310">
        <v>5.7698514206481075E-2</v>
      </c>
      <c r="L156" s="309">
        <v>0.18863270335825344</v>
      </c>
      <c r="M156" s="309">
        <v>0.23971391389579155</v>
      </c>
      <c r="N156" s="309">
        <v>0</v>
      </c>
      <c r="O156" s="310">
        <v>0.18323185913322856</v>
      </c>
      <c r="P156" s="310">
        <v>0.30572090381478062</v>
      </c>
      <c r="Q156" s="309">
        <v>0</v>
      </c>
      <c r="R156" s="310">
        <v>0.30572090381478062</v>
      </c>
      <c r="S156" s="310">
        <v>0.15732494723010185</v>
      </c>
      <c r="T156" s="310"/>
      <c r="U156" s="310"/>
      <c r="V156" s="316"/>
    </row>
    <row r="157" spans="1:22">
      <c r="A157" s="311"/>
      <c r="B157" s="312" t="s">
        <v>776</v>
      </c>
      <c r="C157" s="313">
        <v>4.63528373323382E-2</v>
      </c>
      <c r="D157" s="314">
        <v>9.5152657056079178E-3</v>
      </c>
      <c r="E157" s="314">
        <v>0.1810794381186297</v>
      </c>
      <c r="F157" s="314">
        <v>0.12535371098576967</v>
      </c>
      <c r="G157" s="314">
        <v>0.15340234442427697</v>
      </c>
      <c r="H157" s="314">
        <v>9.0121797376115878E-2</v>
      </c>
      <c r="I157" s="314">
        <v>0</v>
      </c>
      <c r="J157" s="315">
        <v>0.11206581886297515</v>
      </c>
      <c r="K157" s="315">
        <v>9.8147405693144965E-2</v>
      </c>
      <c r="L157" s="314">
        <v>0.23615226956695567</v>
      </c>
      <c r="M157" s="314">
        <v>0.25485222695749948</v>
      </c>
      <c r="N157" s="314">
        <v>0</v>
      </c>
      <c r="O157" s="315">
        <v>0.21523721942332313</v>
      </c>
      <c r="P157" s="315">
        <v>0.32060792410774908</v>
      </c>
      <c r="Q157" s="314">
        <v>0</v>
      </c>
      <c r="R157" s="315">
        <v>0.32060792410774908</v>
      </c>
      <c r="S157" s="315">
        <v>0.17223268454934937</v>
      </c>
      <c r="T157" s="315"/>
      <c r="U157" s="315"/>
      <c r="V157" s="316"/>
    </row>
    <row r="158" spans="1:22">
      <c r="A158" s="311"/>
      <c r="B158" s="317" t="s">
        <v>777</v>
      </c>
      <c r="C158" s="318">
        <v>1.3395537624133751</v>
      </c>
      <c r="D158" s="319">
        <v>0.78037155401658409</v>
      </c>
      <c r="E158" s="319">
        <v>2.1726744972401875</v>
      </c>
      <c r="F158" s="319">
        <v>1.2617121366784279</v>
      </c>
      <c r="G158" s="319">
        <v>1.5211579661157408</v>
      </c>
      <c r="H158" s="319">
        <v>1.3585679564766375</v>
      </c>
      <c r="I158" s="319">
        <v>0</v>
      </c>
      <c r="J158" s="320">
        <v>1.5327491202234311</v>
      </c>
      <c r="K158" s="336">
        <v>4.0448891486663889</v>
      </c>
      <c r="L158" s="321">
        <v>4.7519566208702235</v>
      </c>
      <c r="M158" s="319">
        <v>1.5138313061707931</v>
      </c>
      <c r="N158" s="319">
        <v>0</v>
      </c>
      <c r="O158" s="320">
        <v>3.2005360290094571</v>
      </c>
      <c r="P158" s="320">
        <v>1.4887020292968456</v>
      </c>
      <c r="Q158" s="319">
        <v>0</v>
      </c>
      <c r="R158" s="320">
        <v>1.4887020292968456</v>
      </c>
      <c r="S158" s="320">
        <v>1.4907737319247523</v>
      </c>
      <c r="T158" s="320"/>
      <c r="U158" s="320"/>
      <c r="V158" s="316"/>
    </row>
    <row r="159" spans="1:22">
      <c r="A159" s="311"/>
      <c r="B159" s="291" t="s">
        <v>778</v>
      </c>
      <c r="C159" s="308">
        <v>0</v>
      </c>
      <c r="D159" s="309">
        <v>0</v>
      </c>
      <c r="E159" s="309">
        <v>1.7485806615832403E-4</v>
      </c>
      <c r="F159" s="309">
        <v>2.221894682192064E-4</v>
      </c>
      <c r="G159" s="309">
        <v>0</v>
      </c>
      <c r="H159" s="309">
        <v>0</v>
      </c>
      <c r="I159" s="309">
        <v>0</v>
      </c>
      <c r="J159" s="310">
        <v>1.0687639072040126E-4</v>
      </c>
      <c r="K159" s="310">
        <v>0</v>
      </c>
      <c r="L159" s="309">
        <v>0</v>
      </c>
      <c r="M159" s="309">
        <v>1.0278542666172206E-3</v>
      </c>
      <c r="N159" s="309">
        <v>0</v>
      </c>
      <c r="O159" s="310">
        <v>4.3066550463108155E-4</v>
      </c>
      <c r="P159" s="310">
        <v>3.4395124513187159E-3</v>
      </c>
      <c r="Q159" s="309">
        <v>0</v>
      </c>
      <c r="R159" s="310">
        <v>3.4395124513187159E-3</v>
      </c>
      <c r="S159" s="310">
        <v>9.3190235857789998E-4</v>
      </c>
      <c r="T159" s="310"/>
      <c r="U159" s="310"/>
      <c r="V159" s="316"/>
    </row>
    <row r="160" spans="1:22">
      <c r="A160" s="311"/>
      <c r="B160" s="312" t="s">
        <v>779</v>
      </c>
      <c r="C160" s="313">
        <v>0</v>
      </c>
      <c r="D160" s="314">
        <v>0</v>
      </c>
      <c r="E160" s="314">
        <v>1.8645781937035049E-4</v>
      </c>
      <c r="F160" s="314">
        <v>1.0163478454156863E-4</v>
      </c>
      <c r="G160" s="314">
        <v>0</v>
      </c>
      <c r="H160" s="322">
        <v>5.0082007135395239E-4</v>
      </c>
      <c r="I160" s="314">
        <v>0</v>
      </c>
      <c r="J160" s="315">
        <v>1.3173874841021876E-4</v>
      </c>
      <c r="K160" s="315">
        <v>0</v>
      </c>
      <c r="L160" s="314">
        <v>0</v>
      </c>
      <c r="M160" s="322">
        <v>0</v>
      </c>
      <c r="N160" s="314">
        <v>0</v>
      </c>
      <c r="O160" s="315">
        <v>0</v>
      </c>
      <c r="P160" s="315">
        <v>5.4049329765596954E-3</v>
      </c>
      <c r="Q160" s="314">
        <v>0</v>
      </c>
      <c r="R160" s="315">
        <v>5.4049329765596954E-3</v>
      </c>
      <c r="S160" s="315">
        <v>1.2881652483620635E-3</v>
      </c>
      <c r="T160" s="315"/>
      <c r="U160" s="315"/>
      <c r="V160" s="316"/>
    </row>
    <row r="161" spans="1:22">
      <c r="A161" s="311"/>
      <c r="B161" s="317" t="s">
        <v>780</v>
      </c>
      <c r="C161" s="318">
        <v>0</v>
      </c>
      <c r="D161" s="319">
        <v>0</v>
      </c>
      <c r="E161" s="319">
        <v>1.1599753212026462E-3</v>
      </c>
      <c r="F161" s="319">
        <v>-1.2055468367763778E-2</v>
      </c>
      <c r="G161" s="319">
        <v>0</v>
      </c>
      <c r="H161" s="319">
        <v>0</v>
      </c>
      <c r="I161" s="319">
        <v>0</v>
      </c>
      <c r="J161" s="320">
        <v>2.4862357689817496E-3</v>
      </c>
      <c r="K161" s="320">
        <v>0</v>
      </c>
      <c r="L161" s="319">
        <v>0</v>
      </c>
      <c r="M161" s="321">
        <v>-0.10278542666172207</v>
      </c>
      <c r="N161" s="319">
        <v>0</v>
      </c>
      <c r="O161" s="320">
        <v>-4.3066550463108158E-2</v>
      </c>
      <c r="P161" s="320">
        <v>0.19654205252409795</v>
      </c>
      <c r="Q161" s="319">
        <v>0</v>
      </c>
      <c r="R161" s="320">
        <v>0.19654205252409795</v>
      </c>
      <c r="S161" s="320">
        <v>3.5626288978416354E-2</v>
      </c>
      <c r="T161" s="320"/>
      <c r="U161" s="320"/>
      <c r="V161" s="316"/>
    </row>
    <row r="162" spans="1:22">
      <c r="A162" s="311"/>
      <c r="B162" s="291" t="s">
        <v>781</v>
      </c>
      <c r="C162" s="308">
        <v>1.6011075963232007E-3</v>
      </c>
      <c r="D162" s="309">
        <v>0</v>
      </c>
      <c r="E162" s="309">
        <v>1.7961686162972145E-3</v>
      </c>
      <c r="F162" s="309">
        <v>5.3384136258608004E-4</v>
      </c>
      <c r="G162" s="309">
        <v>0</v>
      </c>
      <c r="H162" s="309">
        <v>0</v>
      </c>
      <c r="I162" s="309">
        <v>0</v>
      </c>
      <c r="J162" s="310">
        <v>1.0805047708049615E-3</v>
      </c>
      <c r="K162" s="310">
        <v>1.0618502890703133E-2</v>
      </c>
      <c r="L162" s="309">
        <v>2.7196802365278612E-2</v>
      </c>
      <c r="M162" s="309">
        <v>1.74229084966366E-3</v>
      </c>
      <c r="N162" s="309">
        <v>0</v>
      </c>
      <c r="O162" s="310">
        <v>1.3137744854342482E-2</v>
      </c>
      <c r="P162" s="310">
        <v>0</v>
      </c>
      <c r="Q162" s="309">
        <v>0</v>
      </c>
      <c r="R162" s="310">
        <v>0</v>
      </c>
      <c r="S162" s="310">
        <v>2.4393722202241028E-3</v>
      </c>
      <c r="T162" s="310"/>
      <c r="U162" s="310"/>
      <c r="V162" s="316"/>
    </row>
    <row r="163" spans="1:22">
      <c r="A163" s="311"/>
      <c r="B163" s="312" t="s">
        <v>782</v>
      </c>
      <c r="C163" s="313">
        <v>1.2393254489284311E-5</v>
      </c>
      <c r="D163" s="314">
        <v>0</v>
      </c>
      <c r="E163" s="314">
        <v>6.4551478986694434E-4</v>
      </c>
      <c r="F163" s="314">
        <v>2.23596525991451E-3</v>
      </c>
      <c r="G163" s="314">
        <v>0</v>
      </c>
      <c r="H163" s="314">
        <v>0</v>
      </c>
      <c r="I163" s="314">
        <v>0</v>
      </c>
      <c r="J163" s="315">
        <v>7.2695216091649216E-4</v>
      </c>
      <c r="K163" s="315">
        <v>3.8504745610657478E-4</v>
      </c>
      <c r="L163" s="322">
        <v>0</v>
      </c>
      <c r="M163" s="314">
        <v>3.4189186777272519E-3</v>
      </c>
      <c r="N163" s="314">
        <v>0</v>
      </c>
      <c r="O163" s="315">
        <v>1.5032330655140504E-3</v>
      </c>
      <c r="P163" s="315">
        <v>0</v>
      </c>
      <c r="Q163" s="314">
        <v>0</v>
      </c>
      <c r="R163" s="315">
        <v>0</v>
      </c>
      <c r="S163" s="315">
        <v>6.6848718853812147E-4</v>
      </c>
      <c r="T163" s="315"/>
      <c r="U163" s="315"/>
      <c r="V163" s="316"/>
    </row>
    <row r="164" spans="1:22">
      <c r="A164" s="311"/>
      <c r="B164" s="317" t="s">
        <v>783</v>
      </c>
      <c r="C164" s="318">
        <v>-0.15887143418339164</v>
      </c>
      <c r="D164" s="319">
        <v>0</v>
      </c>
      <c r="E164" s="319">
        <v>-0.11506538264302703</v>
      </c>
      <c r="F164" s="319">
        <v>0.170212389732843</v>
      </c>
      <c r="G164" s="319">
        <v>0</v>
      </c>
      <c r="H164" s="319">
        <v>0</v>
      </c>
      <c r="I164" s="319">
        <v>0</v>
      </c>
      <c r="J164" s="320">
        <v>-3.5355260988846927E-2</v>
      </c>
      <c r="K164" s="320">
        <v>-1.0233455434596557</v>
      </c>
      <c r="L164" s="321">
        <v>-2.7196802365278612</v>
      </c>
      <c r="M164" s="319">
        <v>0.16766278280635918</v>
      </c>
      <c r="N164" s="319">
        <v>0</v>
      </c>
      <c r="O164" s="320">
        <v>-1.1634511788828432</v>
      </c>
      <c r="P164" s="320">
        <v>0</v>
      </c>
      <c r="Q164" s="319">
        <v>0</v>
      </c>
      <c r="R164" s="320">
        <v>0</v>
      </c>
      <c r="S164" s="320">
        <v>-0.17708850316859814</v>
      </c>
      <c r="T164" s="320"/>
      <c r="U164" s="320"/>
      <c r="V164" s="316"/>
    </row>
    <row r="165" spans="1:22">
      <c r="A165" s="311"/>
      <c r="B165" s="291" t="s">
        <v>784</v>
      </c>
      <c r="C165" s="308">
        <v>0</v>
      </c>
      <c r="D165" s="309">
        <v>0</v>
      </c>
      <c r="E165" s="309">
        <v>1.6600449318828229E-6</v>
      </c>
      <c r="F165" s="309">
        <v>1.0192850192234221E-3</v>
      </c>
      <c r="G165" s="309">
        <v>0</v>
      </c>
      <c r="H165" s="309">
        <v>0</v>
      </c>
      <c r="I165" s="309">
        <v>0</v>
      </c>
      <c r="J165" s="310">
        <v>2.4051504406061221E-4</v>
      </c>
      <c r="K165" s="310">
        <v>2.3906573112277222E-4</v>
      </c>
      <c r="L165" s="309">
        <v>0</v>
      </c>
      <c r="M165" s="309">
        <v>9.3441296965201875E-4</v>
      </c>
      <c r="N165" s="309">
        <v>0</v>
      </c>
      <c r="O165" s="310">
        <v>4.4045335700906071E-4</v>
      </c>
      <c r="P165" s="310">
        <v>0</v>
      </c>
      <c r="Q165" s="309">
        <v>0</v>
      </c>
      <c r="R165" s="310">
        <v>0</v>
      </c>
      <c r="S165" s="310">
        <v>2.108341829507351E-4</v>
      </c>
      <c r="T165" s="310"/>
      <c r="U165" s="310"/>
      <c r="V165" s="316"/>
    </row>
    <row r="166" spans="1:22">
      <c r="A166" s="311"/>
      <c r="B166" s="312" t="s">
        <v>785</v>
      </c>
      <c r="C166" s="313">
        <v>0</v>
      </c>
      <c r="D166" s="314">
        <v>0</v>
      </c>
      <c r="E166" s="314">
        <v>1.3504561946794098E-3</v>
      </c>
      <c r="F166" s="314">
        <v>7.3118550029905492E-5</v>
      </c>
      <c r="G166" s="314">
        <v>0</v>
      </c>
      <c r="H166" s="314">
        <v>0</v>
      </c>
      <c r="I166" s="314">
        <v>0</v>
      </c>
      <c r="J166" s="315">
        <v>4.397548635403287E-4</v>
      </c>
      <c r="K166" s="315">
        <v>0</v>
      </c>
      <c r="L166" s="314">
        <v>0</v>
      </c>
      <c r="M166" s="314">
        <v>7.0202854519457497E-4</v>
      </c>
      <c r="N166" s="314">
        <v>0</v>
      </c>
      <c r="O166" s="315">
        <v>2.9222652673913997E-4</v>
      </c>
      <c r="P166" s="315">
        <v>0</v>
      </c>
      <c r="Q166" s="314">
        <v>0</v>
      </c>
      <c r="R166" s="315">
        <v>0</v>
      </c>
      <c r="S166" s="315">
        <v>3.2220620779563135E-4</v>
      </c>
      <c r="T166" s="315"/>
      <c r="U166" s="315"/>
      <c r="V166" s="316"/>
    </row>
    <row r="167" spans="1:22" ht="15.75" thickBot="1">
      <c r="A167" s="311"/>
      <c r="B167" s="325" t="s">
        <v>786</v>
      </c>
      <c r="C167" s="326">
        <v>0</v>
      </c>
      <c r="D167" s="327">
        <v>0</v>
      </c>
      <c r="E167" s="327">
        <v>0.1348796149747527</v>
      </c>
      <c r="F167" s="327">
        <v>-9.4616646919351663E-2</v>
      </c>
      <c r="G167" s="327">
        <v>0</v>
      </c>
      <c r="H167" s="327">
        <v>0</v>
      </c>
      <c r="I167" s="327">
        <v>0</v>
      </c>
      <c r="J167" s="328">
        <v>1.9923981947971649E-2</v>
      </c>
      <c r="K167" s="328">
        <v>-2.3906573112277223E-2</v>
      </c>
      <c r="L167" s="327">
        <v>0</v>
      </c>
      <c r="M167" s="327">
        <v>-2.3238442445744377E-2</v>
      </c>
      <c r="N167" s="327">
        <v>0</v>
      </c>
      <c r="O167" s="328">
        <v>-1.4822683026992075E-2</v>
      </c>
      <c r="P167" s="328">
        <v>0</v>
      </c>
      <c r="Q167" s="327">
        <v>0</v>
      </c>
      <c r="R167" s="328">
        <v>0</v>
      </c>
      <c r="S167" s="328">
        <v>1.1137202484489626E-2</v>
      </c>
      <c r="T167" s="328"/>
      <c r="U167" s="328"/>
      <c r="V167" s="316"/>
    </row>
    <row r="168" spans="1:22" ht="15.75" thickTop="1">
      <c r="A168" s="311"/>
      <c r="B168" s="312" t="s">
        <v>787</v>
      </c>
      <c r="C168" s="313">
        <v>0.86975544957847095</v>
      </c>
      <c r="D168" s="314">
        <v>0.94939978413650483</v>
      </c>
      <c r="E168" s="314">
        <v>0.3843246270735648</v>
      </c>
      <c r="F168" s="314">
        <v>0.77112742469350393</v>
      </c>
      <c r="G168" s="314">
        <v>0.57379190248149758</v>
      </c>
      <c r="H168" s="314">
        <v>0</v>
      </c>
      <c r="I168" s="314">
        <v>0</v>
      </c>
      <c r="J168" s="315">
        <v>0.79058134243614886</v>
      </c>
      <c r="K168" s="315">
        <v>0</v>
      </c>
      <c r="L168" s="314">
        <v>0</v>
      </c>
      <c r="M168" s="314">
        <v>0</v>
      </c>
      <c r="N168" s="314">
        <v>0</v>
      </c>
      <c r="O168" s="315">
        <v>0</v>
      </c>
      <c r="P168" s="315">
        <v>0</v>
      </c>
      <c r="Q168" s="314">
        <v>0</v>
      </c>
      <c r="R168" s="315">
        <v>0</v>
      </c>
      <c r="S168" s="315">
        <v>0.79058134243614886</v>
      </c>
      <c r="T168" s="315"/>
      <c r="U168" s="315"/>
      <c r="V168" s="316"/>
    </row>
    <row r="169" spans="1:22">
      <c r="A169" s="311"/>
      <c r="B169" s="312" t="s">
        <v>788</v>
      </c>
      <c r="C169" s="313">
        <v>0.84088898901905806</v>
      </c>
      <c r="D169" s="314">
        <v>0.88579724724495856</v>
      </c>
      <c r="E169" s="314">
        <v>0.37639706766013703</v>
      </c>
      <c r="F169" s="314">
        <v>0.74973025424894812</v>
      </c>
      <c r="G169" s="314">
        <v>0.55681457164036852</v>
      </c>
      <c r="H169" s="314">
        <v>0</v>
      </c>
      <c r="I169" s="314">
        <v>0</v>
      </c>
      <c r="J169" s="315">
        <v>0.76000229584070189</v>
      </c>
      <c r="K169" s="315">
        <v>0</v>
      </c>
      <c r="L169" s="314">
        <v>0</v>
      </c>
      <c r="M169" s="314">
        <v>0</v>
      </c>
      <c r="N169" s="314">
        <v>0</v>
      </c>
      <c r="O169" s="315">
        <v>0</v>
      </c>
      <c r="P169" s="315">
        <v>0</v>
      </c>
      <c r="Q169" s="314">
        <v>0</v>
      </c>
      <c r="R169" s="315">
        <v>0</v>
      </c>
      <c r="S169" s="315">
        <v>0.76000229584070189</v>
      </c>
      <c r="T169" s="315"/>
      <c r="U169" s="315"/>
      <c r="V169" s="316"/>
    </row>
    <row r="170" spans="1:22">
      <c r="A170" s="311"/>
      <c r="B170" s="317" t="s">
        <v>789</v>
      </c>
      <c r="C170" s="318">
        <v>-2.8866460559412888</v>
      </c>
      <c r="D170" s="321">
        <v>-6.3602536891546269</v>
      </c>
      <c r="E170" s="319">
        <v>-0.79275594134277649</v>
      </c>
      <c r="F170" s="319">
        <v>-2.1397170444555802</v>
      </c>
      <c r="G170" s="319">
        <v>-1.6977330841129068</v>
      </c>
      <c r="H170" s="319">
        <v>0</v>
      </c>
      <c r="I170" s="319">
        <v>0</v>
      </c>
      <c r="J170" s="320">
        <v>-3.0579046595446968</v>
      </c>
      <c r="K170" s="320">
        <v>0</v>
      </c>
      <c r="L170" s="319">
        <v>0</v>
      </c>
      <c r="M170" s="319">
        <v>0</v>
      </c>
      <c r="N170" s="319">
        <v>0</v>
      </c>
      <c r="O170" s="320">
        <v>0</v>
      </c>
      <c r="P170" s="320">
        <v>0</v>
      </c>
      <c r="Q170" s="319">
        <v>0</v>
      </c>
      <c r="R170" s="320">
        <v>0</v>
      </c>
      <c r="S170" s="320">
        <v>-3.0579046595446968</v>
      </c>
      <c r="T170" s="320"/>
      <c r="U170" s="320"/>
      <c r="V170" s="316"/>
    </row>
    <row r="171" spans="1:22">
      <c r="A171" s="311"/>
      <c r="B171" s="291" t="s">
        <v>790</v>
      </c>
      <c r="C171" s="308">
        <v>9.460035931542024E-2</v>
      </c>
      <c r="D171" s="309">
        <v>1.2972407372315095E-2</v>
      </c>
      <c r="E171" s="309">
        <v>3.2215213815066021E-2</v>
      </c>
      <c r="F171" s="309">
        <v>9.3152610070452488E-2</v>
      </c>
      <c r="G171" s="309">
        <v>0.17239878101872008</v>
      </c>
      <c r="H171" s="309">
        <v>0</v>
      </c>
      <c r="I171" s="309">
        <v>0</v>
      </c>
      <c r="J171" s="310">
        <v>6.8559216188200628E-2</v>
      </c>
      <c r="K171" s="310">
        <v>0</v>
      </c>
      <c r="L171" s="309">
        <v>0</v>
      </c>
      <c r="M171" s="309">
        <v>0</v>
      </c>
      <c r="N171" s="309">
        <v>0</v>
      </c>
      <c r="O171" s="310">
        <v>0</v>
      </c>
      <c r="P171" s="310">
        <v>0</v>
      </c>
      <c r="Q171" s="309">
        <v>0</v>
      </c>
      <c r="R171" s="310">
        <v>0</v>
      </c>
      <c r="S171" s="310">
        <v>6.8559216188200628E-2</v>
      </c>
      <c r="T171" s="310"/>
      <c r="U171" s="310"/>
      <c r="V171" s="316"/>
    </row>
    <row r="172" spans="1:22">
      <c r="A172" s="311"/>
      <c r="B172" s="312" t="s">
        <v>791</v>
      </c>
      <c r="C172" s="313">
        <v>0.11882113414105003</v>
      </c>
      <c r="D172" s="314">
        <v>1.2696815888548478E-2</v>
      </c>
      <c r="E172" s="314">
        <v>1.8993825146931743E-2</v>
      </c>
      <c r="F172" s="314">
        <v>8.2473405603470121E-2</v>
      </c>
      <c r="G172" s="314">
        <v>0.13247908503653499</v>
      </c>
      <c r="H172" s="314">
        <v>0</v>
      </c>
      <c r="I172" s="314">
        <v>0</v>
      </c>
      <c r="J172" s="315">
        <v>7.2901260549637567E-2</v>
      </c>
      <c r="K172" s="315">
        <v>0</v>
      </c>
      <c r="L172" s="314">
        <v>0</v>
      </c>
      <c r="M172" s="314">
        <v>0</v>
      </c>
      <c r="N172" s="314">
        <v>0</v>
      </c>
      <c r="O172" s="315">
        <v>0</v>
      </c>
      <c r="P172" s="315">
        <v>0</v>
      </c>
      <c r="Q172" s="314">
        <v>0</v>
      </c>
      <c r="R172" s="315">
        <v>0</v>
      </c>
      <c r="S172" s="315">
        <v>7.2901260549637567E-2</v>
      </c>
      <c r="T172" s="315"/>
      <c r="U172" s="315"/>
      <c r="V172" s="316"/>
    </row>
    <row r="173" spans="1:22">
      <c r="A173" s="311"/>
      <c r="B173" s="317" t="s">
        <v>792</v>
      </c>
      <c r="C173" s="318">
        <v>2.4220774825629787</v>
      </c>
      <c r="D173" s="319">
        <v>-2.7559148376661742E-2</v>
      </c>
      <c r="E173" s="319">
        <v>-1.3221388668134277</v>
      </c>
      <c r="F173" s="319">
        <v>-1.0679204466982366</v>
      </c>
      <c r="G173" s="321">
        <v>-3.9919695982185086</v>
      </c>
      <c r="H173" s="319">
        <v>0</v>
      </c>
      <c r="I173" s="319">
        <v>0</v>
      </c>
      <c r="J173" s="320">
        <v>0.43420443614369392</v>
      </c>
      <c r="K173" s="320">
        <v>0</v>
      </c>
      <c r="L173" s="319">
        <v>0</v>
      </c>
      <c r="M173" s="319">
        <v>0</v>
      </c>
      <c r="N173" s="319">
        <v>0</v>
      </c>
      <c r="O173" s="320">
        <v>0</v>
      </c>
      <c r="P173" s="320">
        <v>0</v>
      </c>
      <c r="Q173" s="319">
        <v>0</v>
      </c>
      <c r="R173" s="320">
        <v>0</v>
      </c>
      <c r="S173" s="320">
        <v>0.43420443614369392</v>
      </c>
      <c r="T173" s="320"/>
      <c r="U173" s="320"/>
      <c r="V173" s="316"/>
    </row>
    <row r="174" spans="1:22">
      <c r="A174" s="311"/>
      <c r="B174" s="291" t="s">
        <v>793</v>
      </c>
      <c r="C174" s="308">
        <v>3.0482438950078905E-2</v>
      </c>
      <c r="D174" s="309">
        <v>3.7627808491180081E-2</v>
      </c>
      <c r="E174" s="309">
        <v>0.58339564657687693</v>
      </c>
      <c r="F174" s="309">
        <v>0.13485826291166628</v>
      </c>
      <c r="G174" s="309">
        <v>0.25380931649978233</v>
      </c>
      <c r="H174" s="309">
        <v>0</v>
      </c>
      <c r="I174" s="309">
        <v>0</v>
      </c>
      <c r="J174" s="310">
        <v>0.1385506857356536</v>
      </c>
      <c r="K174" s="310">
        <v>0</v>
      </c>
      <c r="L174" s="309">
        <v>0</v>
      </c>
      <c r="M174" s="309">
        <v>0</v>
      </c>
      <c r="N174" s="309">
        <v>0</v>
      </c>
      <c r="O174" s="310">
        <v>0</v>
      </c>
      <c r="P174" s="310">
        <v>0</v>
      </c>
      <c r="Q174" s="309">
        <v>0</v>
      </c>
      <c r="R174" s="310">
        <v>0</v>
      </c>
      <c r="S174" s="310">
        <v>0.1385506857356536</v>
      </c>
      <c r="T174" s="310"/>
      <c r="U174" s="310"/>
      <c r="V174" s="316"/>
    </row>
    <row r="175" spans="1:22">
      <c r="A175" s="311"/>
      <c r="B175" s="312" t="s">
        <v>794</v>
      </c>
      <c r="C175" s="313">
        <v>4.0269016387971028E-2</v>
      </c>
      <c r="D175" s="314">
        <v>0.10140305150365053</v>
      </c>
      <c r="E175" s="314">
        <v>0.60277210271201376</v>
      </c>
      <c r="F175" s="314">
        <v>0.16444714793653553</v>
      </c>
      <c r="G175" s="314">
        <v>0.31070634332309649</v>
      </c>
      <c r="H175" s="314">
        <v>0</v>
      </c>
      <c r="I175" s="314">
        <v>0</v>
      </c>
      <c r="J175" s="315">
        <v>0.16602921041380034</v>
      </c>
      <c r="K175" s="315">
        <v>0</v>
      </c>
      <c r="L175" s="314">
        <v>0</v>
      </c>
      <c r="M175" s="314">
        <v>0</v>
      </c>
      <c r="N175" s="314">
        <v>0</v>
      </c>
      <c r="O175" s="315">
        <v>0</v>
      </c>
      <c r="P175" s="315">
        <v>0</v>
      </c>
      <c r="Q175" s="314">
        <v>0</v>
      </c>
      <c r="R175" s="315">
        <v>0</v>
      </c>
      <c r="S175" s="315">
        <v>0.16602921041380034</v>
      </c>
      <c r="T175" s="315"/>
      <c r="U175" s="315"/>
      <c r="V175" s="316"/>
    </row>
    <row r="176" spans="1:22">
      <c r="A176" s="311"/>
      <c r="B176" s="317" t="s">
        <v>795</v>
      </c>
      <c r="C176" s="318">
        <v>0.97865774378921233</v>
      </c>
      <c r="D176" s="321">
        <v>6.3775243012470453</v>
      </c>
      <c r="E176" s="319">
        <v>1.9376456135136833</v>
      </c>
      <c r="F176" s="319">
        <v>2.9588885024869254</v>
      </c>
      <c r="G176" s="321">
        <v>5.6897026823314159</v>
      </c>
      <c r="H176" s="319">
        <v>0</v>
      </c>
      <c r="I176" s="319">
        <v>0</v>
      </c>
      <c r="J176" s="320">
        <v>2.7478524678146736</v>
      </c>
      <c r="K176" s="320">
        <v>0</v>
      </c>
      <c r="L176" s="319">
        <v>0</v>
      </c>
      <c r="M176" s="319">
        <v>0</v>
      </c>
      <c r="N176" s="319">
        <v>0</v>
      </c>
      <c r="O176" s="320">
        <v>0</v>
      </c>
      <c r="P176" s="320">
        <v>0</v>
      </c>
      <c r="Q176" s="319">
        <v>0</v>
      </c>
      <c r="R176" s="320">
        <v>0</v>
      </c>
      <c r="S176" s="320">
        <v>2.7478524678146736</v>
      </c>
      <c r="T176" s="320"/>
      <c r="U176" s="320"/>
      <c r="V176" s="316"/>
    </row>
    <row r="177" spans="1:22">
      <c r="A177" s="311"/>
      <c r="B177" s="291" t="s">
        <v>796</v>
      </c>
      <c r="C177" s="308">
        <v>0</v>
      </c>
      <c r="D177" s="309">
        <v>0</v>
      </c>
      <c r="E177" s="309">
        <v>3.5188655177570748E-5</v>
      </c>
      <c r="F177" s="309">
        <v>3.3284639139037338E-5</v>
      </c>
      <c r="G177" s="309">
        <v>0</v>
      </c>
      <c r="H177" s="309">
        <v>0</v>
      </c>
      <c r="I177" s="309">
        <v>0</v>
      </c>
      <c r="J177" s="310">
        <v>1.2888475846652572E-5</v>
      </c>
      <c r="K177" s="310">
        <v>0</v>
      </c>
      <c r="L177" s="309">
        <v>0</v>
      </c>
      <c r="M177" s="309">
        <v>0</v>
      </c>
      <c r="N177" s="309">
        <v>0</v>
      </c>
      <c r="O177" s="310">
        <v>0</v>
      </c>
      <c r="P177" s="310">
        <v>0</v>
      </c>
      <c r="Q177" s="309">
        <v>0</v>
      </c>
      <c r="R177" s="310">
        <v>0</v>
      </c>
      <c r="S177" s="310">
        <v>1.2888475846652572E-5</v>
      </c>
      <c r="T177" s="310"/>
      <c r="U177" s="310"/>
      <c r="V177" s="316"/>
    </row>
    <row r="178" spans="1:22">
      <c r="A178" s="311"/>
      <c r="B178" s="312" t="s">
        <v>797</v>
      </c>
      <c r="C178" s="313">
        <v>0</v>
      </c>
      <c r="D178" s="314">
        <v>0</v>
      </c>
      <c r="E178" s="314">
        <v>1.0300959706079283E-4</v>
      </c>
      <c r="F178" s="314">
        <v>0</v>
      </c>
      <c r="G178" s="314">
        <v>0</v>
      </c>
      <c r="H178" s="314">
        <v>0</v>
      </c>
      <c r="I178" s="314">
        <v>0</v>
      </c>
      <c r="J178" s="315">
        <v>1.4972874143010912E-5</v>
      </c>
      <c r="K178" s="315">
        <v>0</v>
      </c>
      <c r="L178" s="314">
        <v>0</v>
      </c>
      <c r="M178" s="314">
        <v>0</v>
      </c>
      <c r="N178" s="314">
        <v>0</v>
      </c>
      <c r="O178" s="315">
        <v>0</v>
      </c>
      <c r="P178" s="315">
        <v>0</v>
      </c>
      <c r="Q178" s="314">
        <v>0</v>
      </c>
      <c r="R178" s="315">
        <v>0</v>
      </c>
      <c r="S178" s="315">
        <v>1.4972874143010912E-5</v>
      </c>
      <c r="T178" s="315"/>
      <c r="U178" s="315"/>
      <c r="V178" s="316"/>
    </row>
    <row r="179" spans="1:22">
      <c r="A179" s="311"/>
      <c r="B179" s="317" t="s">
        <v>798</v>
      </c>
      <c r="C179" s="318">
        <v>0</v>
      </c>
      <c r="D179" s="319">
        <v>0</v>
      </c>
      <c r="E179" s="319">
        <v>6.7820941883222092E-3</v>
      </c>
      <c r="F179" s="319">
        <v>-3.3284639139037338E-3</v>
      </c>
      <c r="G179" s="319">
        <v>0</v>
      </c>
      <c r="H179" s="319">
        <v>0</v>
      </c>
      <c r="I179" s="319">
        <v>0</v>
      </c>
      <c r="J179" s="320">
        <v>2.0843982963583403E-4</v>
      </c>
      <c r="K179" s="320">
        <v>0</v>
      </c>
      <c r="L179" s="319">
        <v>0</v>
      </c>
      <c r="M179" s="319">
        <v>0</v>
      </c>
      <c r="N179" s="319">
        <v>0</v>
      </c>
      <c r="O179" s="320">
        <v>0</v>
      </c>
      <c r="P179" s="320">
        <v>0</v>
      </c>
      <c r="Q179" s="319">
        <v>0</v>
      </c>
      <c r="R179" s="320">
        <v>0</v>
      </c>
      <c r="S179" s="320">
        <v>2.0843982963583403E-4</v>
      </c>
      <c r="T179" s="320"/>
      <c r="U179" s="320"/>
      <c r="V179" s="316"/>
    </row>
    <row r="180" spans="1:22">
      <c r="A180" s="311"/>
      <c r="B180" s="291" t="s">
        <v>799</v>
      </c>
      <c r="C180" s="308">
        <v>5.1617521560298578E-3</v>
      </c>
      <c r="D180" s="309">
        <v>0</v>
      </c>
      <c r="E180" s="309">
        <v>1.1729551725856917E-5</v>
      </c>
      <c r="F180" s="309">
        <v>6.9158083544444237E-4</v>
      </c>
      <c r="G180" s="309">
        <v>0</v>
      </c>
      <c r="H180" s="309">
        <v>0</v>
      </c>
      <c r="I180" s="309">
        <v>0</v>
      </c>
      <c r="J180" s="310">
        <v>2.2614978952259714E-3</v>
      </c>
      <c r="K180" s="310">
        <v>0</v>
      </c>
      <c r="L180" s="309">
        <v>0</v>
      </c>
      <c r="M180" s="309">
        <v>0</v>
      </c>
      <c r="N180" s="309">
        <v>0</v>
      </c>
      <c r="O180" s="310">
        <v>0</v>
      </c>
      <c r="P180" s="310">
        <v>0</v>
      </c>
      <c r="Q180" s="309">
        <v>0</v>
      </c>
      <c r="R180" s="310">
        <v>0</v>
      </c>
      <c r="S180" s="310">
        <v>2.2614978952259714E-3</v>
      </c>
      <c r="T180" s="310"/>
      <c r="U180" s="310"/>
      <c r="V180" s="316"/>
    </row>
    <row r="181" spans="1:22">
      <c r="A181" s="311"/>
      <c r="B181" s="312" t="s">
        <v>800</v>
      </c>
      <c r="C181" s="313">
        <v>2.0860451920830412E-5</v>
      </c>
      <c r="D181" s="314">
        <v>1.0288536284237962E-4</v>
      </c>
      <c r="E181" s="314">
        <v>3.6053358971277488E-4</v>
      </c>
      <c r="F181" s="314">
        <v>3.3491922110461792E-3</v>
      </c>
      <c r="G181" s="314">
        <v>0</v>
      </c>
      <c r="H181" s="314">
        <v>0</v>
      </c>
      <c r="I181" s="314">
        <v>0</v>
      </c>
      <c r="J181" s="315">
        <v>8.5262199981034359E-4</v>
      </c>
      <c r="K181" s="315">
        <v>0</v>
      </c>
      <c r="L181" s="314">
        <v>0</v>
      </c>
      <c r="M181" s="314">
        <v>0</v>
      </c>
      <c r="N181" s="314">
        <v>0</v>
      </c>
      <c r="O181" s="315">
        <v>0</v>
      </c>
      <c r="P181" s="315">
        <v>0</v>
      </c>
      <c r="Q181" s="314">
        <v>0</v>
      </c>
      <c r="R181" s="315">
        <v>0</v>
      </c>
      <c r="S181" s="315">
        <v>8.5262199981034359E-4</v>
      </c>
      <c r="T181" s="315"/>
      <c r="U181" s="315"/>
      <c r="V181" s="316"/>
    </row>
    <row r="182" spans="1:22">
      <c r="A182" s="311"/>
      <c r="B182" s="317" t="s">
        <v>801</v>
      </c>
      <c r="C182" s="318">
        <v>-0.51408917041090274</v>
      </c>
      <c r="D182" s="319">
        <v>0</v>
      </c>
      <c r="E182" s="319">
        <v>3.4880403798691798E-2</v>
      </c>
      <c r="F182" s="319">
        <v>0.26576113756017372</v>
      </c>
      <c r="G182" s="319">
        <v>0</v>
      </c>
      <c r="H182" s="319">
        <v>0</v>
      </c>
      <c r="I182" s="319">
        <v>0</v>
      </c>
      <c r="J182" s="320">
        <v>-0.1408875895415628</v>
      </c>
      <c r="K182" s="320">
        <v>0</v>
      </c>
      <c r="L182" s="319">
        <v>0</v>
      </c>
      <c r="M182" s="319">
        <v>0</v>
      </c>
      <c r="N182" s="319">
        <v>0</v>
      </c>
      <c r="O182" s="320">
        <v>0</v>
      </c>
      <c r="P182" s="320">
        <v>0</v>
      </c>
      <c r="Q182" s="319">
        <v>0</v>
      </c>
      <c r="R182" s="320">
        <v>0</v>
      </c>
      <c r="S182" s="320">
        <v>-0.1408875895415628</v>
      </c>
      <c r="T182" s="320"/>
      <c r="U182" s="320"/>
      <c r="V182" s="316"/>
    </row>
    <row r="183" spans="1:22">
      <c r="A183" s="311"/>
      <c r="B183" s="291" t="s">
        <v>802</v>
      </c>
      <c r="C183" s="308">
        <v>0</v>
      </c>
      <c r="D183" s="309">
        <v>0</v>
      </c>
      <c r="E183" s="309">
        <v>1.7594327588785374E-5</v>
      </c>
      <c r="F183" s="309">
        <v>1.3683684979382015E-4</v>
      </c>
      <c r="G183" s="309">
        <v>0</v>
      </c>
      <c r="H183" s="309">
        <v>0</v>
      </c>
      <c r="I183" s="309">
        <v>0</v>
      </c>
      <c r="J183" s="310">
        <v>3.4369268924406855E-5</v>
      </c>
      <c r="K183" s="310">
        <v>0</v>
      </c>
      <c r="L183" s="309">
        <v>0</v>
      </c>
      <c r="M183" s="309">
        <v>0</v>
      </c>
      <c r="N183" s="309">
        <v>0</v>
      </c>
      <c r="O183" s="310">
        <v>0</v>
      </c>
      <c r="P183" s="310">
        <v>0</v>
      </c>
      <c r="Q183" s="309">
        <v>0</v>
      </c>
      <c r="R183" s="310">
        <v>0</v>
      </c>
      <c r="S183" s="310">
        <v>3.4369268924406855E-5</v>
      </c>
      <c r="T183" s="310"/>
      <c r="U183" s="310"/>
      <c r="V183" s="316"/>
    </row>
    <row r="184" spans="1:22">
      <c r="A184" s="311"/>
      <c r="B184" s="312" t="s">
        <v>803</v>
      </c>
      <c r="C184" s="313">
        <v>0</v>
      </c>
      <c r="D184" s="314">
        <v>0</v>
      </c>
      <c r="E184" s="314">
        <v>1.3734612941439044E-3</v>
      </c>
      <c r="F184" s="314">
        <v>0</v>
      </c>
      <c r="G184" s="314">
        <v>0</v>
      </c>
      <c r="H184" s="314">
        <v>0</v>
      </c>
      <c r="I184" s="314">
        <v>0</v>
      </c>
      <c r="J184" s="315">
        <v>1.9963832190681216E-4</v>
      </c>
      <c r="K184" s="315">
        <v>0</v>
      </c>
      <c r="L184" s="314">
        <v>0</v>
      </c>
      <c r="M184" s="314">
        <v>0</v>
      </c>
      <c r="N184" s="314">
        <v>0</v>
      </c>
      <c r="O184" s="315">
        <v>0</v>
      </c>
      <c r="P184" s="315">
        <v>0</v>
      </c>
      <c r="Q184" s="314">
        <v>0</v>
      </c>
      <c r="R184" s="315">
        <v>0</v>
      </c>
      <c r="S184" s="315">
        <v>1.9963832190681216E-4</v>
      </c>
      <c r="T184" s="315"/>
      <c r="U184" s="315"/>
      <c r="V184" s="316"/>
    </row>
    <row r="185" spans="1:22" ht="15.75" thickBot="1">
      <c r="A185" s="329"/>
      <c r="B185" s="330" t="s">
        <v>804</v>
      </c>
      <c r="C185" s="331">
        <v>0</v>
      </c>
      <c r="D185" s="332">
        <v>0</v>
      </c>
      <c r="E185" s="332">
        <v>0.1355866966555119</v>
      </c>
      <c r="F185" s="332">
        <v>-1.3683684979382015E-2</v>
      </c>
      <c r="G185" s="332">
        <v>0</v>
      </c>
      <c r="H185" s="332">
        <v>0</v>
      </c>
      <c r="I185" s="332">
        <v>0</v>
      </c>
      <c r="J185" s="333">
        <v>1.6526905298240531E-2</v>
      </c>
      <c r="K185" s="333">
        <v>0</v>
      </c>
      <c r="L185" s="332">
        <v>0</v>
      </c>
      <c r="M185" s="332">
        <v>0</v>
      </c>
      <c r="N185" s="332">
        <v>0</v>
      </c>
      <c r="O185" s="333">
        <v>0</v>
      </c>
      <c r="P185" s="333">
        <v>0</v>
      </c>
      <c r="Q185" s="332">
        <v>0</v>
      </c>
      <c r="R185" s="333">
        <v>0</v>
      </c>
      <c r="S185" s="333">
        <v>1.6526905298240531E-2</v>
      </c>
      <c r="T185" s="333"/>
      <c r="U185" s="333"/>
      <c r="V185" s="316"/>
    </row>
    <row r="186" spans="1:22">
      <c r="A186" s="307" t="s">
        <v>256</v>
      </c>
      <c r="B186" s="291" t="s">
        <v>769</v>
      </c>
      <c r="C186" s="308">
        <v>0.90983301241813708</v>
      </c>
      <c r="D186" s="309">
        <v>0</v>
      </c>
      <c r="E186" s="309">
        <v>0.7684967695565631</v>
      </c>
      <c r="F186" s="309">
        <v>0.74150987421250236</v>
      </c>
      <c r="G186" s="309">
        <v>0</v>
      </c>
      <c r="H186" s="309">
        <v>0</v>
      </c>
      <c r="I186" s="309">
        <v>0</v>
      </c>
      <c r="J186" s="310">
        <v>0.8227787247561531</v>
      </c>
      <c r="K186" s="310">
        <v>0</v>
      </c>
      <c r="L186" s="309">
        <v>0.63486439462329824</v>
      </c>
      <c r="M186" s="309">
        <v>0.55903688099629989</v>
      </c>
      <c r="N186" s="309">
        <v>0.49921743495850929</v>
      </c>
      <c r="O186" s="310">
        <v>0.58165748825100538</v>
      </c>
      <c r="P186" s="310">
        <v>0.62443681193109846</v>
      </c>
      <c r="Q186" s="309">
        <v>0</v>
      </c>
      <c r="R186" s="310">
        <v>0.62443681193109846</v>
      </c>
      <c r="S186" s="310">
        <v>0.73487741220296843</v>
      </c>
      <c r="T186" s="310"/>
      <c r="U186" s="310"/>
      <c r="V186" s="316"/>
    </row>
    <row r="187" spans="1:22">
      <c r="A187" s="311"/>
      <c r="B187" s="312" t="s">
        <v>770</v>
      </c>
      <c r="C187" s="313">
        <v>0.90065075451174426</v>
      </c>
      <c r="D187" s="314">
        <v>0</v>
      </c>
      <c r="E187" s="314">
        <v>0.77000983212820229</v>
      </c>
      <c r="F187" s="314">
        <v>0.75221539786505909</v>
      </c>
      <c r="G187" s="314">
        <v>0</v>
      </c>
      <c r="H187" s="314">
        <v>0</v>
      </c>
      <c r="I187" s="314">
        <v>0</v>
      </c>
      <c r="J187" s="315">
        <v>0.82125997563334752</v>
      </c>
      <c r="K187" s="315">
        <v>0</v>
      </c>
      <c r="L187" s="314">
        <v>0.63441078972247822</v>
      </c>
      <c r="M187" s="314">
        <v>0.57353832181119624</v>
      </c>
      <c r="N187" s="314">
        <v>0.54013355137639685</v>
      </c>
      <c r="O187" s="315">
        <v>0.59258290029533811</v>
      </c>
      <c r="P187" s="315">
        <v>0.58915045223463114</v>
      </c>
      <c r="Q187" s="314">
        <v>0</v>
      </c>
      <c r="R187" s="315">
        <v>0.58915045223463114</v>
      </c>
      <c r="S187" s="315">
        <v>0.74387214647671007</v>
      </c>
      <c r="T187" s="315"/>
      <c r="U187" s="315"/>
      <c r="V187" s="316"/>
    </row>
    <row r="188" spans="1:22">
      <c r="A188" s="311"/>
      <c r="B188" s="317" t="s">
        <v>771</v>
      </c>
      <c r="C188" s="318">
        <v>-0.91822579063928211</v>
      </c>
      <c r="D188" s="319">
        <v>0</v>
      </c>
      <c r="E188" s="319">
        <v>0.15130625716391899</v>
      </c>
      <c r="F188" s="319">
        <v>1.0705523652556725</v>
      </c>
      <c r="G188" s="319">
        <v>0</v>
      </c>
      <c r="H188" s="319">
        <v>0</v>
      </c>
      <c r="I188" s="319">
        <v>0</v>
      </c>
      <c r="J188" s="320">
        <v>-0.15187491228055849</v>
      </c>
      <c r="K188" s="320">
        <v>0</v>
      </c>
      <c r="L188" s="321">
        <v>-4.5360490082002602E-2</v>
      </c>
      <c r="M188" s="321">
        <v>1.4501440814896349</v>
      </c>
      <c r="N188" s="321">
        <v>4.0916116417887558</v>
      </c>
      <c r="O188" s="320">
        <v>1.0925412044332727</v>
      </c>
      <c r="P188" s="336">
        <v>-3.5286359696467318</v>
      </c>
      <c r="Q188" s="319">
        <v>0</v>
      </c>
      <c r="R188" s="320">
        <v>-3.5286359696467318</v>
      </c>
      <c r="S188" s="320">
        <v>0.89947342737416447</v>
      </c>
      <c r="T188" s="320"/>
      <c r="U188" s="320"/>
      <c r="V188" s="316"/>
    </row>
    <row r="189" spans="1:22">
      <c r="A189" s="311"/>
      <c r="B189" s="291" t="s">
        <v>772</v>
      </c>
      <c r="C189" s="308">
        <v>1.6300652538514749E-2</v>
      </c>
      <c r="D189" s="309">
        <v>0</v>
      </c>
      <c r="E189" s="309">
        <v>5.7935380854476214E-2</v>
      </c>
      <c r="F189" s="309">
        <v>0</v>
      </c>
      <c r="G189" s="309">
        <v>0</v>
      </c>
      <c r="H189" s="309">
        <v>0</v>
      </c>
      <c r="I189" s="309">
        <v>0</v>
      </c>
      <c r="J189" s="310">
        <v>4.075901844164017E-2</v>
      </c>
      <c r="K189" s="310">
        <v>0</v>
      </c>
      <c r="L189" s="309">
        <v>9.0300261775958693E-2</v>
      </c>
      <c r="M189" s="309">
        <v>5.1263384232528186E-2</v>
      </c>
      <c r="N189" s="309">
        <v>8.0146472551162029E-2</v>
      </c>
      <c r="O189" s="310">
        <v>6.4360496941885045E-2</v>
      </c>
      <c r="P189" s="310">
        <v>9.189270369451373E-2</v>
      </c>
      <c r="Q189" s="309">
        <v>0</v>
      </c>
      <c r="R189" s="310">
        <v>9.189270369451373E-2</v>
      </c>
      <c r="S189" s="310">
        <v>5.0529582357116992E-2</v>
      </c>
      <c r="T189" s="310"/>
      <c r="U189" s="310"/>
      <c r="V189" s="316"/>
    </row>
    <row r="190" spans="1:22">
      <c r="A190" s="311"/>
      <c r="B190" s="312" t="s">
        <v>773</v>
      </c>
      <c r="C190" s="313">
        <v>1.8120217334103714E-2</v>
      </c>
      <c r="D190" s="314">
        <v>0</v>
      </c>
      <c r="E190" s="314">
        <v>5.3173310307045391E-2</v>
      </c>
      <c r="F190" s="314">
        <v>0</v>
      </c>
      <c r="G190" s="314">
        <v>0</v>
      </c>
      <c r="H190" s="314">
        <v>0</v>
      </c>
      <c r="I190" s="314">
        <v>0</v>
      </c>
      <c r="J190" s="315">
        <v>3.8510153247412825E-2</v>
      </c>
      <c r="K190" s="315">
        <v>0</v>
      </c>
      <c r="L190" s="314">
        <v>0.10967077943059561</v>
      </c>
      <c r="M190" s="314">
        <v>5.4920261234830514E-2</v>
      </c>
      <c r="N190" s="314">
        <v>8.6774325429272284E-2</v>
      </c>
      <c r="O190" s="315">
        <v>7.3464584345832237E-2</v>
      </c>
      <c r="P190" s="315">
        <v>0.15272531765314387</v>
      </c>
      <c r="Q190" s="314">
        <v>0</v>
      </c>
      <c r="R190" s="315">
        <v>0.15272531765314387</v>
      </c>
      <c r="S190" s="315">
        <v>5.3071264907416565E-2</v>
      </c>
      <c r="T190" s="315"/>
      <c r="U190" s="315"/>
      <c r="V190" s="316"/>
    </row>
    <row r="191" spans="1:22">
      <c r="A191" s="311"/>
      <c r="B191" s="317" t="s">
        <v>774</v>
      </c>
      <c r="C191" s="318">
        <v>0.18195647955889654</v>
      </c>
      <c r="D191" s="319">
        <v>0</v>
      </c>
      <c r="E191" s="319">
        <v>-0.47620705474308234</v>
      </c>
      <c r="F191" s="319">
        <v>0</v>
      </c>
      <c r="G191" s="319">
        <v>0</v>
      </c>
      <c r="H191" s="319">
        <v>0</v>
      </c>
      <c r="I191" s="319">
        <v>0</v>
      </c>
      <c r="J191" s="320">
        <v>-0.22488651942273452</v>
      </c>
      <c r="K191" s="320">
        <v>0</v>
      </c>
      <c r="L191" s="321">
        <v>1.9370517654636918</v>
      </c>
      <c r="M191" s="321">
        <v>0.36568770023023278</v>
      </c>
      <c r="N191" s="321">
        <v>0.66278528781102541</v>
      </c>
      <c r="O191" s="320">
        <v>0.9104087403947192</v>
      </c>
      <c r="P191" s="336">
        <v>6.0832613958630137</v>
      </c>
      <c r="Q191" s="319">
        <v>0</v>
      </c>
      <c r="R191" s="320">
        <v>6.0832613958630137</v>
      </c>
      <c r="S191" s="320">
        <v>0.25416825502995732</v>
      </c>
      <c r="T191" s="320"/>
      <c r="U191" s="320"/>
      <c r="V191" s="316"/>
    </row>
    <row r="192" spans="1:22">
      <c r="A192" s="311"/>
      <c r="B192" s="291" t="s">
        <v>775</v>
      </c>
      <c r="C192" s="308">
        <v>7.0616452799845492E-2</v>
      </c>
      <c r="D192" s="309">
        <v>0</v>
      </c>
      <c r="E192" s="309">
        <v>0.15329753158024212</v>
      </c>
      <c r="F192" s="309">
        <v>0.25849012578749764</v>
      </c>
      <c r="G192" s="309">
        <v>0</v>
      </c>
      <c r="H192" s="309">
        <v>0</v>
      </c>
      <c r="I192" s="309">
        <v>0</v>
      </c>
      <c r="J192" s="310">
        <v>0.12315224662982616</v>
      </c>
      <c r="K192" s="310">
        <v>0</v>
      </c>
      <c r="L192" s="309">
        <v>0.27483534360074302</v>
      </c>
      <c r="M192" s="309">
        <v>0.38969973477117192</v>
      </c>
      <c r="N192" s="309">
        <v>0.42063609249032868</v>
      </c>
      <c r="O192" s="310">
        <v>0.35398201480710961</v>
      </c>
      <c r="P192" s="310">
        <v>0.28367048437438785</v>
      </c>
      <c r="Q192" s="309">
        <v>0</v>
      </c>
      <c r="R192" s="310">
        <v>0.28367048437438785</v>
      </c>
      <c r="S192" s="310">
        <v>0.20622204034739372</v>
      </c>
      <c r="T192" s="310"/>
      <c r="U192" s="310"/>
      <c r="V192" s="316"/>
    </row>
    <row r="193" spans="1:22">
      <c r="A193" s="311"/>
      <c r="B193" s="312" t="s">
        <v>776</v>
      </c>
      <c r="C193" s="313">
        <v>7.8706303285781321E-2</v>
      </c>
      <c r="D193" s="314">
        <v>0</v>
      </c>
      <c r="E193" s="314">
        <v>0.15697784808213031</v>
      </c>
      <c r="F193" s="314">
        <v>0.24778460213494097</v>
      </c>
      <c r="G193" s="314">
        <v>0</v>
      </c>
      <c r="H193" s="314">
        <v>0</v>
      </c>
      <c r="I193" s="314">
        <v>0</v>
      </c>
      <c r="J193" s="315">
        <v>0.12753331868671161</v>
      </c>
      <c r="K193" s="315">
        <v>0</v>
      </c>
      <c r="L193" s="314">
        <v>0.25591843084692617</v>
      </c>
      <c r="M193" s="314">
        <v>0.37154141695397319</v>
      </c>
      <c r="N193" s="314">
        <v>0.37309212319433088</v>
      </c>
      <c r="O193" s="315">
        <v>0.33395251535882964</v>
      </c>
      <c r="P193" s="315">
        <v>0.25812423011222496</v>
      </c>
      <c r="Q193" s="314">
        <v>0</v>
      </c>
      <c r="R193" s="315">
        <v>0.25812423011222496</v>
      </c>
      <c r="S193" s="315">
        <v>0.19465013161433775</v>
      </c>
      <c r="T193" s="315"/>
      <c r="U193" s="315"/>
      <c r="V193" s="316"/>
    </row>
    <row r="194" spans="1:22">
      <c r="A194" s="311"/>
      <c r="B194" s="317" t="s">
        <v>777</v>
      </c>
      <c r="C194" s="318">
        <v>0.80898504859358289</v>
      </c>
      <c r="D194" s="319">
        <v>0</v>
      </c>
      <c r="E194" s="319">
        <v>0.36803165018881867</v>
      </c>
      <c r="F194" s="319">
        <v>-1.070552365255667</v>
      </c>
      <c r="G194" s="319">
        <v>0</v>
      </c>
      <c r="H194" s="319">
        <v>0</v>
      </c>
      <c r="I194" s="319">
        <v>0</v>
      </c>
      <c r="J194" s="320">
        <v>0.43810720568854544</v>
      </c>
      <c r="K194" s="320">
        <v>0</v>
      </c>
      <c r="L194" s="321">
        <v>-1.891691275381685</v>
      </c>
      <c r="M194" s="321">
        <v>-1.8158317817198733</v>
      </c>
      <c r="N194" s="321">
        <v>-4.7543969295997801</v>
      </c>
      <c r="O194" s="320">
        <v>-2.0029499448279973</v>
      </c>
      <c r="P194" s="336">
        <v>-2.5546254262162895</v>
      </c>
      <c r="Q194" s="319">
        <v>0</v>
      </c>
      <c r="R194" s="320">
        <v>-2.5546254262162895</v>
      </c>
      <c r="S194" s="320">
        <v>-1.1571908733055969</v>
      </c>
      <c r="T194" s="320"/>
      <c r="U194" s="320"/>
      <c r="V194" s="316"/>
    </row>
    <row r="195" spans="1:22">
      <c r="A195" s="311"/>
      <c r="B195" s="291" t="s">
        <v>778</v>
      </c>
      <c r="C195" s="308">
        <v>3.2498822435026989E-3</v>
      </c>
      <c r="D195" s="309">
        <v>0</v>
      </c>
      <c r="E195" s="309">
        <v>1.9816212529072064E-2</v>
      </c>
      <c r="F195" s="309">
        <v>0</v>
      </c>
      <c r="G195" s="309">
        <v>0</v>
      </c>
      <c r="H195" s="309">
        <v>0</v>
      </c>
      <c r="I195" s="309">
        <v>0</v>
      </c>
      <c r="J195" s="310">
        <v>1.3040044966198981E-2</v>
      </c>
      <c r="K195" s="310">
        <v>0</v>
      </c>
      <c r="L195" s="309">
        <v>0</v>
      </c>
      <c r="M195" s="309">
        <v>0</v>
      </c>
      <c r="N195" s="309">
        <v>0</v>
      </c>
      <c r="O195" s="310">
        <v>0</v>
      </c>
      <c r="P195" s="310">
        <v>0</v>
      </c>
      <c r="Q195" s="309">
        <v>0</v>
      </c>
      <c r="R195" s="310">
        <v>0</v>
      </c>
      <c r="S195" s="310">
        <v>8.2011778956762142E-3</v>
      </c>
      <c r="T195" s="310"/>
      <c r="U195" s="310"/>
      <c r="V195" s="316"/>
    </row>
    <row r="196" spans="1:22">
      <c r="A196" s="311"/>
      <c r="B196" s="312" t="s">
        <v>779</v>
      </c>
      <c r="C196" s="313">
        <v>2.4684727206638292E-3</v>
      </c>
      <c r="D196" s="314">
        <v>0</v>
      </c>
      <c r="E196" s="314">
        <v>1.8442194221417591E-2</v>
      </c>
      <c r="F196" s="314">
        <v>0</v>
      </c>
      <c r="G196" s="314">
        <v>0</v>
      </c>
      <c r="H196" s="314">
        <v>0</v>
      </c>
      <c r="I196" s="314">
        <v>0</v>
      </c>
      <c r="J196" s="315">
        <v>1.1851280675875016E-2</v>
      </c>
      <c r="K196" s="315">
        <v>0</v>
      </c>
      <c r="L196" s="314">
        <v>0</v>
      </c>
      <c r="M196" s="314">
        <v>0</v>
      </c>
      <c r="N196" s="314">
        <v>0</v>
      </c>
      <c r="O196" s="315">
        <v>0</v>
      </c>
      <c r="P196" s="315">
        <v>0</v>
      </c>
      <c r="Q196" s="314">
        <v>0</v>
      </c>
      <c r="R196" s="315">
        <v>0</v>
      </c>
      <c r="S196" s="315">
        <v>7.8467979354484036E-3</v>
      </c>
      <c r="T196" s="315"/>
      <c r="U196" s="315"/>
      <c r="V196" s="316"/>
    </row>
    <row r="197" spans="1:22">
      <c r="A197" s="311"/>
      <c r="B197" s="317" t="s">
        <v>780</v>
      </c>
      <c r="C197" s="318">
        <v>-7.8140952283886969E-2</v>
      </c>
      <c r="D197" s="319">
        <v>0</v>
      </c>
      <c r="E197" s="319">
        <v>-0.13740183076544726</v>
      </c>
      <c r="F197" s="319">
        <v>0</v>
      </c>
      <c r="G197" s="319">
        <v>0</v>
      </c>
      <c r="H197" s="319">
        <v>0</v>
      </c>
      <c r="I197" s="319">
        <v>0</v>
      </c>
      <c r="J197" s="320">
        <v>-0.11887642903239647</v>
      </c>
      <c r="K197" s="320">
        <v>0</v>
      </c>
      <c r="L197" s="319">
        <v>0</v>
      </c>
      <c r="M197" s="319">
        <v>0</v>
      </c>
      <c r="N197" s="319">
        <v>0</v>
      </c>
      <c r="O197" s="320">
        <v>0</v>
      </c>
      <c r="P197" s="320">
        <v>0</v>
      </c>
      <c r="Q197" s="319">
        <v>0</v>
      </c>
      <c r="R197" s="320">
        <v>0</v>
      </c>
      <c r="S197" s="320">
        <v>-3.5437996022781061E-2</v>
      </c>
      <c r="T197" s="320"/>
      <c r="U197" s="320"/>
      <c r="V197" s="316"/>
    </row>
    <row r="198" spans="1:22">
      <c r="A198" s="311"/>
      <c r="B198" s="291" t="s">
        <v>781</v>
      </c>
      <c r="C198" s="308">
        <v>0</v>
      </c>
      <c r="D198" s="309">
        <v>0</v>
      </c>
      <c r="E198" s="309">
        <v>4.5410547964650427E-4</v>
      </c>
      <c r="F198" s="309">
        <v>0</v>
      </c>
      <c r="G198" s="309">
        <v>0</v>
      </c>
      <c r="H198" s="309">
        <v>0</v>
      </c>
      <c r="I198" s="309">
        <v>0</v>
      </c>
      <c r="J198" s="310">
        <v>2.6996520618163047E-4</v>
      </c>
      <c r="K198" s="310">
        <v>0</v>
      </c>
      <c r="L198" s="309">
        <v>0</v>
      </c>
      <c r="M198" s="309">
        <v>0</v>
      </c>
      <c r="N198" s="309">
        <v>0</v>
      </c>
      <c r="O198" s="310">
        <v>0</v>
      </c>
      <c r="P198" s="310">
        <v>0</v>
      </c>
      <c r="Q198" s="309">
        <v>0</v>
      </c>
      <c r="R198" s="310">
        <v>0</v>
      </c>
      <c r="S198" s="310">
        <v>1.697871968445998E-4</v>
      </c>
      <c r="T198" s="310"/>
      <c r="U198" s="310"/>
      <c r="V198" s="316"/>
    </row>
    <row r="199" spans="1:22">
      <c r="A199" s="311"/>
      <c r="B199" s="312" t="s">
        <v>782</v>
      </c>
      <c r="C199" s="313">
        <v>5.4252147706897347E-5</v>
      </c>
      <c r="D199" s="314">
        <v>0</v>
      </c>
      <c r="E199" s="314">
        <v>1.3968152612044539E-3</v>
      </c>
      <c r="F199" s="314">
        <v>0</v>
      </c>
      <c r="G199" s="314">
        <v>0</v>
      </c>
      <c r="H199" s="314">
        <v>0</v>
      </c>
      <c r="I199" s="314">
        <v>0</v>
      </c>
      <c r="J199" s="315">
        <v>8.4527175665303773E-4</v>
      </c>
      <c r="K199" s="315">
        <v>0</v>
      </c>
      <c r="L199" s="314">
        <v>0</v>
      </c>
      <c r="M199" s="314">
        <v>0</v>
      </c>
      <c r="N199" s="314">
        <v>0</v>
      </c>
      <c r="O199" s="315">
        <v>0</v>
      </c>
      <c r="P199" s="315">
        <v>0</v>
      </c>
      <c r="Q199" s="314">
        <v>0</v>
      </c>
      <c r="R199" s="315">
        <v>0</v>
      </c>
      <c r="S199" s="315">
        <v>5.5965906608723454E-4</v>
      </c>
      <c r="T199" s="315"/>
      <c r="U199" s="315"/>
      <c r="V199" s="316"/>
    </row>
    <row r="200" spans="1:22">
      <c r="A200" s="311"/>
      <c r="B200" s="317" t="s">
        <v>783</v>
      </c>
      <c r="C200" s="318">
        <v>0</v>
      </c>
      <c r="D200" s="319">
        <v>0</v>
      </c>
      <c r="E200" s="319">
        <v>9.4270978155794966E-2</v>
      </c>
      <c r="F200" s="319">
        <v>0</v>
      </c>
      <c r="G200" s="319">
        <v>0</v>
      </c>
      <c r="H200" s="319">
        <v>0</v>
      </c>
      <c r="I200" s="319">
        <v>0</v>
      </c>
      <c r="J200" s="320">
        <v>5.7530655047140722E-2</v>
      </c>
      <c r="K200" s="320">
        <v>0</v>
      </c>
      <c r="L200" s="319">
        <v>0</v>
      </c>
      <c r="M200" s="319">
        <v>0</v>
      </c>
      <c r="N200" s="319">
        <v>0</v>
      </c>
      <c r="O200" s="320">
        <v>0</v>
      </c>
      <c r="P200" s="320">
        <v>0</v>
      </c>
      <c r="Q200" s="319">
        <v>0</v>
      </c>
      <c r="R200" s="320">
        <v>0</v>
      </c>
      <c r="S200" s="320">
        <v>3.8987186924263478E-2</v>
      </c>
      <c r="T200" s="320"/>
      <c r="U200" s="320"/>
      <c r="V200" s="316"/>
    </row>
    <row r="201" spans="1:22">
      <c r="A201" s="311"/>
      <c r="B201" s="291" t="s">
        <v>784</v>
      </c>
      <c r="C201" s="308">
        <v>0</v>
      </c>
      <c r="D201" s="309">
        <v>0</v>
      </c>
      <c r="E201" s="309">
        <v>0</v>
      </c>
      <c r="F201" s="309">
        <v>0</v>
      </c>
      <c r="G201" s="309">
        <v>0</v>
      </c>
      <c r="H201" s="309">
        <v>0</v>
      </c>
      <c r="I201" s="309">
        <v>0</v>
      </c>
      <c r="J201" s="310">
        <v>0</v>
      </c>
      <c r="K201" s="310">
        <v>0</v>
      </c>
      <c r="L201" s="309">
        <v>0</v>
      </c>
      <c r="M201" s="309">
        <v>0</v>
      </c>
      <c r="N201" s="309">
        <v>0</v>
      </c>
      <c r="O201" s="310">
        <v>0</v>
      </c>
      <c r="P201" s="310">
        <v>0</v>
      </c>
      <c r="Q201" s="309">
        <v>0</v>
      </c>
      <c r="R201" s="310">
        <v>0</v>
      </c>
      <c r="S201" s="310">
        <v>0</v>
      </c>
      <c r="T201" s="310"/>
      <c r="U201" s="310"/>
      <c r="V201" s="316"/>
    </row>
    <row r="202" spans="1:22">
      <c r="A202" s="311"/>
      <c r="B202" s="312" t="s">
        <v>785</v>
      </c>
      <c r="C202" s="313">
        <v>0</v>
      </c>
      <c r="D202" s="314">
        <v>0</v>
      </c>
      <c r="E202" s="314">
        <v>0</v>
      </c>
      <c r="F202" s="314">
        <v>0</v>
      </c>
      <c r="G202" s="314">
        <v>0</v>
      </c>
      <c r="H202" s="314">
        <v>0</v>
      </c>
      <c r="I202" s="314">
        <v>0</v>
      </c>
      <c r="J202" s="315">
        <v>0</v>
      </c>
      <c r="K202" s="315">
        <v>0</v>
      </c>
      <c r="L202" s="314">
        <v>0</v>
      </c>
      <c r="M202" s="314">
        <v>0</v>
      </c>
      <c r="N202" s="314">
        <v>0</v>
      </c>
      <c r="O202" s="315">
        <v>0</v>
      </c>
      <c r="P202" s="315">
        <v>0</v>
      </c>
      <c r="Q202" s="314">
        <v>0</v>
      </c>
      <c r="R202" s="315">
        <v>0</v>
      </c>
      <c r="S202" s="315">
        <v>0</v>
      </c>
      <c r="T202" s="315"/>
      <c r="U202" s="315"/>
      <c r="V202" s="316"/>
    </row>
    <row r="203" spans="1:22" ht="15.75" thickBot="1">
      <c r="A203" s="311"/>
      <c r="B203" s="325" t="s">
        <v>786</v>
      </c>
      <c r="C203" s="326">
        <v>0</v>
      </c>
      <c r="D203" s="327">
        <v>0</v>
      </c>
      <c r="E203" s="327">
        <v>0</v>
      </c>
      <c r="F203" s="327">
        <v>0</v>
      </c>
      <c r="G203" s="327">
        <v>0</v>
      </c>
      <c r="H203" s="327">
        <v>0</v>
      </c>
      <c r="I203" s="327">
        <v>0</v>
      </c>
      <c r="J203" s="328">
        <v>0</v>
      </c>
      <c r="K203" s="328">
        <v>0</v>
      </c>
      <c r="L203" s="327">
        <v>0</v>
      </c>
      <c r="M203" s="327">
        <v>0</v>
      </c>
      <c r="N203" s="327">
        <v>0</v>
      </c>
      <c r="O203" s="328">
        <v>0</v>
      </c>
      <c r="P203" s="328">
        <v>0</v>
      </c>
      <c r="Q203" s="327">
        <v>0</v>
      </c>
      <c r="R203" s="328">
        <v>0</v>
      </c>
      <c r="S203" s="328">
        <v>0</v>
      </c>
      <c r="T203" s="328"/>
      <c r="U203" s="328"/>
      <c r="V203" s="316"/>
    </row>
    <row r="204" spans="1:22" ht="15.75" thickTop="1">
      <c r="A204" s="311"/>
      <c r="B204" s="312" t="s">
        <v>787</v>
      </c>
      <c r="C204" s="313">
        <v>0.81149999682916152</v>
      </c>
      <c r="D204" s="314">
        <v>0</v>
      </c>
      <c r="E204" s="314">
        <v>0.47844265392444874</v>
      </c>
      <c r="F204" s="314">
        <v>0.7827808015833746</v>
      </c>
      <c r="G204" s="314">
        <v>0</v>
      </c>
      <c r="H204" s="314">
        <v>0</v>
      </c>
      <c r="I204" s="314">
        <v>0</v>
      </c>
      <c r="J204" s="315">
        <v>0.64254652821960456</v>
      </c>
      <c r="K204" s="315">
        <v>0</v>
      </c>
      <c r="L204" s="314">
        <v>0</v>
      </c>
      <c r="M204" s="314">
        <v>0</v>
      </c>
      <c r="N204" s="314">
        <v>0</v>
      </c>
      <c r="O204" s="315">
        <v>0</v>
      </c>
      <c r="P204" s="315">
        <v>0</v>
      </c>
      <c r="Q204" s="314">
        <v>0</v>
      </c>
      <c r="R204" s="315">
        <v>0</v>
      </c>
      <c r="S204" s="315">
        <v>0.64254652821960456</v>
      </c>
      <c r="T204" s="315"/>
      <c r="U204" s="315"/>
      <c r="V204" s="316"/>
    </row>
    <row r="205" spans="1:22">
      <c r="A205" s="311"/>
      <c r="B205" s="312" t="s">
        <v>788</v>
      </c>
      <c r="C205" s="313">
        <v>0.77195780711646655</v>
      </c>
      <c r="D205" s="314">
        <v>0</v>
      </c>
      <c r="E205" s="314">
        <v>0.48642743087654422</v>
      </c>
      <c r="F205" s="314">
        <v>0.74270318814548719</v>
      </c>
      <c r="G205" s="314">
        <v>0</v>
      </c>
      <c r="H205" s="314">
        <v>0</v>
      </c>
      <c r="I205" s="314">
        <v>0</v>
      </c>
      <c r="J205" s="315">
        <v>0.62732225171113287</v>
      </c>
      <c r="K205" s="315">
        <v>0</v>
      </c>
      <c r="L205" s="314">
        <v>0</v>
      </c>
      <c r="M205" s="314">
        <v>0</v>
      </c>
      <c r="N205" s="314">
        <v>0</v>
      </c>
      <c r="O205" s="315">
        <v>0</v>
      </c>
      <c r="P205" s="315">
        <v>0</v>
      </c>
      <c r="Q205" s="314">
        <v>0</v>
      </c>
      <c r="R205" s="315">
        <v>0</v>
      </c>
      <c r="S205" s="315">
        <v>0.62732225171113287</v>
      </c>
      <c r="T205" s="315"/>
      <c r="U205" s="315"/>
      <c r="V205" s="316"/>
    </row>
    <row r="206" spans="1:22">
      <c r="A206" s="311"/>
      <c r="B206" s="317" t="s">
        <v>789</v>
      </c>
      <c r="C206" s="337">
        <v>-3.9542189712694964</v>
      </c>
      <c r="D206" s="319">
        <v>0</v>
      </c>
      <c r="E206" s="319">
        <v>0.79847769520954848</v>
      </c>
      <c r="F206" s="321">
        <v>-4.00776134378874</v>
      </c>
      <c r="G206" s="319">
        <v>0</v>
      </c>
      <c r="H206" s="319">
        <v>0</v>
      </c>
      <c r="I206" s="319">
        <v>0</v>
      </c>
      <c r="J206" s="320">
        <v>-1.522427650847169</v>
      </c>
      <c r="K206" s="320">
        <v>0</v>
      </c>
      <c r="L206" s="319">
        <v>0</v>
      </c>
      <c r="M206" s="319">
        <v>0</v>
      </c>
      <c r="N206" s="319">
        <v>0</v>
      </c>
      <c r="O206" s="320">
        <v>0</v>
      </c>
      <c r="P206" s="320">
        <v>0</v>
      </c>
      <c r="Q206" s="319">
        <v>0</v>
      </c>
      <c r="R206" s="320">
        <v>0</v>
      </c>
      <c r="S206" s="320">
        <v>-1.522427650847169</v>
      </c>
      <c r="T206" s="320"/>
      <c r="U206" s="320"/>
      <c r="V206" s="316"/>
    </row>
    <row r="207" spans="1:22">
      <c r="A207" s="311"/>
      <c r="B207" s="291" t="s">
        <v>790</v>
      </c>
      <c r="C207" s="308">
        <v>4.0161839593625348E-2</v>
      </c>
      <c r="D207" s="309">
        <v>0</v>
      </c>
      <c r="E207" s="309">
        <v>2.9419652108195082E-2</v>
      </c>
      <c r="F207" s="309">
        <v>0</v>
      </c>
      <c r="G207" s="309">
        <v>0</v>
      </c>
      <c r="H207" s="309">
        <v>0</v>
      </c>
      <c r="I207" s="309">
        <v>0</v>
      </c>
      <c r="J207" s="310">
        <v>3.446763563138161E-2</v>
      </c>
      <c r="K207" s="310">
        <v>0</v>
      </c>
      <c r="L207" s="309">
        <v>0</v>
      </c>
      <c r="M207" s="309">
        <v>0</v>
      </c>
      <c r="N207" s="309">
        <v>0</v>
      </c>
      <c r="O207" s="310">
        <v>0</v>
      </c>
      <c r="P207" s="310">
        <v>0</v>
      </c>
      <c r="Q207" s="309">
        <v>0</v>
      </c>
      <c r="R207" s="310">
        <v>0</v>
      </c>
      <c r="S207" s="310">
        <v>3.446763563138161E-2</v>
      </c>
      <c r="T207" s="310"/>
      <c r="U207" s="310"/>
      <c r="V207" s="316"/>
    </row>
    <row r="208" spans="1:22">
      <c r="A208" s="311"/>
      <c r="B208" s="312" t="s">
        <v>791</v>
      </c>
      <c r="C208" s="313">
        <v>5.8759758506177533E-2</v>
      </c>
      <c r="D208" s="314">
        <v>0</v>
      </c>
      <c r="E208" s="314">
        <v>2.6772958111726076E-2</v>
      </c>
      <c r="F208" s="314">
        <v>0</v>
      </c>
      <c r="G208" s="314">
        <v>0</v>
      </c>
      <c r="H208" s="314">
        <v>0</v>
      </c>
      <c r="I208" s="314">
        <v>0</v>
      </c>
      <c r="J208" s="315">
        <v>4.21816260468732E-2</v>
      </c>
      <c r="K208" s="315">
        <v>0</v>
      </c>
      <c r="L208" s="314">
        <v>0</v>
      </c>
      <c r="M208" s="314">
        <v>0</v>
      </c>
      <c r="N208" s="314">
        <v>0</v>
      </c>
      <c r="O208" s="315">
        <v>0</v>
      </c>
      <c r="P208" s="315">
        <v>0</v>
      </c>
      <c r="Q208" s="314">
        <v>0</v>
      </c>
      <c r="R208" s="315">
        <v>0</v>
      </c>
      <c r="S208" s="315">
        <v>4.21816260468732E-2</v>
      </c>
      <c r="T208" s="315"/>
      <c r="U208" s="315"/>
      <c r="V208" s="316"/>
    </row>
    <row r="209" spans="1:22">
      <c r="A209" s="311"/>
      <c r="B209" s="317" t="s">
        <v>792</v>
      </c>
      <c r="C209" s="318">
        <v>1.8597918912552185</v>
      </c>
      <c r="D209" s="319">
        <v>0</v>
      </c>
      <c r="E209" s="319">
        <v>-0.26466939964690067</v>
      </c>
      <c r="F209" s="319">
        <v>0</v>
      </c>
      <c r="G209" s="319">
        <v>0</v>
      </c>
      <c r="H209" s="319">
        <v>0</v>
      </c>
      <c r="I209" s="319">
        <v>0</v>
      </c>
      <c r="J209" s="320">
        <v>0.77139904154915895</v>
      </c>
      <c r="K209" s="320">
        <v>0</v>
      </c>
      <c r="L209" s="319">
        <v>0</v>
      </c>
      <c r="M209" s="319">
        <v>0</v>
      </c>
      <c r="N209" s="319">
        <v>0</v>
      </c>
      <c r="O209" s="320">
        <v>0</v>
      </c>
      <c r="P209" s="320">
        <v>0</v>
      </c>
      <c r="Q209" s="319">
        <v>0</v>
      </c>
      <c r="R209" s="320">
        <v>0</v>
      </c>
      <c r="S209" s="320">
        <v>0.77139904154915895</v>
      </c>
      <c r="T209" s="320"/>
      <c r="U209" s="320"/>
      <c r="V209" s="316"/>
    </row>
    <row r="210" spans="1:22">
      <c r="A210" s="311"/>
      <c r="B210" s="291" t="s">
        <v>793</v>
      </c>
      <c r="C210" s="308">
        <v>0.14362629766562873</v>
      </c>
      <c r="D210" s="309">
        <v>0</v>
      </c>
      <c r="E210" s="309">
        <v>0.47832075770688837</v>
      </c>
      <c r="F210" s="309">
        <v>0.21721919841662543</v>
      </c>
      <c r="G210" s="309">
        <v>0</v>
      </c>
      <c r="H210" s="309">
        <v>0</v>
      </c>
      <c r="I210" s="309">
        <v>0</v>
      </c>
      <c r="J210" s="310">
        <v>0.31368945772155338</v>
      </c>
      <c r="K210" s="310">
        <v>0</v>
      </c>
      <c r="L210" s="309">
        <v>0</v>
      </c>
      <c r="M210" s="309">
        <v>0</v>
      </c>
      <c r="N210" s="309">
        <v>0</v>
      </c>
      <c r="O210" s="310">
        <v>0</v>
      </c>
      <c r="P210" s="310">
        <v>0</v>
      </c>
      <c r="Q210" s="309">
        <v>0</v>
      </c>
      <c r="R210" s="310">
        <v>0</v>
      </c>
      <c r="S210" s="310">
        <v>0.31368945772155338</v>
      </c>
      <c r="T210" s="310"/>
      <c r="U210" s="310"/>
      <c r="V210" s="316"/>
    </row>
    <row r="211" spans="1:22">
      <c r="A211" s="311"/>
      <c r="B211" s="312" t="s">
        <v>794</v>
      </c>
      <c r="C211" s="313">
        <v>0.16556906187500389</v>
      </c>
      <c r="D211" s="314">
        <v>0</v>
      </c>
      <c r="E211" s="314">
        <v>0.47588632898322786</v>
      </c>
      <c r="F211" s="314">
        <v>0.25729681185451281</v>
      </c>
      <c r="G211" s="314">
        <v>0</v>
      </c>
      <c r="H211" s="314">
        <v>0</v>
      </c>
      <c r="I211" s="314">
        <v>0</v>
      </c>
      <c r="J211" s="315">
        <v>0.32316573240129481</v>
      </c>
      <c r="K211" s="315">
        <v>0</v>
      </c>
      <c r="L211" s="314">
        <v>0</v>
      </c>
      <c r="M211" s="314">
        <v>0</v>
      </c>
      <c r="N211" s="314">
        <v>0</v>
      </c>
      <c r="O211" s="315">
        <v>0</v>
      </c>
      <c r="P211" s="315">
        <v>0</v>
      </c>
      <c r="Q211" s="314">
        <v>0</v>
      </c>
      <c r="R211" s="315">
        <v>0</v>
      </c>
      <c r="S211" s="315">
        <v>0.32316573240129481</v>
      </c>
      <c r="T211" s="315"/>
      <c r="U211" s="315"/>
      <c r="V211" s="316"/>
    </row>
    <row r="212" spans="1:22">
      <c r="A212" s="311"/>
      <c r="B212" s="317" t="s">
        <v>795</v>
      </c>
      <c r="C212" s="318">
        <v>2.1942764209375158</v>
      </c>
      <c r="D212" s="319">
        <v>0</v>
      </c>
      <c r="E212" s="319">
        <v>-0.24344287236605089</v>
      </c>
      <c r="F212" s="321">
        <v>4.0077613437887374</v>
      </c>
      <c r="G212" s="319">
        <v>0</v>
      </c>
      <c r="H212" s="319">
        <v>0</v>
      </c>
      <c r="I212" s="319">
        <v>0</v>
      </c>
      <c r="J212" s="320">
        <v>0.94762746797414366</v>
      </c>
      <c r="K212" s="320">
        <v>0</v>
      </c>
      <c r="L212" s="319">
        <v>0</v>
      </c>
      <c r="M212" s="319">
        <v>0</v>
      </c>
      <c r="N212" s="319">
        <v>0</v>
      </c>
      <c r="O212" s="320">
        <v>0</v>
      </c>
      <c r="P212" s="320">
        <v>0</v>
      </c>
      <c r="Q212" s="319">
        <v>0</v>
      </c>
      <c r="R212" s="320">
        <v>0</v>
      </c>
      <c r="S212" s="320">
        <v>0.94762746797414366</v>
      </c>
      <c r="T212" s="320"/>
      <c r="U212" s="320"/>
      <c r="V212" s="316"/>
    </row>
    <row r="213" spans="1:22">
      <c r="A213" s="311"/>
      <c r="B213" s="291" t="s">
        <v>796</v>
      </c>
      <c r="C213" s="308">
        <v>4.711865911584341E-3</v>
      </c>
      <c r="D213" s="309">
        <v>0</v>
      </c>
      <c r="E213" s="309">
        <v>1.3707229664663506E-2</v>
      </c>
      <c r="F213" s="309">
        <v>0</v>
      </c>
      <c r="G213" s="309">
        <v>0</v>
      </c>
      <c r="H213" s="309">
        <v>0</v>
      </c>
      <c r="I213" s="309">
        <v>0</v>
      </c>
      <c r="J213" s="310">
        <v>9.2407854667646751E-3</v>
      </c>
      <c r="K213" s="310">
        <v>0</v>
      </c>
      <c r="L213" s="309">
        <v>0</v>
      </c>
      <c r="M213" s="309">
        <v>0</v>
      </c>
      <c r="N213" s="309">
        <v>0</v>
      </c>
      <c r="O213" s="310">
        <v>0</v>
      </c>
      <c r="P213" s="310">
        <v>0</v>
      </c>
      <c r="Q213" s="309">
        <v>0</v>
      </c>
      <c r="R213" s="310">
        <v>0</v>
      </c>
      <c r="S213" s="310">
        <v>9.2407854667646751E-3</v>
      </c>
      <c r="T213" s="310"/>
      <c r="U213" s="310"/>
      <c r="V213" s="316"/>
    </row>
    <row r="214" spans="1:22">
      <c r="A214" s="311"/>
      <c r="B214" s="312" t="s">
        <v>797</v>
      </c>
      <c r="C214" s="313">
        <v>3.7133725023520102E-3</v>
      </c>
      <c r="D214" s="314">
        <v>0</v>
      </c>
      <c r="E214" s="314">
        <v>7.3595620280215625E-3</v>
      </c>
      <c r="F214" s="314">
        <v>0</v>
      </c>
      <c r="G214" s="314">
        <v>0</v>
      </c>
      <c r="H214" s="314">
        <v>0</v>
      </c>
      <c r="I214" s="314">
        <v>0</v>
      </c>
      <c r="J214" s="315">
        <v>5.5327134588872623E-3</v>
      </c>
      <c r="K214" s="315">
        <v>0</v>
      </c>
      <c r="L214" s="314">
        <v>0</v>
      </c>
      <c r="M214" s="314">
        <v>0</v>
      </c>
      <c r="N214" s="314">
        <v>0</v>
      </c>
      <c r="O214" s="315">
        <v>0</v>
      </c>
      <c r="P214" s="315">
        <v>0</v>
      </c>
      <c r="Q214" s="314">
        <v>0</v>
      </c>
      <c r="R214" s="315">
        <v>0</v>
      </c>
      <c r="S214" s="315">
        <v>5.5327134588872623E-3</v>
      </c>
      <c r="T214" s="315"/>
      <c r="U214" s="315"/>
      <c r="V214" s="316"/>
    </row>
    <row r="215" spans="1:22">
      <c r="A215" s="311"/>
      <c r="B215" s="317" t="s">
        <v>798</v>
      </c>
      <c r="C215" s="318">
        <v>-9.9849340923233082E-2</v>
      </c>
      <c r="D215" s="319">
        <v>0</v>
      </c>
      <c r="E215" s="319">
        <v>-0.63476676366419438</v>
      </c>
      <c r="F215" s="319">
        <v>0</v>
      </c>
      <c r="G215" s="319">
        <v>0</v>
      </c>
      <c r="H215" s="319">
        <v>0</v>
      </c>
      <c r="I215" s="319">
        <v>0</v>
      </c>
      <c r="J215" s="320">
        <v>-0.37080720078774126</v>
      </c>
      <c r="K215" s="320">
        <v>0</v>
      </c>
      <c r="L215" s="319">
        <v>0</v>
      </c>
      <c r="M215" s="319">
        <v>0</v>
      </c>
      <c r="N215" s="319">
        <v>0</v>
      </c>
      <c r="O215" s="320">
        <v>0</v>
      </c>
      <c r="P215" s="320">
        <v>0</v>
      </c>
      <c r="Q215" s="319">
        <v>0</v>
      </c>
      <c r="R215" s="320">
        <v>0</v>
      </c>
      <c r="S215" s="320">
        <v>-0.37080720078774126</v>
      </c>
      <c r="T215" s="320"/>
      <c r="U215" s="320"/>
      <c r="V215" s="316"/>
    </row>
    <row r="216" spans="1:22">
      <c r="A216" s="311"/>
      <c r="B216" s="291" t="s">
        <v>799</v>
      </c>
      <c r="C216" s="308">
        <v>0</v>
      </c>
      <c r="D216" s="309">
        <v>0</v>
      </c>
      <c r="E216" s="309">
        <v>1.0970659580433219E-4</v>
      </c>
      <c r="F216" s="309">
        <v>0</v>
      </c>
      <c r="G216" s="309">
        <v>0</v>
      </c>
      <c r="H216" s="309">
        <v>0</v>
      </c>
      <c r="I216" s="309">
        <v>0</v>
      </c>
      <c r="J216" s="310">
        <v>5.5592960695776788E-5</v>
      </c>
      <c r="K216" s="310">
        <v>0</v>
      </c>
      <c r="L216" s="309">
        <v>0</v>
      </c>
      <c r="M216" s="309">
        <v>0</v>
      </c>
      <c r="N216" s="309">
        <v>0</v>
      </c>
      <c r="O216" s="310">
        <v>0</v>
      </c>
      <c r="P216" s="310">
        <v>0</v>
      </c>
      <c r="Q216" s="309">
        <v>0</v>
      </c>
      <c r="R216" s="310">
        <v>0</v>
      </c>
      <c r="S216" s="310">
        <v>5.5592960695776788E-5</v>
      </c>
      <c r="T216" s="310"/>
      <c r="U216" s="310"/>
      <c r="V216" s="316"/>
    </row>
    <row r="217" spans="1:22">
      <c r="A217" s="311"/>
      <c r="B217" s="312" t="s">
        <v>800</v>
      </c>
      <c r="C217" s="313">
        <v>0</v>
      </c>
      <c r="D217" s="314">
        <v>0</v>
      </c>
      <c r="E217" s="314">
        <v>3.5537200004802324E-3</v>
      </c>
      <c r="F217" s="314">
        <v>0</v>
      </c>
      <c r="G217" s="314">
        <v>0</v>
      </c>
      <c r="H217" s="314">
        <v>0</v>
      </c>
      <c r="I217" s="314">
        <v>0</v>
      </c>
      <c r="J217" s="315">
        <v>1.7976763818118877E-3</v>
      </c>
      <c r="K217" s="315">
        <v>0</v>
      </c>
      <c r="L217" s="314">
        <v>0</v>
      </c>
      <c r="M217" s="314">
        <v>0</v>
      </c>
      <c r="N217" s="314">
        <v>0</v>
      </c>
      <c r="O217" s="315">
        <v>0</v>
      </c>
      <c r="P217" s="315">
        <v>0</v>
      </c>
      <c r="Q217" s="314">
        <v>0</v>
      </c>
      <c r="R217" s="315">
        <v>0</v>
      </c>
      <c r="S217" s="315">
        <v>1.7976763818118877E-3</v>
      </c>
      <c r="T217" s="315"/>
      <c r="U217" s="315"/>
      <c r="V217" s="316"/>
    </row>
    <row r="218" spans="1:22">
      <c r="A218" s="311"/>
      <c r="B218" s="317" t="s">
        <v>801</v>
      </c>
      <c r="C218" s="318">
        <v>0</v>
      </c>
      <c r="D218" s="319">
        <v>0</v>
      </c>
      <c r="E218" s="319">
        <v>0.34440134046759002</v>
      </c>
      <c r="F218" s="319">
        <v>0</v>
      </c>
      <c r="G218" s="319">
        <v>0</v>
      </c>
      <c r="H218" s="319">
        <v>0</v>
      </c>
      <c r="I218" s="319">
        <v>0</v>
      </c>
      <c r="J218" s="320">
        <v>0.1742083421116111</v>
      </c>
      <c r="K218" s="320">
        <v>0</v>
      </c>
      <c r="L218" s="319">
        <v>0</v>
      </c>
      <c r="M218" s="319">
        <v>0</v>
      </c>
      <c r="N218" s="319">
        <v>0</v>
      </c>
      <c r="O218" s="320">
        <v>0</v>
      </c>
      <c r="P218" s="320">
        <v>0</v>
      </c>
      <c r="Q218" s="319">
        <v>0</v>
      </c>
      <c r="R218" s="320">
        <v>0</v>
      </c>
      <c r="S218" s="320">
        <v>0.1742083421116111</v>
      </c>
      <c r="T218" s="320"/>
      <c r="U218" s="320"/>
      <c r="V218" s="316"/>
    </row>
    <row r="219" spans="1:22">
      <c r="A219" s="311"/>
      <c r="B219" s="291" t="s">
        <v>802</v>
      </c>
      <c r="C219" s="308">
        <v>0</v>
      </c>
      <c r="D219" s="309">
        <v>0</v>
      </c>
      <c r="E219" s="309">
        <v>0</v>
      </c>
      <c r="F219" s="309">
        <v>0</v>
      </c>
      <c r="G219" s="309">
        <v>0</v>
      </c>
      <c r="H219" s="309">
        <v>0</v>
      </c>
      <c r="I219" s="309">
        <v>0</v>
      </c>
      <c r="J219" s="310">
        <v>0</v>
      </c>
      <c r="K219" s="310">
        <v>0</v>
      </c>
      <c r="L219" s="309">
        <v>0</v>
      </c>
      <c r="M219" s="309">
        <v>0</v>
      </c>
      <c r="N219" s="309">
        <v>0</v>
      </c>
      <c r="O219" s="310">
        <v>0</v>
      </c>
      <c r="P219" s="310">
        <v>0</v>
      </c>
      <c r="Q219" s="309">
        <v>0</v>
      </c>
      <c r="R219" s="310">
        <v>0</v>
      </c>
      <c r="S219" s="310">
        <v>0</v>
      </c>
      <c r="T219" s="310"/>
      <c r="U219" s="310"/>
      <c r="V219" s="316"/>
    </row>
    <row r="220" spans="1:22">
      <c r="A220" s="311"/>
      <c r="B220" s="312" t="s">
        <v>803</v>
      </c>
      <c r="C220" s="313">
        <v>0</v>
      </c>
      <c r="D220" s="314">
        <v>0</v>
      </c>
      <c r="E220" s="314">
        <v>0</v>
      </c>
      <c r="F220" s="314">
        <v>0</v>
      </c>
      <c r="G220" s="314">
        <v>0</v>
      </c>
      <c r="H220" s="314">
        <v>0</v>
      </c>
      <c r="I220" s="314">
        <v>0</v>
      </c>
      <c r="J220" s="315">
        <v>0</v>
      </c>
      <c r="K220" s="315">
        <v>0</v>
      </c>
      <c r="L220" s="314">
        <v>0</v>
      </c>
      <c r="M220" s="314">
        <v>0</v>
      </c>
      <c r="N220" s="314">
        <v>0</v>
      </c>
      <c r="O220" s="315">
        <v>0</v>
      </c>
      <c r="P220" s="315">
        <v>0</v>
      </c>
      <c r="Q220" s="314">
        <v>0</v>
      </c>
      <c r="R220" s="315">
        <v>0</v>
      </c>
      <c r="S220" s="315">
        <v>0</v>
      </c>
      <c r="T220" s="315"/>
      <c r="U220" s="315"/>
      <c r="V220" s="316"/>
    </row>
    <row r="221" spans="1:22" ht="15.75" thickBot="1">
      <c r="A221" s="329"/>
      <c r="B221" s="330" t="s">
        <v>804</v>
      </c>
      <c r="C221" s="331">
        <v>0</v>
      </c>
      <c r="D221" s="332">
        <v>0</v>
      </c>
      <c r="E221" s="332">
        <v>0</v>
      </c>
      <c r="F221" s="332">
        <v>0</v>
      </c>
      <c r="G221" s="332">
        <v>0</v>
      </c>
      <c r="H221" s="332">
        <v>0</v>
      </c>
      <c r="I221" s="332">
        <v>0</v>
      </c>
      <c r="J221" s="333">
        <v>0</v>
      </c>
      <c r="K221" s="333">
        <v>0</v>
      </c>
      <c r="L221" s="332">
        <v>0</v>
      </c>
      <c r="M221" s="332">
        <v>0</v>
      </c>
      <c r="N221" s="332">
        <v>0</v>
      </c>
      <c r="O221" s="333">
        <v>0</v>
      </c>
      <c r="P221" s="333">
        <v>0</v>
      </c>
      <c r="Q221" s="332">
        <v>0</v>
      </c>
      <c r="R221" s="333">
        <v>0</v>
      </c>
      <c r="S221" s="333">
        <v>0</v>
      </c>
      <c r="T221" s="333"/>
      <c r="U221" s="333"/>
      <c r="V221" s="316"/>
    </row>
    <row r="222" spans="1:22">
      <c r="A222" s="307" t="s">
        <v>281</v>
      </c>
      <c r="B222" s="291" t="s">
        <v>769</v>
      </c>
      <c r="C222" s="308">
        <v>0</v>
      </c>
      <c r="D222" s="309">
        <v>0</v>
      </c>
      <c r="E222" s="309">
        <v>0</v>
      </c>
      <c r="F222" s="309">
        <v>0</v>
      </c>
      <c r="G222" s="309">
        <v>0</v>
      </c>
      <c r="H222" s="309">
        <v>0</v>
      </c>
      <c r="I222" s="309">
        <v>0</v>
      </c>
      <c r="J222" s="310">
        <v>0</v>
      </c>
      <c r="K222" s="310">
        <v>0</v>
      </c>
      <c r="L222" s="309">
        <v>0</v>
      </c>
      <c r="M222" s="309">
        <v>0</v>
      </c>
      <c r="N222" s="309">
        <v>0</v>
      </c>
      <c r="O222" s="310">
        <v>0</v>
      </c>
      <c r="P222" s="310">
        <v>0</v>
      </c>
      <c r="Q222" s="309">
        <v>0</v>
      </c>
      <c r="R222" s="310">
        <v>0</v>
      </c>
      <c r="S222" s="310">
        <v>0</v>
      </c>
      <c r="T222" s="310"/>
      <c r="U222" s="310"/>
      <c r="V222" s="316"/>
    </row>
    <row r="223" spans="1:22">
      <c r="A223" s="311"/>
      <c r="B223" s="312" t="s">
        <v>770</v>
      </c>
      <c r="C223" s="313">
        <v>0.98653789874158615</v>
      </c>
      <c r="D223" s="314">
        <v>0.90954970571616589</v>
      </c>
      <c r="E223" s="314">
        <v>0.87885738962099813</v>
      </c>
      <c r="F223" s="314">
        <v>0.79257131948211978</v>
      </c>
      <c r="G223" s="314">
        <v>0.8740234375</v>
      </c>
      <c r="H223" s="314">
        <v>0.77356656948493674</v>
      </c>
      <c r="I223" s="314">
        <v>0</v>
      </c>
      <c r="J223" s="315">
        <v>0.89100255853984112</v>
      </c>
      <c r="K223" s="315">
        <v>0</v>
      </c>
      <c r="L223" s="314">
        <v>0.86433417472218865</v>
      </c>
      <c r="M223" s="314">
        <v>0.92520256553243685</v>
      </c>
      <c r="N223" s="314">
        <v>0.79023730423070526</v>
      </c>
      <c r="O223" s="315">
        <v>0.87062044899378443</v>
      </c>
      <c r="P223" s="315">
        <v>0.92347929542899532</v>
      </c>
      <c r="Q223" s="314">
        <v>0</v>
      </c>
      <c r="R223" s="315">
        <v>0.92347929542899532</v>
      </c>
      <c r="S223" s="315">
        <v>0.8885527509070783</v>
      </c>
      <c r="T223" s="315"/>
      <c r="U223" s="315"/>
      <c r="V223" s="316"/>
    </row>
    <row r="224" spans="1:22">
      <c r="A224" s="311"/>
      <c r="B224" s="317" t="s">
        <v>771</v>
      </c>
      <c r="C224" s="318">
        <v>0</v>
      </c>
      <c r="D224" s="319">
        <v>0</v>
      </c>
      <c r="E224" s="319">
        <v>0</v>
      </c>
      <c r="F224" s="319">
        <v>0</v>
      </c>
      <c r="G224" s="319">
        <v>0</v>
      </c>
      <c r="H224" s="319">
        <v>0</v>
      </c>
      <c r="I224" s="319">
        <v>0</v>
      </c>
      <c r="J224" s="320">
        <v>0</v>
      </c>
      <c r="K224" s="320">
        <v>0</v>
      </c>
      <c r="L224" s="319">
        <v>0</v>
      </c>
      <c r="M224" s="319">
        <v>0</v>
      </c>
      <c r="N224" s="319">
        <v>0</v>
      </c>
      <c r="O224" s="320">
        <v>0</v>
      </c>
      <c r="P224" s="320">
        <v>0</v>
      </c>
      <c r="Q224" s="319">
        <v>0</v>
      </c>
      <c r="R224" s="320">
        <v>0</v>
      </c>
      <c r="S224" s="320">
        <v>0</v>
      </c>
      <c r="T224" s="320"/>
      <c r="U224" s="320"/>
      <c r="V224" s="316"/>
    </row>
    <row r="225" spans="1:22">
      <c r="A225" s="311"/>
      <c r="B225" s="291" t="s">
        <v>772</v>
      </c>
      <c r="C225" s="308">
        <v>0</v>
      </c>
      <c r="D225" s="309">
        <v>0</v>
      </c>
      <c r="E225" s="309">
        <v>0</v>
      </c>
      <c r="F225" s="309">
        <v>0</v>
      </c>
      <c r="G225" s="309">
        <v>0</v>
      </c>
      <c r="H225" s="309">
        <v>0</v>
      </c>
      <c r="I225" s="309">
        <v>0</v>
      </c>
      <c r="J225" s="310">
        <v>0</v>
      </c>
      <c r="K225" s="310">
        <v>0</v>
      </c>
      <c r="L225" s="309">
        <v>0</v>
      </c>
      <c r="M225" s="309">
        <v>0</v>
      </c>
      <c r="N225" s="309">
        <v>0</v>
      </c>
      <c r="O225" s="310">
        <v>0</v>
      </c>
      <c r="P225" s="310">
        <v>0</v>
      </c>
      <c r="Q225" s="309">
        <v>0</v>
      </c>
      <c r="R225" s="310">
        <v>0</v>
      </c>
      <c r="S225" s="310">
        <v>0</v>
      </c>
      <c r="T225" s="310"/>
      <c r="U225" s="310"/>
      <c r="V225" s="316"/>
    </row>
    <row r="226" spans="1:22">
      <c r="A226" s="311"/>
      <c r="B226" s="312" t="s">
        <v>773</v>
      </c>
      <c r="C226" s="313">
        <v>0</v>
      </c>
      <c r="D226" s="314">
        <v>0</v>
      </c>
      <c r="E226" s="314">
        <v>0</v>
      </c>
      <c r="F226" s="314">
        <v>0</v>
      </c>
      <c r="G226" s="314">
        <v>0</v>
      </c>
      <c r="H226" s="314">
        <v>0</v>
      </c>
      <c r="I226" s="314">
        <v>0</v>
      </c>
      <c r="J226" s="315">
        <v>0</v>
      </c>
      <c r="K226" s="315">
        <v>0</v>
      </c>
      <c r="L226" s="314">
        <v>0</v>
      </c>
      <c r="M226" s="314">
        <v>0</v>
      </c>
      <c r="N226" s="314">
        <v>0</v>
      </c>
      <c r="O226" s="315">
        <v>0</v>
      </c>
      <c r="P226" s="315">
        <v>0</v>
      </c>
      <c r="Q226" s="314">
        <v>0</v>
      </c>
      <c r="R226" s="315">
        <v>0</v>
      </c>
      <c r="S226" s="315">
        <v>0</v>
      </c>
      <c r="T226" s="315"/>
      <c r="U226" s="315"/>
      <c r="V226" s="316"/>
    </row>
    <row r="227" spans="1:22">
      <c r="A227" s="311"/>
      <c r="B227" s="317" t="s">
        <v>774</v>
      </c>
      <c r="C227" s="318">
        <v>0</v>
      </c>
      <c r="D227" s="319">
        <v>0</v>
      </c>
      <c r="E227" s="319">
        <v>0</v>
      </c>
      <c r="F227" s="319">
        <v>0</v>
      </c>
      <c r="G227" s="319">
        <v>0</v>
      </c>
      <c r="H227" s="319">
        <v>0</v>
      </c>
      <c r="I227" s="319">
        <v>0</v>
      </c>
      <c r="J227" s="320">
        <v>0</v>
      </c>
      <c r="K227" s="320">
        <v>0</v>
      </c>
      <c r="L227" s="319">
        <v>0</v>
      </c>
      <c r="M227" s="319">
        <v>0</v>
      </c>
      <c r="N227" s="319">
        <v>0</v>
      </c>
      <c r="O227" s="320">
        <v>0</v>
      </c>
      <c r="P227" s="320">
        <v>0</v>
      </c>
      <c r="Q227" s="319">
        <v>0</v>
      </c>
      <c r="R227" s="320">
        <v>0</v>
      </c>
      <c r="S227" s="320">
        <v>0</v>
      </c>
      <c r="T227" s="320"/>
      <c r="U227" s="320"/>
      <c r="V227" s="316"/>
    </row>
    <row r="228" spans="1:22">
      <c r="A228" s="311"/>
      <c r="B228" s="291" t="s">
        <v>775</v>
      </c>
      <c r="C228" s="308">
        <v>0</v>
      </c>
      <c r="D228" s="309">
        <v>0</v>
      </c>
      <c r="E228" s="309">
        <v>0</v>
      </c>
      <c r="F228" s="309">
        <v>0</v>
      </c>
      <c r="G228" s="309">
        <v>0</v>
      </c>
      <c r="H228" s="309">
        <v>0</v>
      </c>
      <c r="I228" s="309">
        <v>0</v>
      </c>
      <c r="J228" s="310">
        <v>0</v>
      </c>
      <c r="K228" s="310">
        <v>0</v>
      </c>
      <c r="L228" s="309">
        <v>0</v>
      </c>
      <c r="M228" s="309">
        <v>0</v>
      </c>
      <c r="N228" s="309">
        <v>0</v>
      </c>
      <c r="O228" s="310">
        <v>0</v>
      </c>
      <c r="P228" s="310">
        <v>0</v>
      </c>
      <c r="Q228" s="309">
        <v>0</v>
      </c>
      <c r="R228" s="310">
        <v>0</v>
      </c>
      <c r="S228" s="310">
        <v>0</v>
      </c>
      <c r="T228" s="310"/>
      <c r="U228" s="310"/>
      <c r="V228" s="316"/>
    </row>
    <row r="229" spans="1:22">
      <c r="A229" s="311"/>
      <c r="B229" s="312" t="s">
        <v>776</v>
      </c>
      <c r="C229" s="313">
        <v>1.3462101258413814E-2</v>
      </c>
      <c r="D229" s="314">
        <v>9.0450294283834207E-2</v>
      </c>
      <c r="E229" s="314">
        <v>0.12114261037900201</v>
      </c>
      <c r="F229" s="314">
        <v>0.20742868051788033</v>
      </c>
      <c r="G229" s="314">
        <v>0.1259765625</v>
      </c>
      <c r="H229" s="314">
        <v>0.22643343051506318</v>
      </c>
      <c r="I229" s="314">
        <v>0</v>
      </c>
      <c r="J229" s="315">
        <v>0.10899744146015886</v>
      </c>
      <c r="K229" s="315">
        <v>0</v>
      </c>
      <c r="L229" s="314">
        <v>0.1356658252778114</v>
      </c>
      <c r="M229" s="314">
        <v>7.4797434467563123E-2</v>
      </c>
      <c r="N229" s="314">
        <v>0.20976269576929482</v>
      </c>
      <c r="O229" s="315">
        <v>0.12937955100621562</v>
      </c>
      <c r="P229" s="315">
        <v>7.6520704571004655E-2</v>
      </c>
      <c r="Q229" s="314">
        <v>0</v>
      </c>
      <c r="R229" s="315">
        <v>7.6520704571004655E-2</v>
      </c>
      <c r="S229" s="315">
        <v>0.11144724909292165</v>
      </c>
      <c r="T229" s="315"/>
      <c r="U229" s="315"/>
      <c r="V229" s="316"/>
    </row>
    <row r="230" spans="1:22">
      <c r="A230" s="311"/>
      <c r="B230" s="317" t="s">
        <v>777</v>
      </c>
      <c r="C230" s="318">
        <v>0</v>
      </c>
      <c r="D230" s="319">
        <v>0</v>
      </c>
      <c r="E230" s="319">
        <v>0</v>
      </c>
      <c r="F230" s="319">
        <v>0</v>
      </c>
      <c r="G230" s="319">
        <v>0</v>
      </c>
      <c r="H230" s="319">
        <v>0</v>
      </c>
      <c r="I230" s="319">
        <v>0</v>
      </c>
      <c r="J230" s="320">
        <v>0</v>
      </c>
      <c r="K230" s="320">
        <v>0</v>
      </c>
      <c r="L230" s="319">
        <v>0</v>
      </c>
      <c r="M230" s="319">
        <v>0</v>
      </c>
      <c r="N230" s="319">
        <v>0</v>
      </c>
      <c r="O230" s="320">
        <v>0</v>
      </c>
      <c r="P230" s="320">
        <v>0</v>
      </c>
      <c r="Q230" s="319">
        <v>0</v>
      </c>
      <c r="R230" s="320">
        <v>0</v>
      </c>
      <c r="S230" s="320">
        <v>0</v>
      </c>
      <c r="T230" s="320"/>
      <c r="U230" s="320"/>
      <c r="V230" s="316"/>
    </row>
    <row r="231" spans="1:22">
      <c r="A231" s="311"/>
      <c r="B231" s="291" t="s">
        <v>778</v>
      </c>
      <c r="C231" s="308">
        <v>0</v>
      </c>
      <c r="D231" s="309">
        <v>0</v>
      </c>
      <c r="E231" s="309">
        <v>0</v>
      </c>
      <c r="F231" s="309">
        <v>0</v>
      </c>
      <c r="G231" s="309">
        <v>0</v>
      </c>
      <c r="H231" s="309">
        <v>0</v>
      </c>
      <c r="I231" s="309">
        <v>0</v>
      </c>
      <c r="J231" s="310">
        <v>0</v>
      </c>
      <c r="K231" s="310">
        <v>0</v>
      </c>
      <c r="L231" s="309">
        <v>0</v>
      </c>
      <c r="M231" s="309">
        <v>0</v>
      </c>
      <c r="N231" s="309">
        <v>0</v>
      </c>
      <c r="O231" s="310">
        <v>0</v>
      </c>
      <c r="P231" s="310">
        <v>0</v>
      </c>
      <c r="Q231" s="309">
        <v>0</v>
      </c>
      <c r="R231" s="310">
        <v>0</v>
      </c>
      <c r="S231" s="310">
        <v>0</v>
      </c>
      <c r="T231" s="310"/>
      <c r="U231" s="310"/>
      <c r="V231" s="316"/>
    </row>
    <row r="232" spans="1:22">
      <c r="A232" s="311"/>
      <c r="B232" s="312" t="s">
        <v>779</v>
      </c>
      <c r="C232" s="313">
        <v>0</v>
      </c>
      <c r="D232" s="314">
        <v>0</v>
      </c>
      <c r="E232" s="314">
        <v>0</v>
      </c>
      <c r="F232" s="314">
        <v>0</v>
      </c>
      <c r="G232" s="314">
        <v>0</v>
      </c>
      <c r="H232" s="314">
        <v>0</v>
      </c>
      <c r="I232" s="314">
        <v>0</v>
      </c>
      <c r="J232" s="315">
        <v>0</v>
      </c>
      <c r="K232" s="315">
        <v>0</v>
      </c>
      <c r="L232" s="314">
        <v>0</v>
      </c>
      <c r="M232" s="314">
        <v>0</v>
      </c>
      <c r="N232" s="314">
        <v>0</v>
      </c>
      <c r="O232" s="315">
        <v>0</v>
      </c>
      <c r="P232" s="315">
        <v>0</v>
      </c>
      <c r="Q232" s="314">
        <v>0</v>
      </c>
      <c r="R232" s="315">
        <v>0</v>
      </c>
      <c r="S232" s="315">
        <v>0</v>
      </c>
      <c r="T232" s="315"/>
      <c r="U232" s="315"/>
      <c r="V232" s="316"/>
    </row>
    <row r="233" spans="1:22">
      <c r="A233" s="311"/>
      <c r="B233" s="317" t="s">
        <v>780</v>
      </c>
      <c r="C233" s="318">
        <v>0</v>
      </c>
      <c r="D233" s="319">
        <v>0</v>
      </c>
      <c r="E233" s="319">
        <v>0</v>
      </c>
      <c r="F233" s="319">
        <v>0</v>
      </c>
      <c r="G233" s="319">
        <v>0</v>
      </c>
      <c r="H233" s="319">
        <v>0</v>
      </c>
      <c r="I233" s="319">
        <v>0</v>
      </c>
      <c r="J233" s="320">
        <v>0</v>
      </c>
      <c r="K233" s="320">
        <v>0</v>
      </c>
      <c r="L233" s="319">
        <v>0</v>
      </c>
      <c r="M233" s="319">
        <v>0</v>
      </c>
      <c r="N233" s="319">
        <v>0</v>
      </c>
      <c r="O233" s="320">
        <v>0</v>
      </c>
      <c r="P233" s="320">
        <v>0</v>
      </c>
      <c r="Q233" s="319">
        <v>0</v>
      </c>
      <c r="R233" s="320">
        <v>0</v>
      </c>
      <c r="S233" s="320">
        <v>0</v>
      </c>
      <c r="T233" s="320"/>
      <c r="U233" s="320"/>
      <c r="V233" s="316"/>
    </row>
    <row r="234" spans="1:22">
      <c r="A234" s="311"/>
      <c r="B234" s="291" t="s">
        <v>781</v>
      </c>
      <c r="C234" s="308">
        <v>0</v>
      </c>
      <c r="D234" s="309">
        <v>0</v>
      </c>
      <c r="E234" s="309">
        <v>0</v>
      </c>
      <c r="F234" s="309">
        <v>0</v>
      </c>
      <c r="G234" s="309">
        <v>0</v>
      </c>
      <c r="H234" s="309">
        <v>0</v>
      </c>
      <c r="I234" s="309">
        <v>0</v>
      </c>
      <c r="J234" s="310">
        <v>0</v>
      </c>
      <c r="K234" s="310">
        <v>0</v>
      </c>
      <c r="L234" s="309">
        <v>0</v>
      </c>
      <c r="M234" s="309">
        <v>0</v>
      </c>
      <c r="N234" s="309">
        <v>0</v>
      </c>
      <c r="O234" s="310">
        <v>0</v>
      </c>
      <c r="P234" s="310">
        <v>0</v>
      </c>
      <c r="Q234" s="309">
        <v>0</v>
      </c>
      <c r="R234" s="310">
        <v>0</v>
      </c>
      <c r="S234" s="310">
        <v>0</v>
      </c>
      <c r="T234" s="310"/>
      <c r="U234" s="310"/>
      <c r="V234" s="316"/>
    </row>
    <row r="235" spans="1:22">
      <c r="A235" s="311"/>
      <c r="B235" s="312" t="s">
        <v>782</v>
      </c>
      <c r="C235" s="313">
        <v>0</v>
      </c>
      <c r="D235" s="314">
        <v>0</v>
      </c>
      <c r="E235" s="314">
        <v>0</v>
      </c>
      <c r="F235" s="314">
        <v>0</v>
      </c>
      <c r="G235" s="314">
        <v>0</v>
      </c>
      <c r="H235" s="314">
        <v>0</v>
      </c>
      <c r="I235" s="314">
        <v>0</v>
      </c>
      <c r="J235" s="315">
        <v>0</v>
      </c>
      <c r="K235" s="315">
        <v>0</v>
      </c>
      <c r="L235" s="314">
        <v>0</v>
      </c>
      <c r="M235" s="314">
        <v>0</v>
      </c>
      <c r="N235" s="314">
        <v>0</v>
      </c>
      <c r="O235" s="315">
        <v>0</v>
      </c>
      <c r="P235" s="315">
        <v>0</v>
      </c>
      <c r="Q235" s="314">
        <v>0</v>
      </c>
      <c r="R235" s="315">
        <v>0</v>
      </c>
      <c r="S235" s="315">
        <v>0</v>
      </c>
      <c r="T235" s="315"/>
      <c r="U235" s="315"/>
      <c r="V235" s="316"/>
    </row>
    <row r="236" spans="1:22">
      <c r="A236" s="311"/>
      <c r="B236" s="317" t="s">
        <v>783</v>
      </c>
      <c r="C236" s="318">
        <v>0</v>
      </c>
      <c r="D236" s="319">
        <v>0</v>
      </c>
      <c r="E236" s="319">
        <v>0</v>
      </c>
      <c r="F236" s="319">
        <v>0</v>
      </c>
      <c r="G236" s="319">
        <v>0</v>
      </c>
      <c r="H236" s="319">
        <v>0</v>
      </c>
      <c r="I236" s="319">
        <v>0</v>
      </c>
      <c r="J236" s="320">
        <v>0</v>
      </c>
      <c r="K236" s="320">
        <v>0</v>
      </c>
      <c r="L236" s="319">
        <v>0</v>
      </c>
      <c r="M236" s="319">
        <v>0</v>
      </c>
      <c r="N236" s="319">
        <v>0</v>
      </c>
      <c r="O236" s="320">
        <v>0</v>
      </c>
      <c r="P236" s="320">
        <v>0</v>
      </c>
      <c r="Q236" s="319">
        <v>0</v>
      </c>
      <c r="R236" s="320">
        <v>0</v>
      </c>
      <c r="S236" s="320">
        <v>0</v>
      </c>
      <c r="T236" s="320"/>
      <c r="U236" s="320"/>
      <c r="V236" s="316"/>
    </row>
    <row r="237" spans="1:22">
      <c r="A237" s="311"/>
      <c r="B237" s="291" t="s">
        <v>784</v>
      </c>
      <c r="C237" s="308">
        <v>0</v>
      </c>
      <c r="D237" s="309">
        <v>0</v>
      </c>
      <c r="E237" s="309">
        <v>0</v>
      </c>
      <c r="F237" s="309">
        <v>0</v>
      </c>
      <c r="G237" s="309">
        <v>0</v>
      </c>
      <c r="H237" s="309">
        <v>0</v>
      </c>
      <c r="I237" s="309">
        <v>0</v>
      </c>
      <c r="J237" s="310">
        <v>0</v>
      </c>
      <c r="K237" s="310">
        <v>0</v>
      </c>
      <c r="L237" s="309">
        <v>0</v>
      </c>
      <c r="M237" s="309">
        <v>0</v>
      </c>
      <c r="N237" s="309">
        <v>0</v>
      </c>
      <c r="O237" s="310">
        <v>0</v>
      </c>
      <c r="P237" s="310">
        <v>0</v>
      </c>
      <c r="Q237" s="309">
        <v>0</v>
      </c>
      <c r="R237" s="310">
        <v>0</v>
      </c>
      <c r="S237" s="310">
        <v>0</v>
      </c>
      <c r="T237" s="310"/>
      <c r="U237" s="310"/>
      <c r="V237" s="316"/>
    </row>
    <row r="238" spans="1:22">
      <c r="A238" s="311"/>
      <c r="B238" s="312" t="s">
        <v>785</v>
      </c>
      <c r="C238" s="313">
        <v>0</v>
      </c>
      <c r="D238" s="314">
        <v>0</v>
      </c>
      <c r="E238" s="314">
        <v>0</v>
      </c>
      <c r="F238" s="314">
        <v>0</v>
      </c>
      <c r="G238" s="314">
        <v>0</v>
      </c>
      <c r="H238" s="314">
        <v>0</v>
      </c>
      <c r="I238" s="314">
        <v>0</v>
      </c>
      <c r="J238" s="315">
        <v>0</v>
      </c>
      <c r="K238" s="315">
        <v>0</v>
      </c>
      <c r="L238" s="314">
        <v>0</v>
      </c>
      <c r="M238" s="314">
        <v>0</v>
      </c>
      <c r="N238" s="314">
        <v>0</v>
      </c>
      <c r="O238" s="315">
        <v>0</v>
      </c>
      <c r="P238" s="315">
        <v>0</v>
      </c>
      <c r="Q238" s="314">
        <v>0</v>
      </c>
      <c r="R238" s="315">
        <v>0</v>
      </c>
      <c r="S238" s="315">
        <v>0</v>
      </c>
      <c r="T238" s="315"/>
      <c r="U238" s="315"/>
      <c r="V238" s="316"/>
    </row>
    <row r="239" spans="1:22" ht="15.75" thickBot="1">
      <c r="A239" s="311"/>
      <c r="B239" s="325" t="s">
        <v>786</v>
      </c>
      <c r="C239" s="326">
        <v>0</v>
      </c>
      <c r="D239" s="327">
        <v>0</v>
      </c>
      <c r="E239" s="327">
        <v>0</v>
      </c>
      <c r="F239" s="327">
        <v>0</v>
      </c>
      <c r="G239" s="327">
        <v>0</v>
      </c>
      <c r="H239" s="327">
        <v>0</v>
      </c>
      <c r="I239" s="327">
        <v>0</v>
      </c>
      <c r="J239" s="328">
        <v>0</v>
      </c>
      <c r="K239" s="328">
        <v>0</v>
      </c>
      <c r="L239" s="327">
        <v>0</v>
      </c>
      <c r="M239" s="327">
        <v>0</v>
      </c>
      <c r="N239" s="327">
        <v>0</v>
      </c>
      <c r="O239" s="328">
        <v>0</v>
      </c>
      <c r="P239" s="328">
        <v>0</v>
      </c>
      <c r="Q239" s="327">
        <v>0</v>
      </c>
      <c r="R239" s="328">
        <v>0</v>
      </c>
      <c r="S239" s="328">
        <v>0</v>
      </c>
      <c r="T239" s="328"/>
      <c r="U239" s="328"/>
      <c r="V239" s="316"/>
    </row>
    <row r="240" spans="1:22" ht="15.75" thickTop="1">
      <c r="A240" s="311"/>
      <c r="B240" s="312" t="s">
        <v>787</v>
      </c>
      <c r="C240" s="313">
        <v>0</v>
      </c>
      <c r="D240" s="314">
        <v>0</v>
      </c>
      <c r="E240" s="314">
        <v>0</v>
      </c>
      <c r="F240" s="314">
        <v>0</v>
      </c>
      <c r="G240" s="314">
        <v>0</v>
      </c>
      <c r="H240" s="314">
        <v>0</v>
      </c>
      <c r="I240" s="314">
        <v>0</v>
      </c>
      <c r="J240" s="315">
        <v>0</v>
      </c>
      <c r="K240" s="315">
        <v>0</v>
      </c>
      <c r="L240" s="314">
        <v>0</v>
      </c>
      <c r="M240" s="314">
        <v>0</v>
      </c>
      <c r="N240" s="314">
        <v>0</v>
      </c>
      <c r="O240" s="315">
        <v>0</v>
      </c>
      <c r="P240" s="315">
        <v>0</v>
      </c>
      <c r="Q240" s="314">
        <v>0</v>
      </c>
      <c r="R240" s="315">
        <v>0</v>
      </c>
      <c r="S240" s="315">
        <v>0</v>
      </c>
      <c r="T240" s="315"/>
      <c r="U240" s="315"/>
      <c r="V240" s="316"/>
    </row>
    <row r="241" spans="1:22">
      <c r="A241" s="311"/>
      <c r="B241" s="312" t="s">
        <v>788</v>
      </c>
      <c r="C241" s="313">
        <v>0.973876953125</v>
      </c>
      <c r="D241" s="314">
        <v>0.86948585420024505</v>
      </c>
      <c r="E241" s="314">
        <v>0.7440559183455796</v>
      </c>
      <c r="F241" s="314">
        <v>0.56037684275862809</v>
      </c>
      <c r="G241" s="314">
        <v>0.78504672897196259</v>
      </c>
      <c r="H241" s="314">
        <v>0</v>
      </c>
      <c r="I241" s="314">
        <v>0</v>
      </c>
      <c r="J241" s="315">
        <v>0.81084700312736635</v>
      </c>
      <c r="K241" s="315">
        <v>0</v>
      </c>
      <c r="L241" s="314">
        <v>0</v>
      </c>
      <c r="M241" s="314">
        <v>0</v>
      </c>
      <c r="N241" s="314">
        <v>0</v>
      </c>
      <c r="O241" s="315">
        <v>0</v>
      </c>
      <c r="P241" s="315">
        <v>0</v>
      </c>
      <c r="Q241" s="314">
        <v>0</v>
      </c>
      <c r="R241" s="315">
        <v>0</v>
      </c>
      <c r="S241" s="315">
        <v>0.81084700312736635</v>
      </c>
      <c r="T241" s="315"/>
      <c r="U241" s="315"/>
      <c r="V241" s="316"/>
    </row>
    <row r="242" spans="1:22">
      <c r="A242" s="311"/>
      <c r="B242" s="317" t="s">
        <v>789</v>
      </c>
      <c r="C242" s="318">
        <v>0</v>
      </c>
      <c r="D242" s="319">
        <v>0</v>
      </c>
      <c r="E242" s="319">
        <v>0</v>
      </c>
      <c r="F242" s="319">
        <v>0</v>
      </c>
      <c r="G242" s="319">
        <v>0</v>
      </c>
      <c r="H242" s="319">
        <v>0</v>
      </c>
      <c r="I242" s="319">
        <v>0</v>
      </c>
      <c r="J242" s="320">
        <v>0</v>
      </c>
      <c r="K242" s="320">
        <v>0</v>
      </c>
      <c r="L242" s="319">
        <v>0</v>
      </c>
      <c r="M242" s="319">
        <v>0</v>
      </c>
      <c r="N242" s="319">
        <v>0</v>
      </c>
      <c r="O242" s="320">
        <v>0</v>
      </c>
      <c r="P242" s="320">
        <v>0</v>
      </c>
      <c r="Q242" s="319">
        <v>0</v>
      </c>
      <c r="R242" s="320">
        <v>0</v>
      </c>
      <c r="S242" s="320">
        <v>0</v>
      </c>
      <c r="T242" s="320"/>
      <c r="U242" s="320"/>
      <c r="V242" s="316"/>
    </row>
    <row r="243" spans="1:22">
      <c r="A243" s="311"/>
      <c r="B243" s="291" t="s">
        <v>790</v>
      </c>
      <c r="C243" s="308">
        <v>0</v>
      </c>
      <c r="D243" s="309">
        <v>0</v>
      </c>
      <c r="E243" s="309">
        <v>0</v>
      </c>
      <c r="F243" s="309">
        <v>0</v>
      </c>
      <c r="G243" s="309">
        <v>0</v>
      </c>
      <c r="H243" s="309">
        <v>0</v>
      </c>
      <c r="I243" s="309">
        <v>0</v>
      </c>
      <c r="J243" s="310">
        <v>0</v>
      </c>
      <c r="K243" s="310">
        <v>0</v>
      </c>
      <c r="L243" s="309">
        <v>0</v>
      </c>
      <c r="M243" s="309">
        <v>0</v>
      </c>
      <c r="N243" s="309">
        <v>0</v>
      </c>
      <c r="O243" s="310">
        <v>0</v>
      </c>
      <c r="P243" s="310">
        <v>0</v>
      </c>
      <c r="Q243" s="309">
        <v>0</v>
      </c>
      <c r="R243" s="310">
        <v>0</v>
      </c>
      <c r="S243" s="310">
        <v>0</v>
      </c>
      <c r="T243" s="310"/>
      <c r="U243" s="310"/>
      <c r="V243" s="316"/>
    </row>
    <row r="244" spans="1:22">
      <c r="A244" s="311"/>
      <c r="B244" s="312" t="s">
        <v>791</v>
      </c>
      <c r="C244" s="313">
        <v>0</v>
      </c>
      <c r="D244" s="314">
        <v>0</v>
      </c>
      <c r="E244" s="314">
        <v>0</v>
      </c>
      <c r="F244" s="314">
        <v>0</v>
      </c>
      <c r="G244" s="314">
        <v>0</v>
      </c>
      <c r="H244" s="314">
        <v>0</v>
      </c>
      <c r="I244" s="314">
        <v>0</v>
      </c>
      <c r="J244" s="315">
        <v>0</v>
      </c>
      <c r="K244" s="315">
        <v>0</v>
      </c>
      <c r="L244" s="314">
        <v>0</v>
      </c>
      <c r="M244" s="314">
        <v>0</v>
      </c>
      <c r="N244" s="314">
        <v>0</v>
      </c>
      <c r="O244" s="315">
        <v>0</v>
      </c>
      <c r="P244" s="315">
        <v>0</v>
      </c>
      <c r="Q244" s="314">
        <v>0</v>
      </c>
      <c r="R244" s="315">
        <v>0</v>
      </c>
      <c r="S244" s="315">
        <v>0</v>
      </c>
      <c r="T244" s="315"/>
      <c r="U244" s="315"/>
      <c r="V244" s="316"/>
    </row>
    <row r="245" spans="1:22">
      <c r="A245" s="311"/>
      <c r="B245" s="317" t="s">
        <v>792</v>
      </c>
      <c r="C245" s="318">
        <v>0</v>
      </c>
      <c r="D245" s="319">
        <v>0</v>
      </c>
      <c r="E245" s="319">
        <v>0</v>
      </c>
      <c r="F245" s="319">
        <v>0</v>
      </c>
      <c r="G245" s="319">
        <v>0</v>
      </c>
      <c r="H245" s="319">
        <v>0</v>
      </c>
      <c r="I245" s="319">
        <v>0</v>
      </c>
      <c r="J245" s="320">
        <v>0</v>
      </c>
      <c r="K245" s="320">
        <v>0</v>
      </c>
      <c r="L245" s="319">
        <v>0</v>
      </c>
      <c r="M245" s="319">
        <v>0</v>
      </c>
      <c r="N245" s="319">
        <v>0</v>
      </c>
      <c r="O245" s="320">
        <v>0</v>
      </c>
      <c r="P245" s="320">
        <v>0</v>
      </c>
      <c r="Q245" s="319">
        <v>0</v>
      </c>
      <c r="R245" s="320">
        <v>0</v>
      </c>
      <c r="S245" s="320">
        <v>0</v>
      </c>
      <c r="T245" s="320"/>
      <c r="U245" s="320"/>
      <c r="V245" s="316"/>
    </row>
    <row r="246" spans="1:22">
      <c r="A246" s="311"/>
      <c r="B246" s="291" t="s">
        <v>793</v>
      </c>
      <c r="C246" s="308">
        <v>0</v>
      </c>
      <c r="D246" s="309">
        <v>0</v>
      </c>
      <c r="E246" s="309">
        <v>0</v>
      </c>
      <c r="F246" s="309">
        <v>0</v>
      </c>
      <c r="G246" s="309">
        <v>0</v>
      </c>
      <c r="H246" s="309">
        <v>0</v>
      </c>
      <c r="I246" s="309">
        <v>0</v>
      </c>
      <c r="J246" s="310">
        <v>0</v>
      </c>
      <c r="K246" s="310">
        <v>0</v>
      </c>
      <c r="L246" s="309">
        <v>0</v>
      </c>
      <c r="M246" s="309">
        <v>0</v>
      </c>
      <c r="N246" s="309">
        <v>0</v>
      </c>
      <c r="O246" s="310">
        <v>0</v>
      </c>
      <c r="P246" s="310">
        <v>0</v>
      </c>
      <c r="Q246" s="309">
        <v>0</v>
      </c>
      <c r="R246" s="310">
        <v>0</v>
      </c>
      <c r="S246" s="310">
        <v>0</v>
      </c>
      <c r="T246" s="310"/>
      <c r="U246" s="310"/>
      <c r="V246" s="316"/>
    </row>
    <row r="247" spans="1:22">
      <c r="A247" s="311"/>
      <c r="B247" s="312" t="s">
        <v>794</v>
      </c>
      <c r="C247" s="313">
        <v>2.6123046875E-2</v>
      </c>
      <c r="D247" s="314">
        <v>0.13051414579975493</v>
      </c>
      <c r="E247" s="314">
        <v>0.2559440816544204</v>
      </c>
      <c r="F247" s="314">
        <v>0.43962315724137185</v>
      </c>
      <c r="G247" s="314">
        <v>0.21495327102803738</v>
      </c>
      <c r="H247" s="314">
        <v>0</v>
      </c>
      <c r="I247" s="314">
        <v>0</v>
      </c>
      <c r="J247" s="315">
        <v>0.18915299687263359</v>
      </c>
      <c r="K247" s="315">
        <v>0</v>
      </c>
      <c r="L247" s="314">
        <v>0</v>
      </c>
      <c r="M247" s="314">
        <v>0</v>
      </c>
      <c r="N247" s="314">
        <v>0</v>
      </c>
      <c r="O247" s="315">
        <v>0</v>
      </c>
      <c r="P247" s="315">
        <v>0</v>
      </c>
      <c r="Q247" s="314">
        <v>0</v>
      </c>
      <c r="R247" s="315">
        <v>0</v>
      </c>
      <c r="S247" s="315">
        <v>0.18915299687263359</v>
      </c>
      <c r="T247" s="315"/>
      <c r="U247" s="315"/>
      <c r="V247" s="316"/>
    </row>
    <row r="248" spans="1:22">
      <c r="A248" s="311"/>
      <c r="B248" s="317" t="s">
        <v>795</v>
      </c>
      <c r="C248" s="318">
        <v>0</v>
      </c>
      <c r="D248" s="319">
        <v>0</v>
      </c>
      <c r="E248" s="319">
        <v>0</v>
      </c>
      <c r="F248" s="319">
        <v>0</v>
      </c>
      <c r="G248" s="319">
        <v>0</v>
      </c>
      <c r="H248" s="319">
        <v>0</v>
      </c>
      <c r="I248" s="319">
        <v>0</v>
      </c>
      <c r="J248" s="320">
        <v>0</v>
      </c>
      <c r="K248" s="320">
        <v>0</v>
      </c>
      <c r="L248" s="319">
        <v>0</v>
      </c>
      <c r="M248" s="319">
        <v>0</v>
      </c>
      <c r="N248" s="319">
        <v>0</v>
      </c>
      <c r="O248" s="320">
        <v>0</v>
      </c>
      <c r="P248" s="320">
        <v>0</v>
      </c>
      <c r="Q248" s="319">
        <v>0</v>
      </c>
      <c r="R248" s="320">
        <v>0</v>
      </c>
      <c r="S248" s="320">
        <v>0</v>
      </c>
      <c r="T248" s="320"/>
      <c r="U248" s="320"/>
      <c r="V248" s="316"/>
    </row>
    <row r="249" spans="1:22">
      <c r="A249" s="311"/>
      <c r="B249" s="291" t="s">
        <v>796</v>
      </c>
      <c r="C249" s="308">
        <v>0</v>
      </c>
      <c r="D249" s="309">
        <v>0</v>
      </c>
      <c r="E249" s="309">
        <v>0</v>
      </c>
      <c r="F249" s="309">
        <v>0</v>
      </c>
      <c r="G249" s="309">
        <v>0</v>
      </c>
      <c r="H249" s="309">
        <v>0</v>
      </c>
      <c r="I249" s="309">
        <v>0</v>
      </c>
      <c r="J249" s="310">
        <v>0</v>
      </c>
      <c r="K249" s="310">
        <v>0</v>
      </c>
      <c r="L249" s="309">
        <v>0</v>
      </c>
      <c r="M249" s="309">
        <v>0</v>
      </c>
      <c r="N249" s="309">
        <v>0</v>
      </c>
      <c r="O249" s="310">
        <v>0</v>
      </c>
      <c r="P249" s="310">
        <v>0</v>
      </c>
      <c r="Q249" s="309">
        <v>0</v>
      </c>
      <c r="R249" s="310">
        <v>0</v>
      </c>
      <c r="S249" s="310">
        <v>0</v>
      </c>
      <c r="T249" s="310"/>
      <c r="U249" s="310"/>
      <c r="V249" s="316"/>
    </row>
    <row r="250" spans="1:22">
      <c r="A250" s="311"/>
      <c r="B250" s="312" t="s">
        <v>797</v>
      </c>
      <c r="C250" s="313">
        <v>0</v>
      </c>
      <c r="D250" s="314">
        <v>0</v>
      </c>
      <c r="E250" s="314">
        <v>0</v>
      </c>
      <c r="F250" s="314">
        <v>0</v>
      </c>
      <c r="G250" s="314">
        <v>0</v>
      </c>
      <c r="H250" s="314">
        <v>0</v>
      </c>
      <c r="I250" s="314">
        <v>0</v>
      </c>
      <c r="J250" s="315">
        <v>0</v>
      </c>
      <c r="K250" s="315">
        <v>0</v>
      </c>
      <c r="L250" s="314">
        <v>0</v>
      </c>
      <c r="M250" s="314">
        <v>0</v>
      </c>
      <c r="N250" s="314">
        <v>0</v>
      </c>
      <c r="O250" s="315">
        <v>0</v>
      </c>
      <c r="P250" s="315">
        <v>0</v>
      </c>
      <c r="Q250" s="314">
        <v>0</v>
      </c>
      <c r="R250" s="315">
        <v>0</v>
      </c>
      <c r="S250" s="315">
        <v>0</v>
      </c>
      <c r="T250" s="315"/>
      <c r="U250" s="315"/>
      <c r="V250" s="316"/>
    </row>
    <row r="251" spans="1:22">
      <c r="A251" s="311"/>
      <c r="B251" s="317" t="s">
        <v>798</v>
      </c>
      <c r="C251" s="318">
        <v>0</v>
      </c>
      <c r="D251" s="319">
        <v>0</v>
      </c>
      <c r="E251" s="319">
        <v>0</v>
      </c>
      <c r="F251" s="319">
        <v>0</v>
      </c>
      <c r="G251" s="319">
        <v>0</v>
      </c>
      <c r="H251" s="319">
        <v>0</v>
      </c>
      <c r="I251" s="319">
        <v>0</v>
      </c>
      <c r="J251" s="320">
        <v>0</v>
      </c>
      <c r="K251" s="320">
        <v>0</v>
      </c>
      <c r="L251" s="319">
        <v>0</v>
      </c>
      <c r="M251" s="319">
        <v>0</v>
      </c>
      <c r="N251" s="319">
        <v>0</v>
      </c>
      <c r="O251" s="320">
        <v>0</v>
      </c>
      <c r="P251" s="320">
        <v>0</v>
      </c>
      <c r="Q251" s="319">
        <v>0</v>
      </c>
      <c r="R251" s="320">
        <v>0</v>
      </c>
      <c r="S251" s="320">
        <v>0</v>
      </c>
      <c r="T251" s="320"/>
      <c r="U251" s="320"/>
      <c r="V251" s="316"/>
    </row>
    <row r="252" spans="1:22">
      <c r="A252" s="311"/>
      <c r="B252" s="291" t="s">
        <v>799</v>
      </c>
      <c r="C252" s="308">
        <v>0</v>
      </c>
      <c r="D252" s="309">
        <v>0</v>
      </c>
      <c r="E252" s="309">
        <v>0</v>
      </c>
      <c r="F252" s="309">
        <v>0</v>
      </c>
      <c r="G252" s="309">
        <v>0</v>
      </c>
      <c r="H252" s="309">
        <v>0</v>
      </c>
      <c r="I252" s="309">
        <v>0</v>
      </c>
      <c r="J252" s="310">
        <v>0</v>
      </c>
      <c r="K252" s="310">
        <v>0</v>
      </c>
      <c r="L252" s="309">
        <v>0</v>
      </c>
      <c r="M252" s="309">
        <v>0</v>
      </c>
      <c r="N252" s="309">
        <v>0</v>
      </c>
      <c r="O252" s="310">
        <v>0</v>
      </c>
      <c r="P252" s="310">
        <v>0</v>
      </c>
      <c r="Q252" s="309">
        <v>0</v>
      </c>
      <c r="R252" s="310">
        <v>0</v>
      </c>
      <c r="S252" s="310">
        <v>0</v>
      </c>
      <c r="T252" s="310"/>
      <c r="U252" s="310"/>
      <c r="V252" s="316"/>
    </row>
    <row r="253" spans="1:22">
      <c r="A253" s="311"/>
      <c r="B253" s="312" t="s">
        <v>800</v>
      </c>
      <c r="C253" s="313">
        <v>0</v>
      </c>
      <c r="D253" s="314">
        <v>0</v>
      </c>
      <c r="E253" s="314">
        <v>0</v>
      </c>
      <c r="F253" s="314">
        <v>0</v>
      </c>
      <c r="G253" s="314">
        <v>0</v>
      </c>
      <c r="H253" s="314">
        <v>0</v>
      </c>
      <c r="I253" s="314">
        <v>0</v>
      </c>
      <c r="J253" s="315">
        <v>0</v>
      </c>
      <c r="K253" s="315">
        <v>0</v>
      </c>
      <c r="L253" s="314">
        <v>0</v>
      </c>
      <c r="M253" s="314">
        <v>0</v>
      </c>
      <c r="N253" s="314">
        <v>0</v>
      </c>
      <c r="O253" s="315">
        <v>0</v>
      </c>
      <c r="P253" s="315">
        <v>0</v>
      </c>
      <c r="Q253" s="314">
        <v>0</v>
      </c>
      <c r="R253" s="315">
        <v>0</v>
      </c>
      <c r="S253" s="315">
        <v>0</v>
      </c>
      <c r="T253" s="315"/>
      <c r="U253" s="315"/>
      <c r="V253" s="316"/>
    </row>
    <row r="254" spans="1:22">
      <c r="A254" s="311"/>
      <c r="B254" s="317" t="s">
        <v>801</v>
      </c>
      <c r="C254" s="318">
        <v>0</v>
      </c>
      <c r="D254" s="319">
        <v>0</v>
      </c>
      <c r="E254" s="319">
        <v>0</v>
      </c>
      <c r="F254" s="319">
        <v>0</v>
      </c>
      <c r="G254" s="319">
        <v>0</v>
      </c>
      <c r="H254" s="319">
        <v>0</v>
      </c>
      <c r="I254" s="319">
        <v>0</v>
      </c>
      <c r="J254" s="320">
        <v>0</v>
      </c>
      <c r="K254" s="320">
        <v>0</v>
      </c>
      <c r="L254" s="319">
        <v>0</v>
      </c>
      <c r="M254" s="319">
        <v>0</v>
      </c>
      <c r="N254" s="319">
        <v>0</v>
      </c>
      <c r="O254" s="320">
        <v>0</v>
      </c>
      <c r="P254" s="320">
        <v>0</v>
      </c>
      <c r="Q254" s="319">
        <v>0</v>
      </c>
      <c r="R254" s="320">
        <v>0</v>
      </c>
      <c r="S254" s="320">
        <v>0</v>
      </c>
      <c r="T254" s="320"/>
      <c r="U254" s="320"/>
      <c r="V254" s="316"/>
    </row>
    <row r="255" spans="1:22">
      <c r="A255" s="311"/>
      <c r="B255" s="291" t="s">
        <v>802</v>
      </c>
      <c r="C255" s="308">
        <v>0</v>
      </c>
      <c r="D255" s="309">
        <v>0</v>
      </c>
      <c r="E255" s="309">
        <v>0</v>
      </c>
      <c r="F255" s="309">
        <v>0</v>
      </c>
      <c r="G255" s="309">
        <v>0</v>
      </c>
      <c r="H255" s="309">
        <v>0</v>
      </c>
      <c r="I255" s="309">
        <v>0</v>
      </c>
      <c r="J255" s="310">
        <v>0</v>
      </c>
      <c r="K255" s="310">
        <v>0</v>
      </c>
      <c r="L255" s="309">
        <v>0</v>
      </c>
      <c r="M255" s="309">
        <v>0</v>
      </c>
      <c r="N255" s="309">
        <v>0</v>
      </c>
      <c r="O255" s="310">
        <v>0</v>
      </c>
      <c r="P255" s="310">
        <v>0</v>
      </c>
      <c r="Q255" s="309">
        <v>0</v>
      </c>
      <c r="R255" s="310">
        <v>0</v>
      </c>
      <c r="S255" s="310">
        <v>0</v>
      </c>
      <c r="T255" s="310"/>
      <c r="U255" s="310"/>
      <c r="V255" s="316"/>
    </row>
    <row r="256" spans="1:22">
      <c r="A256" s="311"/>
      <c r="B256" s="312" t="s">
        <v>803</v>
      </c>
      <c r="C256" s="313">
        <v>0</v>
      </c>
      <c r="D256" s="314">
        <v>0</v>
      </c>
      <c r="E256" s="314">
        <v>0</v>
      </c>
      <c r="F256" s="314">
        <v>0</v>
      </c>
      <c r="G256" s="314">
        <v>0</v>
      </c>
      <c r="H256" s="314">
        <v>0</v>
      </c>
      <c r="I256" s="314">
        <v>0</v>
      </c>
      <c r="J256" s="315">
        <v>0</v>
      </c>
      <c r="K256" s="315">
        <v>0</v>
      </c>
      <c r="L256" s="314">
        <v>0</v>
      </c>
      <c r="M256" s="314">
        <v>0</v>
      </c>
      <c r="N256" s="314">
        <v>0</v>
      </c>
      <c r="O256" s="315">
        <v>0</v>
      </c>
      <c r="P256" s="315">
        <v>0</v>
      </c>
      <c r="Q256" s="314">
        <v>0</v>
      </c>
      <c r="R256" s="315">
        <v>0</v>
      </c>
      <c r="S256" s="315">
        <v>0</v>
      </c>
      <c r="T256" s="315"/>
      <c r="U256" s="315"/>
      <c r="V256" s="316"/>
    </row>
    <row r="257" spans="1:22" ht="15.75" thickBot="1">
      <c r="A257" s="329"/>
      <c r="B257" s="330" t="s">
        <v>804</v>
      </c>
      <c r="C257" s="331">
        <v>0</v>
      </c>
      <c r="D257" s="332">
        <v>0</v>
      </c>
      <c r="E257" s="332">
        <v>0</v>
      </c>
      <c r="F257" s="332">
        <v>0</v>
      </c>
      <c r="G257" s="332">
        <v>0</v>
      </c>
      <c r="H257" s="332">
        <v>0</v>
      </c>
      <c r="I257" s="332">
        <v>0</v>
      </c>
      <c r="J257" s="333">
        <v>0</v>
      </c>
      <c r="K257" s="333">
        <v>0</v>
      </c>
      <c r="L257" s="332">
        <v>0</v>
      </c>
      <c r="M257" s="332">
        <v>0</v>
      </c>
      <c r="N257" s="332">
        <v>0</v>
      </c>
      <c r="O257" s="333">
        <v>0</v>
      </c>
      <c r="P257" s="333">
        <v>0</v>
      </c>
      <c r="Q257" s="332">
        <v>0</v>
      </c>
      <c r="R257" s="333">
        <v>0</v>
      </c>
      <c r="S257" s="333">
        <v>0</v>
      </c>
      <c r="T257" s="333"/>
      <c r="U257" s="333"/>
      <c r="V257" s="316"/>
    </row>
    <row r="258" spans="1:22">
      <c r="A258" s="307" t="s">
        <v>528</v>
      </c>
      <c r="B258" s="291" t="s">
        <v>769</v>
      </c>
      <c r="C258" s="308">
        <v>0.94767651532829777</v>
      </c>
      <c r="D258" s="309">
        <v>0.90203221399700995</v>
      </c>
      <c r="E258" s="309">
        <v>0.89516755282586324</v>
      </c>
      <c r="F258" s="309">
        <v>0.84967112918982302</v>
      </c>
      <c r="G258" s="309">
        <v>0.82178300045675368</v>
      </c>
      <c r="H258" s="309">
        <v>1</v>
      </c>
      <c r="I258" s="309">
        <v>1.4929442983762913E-2</v>
      </c>
      <c r="J258" s="310">
        <v>0.74255076189362412</v>
      </c>
      <c r="K258" s="310">
        <v>0</v>
      </c>
      <c r="L258" s="309">
        <v>0.72457334336582635</v>
      </c>
      <c r="M258" s="309">
        <v>0.7473545173882441</v>
      </c>
      <c r="N258" s="309">
        <v>0.70691158835713508</v>
      </c>
      <c r="O258" s="310">
        <v>0.72887724864035697</v>
      </c>
      <c r="P258" s="310">
        <v>0</v>
      </c>
      <c r="Q258" s="309">
        <v>0</v>
      </c>
      <c r="R258" s="310">
        <v>0</v>
      </c>
      <c r="S258" s="310">
        <v>0.736099124752015</v>
      </c>
      <c r="T258" s="310"/>
      <c r="U258" s="310"/>
      <c r="V258" s="316"/>
    </row>
    <row r="259" spans="1:22">
      <c r="A259" s="311"/>
      <c r="B259" s="312" t="s">
        <v>770</v>
      </c>
      <c r="C259" s="313">
        <v>0.9443639631499342</v>
      </c>
      <c r="D259" s="314">
        <v>0.88679590143986009</v>
      </c>
      <c r="E259" s="314">
        <v>0.87766232831391178</v>
      </c>
      <c r="F259" s="314">
        <v>0.83868221297524204</v>
      </c>
      <c r="G259" s="314">
        <v>0.81359486447931528</v>
      </c>
      <c r="H259" s="314">
        <v>1</v>
      </c>
      <c r="I259" s="314">
        <v>1.5090498143397852E-2</v>
      </c>
      <c r="J259" s="315">
        <v>0.71439289820277396</v>
      </c>
      <c r="K259" s="315">
        <v>0</v>
      </c>
      <c r="L259" s="314">
        <v>0.7296143758565754</v>
      </c>
      <c r="M259" s="314">
        <v>0.73207483323673184</v>
      </c>
      <c r="N259" s="314">
        <v>0.68947540148088871</v>
      </c>
      <c r="O259" s="315">
        <v>0.72860319815569308</v>
      </c>
      <c r="P259" s="315">
        <v>0</v>
      </c>
      <c r="Q259" s="314">
        <v>0</v>
      </c>
      <c r="R259" s="315">
        <v>0</v>
      </c>
      <c r="S259" s="315">
        <v>0.72078479411175311</v>
      </c>
      <c r="T259" s="315"/>
      <c r="U259" s="315"/>
      <c r="V259" s="316"/>
    </row>
    <row r="260" spans="1:22" s="338" customFormat="1">
      <c r="A260" s="311"/>
      <c r="B260" s="317" t="s">
        <v>771</v>
      </c>
      <c r="C260" s="318">
        <v>-0.33125521783635703</v>
      </c>
      <c r="D260" s="319">
        <v>-1.5236312557149856</v>
      </c>
      <c r="E260" s="319">
        <v>-1.7505224511951467</v>
      </c>
      <c r="F260" s="319">
        <v>-1.0988916214580979</v>
      </c>
      <c r="G260" s="319">
        <v>-0.81881359774383933</v>
      </c>
      <c r="H260" s="319">
        <v>0</v>
      </c>
      <c r="I260" s="319">
        <v>1.6105515963493917E-2</v>
      </c>
      <c r="J260" s="320">
        <v>-2.815786369085016</v>
      </c>
      <c r="K260" s="320">
        <v>0</v>
      </c>
      <c r="L260" s="319">
        <v>0.50410324907490534</v>
      </c>
      <c r="M260" s="319">
        <v>-1.5279684151512263</v>
      </c>
      <c r="N260" s="319">
        <v>-1.7436186876246373</v>
      </c>
      <c r="O260" s="320">
        <v>-2.7405048466389026E-2</v>
      </c>
      <c r="P260" s="320">
        <v>0</v>
      </c>
      <c r="Q260" s="319">
        <v>0</v>
      </c>
      <c r="R260" s="320">
        <v>0</v>
      </c>
      <c r="S260" s="320">
        <v>-1.5314330640261886</v>
      </c>
      <c r="T260" s="320"/>
      <c r="U260" s="320"/>
      <c r="V260" s="316"/>
    </row>
    <row r="261" spans="1:22">
      <c r="A261" s="311"/>
      <c r="B261" s="291" t="s">
        <v>772</v>
      </c>
      <c r="C261" s="308">
        <v>2.5368092532578951E-2</v>
      </c>
      <c r="D261" s="309">
        <v>1.6000209548141672E-2</v>
      </c>
      <c r="E261" s="309">
        <v>2.1949624543451524E-2</v>
      </c>
      <c r="F261" s="309">
        <v>1.5258360374810438E-2</v>
      </c>
      <c r="G261" s="309">
        <v>2.2740799180611497E-2</v>
      </c>
      <c r="H261" s="309">
        <v>0</v>
      </c>
      <c r="I261" s="309">
        <v>9.1996801020328162E-3</v>
      </c>
      <c r="J261" s="310">
        <v>1.7846061562854804E-2</v>
      </c>
      <c r="K261" s="310">
        <v>0</v>
      </c>
      <c r="L261" s="309">
        <v>0.12543009386574994</v>
      </c>
      <c r="M261" s="309">
        <v>5.4047159937409175E-2</v>
      </c>
      <c r="N261" s="309">
        <v>8.3932919074094267E-2</v>
      </c>
      <c r="O261" s="310">
        <v>0.10822793194812438</v>
      </c>
      <c r="P261" s="310">
        <v>0</v>
      </c>
      <c r="Q261" s="309">
        <v>0</v>
      </c>
      <c r="R261" s="310">
        <v>0</v>
      </c>
      <c r="S261" s="310">
        <v>6.0491358430240186E-2</v>
      </c>
      <c r="T261" s="310"/>
      <c r="U261" s="310"/>
      <c r="V261" s="316"/>
    </row>
    <row r="262" spans="1:22">
      <c r="A262" s="311"/>
      <c r="B262" s="312" t="s">
        <v>773</v>
      </c>
      <c r="C262" s="313">
        <v>2.4483637470781198E-2</v>
      </c>
      <c r="D262" s="314">
        <v>1.5267782198183163E-2</v>
      </c>
      <c r="E262" s="314">
        <v>2.4787950435173418E-2</v>
      </c>
      <c r="F262" s="314">
        <v>1.7122305498292339E-2</v>
      </c>
      <c r="G262" s="314">
        <v>1.7546362339514979E-3</v>
      </c>
      <c r="H262" s="314">
        <v>0</v>
      </c>
      <c r="I262" s="314">
        <v>9.493784418892497E-3</v>
      </c>
      <c r="J262" s="315">
        <v>1.7760215851455742E-2</v>
      </c>
      <c r="K262" s="315">
        <v>0</v>
      </c>
      <c r="L262" s="314">
        <v>0.10503862602080925</v>
      </c>
      <c r="M262" s="314">
        <v>4.6132532824974787E-2</v>
      </c>
      <c r="N262" s="314">
        <v>7.4611260755972492E-2</v>
      </c>
      <c r="O262" s="315">
        <v>9.0906721303246368E-2</v>
      </c>
      <c r="P262" s="315">
        <v>0</v>
      </c>
      <c r="Q262" s="314">
        <v>0</v>
      </c>
      <c r="R262" s="315">
        <v>0</v>
      </c>
      <c r="S262" s="315">
        <v>5.0662044138154012E-2</v>
      </c>
      <c r="T262" s="315"/>
      <c r="U262" s="315"/>
      <c r="V262" s="316"/>
    </row>
    <row r="263" spans="1:22" s="338" customFormat="1">
      <c r="A263" s="311"/>
      <c r="B263" s="317" t="s">
        <v>774</v>
      </c>
      <c r="C263" s="318">
        <v>-8.8445506179775368E-2</v>
      </c>
      <c r="D263" s="319">
        <v>-7.3242734995850906E-2</v>
      </c>
      <c r="E263" s="319">
        <v>0.28383258917218934</v>
      </c>
      <c r="F263" s="319">
        <v>0.18639451234819004</v>
      </c>
      <c r="G263" s="319">
        <v>-2.0986162946659999</v>
      </c>
      <c r="H263" s="319">
        <v>0</v>
      </c>
      <c r="I263" s="319">
        <v>2.9410431685968075E-2</v>
      </c>
      <c r="J263" s="320">
        <v>-8.5845711399062247E-3</v>
      </c>
      <c r="K263" s="320">
        <v>0</v>
      </c>
      <c r="L263" s="319">
        <v>-2.0391467844940685</v>
      </c>
      <c r="M263" s="319">
        <v>-0.79146271124343892</v>
      </c>
      <c r="N263" s="319">
        <v>-0.93216583181217749</v>
      </c>
      <c r="O263" s="320">
        <v>-1.7321210644878016</v>
      </c>
      <c r="P263" s="320">
        <v>0</v>
      </c>
      <c r="Q263" s="319">
        <v>0</v>
      </c>
      <c r="R263" s="320">
        <v>0</v>
      </c>
      <c r="S263" s="320">
        <v>-0.98293142920861731</v>
      </c>
      <c r="T263" s="320"/>
      <c r="U263" s="320"/>
      <c r="V263" s="316"/>
    </row>
    <row r="264" spans="1:22">
      <c r="A264" s="311"/>
      <c r="B264" s="291" t="s">
        <v>775</v>
      </c>
      <c r="C264" s="308">
        <v>2.5974560778475618E-2</v>
      </c>
      <c r="D264" s="309">
        <v>8.1967576454848423E-2</v>
      </c>
      <c r="E264" s="309">
        <v>8.2531702949033767E-2</v>
      </c>
      <c r="F264" s="309">
        <v>0.13198266775969084</v>
      </c>
      <c r="G264" s="309">
        <v>0.15547620036263476</v>
      </c>
      <c r="H264" s="309">
        <v>0</v>
      </c>
      <c r="I264" s="309">
        <v>0.97586913455054858</v>
      </c>
      <c r="J264" s="310">
        <v>0.23865046887139021</v>
      </c>
      <c r="K264" s="310">
        <v>0</v>
      </c>
      <c r="L264" s="309">
        <v>0.14962726566937681</v>
      </c>
      <c r="M264" s="309">
        <v>0.19403075495597041</v>
      </c>
      <c r="N264" s="309">
        <v>0.19413859515244014</v>
      </c>
      <c r="O264" s="310">
        <v>0.16104535629619299</v>
      </c>
      <c r="P264" s="310">
        <v>0</v>
      </c>
      <c r="Q264" s="309">
        <v>0</v>
      </c>
      <c r="R264" s="310">
        <v>0</v>
      </c>
      <c r="S264" s="310">
        <v>0.20203368886795794</v>
      </c>
      <c r="T264" s="310"/>
      <c r="U264" s="310"/>
      <c r="V264" s="316"/>
    </row>
    <row r="265" spans="1:22">
      <c r="A265" s="311"/>
      <c r="B265" s="312" t="s">
        <v>776</v>
      </c>
      <c r="C265" s="313">
        <v>3.0067129584159972E-2</v>
      </c>
      <c r="D265" s="314">
        <v>9.7936316361956696E-2</v>
      </c>
      <c r="E265" s="314">
        <v>9.7549721250914781E-2</v>
      </c>
      <c r="F265" s="314">
        <v>0.14332236824862912</v>
      </c>
      <c r="G265" s="314">
        <v>0.18465049928673324</v>
      </c>
      <c r="H265" s="314">
        <v>0</v>
      </c>
      <c r="I265" s="314">
        <v>0.97541571743770961</v>
      </c>
      <c r="J265" s="315">
        <v>0.26740502659439086</v>
      </c>
      <c r="K265" s="315">
        <v>0</v>
      </c>
      <c r="L265" s="314">
        <v>0.16499467792766156</v>
      </c>
      <c r="M265" s="314">
        <v>0.21747069288420884</v>
      </c>
      <c r="N265" s="314">
        <v>0.21808932488336036</v>
      </c>
      <c r="O265" s="315">
        <v>0.17858903703949316</v>
      </c>
      <c r="P265" s="315">
        <v>0</v>
      </c>
      <c r="Q265" s="314">
        <v>0</v>
      </c>
      <c r="R265" s="315">
        <v>0</v>
      </c>
      <c r="S265" s="315">
        <v>0.22745495079241837</v>
      </c>
      <c r="T265" s="315"/>
      <c r="U265" s="315"/>
      <c r="V265" s="316"/>
    </row>
    <row r="266" spans="1:22" s="338" customFormat="1">
      <c r="A266" s="311"/>
      <c r="B266" s="317" t="s">
        <v>777</v>
      </c>
      <c r="C266" s="318">
        <v>0.4092568805684354</v>
      </c>
      <c r="D266" s="319">
        <v>1.5968739907108274</v>
      </c>
      <c r="E266" s="319">
        <v>1.5018018301881013</v>
      </c>
      <c r="F266" s="319">
        <v>1.1339700488938287</v>
      </c>
      <c r="G266" s="319">
        <v>2.9174298924098481</v>
      </c>
      <c r="H266" s="319">
        <v>0</v>
      </c>
      <c r="I266" s="319">
        <v>-4.534171128389719E-2</v>
      </c>
      <c r="J266" s="320">
        <v>2.8754557723000644</v>
      </c>
      <c r="K266" s="320">
        <v>0</v>
      </c>
      <c r="L266" s="319">
        <v>1.5367412258284752</v>
      </c>
      <c r="M266" s="319">
        <v>2.3439937928238423</v>
      </c>
      <c r="N266" s="319">
        <v>2.3950729730920219</v>
      </c>
      <c r="O266" s="320">
        <v>1.7543680743300176</v>
      </c>
      <c r="P266" s="320">
        <v>0</v>
      </c>
      <c r="Q266" s="319">
        <v>0</v>
      </c>
      <c r="R266" s="320">
        <v>0</v>
      </c>
      <c r="S266" s="320">
        <v>2.5421261924460428</v>
      </c>
      <c r="T266" s="320"/>
      <c r="U266" s="320"/>
      <c r="V266" s="316"/>
    </row>
    <row r="267" spans="1:22">
      <c r="A267" s="311"/>
      <c r="B267" s="291" t="s">
        <v>778</v>
      </c>
      <c r="C267" s="308">
        <v>9.8083136064769805E-4</v>
      </c>
      <c r="D267" s="309">
        <v>0</v>
      </c>
      <c r="E267" s="309">
        <v>3.5111968165148862E-4</v>
      </c>
      <c r="F267" s="309">
        <v>3.0878426756757158E-3</v>
      </c>
      <c r="G267" s="309">
        <v>0</v>
      </c>
      <c r="H267" s="309">
        <v>0</v>
      </c>
      <c r="I267" s="309">
        <v>0</v>
      </c>
      <c r="J267" s="310">
        <v>9.5239622797525325E-4</v>
      </c>
      <c r="K267" s="310">
        <v>0</v>
      </c>
      <c r="L267" s="309">
        <v>3.6929709904693665E-4</v>
      </c>
      <c r="M267" s="309">
        <v>4.4384322959720108E-3</v>
      </c>
      <c r="N267" s="309">
        <v>1.5016897416330536E-2</v>
      </c>
      <c r="O267" s="310">
        <v>1.8212243759587227E-3</v>
      </c>
      <c r="P267" s="310">
        <v>0</v>
      </c>
      <c r="Q267" s="309">
        <v>0</v>
      </c>
      <c r="R267" s="310">
        <v>0</v>
      </c>
      <c r="S267" s="310">
        <v>1.3623394404752495E-3</v>
      </c>
      <c r="T267" s="310"/>
      <c r="U267" s="310"/>
      <c r="V267" s="316"/>
    </row>
    <row r="268" spans="1:22">
      <c r="A268" s="311"/>
      <c r="B268" s="312" t="s">
        <v>779</v>
      </c>
      <c r="C268" s="313">
        <v>1.0852697951246341E-3</v>
      </c>
      <c r="D268" s="314">
        <v>0</v>
      </c>
      <c r="E268" s="314">
        <v>0</v>
      </c>
      <c r="F268" s="314">
        <v>8.7311327783647617E-4</v>
      </c>
      <c r="G268" s="314">
        <v>0</v>
      </c>
      <c r="H268" s="314">
        <v>0</v>
      </c>
      <c r="I268" s="314">
        <v>0</v>
      </c>
      <c r="J268" s="315">
        <v>4.418593513793873E-4</v>
      </c>
      <c r="K268" s="315">
        <v>0</v>
      </c>
      <c r="L268" s="314">
        <v>3.5232019495382071E-4</v>
      </c>
      <c r="M268" s="314">
        <v>4.3219410540845694E-3</v>
      </c>
      <c r="N268" s="314">
        <v>1.7824012879778414E-2</v>
      </c>
      <c r="O268" s="315">
        <v>1.9010435015673938E-3</v>
      </c>
      <c r="P268" s="315">
        <v>0</v>
      </c>
      <c r="Q268" s="314">
        <v>0</v>
      </c>
      <c r="R268" s="315">
        <v>0</v>
      </c>
      <c r="S268" s="315">
        <v>1.0982109576745073E-3</v>
      </c>
      <c r="T268" s="315"/>
      <c r="U268" s="315"/>
      <c r="V268" s="316"/>
    </row>
    <row r="269" spans="1:22" s="338" customFormat="1">
      <c r="A269" s="311"/>
      <c r="B269" s="317" t="s">
        <v>780</v>
      </c>
      <c r="C269" s="318">
        <v>1.0443843447693609E-2</v>
      </c>
      <c r="D269" s="319">
        <v>0</v>
      </c>
      <c r="E269" s="319">
        <v>-3.511196816514886E-2</v>
      </c>
      <c r="F269" s="319">
        <v>-0.22147293978392399</v>
      </c>
      <c r="G269" s="319">
        <v>0</v>
      </c>
      <c r="H269" s="319">
        <v>0</v>
      </c>
      <c r="I269" s="319">
        <v>0</v>
      </c>
      <c r="J269" s="320">
        <v>-5.1053687659586601E-2</v>
      </c>
      <c r="K269" s="320">
        <v>0</v>
      </c>
      <c r="L269" s="319">
        <v>-1.6976904093115946E-3</v>
      </c>
      <c r="M269" s="319">
        <v>-1.1649124188744132E-2</v>
      </c>
      <c r="N269" s="319">
        <v>0.28071154634478779</v>
      </c>
      <c r="O269" s="320">
        <v>7.9819125608671104E-3</v>
      </c>
      <c r="P269" s="320">
        <v>0</v>
      </c>
      <c r="Q269" s="319">
        <v>0</v>
      </c>
      <c r="R269" s="320">
        <v>0</v>
      </c>
      <c r="S269" s="320">
        <v>-2.641284828007423E-2</v>
      </c>
      <c r="T269" s="320"/>
      <c r="U269" s="320"/>
      <c r="V269" s="316"/>
    </row>
    <row r="270" spans="1:22">
      <c r="A270" s="311"/>
      <c r="B270" s="291" t="s">
        <v>781</v>
      </c>
      <c r="C270" s="308">
        <v>0</v>
      </c>
      <c r="D270" s="309">
        <v>0</v>
      </c>
      <c r="E270" s="309">
        <v>0</v>
      </c>
      <c r="F270" s="309">
        <v>0</v>
      </c>
      <c r="G270" s="309">
        <v>0</v>
      </c>
      <c r="H270" s="309">
        <v>0</v>
      </c>
      <c r="I270" s="309">
        <v>0</v>
      </c>
      <c r="J270" s="310">
        <v>0</v>
      </c>
      <c r="K270" s="310">
        <v>0</v>
      </c>
      <c r="L270" s="309">
        <v>0</v>
      </c>
      <c r="M270" s="309">
        <v>0</v>
      </c>
      <c r="N270" s="309">
        <v>0</v>
      </c>
      <c r="O270" s="310">
        <v>0</v>
      </c>
      <c r="P270" s="310">
        <v>0</v>
      </c>
      <c r="Q270" s="309">
        <v>0</v>
      </c>
      <c r="R270" s="310">
        <v>0</v>
      </c>
      <c r="S270" s="310">
        <v>0</v>
      </c>
      <c r="T270" s="310"/>
      <c r="U270" s="310"/>
      <c r="V270" s="316"/>
    </row>
    <row r="271" spans="1:22">
      <c r="A271" s="311"/>
      <c r="B271" s="312" t="s">
        <v>782</v>
      </c>
      <c r="C271" s="313">
        <v>0</v>
      </c>
      <c r="D271" s="314">
        <v>0</v>
      </c>
      <c r="E271" s="314">
        <v>0</v>
      </c>
      <c r="F271" s="314">
        <v>0</v>
      </c>
      <c r="G271" s="314">
        <v>0</v>
      </c>
      <c r="H271" s="314">
        <v>0</v>
      </c>
      <c r="I271" s="314">
        <v>0</v>
      </c>
      <c r="J271" s="315">
        <v>0</v>
      </c>
      <c r="K271" s="315">
        <v>0</v>
      </c>
      <c r="L271" s="314">
        <v>0</v>
      </c>
      <c r="M271" s="314">
        <v>0</v>
      </c>
      <c r="N271" s="314">
        <v>0</v>
      </c>
      <c r="O271" s="315">
        <v>0</v>
      </c>
      <c r="P271" s="315">
        <v>0</v>
      </c>
      <c r="Q271" s="314">
        <v>0</v>
      </c>
      <c r="R271" s="315">
        <v>0</v>
      </c>
      <c r="S271" s="315">
        <v>0</v>
      </c>
      <c r="T271" s="315"/>
      <c r="U271" s="315"/>
      <c r="V271" s="316"/>
    </row>
    <row r="272" spans="1:22" s="338" customFormat="1">
      <c r="A272" s="311"/>
      <c r="B272" s="317" t="s">
        <v>783</v>
      </c>
      <c r="C272" s="318">
        <v>0</v>
      </c>
      <c r="D272" s="319">
        <v>0</v>
      </c>
      <c r="E272" s="319">
        <v>0</v>
      </c>
      <c r="F272" s="319">
        <v>0</v>
      </c>
      <c r="G272" s="319">
        <v>0</v>
      </c>
      <c r="H272" s="319">
        <v>0</v>
      </c>
      <c r="I272" s="319">
        <v>0</v>
      </c>
      <c r="J272" s="320">
        <v>0</v>
      </c>
      <c r="K272" s="320">
        <v>0</v>
      </c>
      <c r="L272" s="319">
        <v>0</v>
      </c>
      <c r="M272" s="319">
        <v>0</v>
      </c>
      <c r="N272" s="319">
        <v>0</v>
      </c>
      <c r="O272" s="320">
        <v>0</v>
      </c>
      <c r="P272" s="320">
        <v>0</v>
      </c>
      <c r="Q272" s="319">
        <v>0</v>
      </c>
      <c r="R272" s="320">
        <v>0</v>
      </c>
      <c r="S272" s="320">
        <v>0</v>
      </c>
      <c r="T272" s="320"/>
      <c r="U272" s="320"/>
      <c r="V272" s="316"/>
    </row>
    <row r="273" spans="1:22">
      <c r="A273" s="311"/>
      <c r="B273" s="291" t="s">
        <v>784</v>
      </c>
      <c r="C273" s="308">
        <v>0</v>
      </c>
      <c r="D273" s="309">
        <v>0</v>
      </c>
      <c r="E273" s="309">
        <v>0</v>
      </c>
      <c r="F273" s="309">
        <v>0</v>
      </c>
      <c r="G273" s="309">
        <v>0</v>
      </c>
      <c r="H273" s="309">
        <v>0</v>
      </c>
      <c r="I273" s="309">
        <v>1.7423636556880332E-6</v>
      </c>
      <c r="J273" s="310">
        <v>3.114441556491999E-7</v>
      </c>
      <c r="K273" s="310">
        <v>0</v>
      </c>
      <c r="L273" s="309">
        <v>0</v>
      </c>
      <c r="M273" s="309">
        <v>1.2913542240435808E-4</v>
      </c>
      <c r="N273" s="309">
        <v>0</v>
      </c>
      <c r="O273" s="310">
        <v>2.8238739366894437E-5</v>
      </c>
      <c r="P273" s="310">
        <v>0</v>
      </c>
      <c r="Q273" s="309">
        <v>0</v>
      </c>
      <c r="R273" s="310">
        <v>0</v>
      </c>
      <c r="S273" s="310">
        <v>1.3488509311636135E-5</v>
      </c>
      <c r="T273" s="310"/>
      <c r="U273" s="310"/>
      <c r="V273" s="316"/>
    </row>
    <row r="274" spans="1:22">
      <c r="A274" s="311"/>
      <c r="B274" s="312" t="s">
        <v>785</v>
      </c>
      <c r="C274" s="313">
        <v>0</v>
      </c>
      <c r="D274" s="314">
        <v>0</v>
      </c>
      <c r="E274" s="314">
        <v>0</v>
      </c>
      <c r="F274" s="314">
        <v>0</v>
      </c>
      <c r="G274" s="314">
        <v>0</v>
      </c>
      <c r="H274" s="314">
        <v>0</v>
      </c>
      <c r="I274" s="314">
        <v>0</v>
      </c>
      <c r="J274" s="315">
        <v>0</v>
      </c>
      <c r="K274" s="315">
        <v>0</v>
      </c>
      <c r="L274" s="314">
        <v>0</v>
      </c>
      <c r="M274" s="314">
        <v>0</v>
      </c>
      <c r="N274" s="314">
        <v>0</v>
      </c>
      <c r="O274" s="315">
        <v>0</v>
      </c>
      <c r="P274" s="315">
        <v>0</v>
      </c>
      <c r="Q274" s="314">
        <v>0</v>
      </c>
      <c r="R274" s="315">
        <v>0</v>
      </c>
      <c r="S274" s="315">
        <v>0</v>
      </c>
      <c r="T274" s="315"/>
      <c r="U274" s="315"/>
      <c r="V274" s="316"/>
    </row>
    <row r="275" spans="1:22" s="338" customFormat="1" ht="15.75" thickBot="1">
      <c r="A275" s="311"/>
      <c r="B275" s="325" t="s">
        <v>786</v>
      </c>
      <c r="C275" s="326">
        <v>0</v>
      </c>
      <c r="D275" s="327">
        <v>0</v>
      </c>
      <c r="E275" s="327">
        <v>0</v>
      </c>
      <c r="F275" s="327">
        <v>0</v>
      </c>
      <c r="G275" s="327">
        <v>0</v>
      </c>
      <c r="H275" s="327">
        <v>0</v>
      </c>
      <c r="I275" s="327">
        <v>-1.7423636556880331E-4</v>
      </c>
      <c r="J275" s="328">
        <v>-3.1144415564919992E-5</v>
      </c>
      <c r="K275" s="328">
        <v>0</v>
      </c>
      <c r="L275" s="327">
        <v>0</v>
      </c>
      <c r="M275" s="327">
        <v>-1.2913542240435807E-2</v>
      </c>
      <c r="N275" s="327">
        <v>0</v>
      </c>
      <c r="O275" s="328">
        <v>-2.8238739366894436E-3</v>
      </c>
      <c r="P275" s="328">
        <v>0</v>
      </c>
      <c r="Q275" s="327">
        <v>0</v>
      </c>
      <c r="R275" s="328">
        <v>0</v>
      </c>
      <c r="S275" s="328">
        <v>-1.3488509311636134E-3</v>
      </c>
      <c r="T275" s="328"/>
      <c r="U275" s="328"/>
      <c r="V275" s="316"/>
    </row>
    <row r="276" spans="1:22" ht="15.75" thickTop="1">
      <c r="A276" s="311"/>
      <c r="B276" s="312" t="s">
        <v>787</v>
      </c>
      <c r="C276" s="313">
        <v>0.75759194655063655</v>
      </c>
      <c r="D276" s="314">
        <v>0.79386298847318382</v>
      </c>
      <c r="E276" s="314">
        <v>0.59859942615377137</v>
      </c>
      <c r="F276" s="314">
        <v>0.73872911041218625</v>
      </c>
      <c r="G276" s="314">
        <v>0.83377825235807079</v>
      </c>
      <c r="H276" s="314">
        <v>1</v>
      </c>
      <c r="I276" s="314">
        <v>0.11763411164501944</v>
      </c>
      <c r="J276" s="315">
        <v>0.51514457853388762</v>
      </c>
      <c r="K276" s="315">
        <v>0</v>
      </c>
      <c r="L276" s="314">
        <v>0</v>
      </c>
      <c r="M276" s="314">
        <v>0</v>
      </c>
      <c r="N276" s="314">
        <v>0</v>
      </c>
      <c r="O276" s="315">
        <v>0</v>
      </c>
      <c r="P276" s="315">
        <v>0</v>
      </c>
      <c r="Q276" s="314">
        <v>0</v>
      </c>
      <c r="R276" s="315">
        <v>0</v>
      </c>
      <c r="S276" s="315">
        <v>0.51514457853388762</v>
      </c>
      <c r="T276" s="315"/>
      <c r="U276" s="315"/>
      <c r="V276" s="316"/>
    </row>
    <row r="277" spans="1:22">
      <c r="A277" s="311"/>
      <c r="B277" s="312" t="s">
        <v>788</v>
      </c>
      <c r="C277" s="313">
        <v>0.75281981571727885</v>
      </c>
      <c r="D277" s="314">
        <v>0.76745373955741569</v>
      </c>
      <c r="E277" s="314">
        <v>0.61355674854942788</v>
      </c>
      <c r="F277" s="314">
        <v>0.72436778299808491</v>
      </c>
      <c r="G277" s="314">
        <v>0.83770161290322576</v>
      </c>
      <c r="H277" s="314">
        <v>1</v>
      </c>
      <c r="I277" s="314">
        <v>0.1109591588649394</v>
      </c>
      <c r="J277" s="315">
        <v>0.50643810111091792</v>
      </c>
      <c r="K277" s="315">
        <v>0</v>
      </c>
      <c r="L277" s="314">
        <v>0</v>
      </c>
      <c r="M277" s="314">
        <v>0</v>
      </c>
      <c r="N277" s="314">
        <v>0</v>
      </c>
      <c r="O277" s="315">
        <v>0</v>
      </c>
      <c r="P277" s="315">
        <v>0</v>
      </c>
      <c r="Q277" s="314">
        <v>0</v>
      </c>
      <c r="R277" s="315">
        <v>0</v>
      </c>
      <c r="S277" s="315">
        <v>0.50643810111091792</v>
      </c>
      <c r="T277" s="315"/>
      <c r="U277" s="315"/>
      <c r="V277" s="316"/>
    </row>
    <row r="278" spans="1:22" s="338" customFormat="1">
      <c r="A278" s="311"/>
      <c r="B278" s="317" t="s">
        <v>789</v>
      </c>
      <c r="C278" s="318">
        <v>-0.47721308333577017</v>
      </c>
      <c r="D278" s="319">
        <v>-2.6409248915768124</v>
      </c>
      <c r="E278" s="319">
        <v>1.4957322395656503</v>
      </c>
      <c r="F278" s="319">
        <v>-1.4361327414101344</v>
      </c>
      <c r="G278" s="319">
        <v>0.39233605451549636</v>
      </c>
      <c r="H278" s="319">
        <v>0</v>
      </c>
      <c r="I278" s="319">
        <v>-0.66749527800800401</v>
      </c>
      <c r="J278" s="320">
        <v>-0.87064774229697051</v>
      </c>
      <c r="K278" s="320">
        <v>0</v>
      </c>
      <c r="L278" s="319">
        <v>0</v>
      </c>
      <c r="M278" s="319">
        <v>0</v>
      </c>
      <c r="N278" s="319">
        <v>0</v>
      </c>
      <c r="O278" s="320">
        <v>0</v>
      </c>
      <c r="P278" s="320">
        <v>0</v>
      </c>
      <c r="Q278" s="319">
        <v>0</v>
      </c>
      <c r="R278" s="320">
        <v>0</v>
      </c>
      <c r="S278" s="320">
        <v>-0.87064774229697051</v>
      </c>
      <c r="T278" s="320"/>
      <c r="U278" s="320"/>
      <c r="V278" s="316"/>
    </row>
    <row r="279" spans="1:22">
      <c r="A279" s="311"/>
      <c r="B279" s="291" t="s">
        <v>790</v>
      </c>
      <c r="C279" s="308">
        <v>0.1903039353252404</v>
      </c>
      <c r="D279" s="309">
        <v>4.7488358092674897E-2</v>
      </c>
      <c r="E279" s="309">
        <v>0.18801731264893254</v>
      </c>
      <c r="F279" s="309">
        <v>3.3227040538123635E-2</v>
      </c>
      <c r="G279" s="309">
        <v>7.7059975084534618E-2</v>
      </c>
      <c r="H279" s="309">
        <v>0</v>
      </c>
      <c r="I279" s="309">
        <v>3.9463136384488139E-2</v>
      </c>
      <c r="J279" s="310">
        <v>9.1016469749965453E-2</v>
      </c>
      <c r="K279" s="310">
        <v>0</v>
      </c>
      <c r="L279" s="309">
        <v>0</v>
      </c>
      <c r="M279" s="309">
        <v>0</v>
      </c>
      <c r="N279" s="309">
        <v>0</v>
      </c>
      <c r="O279" s="310">
        <v>0</v>
      </c>
      <c r="P279" s="310">
        <v>0</v>
      </c>
      <c r="Q279" s="309">
        <v>0</v>
      </c>
      <c r="R279" s="310">
        <v>0</v>
      </c>
      <c r="S279" s="310">
        <v>9.1016469749965453E-2</v>
      </c>
      <c r="T279" s="310"/>
      <c r="U279" s="310"/>
      <c r="V279" s="316"/>
    </row>
    <row r="280" spans="1:22">
      <c r="A280" s="311"/>
      <c r="B280" s="312" t="s">
        <v>791</v>
      </c>
      <c r="C280" s="313">
        <v>0.18458499682832849</v>
      </c>
      <c r="D280" s="314">
        <v>5.0173837103923279E-2</v>
      </c>
      <c r="E280" s="314">
        <v>0.13171736890624153</v>
      </c>
      <c r="F280" s="314">
        <v>3.2634917311207372E-2</v>
      </c>
      <c r="G280" s="314">
        <v>6.1491935483870969E-2</v>
      </c>
      <c r="H280" s="314">
        <v>0</v>
      </c>
      <c r="I280" s="314">
        <v>3.408946585383555E-2</v>
      </c>
      <c r="J280" s="315">
        <v>8.2102753615894697E-2</v>
      </c>
      <c r="K280" s="315">
        <v>0</v>
      </c>
      <c r="L280" s="314">
        <v>0</v>
      </c>
      <c r="M280" s="314">
        <v>0</v>
      </c>
      <c r="N280" s="314">
        <v>0</v>
      </c>
      <c r="O280" s="315">
        <v>0</v>
      </c>
      <c r="P280" s="315">
        <v>0</v>
      </c>
      <c r="Q280" s="314">
        <v>0</v>
      </c>
      <c r="R280" s="315">
        <v>0</v>
      </c>
      <c r="S280" s="315">
        <v>8.2102753615894697E-2</v>
      </c>
      <c r="T280" s="315"/>
      <c r="U280" s="315"/>
      <c r="V280" s="316"/>
    </row>
    <row r="281" spans="1:22" s="338" customFormat="1">
      <c r="A281" s="311"/>
      <c r="B281" s="317" t="s">
        <v>792</v>
      </c>
      <c r="C281" s="318">
        <v>-0.57189384969119073</v>
      </c>
      <c r="D281" s="319">
        <v>0.26854790112483817</v>
      </c>
      <c r="E281" s="319">
        <v>-5.629994374269101</v>
      </c>
      <c r="F281" s="319">
        <v>-5.9212322691626351E-2</v>
      </c>
      <c r="G281" s="319">
        <v>-1.556803960066365</v>
      </c>
      <c r="H281" s="319">
        <v>0</v>
      </c>
      <c r="I281" s="319">
        <v>-0.53736705306525878</v>
      </c>
      <c r="J281" s="320">
        <v>-0.89137161340707571</v>
      </c>
      <c r="K281" s="320">
        <v>0</v>
      </c>
      <c r="L281" s="319">
        <v>0</v>
      </c>
      <c r="M281" s="319">
        <v>0</v>
      </c>
      <c r="N281" s="319">
        <v>0</v>
      </c>
      <c r="O281" s="320">
        <v>0</v>
      </c>
      <c r="P281" s="320">
        <v>0</v>
      </c>
      <c r="Q281" s="319">
        <v>0</v>
      </c>
      <c r="R281" s="320">
        <v>0</v>
      </c>
      <c r="S281" s="320">
        <v>-0.89137161340707571</v>
      </c>
      <c r="T281" s="320"/>
      <c r="U281" s="320"/>
      <c r="V281" s="316"/>
    </row>
    <row r="282" spans="1:22">
      <c r="A282" s="311"/>
      <c r="B282" s="291" t="s">
        <v>793</v>
      </c>
      <c r="C282" s="308">
        <v>4.6497856618735602E-2</v>
      </c>
      <c r="D282" s="309">
        <v>0.15864865343414133</v>
      </c>
      <c r="E282" s="309">
        <v>0.20457131741477411</v>
      </c>
      <c r="F282" s="309">
        <v>0.21083924777853874</v>
      </c>
      <c r="G282" s="309">
        <v>8.9161772557394547E-2</v>
      </c>
      <c r="H282" s="309">
        <v>0</v>
      </c>
      <c r="I282" s="309">
        <v>0.84191576810976376</v>
      </c>
      <c r="J282" s="310">
        <v>0.38799720981492547</v>
      </c>
      <c r="K282" s="310">
        <v>0</v>
      </c>
      <c r="L282" s="309">
        <v>0</v>
      </c>
      <c r="M282" s="309">
        <v>0</v>
      </c>
      <c r="N282" s="309">
        <v>0</v>
      </c>
      <c r="O282" s="310">
        <v>0</v>
      </c>
      <c r="P282" s="310">
        <v>0</v>
      </c>
      <c r="Q282" s="309">
        <v>0</v>
      </c>
      <c r="R282" s="310">
        <v>0</v>
      </c>
      <c r="S282" s="310">
        <v>0.38799720981492547</v>
      </c>
      <c r="T282" s="310"/>
      <c r="U282" s="310"/>
      <c r="V282" s="316"/>
    </row>
    <row r="283" spans="1:22">
      <c r="A283" s="311"/>
      <c r="B283" s="312" t="s">
        <v>794</v>
      </c>
      <c r="C283" s="313">
        <v>5.7807039809002446E-2</v>
      </c>
      <c r="D283" s="314">
        <v>0.18237242333866105</v>
      </c>
      <c r="E283" s="314">
        <v>0.25401008622092075</v>
      </c>
      <c r="F283" s="314">
        <v>0.23250142867737192</v>
      </c>
      <c r="G283" s="314">
        <v>0.10080645161290322</v>
      </c>
      <c r="H283" s="314">
        <v>0</v>
      </c>
      <c r="I283" s="314">
        <v>0.85393080049350456</v>
      </c>
      <c r="J283" s="315">
        <v>0.40780786282492854</v>
      </c>
      <c r="K283" s="315">
        <v>0</v>
      </c>
      <c r="L283" s="314">
        <v>0</v>
      </c>
      <c r="M283" s="314">
        <v>0</v>
      </c>
      <c r="N283" s="314">
        <v>0</v>
      </c>
      <c r="O283" s="315">
        <v>0</v>
      </c>
      <c r="P283" s="315">
        <v>0</v>
      </c>
      <c r="Q283" s="314">
        <v>0</v>
      </c>
      <c r="R283" s="315">
        <v>0</v>
      </c>
      <c r="S283" s="315">
        <v>0.40780786282492854</v>
      </c>
      <c r="T283" s="315"/>
      <c r="U283" s="315"/>
      <c r="V283" s="316"/>
    </row>
    <row r="284" spans="1:22" s="338" customFormat="1">
      <c r="A284" s="311"/>
      <c r="B284" s="317" t="s">
        <v>795</v>
      </c>
      <c r="C284" s="318">
        <v>1.1309183190266845</v>
      </c>
      <c r="D284" s="319">
        <v>2.3723769904519716</v>
      </c>
      <c r="E284" s="321">
        <v>4.9438768806146642</v>
      </c>
      <c r="F284" s="319">
        <v>2.1662180898833179</v>
      </c>
      <c r="G284" s="319">
        <v>1.1644679055508673</v>
      </c>
      <c r="H284" s="319">
        <v>0</v>
      </c>
      <c r="I284" s="319">
        <v>1.2015032383740798</v>
      </c>
      <c r="J284" s="320">
        <v>1.9810653010003065</v>
      </c>
      <c r="K284" s="320">
        <v>0</v>
      </c>
      <c r="L284" s="319">
        <v>0</v>
      </c>
      <c r="M284" s="319">
        <v>0</v>
      </c>
      <c r="N284" s="319">
        <v>0</v>
      </c>
      <c r="O284" s="320">
        <v>0</v>
      </c>
      <c r="P284" s="320">
        <v>0</v>
      </c>
      <c r="Q284" s="319">
        <v>0</v>
      </c>
      <c r="R284" s="320">
        <v>0</v>
      </c>
      <c r="S284" s="320">
        <v>1.9810653010003065</v>
      </c>
      <c r="T284" s="320"/>
      <c r="U284" s="320"/>
      <c r="V284" s="316"/>
    </row>
    <row r="285" spans="1:22">
      <c r="A285" s="311"/>
      <c r="B285" s="291" t="s">
        <v>796</v>
      </c>
      <c r="C285" s="308">
        <v>5.6062615053874181E-3</v>
      </c>
      <c r="D285" s="309">
        <v>0</v>
      </c>
      <c r="E285" s="309">
        <v>8.8119437825220047E-3</v>
      </c>
      <c r="F285" s="309">
        <v>1.720460127115132E-2</v>
      </c>
      <c r="G285" s="309">
        <v>0</v>
      </c>
      <c r="H285" s="309">
        <v>0</v>
      </c>
      <c r="I285" s="309">
        <v>9.8698386072869999E-4</v>
      </c>
      <c r="J285" s="310">
        <v>5.8417419012214552E-3</v>
      </c>
      <c r="K285" s="310">
        <v>0</v>
      </c>
      <c r="L285" s="309">
        <v>0</v>
      </c>
      <c r="M285" s="309">
        <v>0</v>
      </c>
      <c r="N285" s="309">
        <v>0</v>
      </c>
      <c r="O285" s="310">
        <v>0</v>
      </c>
      <c r="P285" s="310">
        <v>0</v>
      </c>
      <c r="Q285" s="309">
        <v>0</v>
      </c>
      <c r="R285" s="310">
        <v>0</v>
      </c>
      <c r="S285" s="310">
        <v>5.8417419012214552E-3</v>
      </c>
      <c r="T285" s="310"/>
      <c r="U285" s="310"/>
      <c r="V285" s="316"/>
    </row>
    <row r="286" spans="1:22">
      <c r="A286" s="311"/>
      <c r="B286" s="312" t="s">
        <v>797</v>
      </c>
      <c r="C286" s="313">
        <v>4.7881476453902937E-3</v>
      </c>
      <c r="D286" s="314">
        <v>0</v>
      </c>
      <c r="E286" s="314">
        <v>7.157963234097934E-4</v>
      </c>
      <c r="F286" s="314">
        <v>1.0495871013335776E-2</v>
      </c>
      <c r="G286" s="314">
        <v>0</v>
      </c>
      <c r="H286" s="314">
        <v>0</v>
      </c>
      <c r="I286" s="314">
        <v>1.0205747877204442E-3</v>
      </c>
      <c r="J286" s="315">
        <v>3.6512824482588966E-3</v>
      </c>
      <c r="K286" s="315">
        <v>0</v>
      </c>
      <c r="L286" s="314">
        <v>0</v>
      </c>
      <c r="M286" s="314">
        <v>0</v>
      </c>
      <c r="N286" s="314">
        <v>0</v>
      </c>
      <c r="O286" s="315">
        <v>0</v>
      </c>
      <c r="P286" s="315">
        <v>0</v>
      </c>
      <c r="Q286" s="314">
        <v>0</v>
      </c>
      <c r="R286" s="315">
        <v>0</v>
      </c>
      <c r="S286" s="315">
        <v>3.6512824482588966E-3</v>
      </c>
      <c r="T286" s="315"/>
      <c r="U286" s="315"/>
      <c r="V286" s="316"/>
    </row>
    <row r="287" spans="1:22" s="338" customFormat="1">
      <c r="A287" s="311"/>
      <c r="B287" s="317" t="s">
        <v>798</v>
      </c>
      <c r="C287" s="318">
        <v>-8.1811385999712438E-2</v>
      </c>
      <c r="D287" s="319">
        <v>0</v>
      </c>
      <c r="E287" s="319">
        <v>-0.80961474591122118</v>
      </c>
      <c r="F287" s="319">
        <v>-0.6708730257815545</v>
      </c>
      <c r="G287" s="319">
        <v>0</v>
      </c>
      <c r="H287" s="319">
        <v>0</v>
      </c>
      <c r="I287" s="319">
        <v>3.3590926991744225E-3</v>
      </c>
      <c r="J287" s="320">
        <v>-0.21904594529625587</v>
      </c>
      <c r="K287" s="320">
        <v>0</v>
      </c>
      <c r="L287" s="319">
        <v>0</v>
      </c>
      <c r="M287" s="319">
        <v>0</v>
      </c>
      <c r="N287" s="319">
        <v>0</v>
      </c>
      <c r="O287" s="320">
        <v>0</v>
      </c>
      <c r="P287" s="320">
        <v>0</v>
      </c>
      <c r="Q287" s="319">
        <v>0</v>
      </c>
      <c r="R287" s="320">
        <v>0</v>
      </c>
      <c r="S287" s="320">
        <v>-0.21904594529625587</v>
      </c>
      <c r="T287" s="320"/>
      <c r="U287" s="320"/>
      <c r="V287" s="316"/>
    </row>
    <row r="288" spans="1:22">
      <c r="A288" s="311"/>
      <c r="B288" s="291" t="s">
        <v>799</v>
      </c>
      <c r="C288" s="308">
        <v>0</v>
      </c>
      <c r="D288" s="309">
        <v>0</v>
      </c>
      <c r="E288" s="309">
        <v>0</v>
      </c>
      <c r="F288" s="309">
        <v>0</v>
      </c>
      <c r="G288" s="309">
        <v>0</v>
      </c>
      <c r="H288" s="309">
        <v>0</v>
      </c>
      <c r="I288" s="309">
        <v>0</v>
      </c>
      <c r="J288" s="310">
        <v>0</v>
      </c>
      <c r="K288" s="310">
        <v>0</v>
      </c>
      <c r="L288" s="309">
        <v>0</v>
      </c>
      <c r="M288" s="309">
        <v>0</v>
      </c>
      <c r="N288" s="309">
        <v>0</v>
      </c>
      <c r="O288" s="310">
        <v>0</v>
      </c>
      <c r="P288" s="310">
        <v>0</v>
      </c>
      <c r="Q288" s="309">
        <v>0</v>
      </c>
      <c r="R288" s="310">
        <v>0</v>
      </c>
      <c r="S288" s="310">
        <v>0</v>
      </c>
      <c r="T288" s="310"/>
      <c r="U288" s="310"/>
      <c r="V288" s="316"/>
    </row>
    <row r="289" spans="1:22">
      <c r="A289" s="311"/>
      <c r="B289" s="312" t="s">
        <v>800</v>
      </c>
      <c r="C289" s="313">
        <v>0</v>
      </c>
      <c r="D289" s="314">
        <v>0</v>
      </c>
      <c r="E289" s="314">
        <v>0</v>
      </c>
      <c r="F289" s="314">
        <v>0</v>
      </c>
      <c r="G289" s="314">
        <v>0</v>
      </c>
      <c r="H289" s="314">
        <v>0</v>
      </c>
      <c r="I289" s="314">
        <v>0</v>
      </c>
      <c r="J289" s="315">
        <v>0</v>
      </c>
      <c r="K289" s="315">
        <v>0</v>
      </c>
      <c r="L289" s="314">
        <v>0</v>
      </c>
      <c r="M289" s="314">
        <v>0</v>
      </c>
      <c r="N289" s="314">
        <v>0</v>
      </c>
      <c r="O289" s="315">
        <v>0</v>
      </c>
      <c r="P289" s="315">
        <v>0</v>
      </c>
      <c r="Q289" s="314">
        <v>0</v>
      </c>
      <c r="R289" s="315">
        <v>0</v>
      </c>
      <c r="S289" s="315">
        <v>0</v>
      </c>
      <c r="T289" s="315"/>
      <c r="U289" s="315"/>
      <c r="V289" s="316"/>
    </row>
    <row r="290" spans="1:22" s="338" customFormat="1">
      <c r="A290" s="311"/>
      <c r="B290" s="317" t="s">
        <v>801</v>
      </c>
      <c r="C290" s="318">
        <v>0</v>
      </c>
      <c r="D290" s="319">
        <v>0</v>
      </c>
      <c r="E290" s="319">
        <v>0</v>
      </c>
      <c r="F290" s="319">
        <v>0</v>
      </c>
      <c r="G290" s="319">
        <v>0</v>
      </c>
      <c r="H290" s="319">
        <v>0</v>
      </c>
      <c r="I290" s="319">
        <v>0</v>
      </c>
      <c r="J290" s="320">
        <v>0</v>
      </c>
      <c r="K290" s="320">
        <v>0</v>
      </c>
      <c r="L290" s="319">
        <v>0</v>
      </c>
      <c r="M290" s="319">
        <v>0</v>
      </c>
      <c r="N290" s="319">
        <v>0</v>
      </c>
      <c r="O290" s="320">
        <v>0</v>
      </c>
      <c r="P290" s="320">
        <v>0</v>
      </c>
      <c r="Q290" s="319">
        <v>0</v>
      </c>
      <c r="R290" s="320">
        <v>0</v>
      </c>
      <c r="S290" s="320">
        <v>0</v>
      </c>
      <c r="T290" s="320"/>
      <c r="U290" s="320"/>
      <c r="V290" s="316"/>
    </row>
    <row r="291" spans="1:22">
      <c r="A291" s="311"/>
      <c r="B291" s="291" t="s">
        <v>802</v>
      </c>
      <c r="C291" s="308">
        <v>0</v>
      </c>
      <c r="D291" s="309">
        <v>0</v>
      </c>
      <c r="E291" s="309">
        <v>0</v>
      </c>
      <c r="F291" s="309">
        <v>0</v>
      </c>
      <c r="G291" s="309">
        <v>0</v>
      </c>
      <c r="H291" s="309">
        <v>0</v>
      </c>
      <c r="I291" s="309">
        <v>0</v>
      </c>
      <c r="J291" s="310">
        <v>0</v>
      </c>
      <c r="K291" s="310">
        <v>0</v>
      </c>
      <c r="L291" s="309">
        <v>0</v>
      </c>
      <c r="M291" s="309">
        <v>0</v>
      </c>
      <c r="N291" s="309">
        <v>0</v>
      </c>
      <c r="O291" s="310">
        <v>0</v>
      </c>
      <c r="P291" s="310">
        <v>0</v>
      </c>
      <c r="Q291" s="309">
        <v>0</v>
      </c>
      <c r="R291" s="310">
        <v>0</v>
      </c>
      <c r="S291" s="310">
        <v>0</v>
      </c>
      <c r="T291" s="310"/>
      <c r="U291" s="310"/>
      <c r="V291" s="316"/>
    </row>
    <row r="292" spans="1:22">
      <c r="A292" s="311"/>
      <c r="B292" s="312" t="s">
        <v>803</v>
      </c>
      <c r="C292" s="313">
        <v>0</v>
      </c>
      <c r="D292" s="314">
        <v>0</v>
      </c>
      <c r="E292" s="314">
        <v>0</v>
      </c>
      <c r="F292" s="314">
        <v>0</v>
      </c>
      <c r="G292" s="314">
        <v>0</v>
      </c>
      <c r="H292" s="314">
        <v>0</v>
      </c>
      <c r="I292" s="314">
        <v>0</v>
      </c>
      <c r="J292" s="315">
        <v>0</v>
      </c>
      <c r="K292" s="315">
        <v>0</v>
      </c>
      <c r="L292" s="314">
        <v>0</v>
      </c>
      <c r="M292" s="314">
        <v>0</v>
      </c>
      <c r="N292" s="314">
        <v>0</v>
      </c>
      <c r="O292" s="315">
        <v>0</v>
      </c>
      <c r="P292" s="315">
        <v>0</v>
      </c>
      <c r="Q292" s="314">
        <v>0</v>
      </c>
      <c r="R292" s="315">
        <v>0</v>
      </c>
      <c r="S292" s="315">
        <v>0</v>
      </c>
      <c r="T292" s="315"/>
      <c r="U292" s="315"/>
      <c r="V292" s="316"/>
    </row>
    <row r="293" spans="1:22" s="338" customFormat="1" ht="15.75" thickBot="1">
      <c r="A293" s="329"/>
      <c r="B293" s="330" t="s">
        <v>804</v>
      </c>
      <c r="C293" s="331">
        <v>0</v>
      </c>
      <c r="D293" s="332">
        <v>0</v>
      </c>
      <c r="E293" s="332">
        <v>0</v>
      </c>
      <c r="F293" s="332">
        <v>0</v>
      </c>
      <c r="G293" s="332">
        <v>0</v>
      </c>
      <c r="H293" s="332">
        <v>0</v>
      </c>
      <c r="I293" s="332">
        <v>0</v>
      </c>
      <c r="J293" s="333">
        <v>0</v>
      </c>
      <c r="K293" s="333">
        <v>0</v>
      </c>
      <c r="L293" s="332">
        <v>0</v>
      </c>
      <c r="M293" s="332">
        <v>0</v>
      </c>
      <c r="N293" s="332">
        <v>0</v>
      </c>
      <c r="O293" s="333">
        <v>0</v>
      </c>
      <c r="P293" s="333">
        <v>0</v>
      </c>
      <c r="Q293" s="332">
        <v>0</v>
      </c>
      <c r="R293" s="333">
        <v>0</v>
      </c>
      <c r="S293" s="333">
        <v>0</v>
      </c>
      <c r="T293" s="333"/>
      <c r="U293" s="333"/>
      <c r="V293" s="316"/>
    </row>
    <row r="294" spans="1:22">
      <c r="A294" s="307" t="s">
        <v>313</v>
      </c>
      <c r="B294" s="291" t="s">
        <v>769</v>
      </c>
      <c r="C294" s="308">
        <v>0.83728080079205758</v>
      </c>
      <c r="D294" s="309">
        <v>0.8384471769400702</v>
      </c>
      <c r="E294" s="309">
        <v>0</v>
      </c>
      <c r="F294" s="309">
        <v>0.79146258851509077</v>
      </c>
      <c r="G294" s="309">
        <v>0.49803672479501099</v>
      </c>
      <c r="H294" s="309">
        <v>0</v>
      </c>
      <c r="I294" s="309">
        <v>0</v>
      </c>
      <c r="J294" s="310">
        <v>0.81902114174161911</v>
      </c>
      <c r="K294" s="310">
        <v>0</v>
      </c>
      <c r="L294" s="309">
        <v>0.76674710918959355</v>
      </c>
      <c r="M294" s="309">
        <v>0.77662650289991619</v>
      </c>
      <c r="N294" s="309">
        <v>0.83504403559736251</v>
      </c>
      <c r="O294" s="310">
        <v>0.77531162945708909</v>
      </c>
      <c r="P294" s="310">
        <v>0</v>
      </c>
      <c r="Q294" s="309">
        <v>0</v>
      </c>
      <c r="R294" s="310">
        <v>0</v>
      </c>
      <c r="S294" s="310">
        <v>0.79613736696341442</v>
      </c>
      <c r="T294" s="310"/>
      <c r="U294" s="310"/>
      <c r="V294" s="316"/>
    </row>
    <row r="295" spans="1:22">
      <c r="A295" s="311"/>
      <c r="B295" s="312" t="s">
        <v>770</v>
      </c>
      <c r="C295" s="313">
        <v>0.82767528046889161</v>
      </c>
      <c r="D295" s="314">
        <v>0.82948330002854698</v>
      </c>
      <c r="E295" s="314">
        <v>0</v>
      </c>
      <c r="F295" s="314">
        <v>0.80155847715636652</v>
      </c>
      <c r="G295" s="314">
        <v>0.49317447785832197</v>
      </c>
      <c r="H295" s="314">
        <v>0</v>
      </c>
      <c r="I295" s="314">
        <v>0</v>
      </c>
      <c r="J295" s="315">
        <v>0.81220169467667558</v>
      </c>
      <c r="K295" s="315">
        <v>0</v>
      </c>
      <c r="L295" s="314">
        <v>0.75510768439174158</v>
      </c>
      <c r="M295" s="314">
        <v>0.7523502662138345</v>
      </c>
      <c r="N295" s="314">
        <v>0.83076566125290019</v>
      </c>
      <c r="O295" s="315">
        <v>0.75803482532488764</v>
      </c>
      <c r="P295" s="315">
        <v>0</v>
      </c>
      <c r="Q295" s="314">
        <v>0</v>
      </c>
      <c r="R295" s="315">
        <v>0</v>
      </c>
      <c r="S295" s="315">
        <v>0.78404910807006212</v>
      </c>
      <c r="T295" s="315"/>
      <c r="U295" s="315"/>
      <c r="V295" s="316"/>
    </row>
    <row r="296" spans="1:22" s="338" customFormat="1">
      <c r="A296" s="311"/>
      <c r="B296" s="317" t="s">
        <v>771</v>
      </c>
      <c r="C296" s="318">
        <v>-0.96055203231659725</v>
      </c>
      <c r="D296" s="319">
        <v>-0.89638769115232275</v>
      </c>
      <c r="E296" s="319">
        <v>0</v>
      </c>
      <c r="F296" s="319">
        <v>1.0095888641275752</v>
      </c>
      <c r="G296" s="319">
        <v>-0.48622469366890186</v>
      </c>
      <c r="H296" s="319">
        <v>0</v>
      </c>
      <c r="I296" s="319">
        <v>0</v>
      </c>
      <c r="J296" s="320">
        <v>-0.6819447064943529</v>
      </c>
      <c r="K296" s="320">
        <v>0</v>
      </c>
      <c r="L296" s="319">
        <v>-1.163942479785196</v>
      </c>
      <c r="M296" s="319">
        <v>-2.4276236686081698</v>
      </c>
      <c r="N296" s="319">
        <v>-0.42783743444623212</v>
      </c>
      <c r="O296" s="320">
        <v>-1.7276804132201451</v>
      </c>
      <c r="P296" s="320">
        <v>0</v>
      </c>
      <c r="Q296" s="319">
        <v>0</v>
      </c>
      <c r="R296" s="320">
        <v>0</v>
      </c>
      <c r="S296" s="320">
        <v>-1.2088258893352299</v>
      </c>
      <c r="T296" s="320"/>
      <c r="U296" s="320"/>
      <c r="V296" s="316"/>
    </row>
    <row r="297" spans="1:22">
      <c r="A297" s="311"/>
      <c r="B297" s="291" t="s">
        <v>772</v>
      </c>
      <c r="C297" s="308">
        <v>6.4264108525785291E-2</v>
      </c>
      <c r="D297" s="309">
        <v>7.597176792598076E-2</v>
      </c>
      <c r="E297" s="309">
        <v>0</v>
      </c>
      <c r="F297" s="309">
        <v>3.4548298901998627E-2</v>
      </c>
      <c r="G297" s="309">
        <v>6.9292066058436312E-4</v>
      </c>
      <c r="H297" s="309">
        <v>0</v>
      </c>
      <c r="I297" s="309">
        <v>0</v>
      </c>
      <c r="J297" s="310">
        <v>6.2807105135511521E-2</v>
      </c>
      <c r="K297" s="310">
        <v>0</v>
      </c>
      <c r="L297" s="309">
        <v>0</v>
      </c>
      <c r="M297" s="309">
        <v>0</v>
      </c>
      <c r="N297" s="309">
        <v>0</v>
      </c>
      <c r="O297" s="310">
        <v>0</v>
      </c>
      <c r="P297" s="310">
        <v>0</v>
      </c>
      <c r="Q297" s="309">
        <v>0</v>
      </c>
      <c r="R297" s="310">
        <v>0</v>
      </c>
      <c r="S297" s="310">
        <v>2.9924934338543804E-2</v>
      </c>
      <c r="T297" s="310"/>
      <c r="U297" s="310"/>
      <c r="V297" s="316"/>
    </row>
    <row r="298" spans="1:22">
      <c r="A298" s="311"/>
      <c r="B298" s="312" t="s">
        <v>773</v>
      </c>
      <c r="C298" s="313">
        <v>5.7463393018993336E-2</v>
      </c>
      <c r="D298" s="314">
        <v>6.8899514701684275E-2</v>
      </c>
      <c r="E298" s="314">
        <v>0</v>
      </c>
      <c r="F298" s="314">
        <v>3.2045697056318587E-2</v>
      </c>
      <c r="G298" s="314">
        <v>3.2871599799038256E-3</v>
      </c>
      <c r="H298" s="314">
        <v>0</v>
      </c>
      <c r="I298" s="314">
        <v>0</v>
      </c>
      <c r="J298" s="315">
        <v>5.6923566565721721E-2</v>
      </c>
      <c r="K298" s="315">
        <v>0</v>
      </c>
      <c r="L298" s="314">
        <v>0</v>
      </c>
      <c r="M298" s="314">
        <v>0</v>
      </c>
      <c r="N298" s="314">
        <v>0</v>
      </c>
      <c r="O298" s="315">
        <v>0</v>
      </c>
      <c r="P298" s="315">
        <v>0</v>
      </c>
      <c r="Q298" s="314">
        <v>0</v>
      </c>
      <c r="R298" s="315">
        <v>0</v>
      </c>
      <c r="S298" s="315">
        <v>2.7338219343768708E-2</v>
      </c>
      <c r="T298" s="315"/>
      <c r="U298" s="315"/>
      <c r="V298" s="316"/>
    </row>
    <row r="299" spans="1:22" s="338" customFormat="1">
      <c r="A299" s="311"/>
      <c r="B299" s="317" t="s">
        <v>774</v>
      </c>
      <c r="C299" s="318">
        <v>-0.68007155067919545</v>
      </c>
      <c r="D299" s="319">
        <v>-0.70722532242964853</v>
      </c>
      <c r="E299" s="319">
        <v>0</v>
      </c>
      <c r="F299" s="319">
        <v>-0.25026018456800403</v>
      </c>
      <c r="G299" s="319">
        <v>0.25942393193194624</v>
      </c>
      <c r="H299" s="319">
        <v>0</v>
      </c>
      <c r="I299" s="319">
        <v>0</v>
      </c>
      <c r="J299" s="320">
        <v>-0.58835385697897991</v>
      </c>
      <c r="K299" s="320">
        <v>0</v>
      </c>
      <c r="L299" s="319">
        <v>0</v>
      </c>
      <c r="M299" s="319">
        <v>0</v>
      </c>
      <c r="N299" s="319">
        <v>0</v>
      </c>
      <c r="O299" s="320">
        <v>0</v>
      </c>
      <c r="P299" s="320">
        <v>0</v>
      </c>
      <c r="Q299" s="319">
        <v>0</v>
      </c>
      <c r="R299" s="320">
        <v>0</v>
      </c>
      <c r="S299" s="320">
        <v>-0.25867149947750961</v>
      </c>
      <c r="T299" s="320"/>
      <c r="U299" s="320"/>
      <c r="V299" s="316"/>
    </row>
    <row r="300" spans="1:22">
      <c r="A300" s="311"/>
      <c r="B300" s="291" t="s">
        <v>775</v>
      </c>
      <c r="C300" s="308">
        <v>9.0309949603102721E-2</v>
      </c>
      <c r="D300" s="309">
        <v>6.995047884216643E-2</v>
      </c>
      <c r="E300" s="309">
        <v>0</v>
      </c>
      <c r="F300" s="309">
        <v>0.16869648278920615</v>
      </c>
      <c r="G300" s="309">
        <v>0.50127035454440472</v>
      </c>
      <c r="H300" s="309">
        <v>0</v>
      </c>
      <c r="I300" s="309">
        <v>0</v>
      </c>
      <c r="J300" s="310">
        <v>0.10779393810500529</v>
      </c>
      <c r="K300" s="310">
        <v>0</v>
      </c>
      <c r="L300" s="309">
        <v>0.23325289081040648</v>
      </c>
      <c r="M300" s="309">
        <v>0.22337349710008383</v>
      </c>
      <c r="N300" s="309">
        <v>0.16495596440263752</v>
      </c>
      <c r="O300" s="310">
        <v>0.22468837054291085</v>
      </c>
      <c r="P300" s="310">
        <v>0</v>
      </c>
      <c r="Q300" s="309">
        <v>0</v>
      </c>
      <c r="R300" s="310">
        <v>0</v>
      </c>
      <c r="S300" s="310">
        <v>0.16899310791779354</v>
      </c>
      <c r="T300" s="310"/>
      <c r="U300" s="310"/>
      <c r="V300" s="316"/>
    </row>
    <row r="301" spans="1:22">
      <c r="A301" s="311"/>
      <c r="B301" s="312" t="s">
        <v>776</v>
      </c>
      <c r="C301" s="313">
        <v>0.10743796451086628</v>
      </c>
      <c r="D301" s="314">
        <v>8.5229803025977727E-2</v>
      </c>
      <c r="E301" s="314">
        <v>0</v>
      </c>
      <c r="F301" s="314">
        <v>0.160111012129103</v>
      </c>
      <c r="G301" s="314">
        <v>0.50353836216177417</v>
      </c>
      <c r="H301" s="314">
        <v>0</v>
      </c>
      <c r="I301" s="314">
        <v>0</v>
      </c>
      <c r="J301" s="315">
        <v>0.12032498356370527</v>
      </c>
      <c r="K301" s="315">
        <v>0</v>
      </c>
      <c r="L301" s="314">
        <v>0.24489231560825842</v>
      </c>
      <c r="M301" s="314">
        <v>0.24764973378616553</v>
      </c>
      <c r="N301" s="314">
        <v>0.16923433874709976</v>
      </c>
      <c r="O301" s="315">
        <v>0.24196517467511233</v>
      </c>
      <c r="P301" s="315">
        <v>0</v>
      </c>
      <c r="Q301" s="314">
        <v>0</v>
      </c>
      <c r="R301" s="315">
        <v>0</v>
      </c>
      <c r="S301" s="315">
        <v>0.1835460272771329</v>
      </c>
      <c r="T301" s="315"/>
      <c r="U301" s="315"/>
      <c r="V301" s="316"/>
    </row>
    <row r="302" spans="1:22" s="338" customFormat="1">
      <c r="A302" s="311"/>
      <c r="B302" s="317" t="s">
        <v>777</v>
      </c>
      <c r="C302" s="318">
        <v>1.7128014907763556</v>
      </c>
      <c r="D302" s="319">
        <v>1.5279324183811296</v>
      </c>
      <c r="E302" s="319">
        <v>0</v>
      </c>
      <c r="F302" s="319">
        <v>-0.85854706601031505</v>
      </c>
      <c r="G302" s="319">
        <v>0.22680076173694497</v>
      </c>
      <c r="H302" s="319">
        <v>0</v>
      </c>
      <c r="I302" s="319">
        <v>0</v>
      </c>
      <c r="J302" s="320">
        <v>1.2531045458699985</v>
      </c>
      <c r="K302" s="320">
        <v>0</v>
      </c>
      <c r="L302" s="319">
        <v>1.1639424797851934</v>
      </c>
      <c r="M302" s="319">
        <v>2.4276236686081698</v>
      </c>
      <c r="N302" s="319">
        <v>0.4278374344462238</v>
      </c>
      <c r="O302" s="320">
        <v>1.7276804132201478</v>
      </c>
      <c r="P302" s="320">
        <v>0</v>
      </c>
      <c r="Q302" s="319">
        <v>0</v>
      </c>
      <c r="R302" s="320">
        <v>0</v>
      </c>
      <c r="S302" s="320">
        <v>1.455291935933936</v>
      </c>
      <c r="T302" s="320"/>
      <c r="U302" s="320"/>
      <c r="V302" s="316"/>
    </row>
    <row r="303" spans="1:22">
      <c r="A303" s="311"/>
      <c r="B303" s="291" t="s">
        <v>778</v>
      </c>
      <c r="C303" s="308">
        <v>8.1451410790543948E-3</v>
      </c>
      <c r="D303" s="309">
        <v>1.4834226523166405E-2</v>
      </c>
      <c r="E303" s="309">
        <v>0</v>
      </c>
      <c r="F303" s="309">
        <v>0</v>
      </c>
      <c r="G303" s="309">
        <v>0</v>
      </c>
      <c r="H303" s="309">
        <v>0</v>
      </c>
      <c r="I303" s="309">
        <v>0</v>
      </c>
      <c r="J303" s="310">
        <v>9.4531943483272384E-3</v>
      </c>
      <c r="K303" s="310">
        <v>0</v>
      </c>
      <c r="L303" s="309">
        <v>0</v>
      </c>
      <c r="M303" s="309">
        <v>0</v>
      </c>
      <c r="N303" s="309">
        <v>0</v>
      </c>
      <c r="O303" s="310">
        <v>0</v>
      </c>
      <c r="P303" s="310">
        <v>0</v>
      </c>
      <c r="Q303" s="309">
        <v>0</v>
      </c>
      <c r="R303" s="310">
        <v>0</v>
      </c>
      <c r="S303" s="310">
        <v>4.5040480619642567E-3</v>
      </c>
      <c r="T303" s="310"/>
      <c r="U303" s="310"/>
      <c r="V303" s="316"/>
    </row>
    <row r="304" spans="1:22">
      <c r="A304" s="311"/>
      <c r="B304" s="312" t="s">
        <v>779</v>
      </c>
      <c r="C304" s="313">
        <v>7.423362001248766E-3</v>
      </c>
      <c r="D304" s="314">
        <v>1.5115615186982586E-2</v>
      </c>
      <c r="E304" s="314">
        <v>0</v>
      </c>
      <c r="F304" s="314">
        <v>0</v>
      </c>
      <c r="G304" s="314">
        <v>0</v>
      </c>
      <c r="H304" s="314">
        <v>0</v>
      </c>
      <c r="I304" s="314">
        <v>0</v>
      </c>
      <c r="J304" s="315">
        <v>9.3202129397592128E-3</v>
      </c>
      <c r="K304" s="315">
        <v>0</v>
      </c>
      <c r="L304" s="314">
        <v>0</v>
      </c>
      <c r="M304" s="314">
        <v>0</v>
      </c>
      <c r="N304" s="314">
        <v>0</v>
      </c>
      <c r="O304" s="315">
        <v>0</v>
      </c>
      <c r="P304" s="315">
        <v>0</v>
      </c>
      <c r="Q304" s="314">
        <v>0</v>
      </c>
      <c r="R304" s="315">
        <v>0</v>
      </c>
      <c r="S304" s="315">
        <v>4.4761430291545227E-3</v>
      </c>
      <c r="T304" s="315"/>
      <c r="U304" s="315"/>
      <c r="V304" s="316"/>
    </row>
    <row r="305" spans="1:22" s="338" customFormat="1">
      <c r="A305" s="311"/>
      <c r="B305" s="317" t="s">
        <v>780</v>
      </c>
      <c r="C305" s="318">
        <v>-7.2177907780562878E-2</v>
      </c>
      <c r="D305" s="319">
        <v>2.8138866381618131E-2</v>
      </c>
      <c r="E305" s="319">
        <v>0</v>
      </c>
      <c r="F305" s="319">
        <v>0</v>
      </c>
      <c r="G305" s="319">
        <v>0</v>
      </c>
      <c r="H305" s="319">
        <v>0</v>
      </c>
      <c r="I305" s="319">
        <v>0</v>
      </c>
      <c r="J305" s="320">
        <v>-1.3298140856802566E-2</v>
      </c>
      <c r="K305" s="320">
        <v>0</v>
      </c>
      <c r="L305" s="319">
        <v>0</v>
      </c>
      <c r="M305" s="319">
        <v>0</v>
      </c>
      <c r="N305" s="319">
        <v>0</v>
      </c>
      <c r="O305" s="320">
        <v>0</v>
      </c>
      <c r="P305" s="320">
        <v>0</v>
      </c>
      <c r="Q305" s="319">
        <v>0</v>
      </c>
      <c r="R305" s="320">
        <v>0</v>
      </c>
      <c r="S305" s="320">
        <v>-2.790503280973404E-3</v>
      </c>
      <c r="T305" s="320"/>
      <c r="U305" s="320"/>
      <c r="V305" s="316"/>
    </row>
    <row r="306" spans="1:22">
      <c r="A306" s="311"/>
      <c r="B306" s="291" t="s">
        <v>781</v>
      </c>
      <c r="C306" s="308">
        <v>0</v>
      </c>
      <c r="D306" s="309">
        <v>0</v>
      </c>
      <c r="E306" s="309">
        <v>0</v>
      </c>
      <c r="F306" s="309">
        <v>1.1696419433600889E-4</v>
      </c>
      <c r="G306" s="309">
        <v>0</v>
      </c>
      <c r="H306" s="309">
        <v>0</v>
      </c>
      <c r="I306" s="309">
        <v>0</v>
      </c>
      <c r="J306" s="310">
        <v>1.3647537557739035E-5</v>
      </c>
      <c r="K306" s="310">
        <v>0</v>
      </c>
      <c r="L306" s="309">
        <v>0</v>
      </c>
      <c r="M306" s="309">
        <v>0</v>
      </c>
      <c r="N306" s="309">
        <v>0</v>
      </c>
      <c r="O306" s="310">
        <v>0</v>
      </c>
      <c r="P306" s="310">
        <v>0</v>
      </c>
      <c r="Q306" s="309">
        <v>0</v>
      </c>
      <c r="R306" s="310">
        <v>0</v>
      </c>
      <c r="S306" s="310">
        <v>6.5024755466278971E-6</v>
      </c>
      <c r="T306" s="310"/>
      <c r="U306" s="310"/>
      <c r="V306" s="316"/>
    </row>
    <row r="307" spans="1:22">
      <c r="A307" s="311"/>
      <c r="B307" s="312" t="s">
        <v>782</v>
      </c>
      <c r="C307" s="313">
        <v>0</v>
      </c>
      <c r="D307" s="314">
        <v>0</v>
      </c>
      <c r="E307" s="314">
        <v>0</v>
      </c>
      <c r="F307" s="314">
        <v>5.8736576244970684E-4</v>
      </c>
      <c r="G307" s="314">
        <v>0</v>
      </c>
      <c r="H307" s="314">
        <v>0</v>
      </c>
      <c r="I307" s="314">
        <v>0</v>
      </c>
      <c r="J307" s="315">
        <v>6.7836814021417214E-5</v>
      </c>
      <c r="K307" s="315">
        <v>0</v>
      </c>
      <c r="L307" s="314">
        <v>0</v>
      </c>
      <c r="M307" s="314">
        <v>0</v>
      </c>
      <c r="N307" s="314">
        <v>0</v>
      </c>
      <c r="O307" s="315">
        <v>0</v>
      </c>
      <c r="P307" s="315">
        <v>0</v>
      </c>
      <c r="Q307" s="314">
        <v>0</v>
      </c>
      <c r="R307" s="315">
        <v>0</v>
      </c>
      <c r="S307" s="315">
        <v>3.2579436131409153E-5</v>
      </c>
      <c r="T307" s="315"/>
      <c r="U307" s="315"/>
      <c r="V307" s="316"/>
    </row>
    <row r="308" spans="1:22" s="338" customFormat="1">
      <c r="A308" s="311"/>
      <c r="B308" s="317" t="s">
        <v>783</v>
      </c>
      <c r="C308" s="318">
        <v>0</v>
      </c>
      <c r="D308" s="319">
        <v>0</v>
      </c>
      <c r="E308" s="319">
        <v>0</v>
      </c>
      <c r="F308" s="319">
        <v>4.7040156811369797E-2</v>
      </c>
      <c r="G308" s="319">
        <v>0</v>
      </c>
      <c r="H308" s="319">
        <v>0</v>
      </c>
      <c r="I308" s="319">
        <v>0</v>
      </c>
      <c r="J308" s="320">
        <v>5.4189276463678182E-3</v>
      </c>
      <c r="K308" s="320">
        <v>0</v>
      </c>
      <c r="L308" s="319">
        <v>0</v>
      </c>
      <c r="M308" s="319">
        <v>0</v>
      </c>
      <c r="N308" s="319">
        <v>0</v>
      </c>
      <c r="O308" s="320">
        <v>0</v>
      </c>
      <c r="P308" s="320">
        <v>0</v>
      </c>
      <c r="Q308" s="319">
        <v>0</v>
      </c>
      <c r="R308" s="320">
        <v>0</v>
      </c>
      <c r="S308" s="320">
        <v>2.6076960584781256E-3</v>
      </c>
      <c r="T308" s="320"/>
      <c r="U308" s="320"/>
      <c r="V308" s="316"/>
    </row>
    <row r="309" spans="1:22">
      <c r="A309" s="311"/>
      <c r="B309" s="291" t="s">
        <v>784</v>
      </c>
      <c r="C309" s="308">
        <v>0</v>
      </c>
      <c r="D309" s="309">
        <v>7.9634976861615056E-4</v>
      </c>
      <c r="E309" s="309">
        <v>0</v>
      </c>
      <c r="F309" s="309">
        <v>5.1756655993683938E-3</v>
      </c>
      <c r="G309" s="309">
        <v>0</v>
      </c>
      <c r="H309" s="309">
        <v>0</v>
      </c>
      <c r="I309" s="309">
        <v>0</v>
      </c>
      <c r="J309" s="310">
        <v>9.1097313197908059E-4</v>
      </c>
      <c r="K309" s="310">
        <v>0</v>
      </c>
      <c r="L309" s="309">
        <v>0</v>
      </c>
      <c r="M309" s="309">
        <v>0</v>
      </c>
      <c r="N309" s="309">
        <v>0</v>
      </c>
      <c r="O309" s="310">
        <v>0</v>
      </c>
      <c r="P309" s="310">
        <v>0</v>
      </c>
      <c r="Q309" s="309">
        <v>0</v>
      </c>
      <c r="R309" s="310">
        <v>0</v>
      </c>
      <c r="S309" s="310">
        <v>4.3404024273741216E-4</v>
      </c>
      <c r="T309" s="310"/>
      <c r="U309" s="310"/>
      <c r="V309" s="316"/>
    </row>
    <row r="310" spans="1:22">
      <c r="A310" s="311"/>
      <c r="B310" s="312" t="s">
        <v>785</v>
      </c>
      <c r="C310" s="313">
        <v>0</v>
      </c>
      <c r="D310" s="314">
        <v>1.2717670568084499E-3</v>
      </c>
      <c r="E310" s="314">
        <v>0</v>
      </c>
      <c r="F310" s="314">
        <v>5.6974478957621559E-3</v>
      </c>
      <c r="G310" s="314">
        <v>0</v>
      </c>
      <c r="H310" s="314">
        <v>0</v>
      </c>
      <c r="I310" s="314">
        <v>0</v>
      </c>
      <c r="J310" s="315">
        <v>1.1617054401167697E-3</v>
      </c>
      <c r="K310" s="315">
        <v>0</v>
      </c>
      <c r="L310" s="314">
        <v>0</v>
      </c>
      <c r="M310" s="314">
        <v>0</v>
      </c>
      <c r="N310" s="314">
        <v>0</v>
      </c>
      <c r="O310" s="315">
        <v>0</v>
      </c>
      <c r="P310" s="315">
        <v>0</v>
      </c>
      <c r="Q310" s="314">
        <v>0</v>
      </c>
      <c r="R310" s="315">
        <v>0</v>
      </c>
      <c r="S310" s="315">
        <v>5.5792284375038182E-4</v>
      </c>
      <c r="T310" s="315"/>
      <c r="U310" s="315"/>
      <c r="V310" s="316"/>
    </row>
    <row r="311" spans="1:22" s="338" customFormat="1" ht="15.75" thickBot="1">
      <c r="A311" s="311"/>
      <c r="B311" s="325" t="s">
        <v>786</v>
      </c>
      <c r="C311" s="326">
        <v>0</v>
      </c>
      <c r="D311" s="327">
        <v>4.7541728819229932E-2</v>
      </c>
      <c r="E311" s="327">
        <v>0</v>
      </c>
      <c r="F311" s="327">
        <v>5.2178229639376211E-2</v>
      </c>
      <c r="G311" s="327">
        <v>0</v>
      </c>
      <c r="H311" s="327">
        <v>0</v>
      </c>
      <c r="I311" s="327">
        <v>0</v>
      </c>
      <c r="J311" s="328">
        <v>2.5073230813768912E-2</v>
      </c>
      <c r="K311" s="328">
        <v>0</v>
      </c>
      <c r="L311" s="327">
        <v>0</v>
      </c>
      <c r="M311" s="327">
        <v>0</v>
      </c>
      <c r="N311" s="327">
        <v>0</v>
      </c>
      <c r="O311" s="328">
        <v>0</v>
      </c>
      <c r="P311" s="328">
        <v>0</v>
      </c>
      <c r="Q311" s="327">
        <v>0</v>
      </c>
      <c r="R311" s="328">
        <v>0</v>
      </c>
      <c r="S311" s="328">
        <v>1.2388260101296966E-2</v>
      </c>
      <c r="T311" s="328"/>
      <c r="U311" s="328"/>
      <c r="V311" s="316"/>
    </row>
    <row r="312" spans="1:22" ht="15.75" thickTop="1">
      <c r="A312" s="311"/>
      <c r="B312" s="312" t="s">
        <v>787</v>
      </c>
      <c r="C312" s="313">
        <v>0.65117194332691974</v>
      </c>
      <c r="D312" s="314">
        <v>0.72463168516649845</v>
      </c>
      <c r="E312" s="314">
        <v>0</v>
      </c>
      <c r="F312" s="314">
        <v>0.20310328855951829</v>
      </c>
      <c r="G312" s="314">
        <v>0.61152640462985286</v>
      </c>
      <c r="H312" s="314">
        <v>0</v>
      </c>
      <c r="I312" s="314">
        <v>0</v>
      </c>
      <c r="J312" s="315">
        <v>0.60426357629608041</v>
      </c>
      <c r="K312" s="315">
        <v>0</v>
      </c>
      <c r="L312" s="314">
        <v>0</v>
      </c>
      <c r="M312" s="314">
        <v>0</v>
      </c>
      <c r="N312" s="314">
        <v>0</v>
      </c>
      <c r="O312" s="315">
        <v>0</v>
      </c>
      <c r="P312" s="315">
        <v>0</v>
      </c>
      <c r="Q312" s="314">
        <v>0</v>
      </c>
      <c r="R312" s="315">
        <v>0</v>
      </c>
      <c r="S312" s="315">
        <v>0.60426357629608041</v>
      </c>
      <c r="T312" s="315"/>
      <c r="U312" s="315"/>
      <c r="V312" s="316"/>
    </row>
    <row r="313" spans="1:22">
      <c r="A313" s="311"/>
      <c r="B313" s="312" t="s">
        <v>788</v>
      </c>
      <c r="C313" s="313">
        <v>0.66506554778200733</v>
      </c>
      <c r="D313" s="314">
        <v>0.71376087851199022</v>
      </c>
      <c r="E313" s="314">
        <v>0</v>
      </c>
      <c r="F313" s="314">
        <v>0.25728251209637604</v>
      </c>
      <c r="G313" s="314">
        <v>0.56884930187770821</v>
      </c>
      <c r="H313" s="314">
        <v>0</v>
      </c>
      <c r="I313" s="314">
        <v>0</v>
      </c>
      <c r="J313" s="315">
        <v>0.61672568782348136</v>
      </c>
      <c r="K313" s="315">
        <v>0</v>
      </c>
      <c r="L313" s="314">
        <v>0</v>
      </c>
      <c r="M313" s="314">
        <v>0</v>
      </c>
      <c r="N313" s="314">
        <v>0</v>
      </c>
      <c r="O313" s="315">
        <v>0</v>
      </c>
      <c r="P313" s="315">
        <v>0</v>
      </c>
      <c r="Q313" s="314">
        <v>0</v>
      </c>
      <c r="R313" s="315">
        <v>0</v>
      </c>
      <c r="S313" s="315">
        <v>0.61672568782348136</v>
      </c>
      <c r="T313" s="315"/>
      <c r="U313" s="315"/>
      <c r="V313" s="316"/>
    </row>
    <row r="314" spans="1:22" s="338" customFormat="1">
      <c r="A314" s="311"/>
      <c r="B314" s="317" t="s">
        <v>789</v>
      </c>
      <c r="C314" s="318">
        <v>1.3893604455087583</v>
      </c>
      <c r="D314" s="319">
        <v>-1.0870806654508236</v>
      </c>
      <c r="E314" s="319">
        <v>0</v>
      </c>
      <c r="F314" s="321">
        <v>5.4179223536857748</v>
      </c>
      <c r="G314" s="321">
        <v>-4.2677102752144647</v>
      </c>
      <c r="H314" s="319">
        <v>0</v>
      </c>
      <c r="I314" s="319">
        <v>0</v>
      </c>
      <c r="J314" s="320">
        <v>1.2462111527400954</v>
      </c>
      <c r="K314" s="320">
        <v>0</v>
      </c>
      <c r="L314" s="319">
        <v>0</v>
      </c>
      <c r="M314" s="319">
        <v>0</v>
      </c>
      <c r="N314" s="319">
        <v>0</v>
      </c>
      <c r="O314" s="320">
        <v>0</v>
      </c>
      <c r="P314" s="320">
        <v>0</v>
      </c>
      <c r="Q314" s="319">
        <v>0</v>
      </c>
      <c r="R314" s="320">
        <v>0</v>
      </c>
      <c r="S314" s="320">
        <v>1.2462111527400954</v>
      </c>
      <c r="T314" s="320"/>
      <c r="U314" s="320"/>
      <c r="V314" s="316"/>
    </row>
    <row r="315" spans="1:22">
      <c r="A315" s="311"/>
      <c r="B315" s="291" t="s">
        <v>790</v>
      </c>
      <c r="C315" s="308">
        <v>8.377645618331292E-2</v>
      </c>
      <c r="D315" s="309">
        <v>0.11885973763874874</v>
      </c>
      <c r="E315" s="309">
        <v>0</v>
      </c>
      <c r="F315" s="309">
        <v>2.8138026864289022E-2</v>
      </c>
      <c r="G315" s="309">
        <v>8.5362912949119851E-2</v>
      </c>
      <c r="H315" s="309">
        <v>0</v>
      </c>
      <c r="I315" s="309">
        <v>0</v>
      </c>
      <c r="J315" s="310">
        <v>8.7921401097531507E-2</v>
      </c>
      <c r="K315" s="310">
        <v>0</v>
      </c>
      <c r="L315" s="309">
        <v>0</v>
      </c>
      <c r="M315" s="309">
        <v>0</v>
      </c>
      <c r="N315" s="309">
        <v>0</v>
      </c>
      <c r="O315" s="310">
        <v>0</v>
      </c>
      <c r="P315" s="310">
        <v>0</v>
      </c>
      <c r="Q315" s="309">
        <v>0</v>
      </c>
      <c r="R315" s="310">
        <v>0</v>
      </c>
      <c r="S315" s="310">
        <v>8.7921401097531507E-2</v>
      </c>
      <c r="T315" s="310"/>
      <c r="U315" s="310"/>
      <c r="V315" s="316"/>
    </row>
    <row r="316" spans="1:22">
      <c r="A316" s="311"/>
      <c r="B316" s="312" t="s">
        <v>791</v>
      </c>
      <c r="C316" s="313">
        <v>5.3767217565476588E-2</v>
      </c>
      <c r="D316" s="314">
        <v>0.10493560723929213</v>
      </c>
      <c r="E316" s="314">
        <v>0</v>
      </c>
      <c r="F316" s="314">
        <v>2.0613212204996543E-2</v>
      </c>
      <c r="G316" s="314">
        <v>0.10303322099181512</v>
      </c>
      <c r="H316" s="314">
        <v>0</v>
      </c>
      <c r="I316" s="314">
        <v>0</v>
      </c>
      <c r="J316" s="315">
        <v>6.9627605877545781E-2</v>
      </c>
      <c r="K316" s="315">
        <v>0</v>
      </c>
      <c r="L316" s="314">
        <v>0</v>
      </c>
      <c r="M316" s="314">
        <v>0</v>
      </c>
      <c r="N316" s="314">
        <v>0</v>
      </c>
      <c r="O316" s="315">
        <v>0</v>
      </c>
      <c r="P316" s="315">
        <v>0</v>
      </c>
      <c r="Q316" s="314">
        <v>0</v>
      </c>
      <c r="R316" s="315">
        <v>0</v>
      </c>
      <c r="S316" s="315">
        <v>6.9627605877545781E-2</v>
      </c>
      <c r="T316" s="315"/>
      <c r="U316" s="315"/>
      <c r="V316" s="316"/>
    </row>
    <row r="317" spans="1:22" s="338" customFormat="1">
      <c r="A317" s="311"/>
      <c r="B317" s="317" t="s">
        <v>792</v>
      </c>
      <c r="C317" s="318">
        <v>-3.0009238617836331</v>
      </c>
      <c r="D317" s="319">
        <v>-1.3924130399456613</v>
      </c>
      <c r="E317" s="319">
        <v>0</v>
      </c>
      <c r="F317" s="319">
        <v>-0.75248146592924792</v>
      </c>
      <c r="G317" s="319">
        <v>1.7670308042695273</v>
      </c>
      <c r="H317" s="319">
        <v>0</v>
      </c>
      <c r="I317" s="319">
        <v>0</v>
      </c>
      <c r="J317" s="320">
        <v>-1.8293795219985727</v>
      </c>
      <c r="K317" s="320">
        <v>0</v>
      </c>
      <c r="L317" s="319">
        <v>0</v>
      </c>
      <c r="M317" s="319">
        <v>0</v>
      </c>
      <c r="N317" s="319">
        <v>0</v>
      </c>
      <c r="O317" s="320">
        <v>0</v>
      </c>
      <c r="P317" s="320">
        <v>0</v>
      </c>
      <c r="Q317" s="319">
        <v>0</v>
      </c>
      <c r="R317" s="320">
        <v>0</v>
      </c>
      <c r="S317" s="320">
        <v>-1.8293795219985727</v>
      </c>
      <c r="T317" s="320"/>
      <c r="U317" s="320"/>
      <c r="V317" s="316"/>
    </row>
    <row r="318" spans="1:22">
      <c r="A318" s="311"/>
      <c r="B318" s="291" t="s">
        <v>793</v>
      </c>
      <c r="C318" s="308">
        <v>0.25683925135560609</v>
      </c>
      <c r="D318" s="309">
        <v>0.14485368314833502</v>
      </c>
      <c r="E318" s="309">
        <v>0</v>
      </c>
      <c r="F318" s="309">
        <v>0.76306160259379341</v>
      </c>
      <c r="G318" s="309">
        <v>0.30311068242102723</v>
      </c>
      <c r="H318" s="309">
        <v>0</v>
      </c>
      <c r="I318" s="309">
        <v>0</v>
      </c>
      <c r="J318" s="310">
        <v>0.29884149451425984</v>
      </c>
      <c r="K318" s="310">
        <v>0</v>
      </c>
      <c r="L318" s="309">
        <v>0</v>
      </c>
      <c r="M318" s="309">
        <v>0</v>
      </c>
      <c r="N318" s="309">
        <v>0</v>
      </c>
      <c r="O318" s="310">
        <v>0</v>
      </c>
      <c r="P318" s="310">
        <v>0</v>
      </c>
      <c r="Q318" s="309">
        <v>0</v>
      </c>
      <c r="R318" s="310">
        <v>0</v>
      </c>
      <c r="S318" s="310">
        <v>0.29884149451425984</v>
      </c>
      <c r="T318" s="310"/>
      <c r="U318" s="310"/>
      <c r="V318" s="316"/>
    </row>
    <row r="319" spans="1:22">
      <c r="A319" s="311"/>
      <c r="B319" s="312" t="s">
        <v>794</v>
      </c>
      <c r="C319" s="313">
        <v>0.2634346847915856</v>
      </c>
      <c r="D319" s="314">
        <v>0.16802344840046976</v>
      </c>
      <c r="E319" s="314">
        <v>0</v>
      </c>
      <c r="F319" s="314">
        <v>0.71788288733089756</v>
      </c>
      <c r="G319" s="314">
        <v>0.32811747713047668</v>
      </c>
      <c r="H319" s="314">
        <v>0</v>
      </c>
      <c r="I319" s="314">
        <v>0</v>
      </c>
      <c r="J319" s="315">
        <v>0.30017866585479192</v>
      </c>
      <c r="K319" s="315">
        <v>0</v>
      </c>
      <c r="L319" s="314">
        <v>0</v>
      </c>
      <c r="M319" s="314">
        <v>0</v>
      </c>
      <c r="N319" s="314">
        <v>0</v>
      </c>
      <c r="O319" s="315">
        <v>0</v>
      </c>
      <c r="P319" s="315">
        <v>0</v>
      </c>
      <c r="Q319" s="314">
        <v>0</v>
      </c>
      <c r="R319" s="315">
        <v>0</v>
      </c>
      <c r="S319" s="315">
        <v>0.30017866585479192</v>
      </c>
      <c r="T319" s="315"/>
      <c r="U319" s="315"/>
      <c r="V319" s="316"/>
    </row>
    <row r="320" spans="1:22" s="338" customFormat="1">
      <c r="A320" s="311"/>
      <c r="B320" s="317" t="s">
        <v>795</v>
      </c>
      <c r="C320" s="318">
        <v>0.65954334359795141</v>
      </c>
      <c r="D320" s="319">
        <v>2.316976525213474</v>
      </c>
      <c r="E320" s="319">
        <v>0</v>
      </c>
      <c r="F320" s="321">
        <v>-4.5178715262895857</v>
      </c>
      <c r="G320" s="319">
        <v>2.5006794709449442</v>
      </c>
      <c r="H320" s="319">
        <v>0</v>
      </c>
      <c r="I320" s="319">
        <v>0</v>
      </c>
      <c r="J320" s="320">
        <v>0.13371713405320729</v>
      </c>
      <c r="K320" s="320">
        <v>0</v>
      </c>
      <c r="L320" s="319">
        <v>0</v>
      </c>
      <c r="M320" s="319">
        <v>0</v>
      </c>
      <c r="N320" s="319">
        <v>0</v>
      </c>
      <c r="O320" s="320">
        <v>0</v>
      </c>
      <c r="P320" s="320">
        <v>0</v>
      </c>
      <c r="Q320" s="319">
        <v>0</v>
      </c>
      <c r="R320" s="320">
        <v>0</v>
      </c>
      <c r="S320" s="320">
        <v>0.13371713405320729</v>
      </c>
      <c r="T320" s="320"/>
      <c r="U320" s="320"/>
      <c r="V320" s="316"/>
    </row>
    <row r="321" spans="1:22">
      <c r="A321" s="311"/>
      <c r="B321" s="291" t="s">
        <v>796</v>
      </c>
      <c r="C321" s="308">
        <v>8.2123491341612731E-3</v>
      </c>
      <c r="D321" s="309">
        <v>1.1594349142280524E-2</v>
      </c>
      <c r="E321" s="309">
        <v>0</v>
      </c>
      <c r="F321" s="309">
        <v>0</v>
      </c>
      <c r="G321" s="309">
        <v>0</v>
      </c>
      <c r="H321" s="309">
        <v>0</v>
      </c>
      <c r="I321" s="309">
        <v>0</v>
      </c>
      <c r="J321" s="310">
        <v>8.0071481437451828E-3</v>
      </c>
      <c r="K321" s="310">
        <v>0</v>
      </c>
      <c r="L321" s="309">
        <v>0</v>
      </c>
      <c r="M321" s="309">
        <v>0</v>
      </c>
      <c r="N321" s="309">
        <v>0</v>
      </c>
      <c r="O321" s="310">
        <v>0</v>
      </c>
      <c r="P321" s="310">
        <v>0</v>
      </c>
      <c r="Q321" s="309">
        <v>0</v>
      </c>
      <c r="R321" s="310">
        <v>0</v>
      </c>
      <c r="S321" s="310">
        <v>8.0071481437451828E-3</v>
      </c>
      <c r="T321" s="310"/>
      <c r="U321" s="310"/>
      <c r="V321" s="316"/>
    </row>
    <row r="322" spans="1:22">
      <c r="A322" s="311"/>
      <c r="B322" s="312" t="s">
        <v>797</v>
      </c>
      <c r="C322" s="313">
        <v>1.3394340392812051E-2</v>
      </c>
      <c r="D322" s="314">
        <v>1.3159611736245646E-2</v>
      </c>
      <c r="E322" s="314">
        <v>0</v>
      </c>
      <c r="F322" s="314">
        <v>0</v>
      </c>
      <c r="G322" s="314">
        <v>0</v>
      </c>
      <c r="H322" s="314">
        <v>0</v>
      </c>
      <c r="I322" s="314">
        <v>0</v>
      </c>
      <c r="J322" s="315">
        <v>1.0904225487525438E-2</v>
      </c>
      <c r="K322" s="315">
        <v>0</v>
      </c>
      <c r="L322" s="314">
        <v>0</v>
      </c>
      <c r="M322" s="314">
        <v>0</v>
      </c>
      <c r="N322" s="314">
        <v>0</v>
      </c>
      <c r="O322" s="315">
        <v>0</v>
      </c>
      <c r="P322" s="315">
        <v>0</v>
      </c>
      <c r="Q322" s="314">
        <v>0</v>
      </c>
      <c r="R322" s="315">
        <v>0</v>
      </c>
      <c r="S322" s="315">
        <v>1.0904225487525438E-2</v>
      </c>
      <c r="T322" s="315"/>
      <c r="U322" s="315"/>
      <c r="V322" s="316"/>
    </row>
    <row r="323" spans="1:22" s="338" customFormat="1">
      <c r="A323" s="311"/>
      <c r="B323" s="317" t="s">
        <v>798</v>
      </c>
      <c r="C323" s="318">
        <v>0.51819912586507777</v>
      </c>
      <c r="D323" s="319">
        <v>0.15652625939651216</v>
      </c>
      <c r="E323" s="319">
        <v>0</v>
      </c>
      <c r="F323" s="319">
        <v>0</v>
      </c>
      <c r="G323" s="319">
        <v>0</v>
      </c>
      <c r="H323" s="319">
        <v>0</v>
      </c>
      <c r="I323" s="319">
        <v>0</v>
      </c>
      <c r="J323" s="320">
        <v>0.28970773437802555</v>
      </c>
      <c r="K323" s="320">
        <v>0</v>
      </c>
      <c r="L323" s="319">
        <v>0</v>
      </c>
      <c r="M323" s="319">
        <v>0</v>
      </c>
      <c r="N323" s="319">
        <v>0</v>
      </c>
      <c r="O323" s="320">
        <v>0</v>
      </c>
      <c r="P323" s="320">
        <v>0</v>
      </c>
      <c r="Q323" s="319">
        <v>0</v>
      </c>
      <c r="R323" s="320">
        <v>0</v>
      </c>
      <c r="S323" s="320">
        <v>0.28970773437802555</v>
      </c>
      <c r="T323" s="320"/>
      <c r="U323" s="320"/>
      <c r="V323" s="316"/>
    </row>
    <row r="324" spans="1:22">
      <c r="A324" s="311"/>
      <c r="B324" s="291" t="s">
        <v>799</v>
      </c>
      <c r="C324" s="308">
        <v>0</v>
      </c>
      <c r="D324" s="309">
        <v>0</v>
      </c>
      <c r="E324" s="309">
        <v>0</v>
      </c>
      <c r="F324" s="309">
        <v>2.9874942102825382E-3</v>
      </c>
      <c r="G324" s="309">
        <v>0</v>
      </c>
      <c r="H324" s="309">
        <v>0</v>
      </c>
      <c r="I324" s="309">
        <v>0</v>
      </c>
      <c r="J324" s="310">
        <v>4.9469449738655583E-4</v>
      </c>
      <c r="K324" s="310">
        <v>0</v>
      </c>
      <c r="L324" s="309">
        <v>0</v>
      </c>
      <c r="M324" s="309">
        <v>0</v>
      </c>
      <c r="N324" s="309">
        <v>0</v>
      </c>
      <c r="O324" s="310">
        <v>0</v>
      </c>
      <c r="P324" s="310">
        <v>0</v>
      </c>
      <c r="Q324" s="309">
        <v>0</v>
      </c>
      <c r="R324" s="310">
        <v>0</v>
      </c>
      <c r="S324" s="310">
        <v>4.9469449738655583E-4</v>
      </c>
      <c r="T324" s="310"/>
      <c r="U324" s="310"/>
      <c r="V324" s="316"/>
    </row>
    <row r="325" spans="1:22">
      <c r="A325" s="311"/>
      <c r="B325" s="312" t="s">
        <v>800</v>
      </c>
      <c r="C325" s="313">
        <v>0</v>
      </c>
      <c r="D325" s="314">
        <v>0</v>
      </c>
      <c r="E325" s="314">
        <v>0</v>
      </c>
      <c r="F325" s="314">
        <v>2.1477239063888614E-3</v>
      </c>
      <c r="G325" s="314">
        <v>0</v>
      </c>
      <c r="H325" s="314">
        <v>0</v>
      </c>
      <c r="I325" s="314">
        <v>0</v>
      </c>
      <c r="J325" s="315">
        <v>3.4851859567035747E-4</v>
      </c>
      <c r="K325" s="315">
        <v>0</v>
      </c>
      <c r="L325" s="314">
        <v>0</v>
      </c>
      <c r="M325" s="314">
        <v>0</v>
      </c>
      <c r="N325" s="314">
        <v>0</v>
      </c>
      <c r="O325" s="315">
        <v>0</v>
      </c>
      <c r="P325" s="315">
        <v>0</v>
      </c>
      <c r="Q325" s="314">
        <v>0</v>
      </c>
      <c r="R325" s="315">
        <v>0</v>
      </c>
      <c r="S325" s="315">
        <v>3.4851859567035747E-4</v>
      </c>
      <c r="T325" s="315"/>
      <c r="U325" s="315"/>
      <c r="V325" s="316"/>
    </row>
    <row r="326" spans="1:22" s="338" customFormat="1">
      <c r="A326" s="311"/>
      <c r="B326" s="317" t="s">
        <v>801</v>
      </c>
      <c r="C326" s="318">
        <v>0</v>
      </c>
      <c r="D326" s="319">
        <v>0</v>
      </c>
      <c r="E326" s="319">
        <v>0</v>
      </c>
      <c r="F326" s="319">
        <v>-8.3977030389367685E-2</v>
      </c>
      <c r="G326" s="319">
        <v>0</v>
      </c>
      <c r="H326" s="319">
        <v>0</v>
      </c>
      <c r="I326" s="319">
        <v>0</v>
      </c>
      <c r="J326" s="320">
        <v>-1.4617590171619836E-2</v>
      </c>
      <c r="K326" s="320">
        <v>0</v>
      </c>
      <c r="L326" s="319">
        <v>0</v>
      </c>
      <c r="M326" s="319">
        <v>0</v>
      </c>
      <c r="N326" s="319">
        <v>0</v>
      </c>
      <c r="O326" s="320">
        <v>0</v>
      </c>
      <c r="P326" s="320">
        <v>0</v>
      </c>
      <c r="Q326" s="319">
        <v>0</v>
      </c>
      <c r="R326" s="320">
        <v>0</v>
      </c>
      <c r="S326" s="320">
        <v>-1.4617590171619836E-2</v>
      </c>
      <c r="T326" s="320"/>
      <c r="U326" s="320"/>
      <c r="V326" s="316"/>
    </row>
    <row r="327" spans="1:22">
      <c r="A327" s="311"/>
      <c r="B327" s="291" t="s">
        <v>802</v>
      </c>
      <c r="C327" s="308">
        <v>0</v>
      </c>
      <c r="D327" s="309">
        <v>6.0544904137235114E-5</v>
      </c>
      <c r="E327" s="309">
        <v>0</v>
      </c>
      <c r="F327" s="309">
        <v>2.7095877721167207E-3</v>
      </c>
      <c r="G327" s="309">
        <v>0</v>
      </c>
      <c r="H327" s="309">
        <v>0</v>
      </c>
      <c r="I327" s="309">
        <v>0</v>
      </c>
      <c r="J327" s="310">
        <v>4.7168545099648344E-4</v>
      </c>
      <c r="K327" s="310">
        <v>0</v>
      </c>
      <c r="L327" s="309">
        <v>0</v>
      </c>
      <c r="M327" s="309">
        <v>0</v>
      </c>
      <c r="N327" s="309">
        <v>0</v>
      </c>
      <c r="O327" s="310">
        <v>0</v>
      </c>
      <c r="P327" s="310">
        <v>0</v>
      </c>
      <c r="Q327" s="309">
        <v>0</v>
      </c>
      <c r="R327" s="310">
        <v>0</v>
      </c>
      <c r="S327" s="310">
        <v>4.7168545099648344E-4</v>
      </c>
      <c r="T327" s="310"/>
      <c r="U327" s="310"/>
      <c r="V327" s="316"/>
    </row>
    <row r="328" spans="1:22">
      <c r="A328" s="311"/>
      <c r="B328" s="312" t="s">
        <v>803</v>
      </c>
      <c r="C328" s="324">
        <v>4.338209468118432E-3</v>
      </c>
      <c r="D328" s="314">
        <v>1.2045411200224848E-4</v>
      </c>
      <c r="E328" s="314">
        <v>0</v>
      </c>
      <c r="F328" s="314">
        <v>2.0736644613409696E-3</v>
      </c>
      <c r="G328" s="314">
        <v>0</v>
      </c>
      <c r="H328" s="314">
        <v>0</v>
      </c>
      <c r="I328" s="314">
        <v>0</v>
      </c>
      <c r="J328" s="315">
        <v>2.2152963609851457E-3</v>
      </c>
      <c r="K328" s="315">
        <v>0</v>
      </c>
      <c r="L328" s="314">
        <v>0</v>
      </c>
      <c r="M328" s="314">
        <v>0</v>
      </c>
      <c r="N328" s="314">
        <v>0</v>
      </c>
      <c r="O328" s="315">
        <v>0</v>
      </c>
      <c r="P328" s="315">
        <v>0</v>
      </c>
      <c r="Q328" s="314">
        <v>0</v>
      </c>
      <c r="R328" s="315">
        <v>0</v>
      </c>
      <c r="S328" s="315">
        <v>2.2152963609851457E-3</v>
      </c>
      <c r="T328" s="315"/>
      <c r="U328" s="315"/>
      <c r="V328" s="316"/>
    </row>
    <row r="329" spans="1:22" s="338" customFormat="1" ht="15.75" thickBot="1">
      <c r="A329" s="329"/>
      <c r="B329" s="330" t="s">
        <v>804</v>
      </c>
      <c r="C329" s="331">
        <v>0</v>
      </c>
      <c r="D329" s="332">
        <v>5.9909207865013366E-3</v>
      </c>
      <c r="E329" s="332">
        <v>0</v>
      </c>
      <c r="F329" s="332">
        <v>-6.3592331077575115E-2</v>
      </c>
      <c r="G329" s="332">
        <v>0</v>
      </c>
      <c r="H329" s="332">
        <v>0</v>
      </c>
      <c r="I329" s="332">
        <v>0</v>
      </c>
      <c r="J329" s="333">
        <v>0.17436109099886621</v>
      </c>
      <c r="K329" s="333">
        <v>0</v>
      </c>
      <c r="L329" s="332">
        <v>0</v>
      </c>
      <c r="M329" s="332">
        <v>0</v>
      </c>
      <c r="N329" s="332">
        <v>0</v>
      </c>
      <c r="O329" s="333">
        <v>0</v>
      </c>
      <c r="P329" s="333">
        <v>0</v>
      </c>
      <c r="Q329" s="332">
        <v>0</v>
      </c>
      <c r="R329" s="333">
        <v>0</v>
      </c>
      <c r="S329" s="333">
        <v>0.17436109099886621</v>
      </c>
      <c r="T329" s="333"/>
      <c r="U329" s="333"/>
      <c r="V329" s="316"/>
    </row>
    <row r="330" spans="1:22">
      <c r="A330" s="307" t="s">
        <v>338</v>
      </c>
      <c r="B330" s="291" t="s">
        <v>769</v>
      </c>
      <c r="C330" s="308">
        <v>0.89325722710302191</v>
      </c>
      <c r="D330" s="309">
        <v>0.81887798266731671</v>
      </c>
      <c r="E330" s="309">
        <v>0.89690811085171651</v>
      </c>
      <c r="F330" s="309">
        <v>0.76947201938284482</v>
      </c>
      <c r="G330" s="309">
        <v>0.75398017317978294</v>
      </c>
      <c r="H330" s="309">
        <v>0.88982925110350031</v>
      </c>
      <c r="I330" s="309">
        <v>0</v>
      </c>
      <c r="J330" s="310">
        <v>0.8735574181897463</v>
      </c>
      <c r="K330" s="310">
        <v>0</v>
      </c>
      <c r="L330" s="309">
        <v>0.61285413988774362</v>
      </c>
      <c r="M330" s="309">
        <v>0.58401666056116042</v>
      </c>
      <c r="N330" s="309">
        <v>0.55122798468849532</v>
      </c>
      <c r="O330" s="310">
        <v>0.59214994932386489</v>
      </c>
      <c r="P330" s="310">
        <v>0</v>
      </c>
      <c r="Q330" s="309">
        <v>0</v>
      </c>
      <c r="R330" s="310">
        <v>0</v>
      </c>
      <c r="S330" s="310">
        <v>0.73123812191568549</v>
      </c>
      <c r="T330" s="310"/>
      <c r="U330" s="310"/>
      <c r="V330" s="316"/>
    </row>
    <row r="331" spans="1:22">
      <c r="A331" s="311"/>
      <c r="B331" s="312" t="s">
        <v>770</v>
      </c>
      <c r="C331" s="313">
        <v>0.87975523264062938</v>
      </c>
      <c r="D331" s="314">
        <v>0.7985663070787572</v>
      </c>
      <c r="E331" s="314">
        <v>0.88473980377222672</v>
      </c>
      <c r="F331" s="314">
        <v>0.71068746160401097</v>
      </c>
      <c r="G331" s="314">
        <v>0.77943963785200432</v>
      </c>
      <c r="H331" s="314">
        <v>0.9008616720384135</v>
      </c>
      <c r="I331" s="314">
        <v>0</v>
      </c>
      <c r="J331" s="315">
        <v>0.8612109728301075</v>
      </c>
      <c r="K331" s="315">
        <v>0</v>
      </c>
      <c r="L331" s="314">
        <v>0.56550523038075562</v>
      </c>
      <c r="M331" s="314">
        <v>0.56201570182825789</v>
      </c>
      <c r="N331" s="314">
        <v>0.52223891058375893</v>
      </c>
      <c r="O331" s="315">
        <v>0.55745444895048057</v>
      </c>
      <c r="P331" s="315">
        <v>0</v>
      </c>
      <c r="Q331" s="314">
        <v>0</v>
      </c>
      <c r="R331" s="315">
        <v>0</v>
      </c>
      <c r="S331" s="315">
        <v>0.71212973815193636</v>
      </c>
      <c r="T331" s="315"/>
      <c r="U331" s="315"/>
      <c r="V331" s="316"/>
    </row>
    <row r="332" spans="1:22">
      <c r="A332" s="311"/>
      <c r="B332" s="317" t="s">
        <v>771</v>
      </c>
      <c r="C332" s="318">
        <v>-1.350199446239253</v>
      </c>
      <c r="D332" s="319">
        <v>-2.0311675588559508</v>
      </c>
      <c r="E332" s="319">
        <v>-1.2168307079489793</v>
      </c>
      <c r="F332" s="321">
        <v>-5.878455777883385</v>
      </c>
      <c r="G332" s="319">
        <v>2.5459464672221377</v>
      </c>
      <c r="H332" s="319">
        <v>1.103242093491319</v>
      </c>
      <c r="I332" s="319">
        <v>0</v>
      </c>
      <c r="J332" s="320">
        <v>-1.2346445359638802</v>
      </c>
      <c r="K332" s="320">
        <v>0</v>
      </c>
      <c r="L332" s="321">
        <v>-4.7348909506987997</v>
      </c>
      <c r="M332" s="319">
        <v>-2.2000958732902531</v>
      </c>
      <c r="N332" s="319">
        <v>-2.898907410473639</v>
      </c>
      <c r="O332" s="320">
        <v>-3.4695500373384314</v>
      </c>
      <c r="P332" s="320">
        <v>0</v>
      </c>
      <c r="Q332" s="319">
        <v>0</v>
      </c>
      <c r="R332" s="320">
        <v>0</v>
      </c>
      <c r="S332" s="320">
        <v>-1.9108383763749126</v>
      </c>
      <c r="T332" s="320"/>
      <c r="U332" s="320"/>
      <c r="V332" s="316"/>
    </row>
    <row r="333" spans="1:22">
      <c r="A333" s="311"/>
      <c r="B333" s="291" t="s">
        <v>772</v>
      </c>
      <c r="C333" s="308">
        <v>1.8334163905352639E-3</v>
      </c>
      <c r="D333" s="309">
        <v>4.5534731541094341E-3</v>
      </c>
      <c r="E333" s="309">
        <v>8.1120170501261801E-3</v>
      </c>
      <c r="F333" s="309">
        <v>1.2881515630783727E-2</v>
      </c>
      <c r="G333" s="309">
        <v>6.0024043068453055E-2</v>
      </c>
      <c r="H333" s="309">
        <v>7.1959346678371391E-3</v>
      </c>
      <c r="I333" s="309">
        <v>0</v>
      </c>
      <c r="J333" s="310">
        <v>7.9909870717482581E-3</v>
      </c>
      <c r="K333" s="310">
        <v>0</v>
      </c>
      <c r="L333" s="309">
        <v>1.4700424910080603E-2</v>
      </c>
      <c r="M333" s="309">
        <v>1.6901690014431665E-2</v>
      </c>
      <c r="N333" s="309">
        <v>2.8130117649422803E-2</v>
      </c>
      <c r="O333" s="310">
        <v>1.7650314562598527E-2</v>
      </c>
      <c r="P333" s="310">
        <v>0</v>
      </c>
      <c r="Q333" s="309">
        <v>0</v>
      </c>
      <c r="R333" s="310">
        <v>0</v>
      </c>
      <c r="S333" s="310">
        <v>1.2876105069926497E-2</v>
      </c>
      <c r="T333" s="310"/>
      <c r="U333" s="310"/>
      <c r="V333" s="316"/>
    </row>
    <row r="334" spans="1:22">
      <c r="A334" s="311"/>
      <c r="B334" s="312" t="s">
        <v>773</v>
      </c>
      <c r="C334" s="313">
        <v>4.1577359997758342E-3</v>
      </c>
      <c r="D334" s="314">
        <v>7.4268608593056778E-4</v>
      </c>
      <c r="E334" s="314">
        <v>6.1747796213633107E-3</v>
      </c>
      <c r="F334" s="314">
        <v>1.4816723145927878E-2</v>
      </c>
      <c r="G334" s="314">
        <v>3.6737538716479799E-2</v>
      </c>
      <c r="H334" s="314">
        <v>4.7359073866999933E-3</v>
      </c>
      <c r="I334" s="314">
        <v>0</v>
      </c>
      <c r="J334" s="315">
        <v>6.5357857550804917E-3</v>
      </c>
      <c r="K334" s="315">
        <v>0</v>
      </c>
      <c r="L334" s="314">
        <v>1.5362746436782124E-2</v>
      </c>
      <c r="M334" s="314">
        <v>1.7568661541387084E-2</v>
      </c>
      <c r="N334" s="314">
        <v>2.6355595607623242E-2</v>
      </c>
      <c r="O334" s="315">
        <v>1.7911701042470082E-2</v>
      </c>
      <c r="P334" s="315">
        <v>0</v>
      </c>
      <c r="Q334" s="314">
        <v>0</v>
      </c>
      <c r="R334" s="315">
        <v>0</v>
      </c>
      <c r="S334" s="315">
        <v>1.2118992578023959E-2</v>
      </c>
      <c r="T334" s="315"/>
      <c r="U334" s="315"/>
      <c r="V334" s="316"/>
    </row>
    <row r="335" spans="1:22">
      <c r="A335" s="311"/>
      <c r="B335" s="317" t="s">
        <v>774</v>
      </c>
      <c r="C335" s="318">
        <v>0.23243196092405705</v>
      </c>
      <c r="D335" s="319">
        <v>-0.38107870681788664</v>
      </c>
      <c r="E335" s="319">
        <v>-0.19372374287628694</v>
      </c>
      <c r="F335" s="319">
        <v>0.19352075151441508</v>
      </c>
      <c r="G335" s="319">
        <v>-2.3286504351973254</v>
      </c>
      <c r="H335" s="319">
        <v>-0.24600272811371457</v>
      </c>
      <c r="I335" s="319">
        <v>0</v>
      </c>
      <c r="J335" s="320">
        <v>-0.14552013166677663</v>
      </c>
      <c r="K335" s="320">
        <v>0</v>
      </c>
      <c r="L335" s="319">
        <v>6.6232152670152145E-2</v>
      </c>
      <c r="M335" s="319">
        <v>6.6697152695541911E-2</v>
      </c>
      <c r="N335" s="319">
        <v>-0.17745220417995611</v>
      </c>
      <c r="O335" s="320">
        <v>2.6138647987155456E-2</v>
      </c>
      <c r="P335" s="320">
        <v>0</v>
      </c>
      <c r="Q335" s="319">
        <v>0</v>
      </c>
      <c r="R335" s="320">
        <v>0</v>
      </c>
      <c r="S335" s="320">
        <v>-7.5711249190253849E-2</v>
      </c>
      <c r="T335" s="320"/>
      <c r="U335" s="320"/>
      <c r="V335" s="316"/>
    </row>
    <row r="336" spans="1:22">
      <c r="A336" s="311"/>
      <c r="B336" s="291" t="s">
        <v>775</v>
      </c>
      <c r="C336" s="308">
        <v>0.10429971964814987</v>
      </c>
      <c r="D336" s="309">
        <v>0.17631222284208428</v>
      </c>
      <c r="E336" s="309">
        <v>9.4887292813387356E-2</v>
      </c>
      <c r="F336" s="309">
        <v>0.21764646498637144</v>
      </c>
      <c r="G336" s="309">
        <v>0.18279352579403105</v>
      </c>
      <c r="H336" s="309">
        <v>9.3856254404728057E-2</v>
      </c>
      <c r="I336" s="309">
        <v>0</v>
      </c>
      <c r="J336" s="310">
        <v>0.11763617966238225</v>
      </c>
      <c r="K336" s="310">
        <v>0</v>
      </c>
      <c r="L336" s="309">
        <v>0.37157267237921821</v>
      </c>
      <c r="M336" s="309">
        <v>0.39103732293387866</v>
      </c>
      <c r="N336" s="309">
        <v>0.41014914651422141</v>
      </c>
      <c r="O336" s="310">
        <v>0.38507358190591939</v>
      </c>
      <c r="P336" s="310">
        <v>0</v>
      </c>
      <c r="Q336" s="309">
        <v>0</v>
      </c>
      <c r="R336" s="310">
        <v>0</v>
      </c>
      <c r="S336" s="310">
        <v>0.25289024039523089</v>
      </c>
      <c r="T336" s="310"/>
      <c r="U336" s="310"/>
      <c r="V336" s="316"/>
    </row>
    <row r="337" spans="1:22">
      <c r="A337" s="311"/>
      <c r="B337" s="312" t="s">
        <v>776</v>
      </c>
      <c r="C337" s="313">
        <v>0.11567606130570167</v>
      </c>
      <c r="D337" s="314">
        <v>0.20065687902830007</v>
      </c>
      <c r="E337" s="314">
        <v>0.10878975733443884</v>
      </c>
      <c r="F337" s="314">
        <v>0.27449581525006111</v>
      </c>
      <c r="G337" s="314">
        <v>0.18137981800142952</v>
      </c>
      <c r="H337" s="314">
        <v>8.7634019601394456E-2</v>
      </c>
      <c r="I337" s="314">
        <v>0</v>
      </c>
      <c r="J337" s="315">
        <v>0.13162955807409144</v>
      </c>
      <c r="K337" s="315">
        <v>0</v>
      </c>
      <c r="L337" s="314">
        <v>0.41789365526720496</v>
      </c>
      <c r="M337" s="314">
        <v>0.41212463665752086</v>
      </c>
      <c r="N337" s="314">
        <v>0.44236307199359165</v>
      </c>
      <c r="O337" s="315">
        <v>0.41949220013435173</v>
      </c>
      <c r="P337" s="315">
        <v>0</v>
      </c>
      <c r="Q337" s="314">
        <v>0</v>
      </c>
      <c r="R337" s="315">
        <v>0</v>
      </c>
      <c r="S337" s="315">
        <v>0.27291020465230437</v>
      </c>
      <c r="T337" s="315"/>
      <c r="U337" s="315"/>
      <c r="V337" s="316"/>
    </row>
    <row r="338" spans="1:22">
      <c r="A338" s="311"/>
      <c r="B338" s="317" t="s">
        <v>777</v>
      </c>
      <c r="C338" s="318">
        <v>1.1376341657551803</v>
      </c>
      <c r="D338" s="319">
        <v>2.4344656186215783</v>
      </c>
      <c r="E338" s="319">
        <v>1.3902464521051483</v>
      </c>
      <c r="F338" s="321">
        <v>5.6849350263689677</v>
      </c>
      <c r="G338" s="319">
        <v>-0.14137077926015262</v>
      </c>
      <c r="H338" s="319">
        <v>-0.62222348033336017</v>
      </c>
      <c r="I338" s="319">
        <v>0</v>
      </c>
      <c r="J338" s="320">
        <v>1.3993378411709181</v>
      </c>
      <c r="K338" s="320">
        <v>0</v>
      </c>
      <c r="L338" s="321">
        <v>4.6320982887986748</v>
      </c>
      <c r="M338" s="319">
        <v>2.10873137236422</v>
      </c>
      <c r="N338" s="319">
        <v>3.2213925479370245</v>
      </c>
      <c r="O338" s="320">
        <v>3.4418618228432338</v>
      </c>
      <c r="P338" s="320">
        <v>0</v>
      </c>
      <c r="Q338" s="319">
        <v>0</v>
      </c>
      <c r="R338" s="320">
        <v>0</v>
      </c>
      <c r="S338" s="320">
        <v>2.0019964257073477</v>
      </c>
      <c r="T338" s="320"/>
      <c r="U338" s="320"/>
      <c r="V338" s="316"/>
    </row>
    <row r="339" spans="1:22">
      <c r="A339" s="311"/>
      <c r="B339" s="291" t="s">
        <v>778</v>
      </c>
      <c r="C339" s="308">
        <v>1.4779075352557545E-4</v>
      </c>
      <c r="D339" s="309">
        <v>2.5632133648960392E-4</v>
      </c>
      <c r="E339" s="309">
        <v>9.2579284769995503E-5</v>
      </c>
      <c r="F339" s="309">
        <v>0</v>
      </c>
      <c r="G339" s="309">
        <v>3.2022579577329824E-3</v>
      </c>
      <c r="H339" s="309">
        <v>7.4370355716564251E-3</v>
      </c>
      <c r="I339" s="309">
        <v>0</v>
      </c>
      <c r="J339" s="310">
        <v>5.538287902632623E-4</v>
      </c>
      <c r="K339" s="310">
        <v>0</v>
      </c>
      <c r="L339" s="309">
        <v>3.4028761365927323E-4</v>
      </c>
      <c r="M339" s="309">
        <v>7.8346268247606356E-3</v>
      </c>
      <c r="N339" s="309">
        <v>8.4142947565129158E-3</v>
      </c>
      <c r="O339" s="310">
        <v>4.4745194242749526E-3</v>
      </c>
      <c r="P339" s="310">
        <v>0</v>
      </c>
      <c r="Q339" s="309">
        <v>0</v>
      </c>
      <c r="R339" s="310">
        <v>0</v>
      </c>
      <c r="S339" s="310">
        <v>2.5366828139664591E-3</v>
      </c>
      <c r="T339" s="310"/>
      <c r="U339" s="310"/>
      <c r="V339" s="316"/>
    </row>
    <row r="340" spans="1:22">
      <c r="A340" s="311"/>
      <c r="B340" s="312" t="s">
        <v>779</v>
      </c>
      <c r="C340" s="313">
        <v>9.1178421047715668E-5</v>
      </c>
      <c r="D340" s="314">
        <v>3.4127807012126748E-5</v>
      </c>
      <c r="E340" s="314">
        <v>2.9565927197117966E-4</v>
      </c>
      <c r="F340" s="314">
        <v>0</v>
      </c>
      <c r="G340" s="314">
        <v>2.4430054300863054E-3</v>
      </c>
      <c r="H340" s="314">
        <v>5.9790830757087418E-3</v>
      </c>
      <c r="I340" s="314">
        <v>0</v>
      </c>
      <c r="J340" s="315">
        <v>4.5602223118368742E-4</v>
      </c>
      <c r="K340" s="315">
        <v>0</v>
      </c>
      <c r="L340" s="314">
        <v>7.2663453595900763E-4</v>
      </c>
      <c r="M340" s="314">
        <v>7.5031919806579552E-3</v>
      </c>
      <c r="N340" s="314">
        <v>8.2093388071159176E-3</v>
      </c>
      <c r="O340" s="315">
        <v>4.4746597666260298E-3</v>
      </c>
      <c r="P340" s="315">
        <v>0</v>
      </c>
      <c r="Q340" s="314">
        <v>0</v>
      </c>
      <c r="R340" s="315">
        <v>0</v>
      </c>
      <c r="S340" s="315">
        <v>2.4283368924655005E-3</v>
      </c>
      <c r="T340" s="315"/>
      <c r="U340" s="315"/>
      <c r="V340" s="316"/>
    </row>
    <row r="341" spans="1:22">
      <c r="A341" s="311"/>
      <c r="B341" s="317" t="s">
        <v>780</v>
      </c>
      <c r="C341" s="318">
        <v>-5.6612332477859783E-3</v>
      </c>
      <c r="D341" s="319">
        <v>-2.2219352947747718E-2</v>
      </c>
      <c r="E341" s="319">
        <v>2.0307998720118417E-2</v>
      </c>
      <c r="F341" s="319">
        <v>0</v>
      </c>
      <c r="G341" s="319">
        <v>-7.5925252764667703E-2</v>
      </c>
      <c r="H341" s="319">
        <v>-0.14579524959476833</v>
      </c>
      <c r="I341" s="319">
        <v>0</v>
      </c>
      <c r="J341" s="320">
        <v>-9.7806559079574879E-3</v>
      </c>
      <c r="K341" s="320">
        <v>0</v>
      </c>
      <c r="L341" s="319">
        <v>3.8634692229973441E-2</v>
      </c>
      <c r="M341" s="319">
        <v>-3.3143484410268036E-2</v>
      </c>
      <c r="N341" s="319">
        <v>-2.0495594939699824E-2</v>
      </c>
      <c r="O341" s="320">
        <v>1.403423510772106E-5</v>
      </c>
      <c r="P341" s="320">
        <v>0</v>
      </c>
      <c r="Q341" s="319">
        <v>0</v>
      </c>
      <c r="R341" s="320">
        <v>0</v>
      </c>
      <c r="S341" s="320">
        <v>-1.0834592150095858E-2</v>
      </c>
      <c r="T341" s="320"/>
      <c r="U341" s="320"/>
      <c r="V341" s="316"/>
    </row>
    <row r="342" spans="1:22">
      <c r="A342" s="311"/>
      <c r="B342" s="291" t="s">
        <v>781</v>
      </c>
      <c r="C342" s="308">
        <v>4.6184610476742333E-4</v>
      </c>
      <c r="D342" s="309">
        <v>0</v>
      </c>
      <c r="E342" s="309">
        <v>0</v>
      </c>
      <c r="F342" s="309">
        <v>0</v>
      </c>
      <c r="G342" s="309">
        <v>0</v>
      </c>
      <c r="H342" s="309">
        <v>1.6815242522780945E-3</v>
      </c>
      <c r="I342" s="309">
        <v>0</v>
      </c>
      <c r="J342" s="310">
        <v>2.6158628585996039E-4</v>
      </c>
      <c r="K342" s="310">
        <v>0</v>
      </c>
      <c r="L342" s="309">
        <v>5.3247520929828413E-4</v>
      </c>
      <c r="M342" s="309">
        <v>2.0969966576861625E-4</v>
      </c>
      <c r="N342" s="309">
        <v>2.0784563913475934E-3</v>
      </c>
      <c r="O342" s="310">
        <v>6.5163478334227538E-4</v>
      </c>
      <c r="P342" s="310">
        <v>0</v>
      </c>
      <c r="Q342" s="309">
        <v>0</v>
      </c>
      <c r="R342" s="310">
        <v>0</v>
      </c>
      <c r="S342" s="310">
        <v>4.5884980519069482E-4</v>
      </c>
      <c r="T342" s="310"/>
      <c r="U342" s="310"/>
      <c r="V342" s="316"/>
    </row>
    <row r="343" spans="1:22">
      <c r="A343" s="311"/>
      <c r="B343" s="312" t="s">
        <v>782</v>
      </c>
      <c r="C343" s="313">
        <v>3.1979163284540275E-4</v>
      </c>
      <c r="D343" s="314">
        <v>0</v>
      </c>
      <c r="E343" s="314">
        <v>0</v>
      </c>
      <c r="F343" s="314">
        <v>0</v>
      </c>
      <c r="G343" s="314">
        <v>0</v>
      </c>
      <c r="H343" s="314">
        <v>7.8931789778333226E-4</v>
      </c>
      <c r="I343" s="314">
        <v>0</v>
      </c>
      <c r="J343" s="315">
        <v>1.6766110953685966E-4</v>
      </c>
      <c r="K343" s="315">
        <v>0</v>
      </c>
      <c r="L343" s="314">
        <v>5.1173337929830295E-4</v>
      </c>
      <c r="M343" s="314">
        <v>7.8780799217625171E-4</v>
      </c>
      <c r="N343" s="314">
        <v>8.3308300791028341E-4</v>
      </c>
      <c r="O343" s="315">
        <v>6.6699010607153817E-4</v>
      </c>
      <c r="P343" s="315">
        <v>0</v>
      </c>
      <c r="Q343" s="314">
        <v>0</v>
      </c>
      <c r="R343" s="315">
        <v>0</v>
      </c>
      <c r="S343" s="315">
        <v>4.1272772526986553E-4</v>
      </c>
      <c r="T343" s="315"/>
      <c r="U343" s="315"/>
      <c r="V343" s="316"/>
    </row>
    <row r="344" spans="1:22">
      <c r="A344" s="311"/>
      <c r="B344" s="317" t="s">
        <v>783</v>
      </c>
      <c r="C344" s="318">
        <v>-1.4205447192202058E-2</v>
      </c>
      <c r="D344" s="319">
        <v>0</v>
      </c>
      <c r="E344" s="319">
        <v>0</v>
      </c>
      <c r="F344" s="319">
        <v>0</v>
      </c>
      <c r="G344" s="319">
        <v>0</v>
      </c>
      <c r="H344" s="319">
        <v>-8.9220635449476227E-2</v>
      </c>
      <c r="I344" s="319">
        <v>0</v>
      </c>
      <c r="J344" s="320">
        <v>-9.3925176323100719E-3</v>
      </c>
      <c r="K344" s="320">
        <v>0</v>
      </c>
      <c r="L344" s="319">
        <v>-2.074182999998119E-3</v>
      </c>
      <c r="M344" s="319">
        <v>5.7810832640763546E-2</v>
      </c>
      <c r="N344" s="319">
        <v>-0.124537338343731</v>
      </c>
      <c r="O344" s="320">
        <v>1.5355322729262793E-3</v>
      </c>
      <c r="P344" s="320">
        <v>0</v>
      </c>
      <c r="Q344" s="319">
        <v>0</v>
      </c>
      <c r="R344" s="320">
        <v>0</v>
      </c>
      <c r="S344" s="320">
        <v>-4.6122079920829289E-3</v>
      </c>
      <c r="T344" s="320"/>
      <c r="U344" s="320"/>
      <c r="V344" s="316"/>
    </row>
    <row r="345" spans="1:22">
      <c r="A345" s="311"/>
      <c r="B345" s="291" t="s">
        <v>784</v>
      </c>
      <c r="C345" s="308">
        <v>0</v>
      </c>
      <c r="D345" s="309">
        <v>0</v>
      </c>
      <c r="E345" s="309">
        <v>0</v>
      </c>
      <c r="F345" s="309">
        <v>0</v>
      </c>
      <c r="G345" s="309">
        <v>0</v>
      </c>
      <c r="H345" s="309">
        <v>0</v>
      </c>
      <c r="I345" s="309">
        <v>0</v>
      </c>
      <c r="J345" s="310">
        <v>0</v>
      </c>
      <c r="K345" s="310">
        <v>0</v>
      </c>
      <c r="L345" s="309">
        <v>0</v>
      </c>
      <c r="M345" s="309">
        <v>0</v>
      </c>
      <c r="N345" s="309">
        <v>0</v>
      </c>
      <c r="O345" s="310">
        <v>0</v>
      </c>
      <c r="P345" s="310">
        <v>0</v>
      </c>
      <c r="Q345" s="309">
        <v>0</v>
      </c>
      <c r="R345" s="310">
        <v>0</v>
      </c>
      <c r="S345" s="310">
        <v>0</v>
      </c>
      <c r="T345" s="310"/>
      <c r="U345" s="310"/>
      <c r="V345" s="316"/>
    </row>
    <row r="346" spans="1:22">
      <c r="A346" s="311"/>
      <c r="B346" s="312" t="s">
        <v>785</v>
      </c>
      <c r="C346" s="313">
        <v>0</v>
      </c>
      <c r="D346" s="314">
        <v>0</v>
      </c>
      <c r="E346" s="314">
        <v>0</v>
      </c>
      <c r="F346" s="314">
        <v>0</v>
      </c>
      <c r="G346" s="314">
        <v>0</v>
      </c>
      <c r="H346" s="314">
        <v>0</v>
      </c>
      <c r="I346" s="314">
        <v>0</v>
      </c>
      <c r="J346" s="315">
        <v>0</v>
      </c>
      <c r="K346" s="315">
        <v>0</v>
      </c>
      <c r="L346" s="314">
        <v>0</v>
      </c>
      <c r="M346" s="314">
        <v>0</v>
      </c>
      <c r="N346" s="314">
        <v>0</v>
      </c>
      <c r="O346" s="315">
        <v>0</v>
      </c>
      <c r="P346" s="315">
        <v>0</v>
      </c>
      <c r="Q346" s="314">
        <v>0</v>
      </c>
      <c r="R346" s="315">
        <v>0</v>
      </c>
      <c r="S346" s="315">
        <v>0</v>
      </c>
      <c r="T346" s="315"/>
      <c r="U346" s="315"/>
      <c r="V346" s="316"/>
    </row>
    <row r="347" spans="1:22" ht="15.75" thickBot="1">
      <c r="A347" s="311"/>
      <c r="B347" s="325" t="s">
        <v>786</v>
      </c>
      <c r="C347" s="326">
        <v>0</v>
      </c>
      <c r="D347" s="327">
        <v>0</v>
      </c>
      <c r="E347" s="327">
        <v>0</v>
      </c>
      <c r="F347" s="327">
        <v>0</v>
      </c>
      <c r="G347" s="327">
        <v>0</v>
      </c>
      <c r="H347" s="327">
        <v>0</v>
      </c>
      <c r="I347" s="327">
        <v>0</v>
      </c>
      <c r="J347" s="328">
        <v>0</v>
      </c>
      <c r="K347" s="328">
        <v>0</v>
      </c>
      <c r="L347" s="327">
        <v>0</v>
      </c>
      <c r="M347" s="327">
        <v>0</v>
      </c>
      <c r="N347" s="327">
        <v>0</v>
      </c>
      <c r="O347" s="328">
        <v>0</v>
      </c>
      <c r="P347" s="328">
        <v>0</v>
      </c>
      <c r="Q347" s="327">
        <v>0</v>
      </c>
      <c r="R347" s="328">
        <v>0</v>
      </c>
      <c r="S347" s="328">
        <v>0</v>
      </c>
      <c r="T347" s="328"/>
      <c r="U347" s="328"/>
      <c r="V347" s="316"/>
    </row>
    <row r="348" spans="1:22" ht="15.75" thickTop="1">
      <c r="A348" s="311"/>
      <c r="B348" s="312" t="s">
        <v>787</v>
      </c>
      <c r="C348" s="313">
        <v>0.82430993423642618</v>
      </c>
      <c r="D348" s="314">
        <v>0.48381452318460194</v>
      </c>
      <c r="E348" s="314">
        <v>0.68388769007190808</v>
      </c>
      <c r="F348" s="314">
        <v>0.54652664199018675</v>
      </c>
      <c r="G348" s="314">
        <v>0.68559545030133262</v>
      </c>
      <c r="H348" s="314">
        <v>0.76470588235294112</v>
      </c>
      <c r="I348" s="314">
        <v>0</v>
      </c>
      <c r="J348" s="315">
        <v>0.74807432979125088</v>
      </c>
      <c r="K348" s="315">
        <v>0</v>
      </c>
      <c r="L348" s="314">
        <v>0</v>
      </c>
      <c r="M348" s="314">
        <v>0</v>
      </c>
      <c r="N348" s="314">
        <v>0</v>
      </c>
      <c r="O348" s="315">
        <v>0</v>
      </c>
      <c r="P348" s="315">
        <v>0</v>
      </c>
      <c r="Q348" s="314">
        <v>0</v>
      </c>
      <c r="R348" s="315">
        <v>0</v>
      </c>
      <c r="S348" s="315">
        <v>0.74807432979125088</v>
      </c>
      <c r="T348" s="315"/>
      <c r="U348" s="315"/>
      <c r="V348" s="316"/>
    </row>
    <row r="349" spans="1:22">
      <c r="A349" s="311"/>
      <c r="B349" s="312" t="s">
        <v>788</v>
      </c>
      <c r="C349" s="313">
        <v>0.80058661433760592</v>
      </c>
      <c r="D349" s="314">
        <v>0.45795100388641247</v>
      </c>
      <c r="E349" s="314">
        <v>0.66665811911019934</v>
      </c>
      <c r="F349" s="314">
        <v>0.52990691225985342</v>
      </c>
      <c r="G349" s="314">
        <v>0.6806197455873938</v>
      </c>
      <c r="H349" s="314">
        <v>0.78219533275713049</v>
      </c>
      <c r="I349" s="314">
        <v>0</v>
      </c>
      <c r="J349" s="315">
        <v>0.72858532315972468</v>
      </c>
      <c r="K349" s="315">
        <v>0</v>
      </c>
      <c r="L349" s="314">
        <v>0</v>
      </c>
      <c r="M349" s="314">
        <v>0</v>
      </c>
      <c r="N349" s="314">
        <v>0</v>
      </c>
      <c r="O349" s="315">
        <v>0</v>
      </c>
      <c r="P349" s="315">
        <v>0</v>
      </c>
      <c r="Q349" s="314">
        <v>0</v>
      </c>
      <c r="R349" s="315">
        <v>0</v>
      </c>
      <c r="S349" s="315">
        <v>0.72858532315972468</v>
      </c>
      <c r="T349" s="315"/>
      <c r="U349" s="315"/>
      <c r="V349" s="316"/>
    </row>
    <row r="350" spans="1:22">
      <c r="A350" s="311"/>
      <c r="B350" s="317" t="s">
        <v>789</v>
      </c>
      <c r="C350" s="318">
        <v>-2.3723319898820261</v>
      </c>
      <c r="D350" s="319">
        <v>-2.5863519298189477</v>
      </c>
      <c r="E350" s="319">
        <v>-1.722957096170874</v>
      </c>
      <c r="F350" s="319">
        <v>-1.6619729730333321</v>
      </c>
      <c r="G350" s="319">
        <v>-0.49757047139388222</v>
      </c>
      <c r="H350" s="319">
        <v>1.7489450404189366</v>
      </c>
      <c r="I350" s="319">
        <v>0</v>
      </c>
      <c r="J350" s="320">
        <v>-1.9489006631526196</v>
      </c>
      <c r="K350" s="320">
        <v>0</v>
      </c>
      <c r="L350" s="319">
        <v>0</v>
      </c>
      <c r="M350" s="319">
        <v>0</v>
      </c>
      <c r="N350" s="319">
        <v>0</v>
      </c>
      <c r="O350" s="320">
        <v>0</v>
      </c>
      <c r="P350" s="320">
        <v>0</v>
      </c>
      <c r="Q350" s="319">
        <v>0</v>
      </c>
      <c r="R350" s="320">
        <v>0</v>
      </c>
      <c r="S350" s="320">
        <v>-1.9489006631526196</v>
      </c>
      <c r="T350" s="320"/>
      <c r="U350" s="320"/>
      <c r="V350" s="316"/>
    </row>
    <row r="351" spans="1:22">
      <c r="A351" s="311"/>
      <c r="B351" s="291" t="s">
        <v>790</v>
      </c>
      <c r="C351" s="308">
        <v>4.2233250940632079E-2</v>
      </c>
      <c r="D351" s="309">
        <v>4.6566362303303639E-2</v>
      </c>
      <c r="E351" s="309">
        <v>4.6403653910275365E-2</v>
      </c>
      <c r="F351" s="309">
        <v>0.26461220624946202</v>
      </c>
      <c r="G351" s="309">
        <v>3.9215686274509803E-2</v>
      </c>
      <c r="H351" s="309">
        <v>0</v>
      </c>
      <c r="I351" s="309">
        <v>0</v>
      </c>
      <c r="J351" s="310">
        <v>4.6907869895895141E-2</v>
      </c>
      <c r="K351" s="310">
        <v>0</v>
      </c>
      <c r="L351" s="309">
        <v>0</v>
      </c>
      <c r="M351" s="309">
        <v>0</v>
      </c>
      <c r="N351" s="309">
        <v>0</v>
      </c>
      <c r="O351" s="310">
        <v>0</v>
      </c>
      <c r="P351" s="310">
        <v>0</v>
      </c>
      <c r="Q351" s="309">
        <v>0</v>
      </c>
      <c r="R351" s="310">
        <v>0</v>
      </c>
      <c r="S351" s="310">
        <v>4.6907869895895141E-2</v>
      </c>
      <c r="T351" s="310"/>
      <c r="U351" s="310"/>
      <c r="V351" s="316"/>
    </row>
    <row r="352" spans="1:22">
      <c r="A352" s="311"/>
      <c r="B352" s="312" t="s">
        <v>791</v>
      </c>
      <c r="C352" s="313">
        <v>4.4171433343075446E-2</v>
      </c>
      <c r="D352" s="314">
        <v>5.9090852651576292E-2</v>
      </c>
      <c r="E352" s="314">
        <v>5.2189242900185909E-2</v>
      </c>
      <c r="F352" s="314">
        <v>0.18904733610615965</v>
      </c>
      <c r="G352" s="314">
        <v>3.028302302037942E-2</v>
      </c>
      <c r="H352" s="314">
        <v>2.5929127052722557E-3</v>
      </c>
      <c r="I352" s="314">
        <v>0</v>
      </c>
      <c r="J352" s="315">
        <v>4.8909903791888421E-2</v>
      </c>
      <c r="K352" s="315">
        <v>0</v>
      </c>
      <c r="L352" s="314">
        <v>0</v>
      </c>
      <c r="M352" s="314">
        <v>0</v>
      </c>
      <c r="N352" s="314">
        <v>0</v>
      </c>
      <c r="O352" s="315">
        <v>0</v>
      </c>
      <c r="P352" s="315">
        <v>0</v>
      </c>
      <c r="Q352" s="314">
        <v>0</v>
      </c>
      <c r="R352" s="315">
        <v>0</v>
      </c>
      <c r="S352" s="315">
        <v>4.8909903791888421E-2</v>
      </c>
      <c r="T352" s="315"/>
      <c r="U352" s="315"/>
      <c r="V352" s="316"/>
    </row>
    <row r="353" spans="1:22">
      <c r="A353" s="311"/>
      <c r="B353" s="317" t="s">
        <v>792</v>
      </c>
      <c r="C353" s="318">
        <v>0.19381824024433669</v>
      </c>
      <c r="D353" s="319">
        <v>1.2524490348272652</v>
      </c>
      <c r="E353" s="319">
        <v>0.57855889899105439</v>
      </c>
      <c r="F353" s="321">
        <v>-7.5564870143302372</v>
      </c>
      <c r="G353" s="319">
        <v>-0.89326632541303841</v>
      </c>
      <c r="H353" s="319">
        <v>0</v>
      </c>
      <c r="I353" s="319">
        <v>0</v>
      </c>
      <c r="J353" s="320">
        <v>0.20020338959932799</v>
      </c>
      <c r="K353" s="320">
        <v>0</v>
      </c>
      <c r="L353" s="319">
        <v>0</v>
      </c>
      <c r="M353" s="319">
        <v>0</v>
      </c>
      <c r="N353" s="319">
        <v>0</v>
      </c>
      <c r="O353" s="320">
        <v>0</v>
      </c>
      <c r="P353" s="320">
        <v>0</v>
      </c>
      <c r="Q353" s="319">
        <v>0</v>
      </c>
      <c r="R353" s="320">
        <v>0</v>
      </c>
      <c r="S353" s="320">
        <v>0.20020338959932799</v>
      </c>
      <c r="T353" s="320"/>
      <c r="U353" s="320"/>
      <c r="V353" s="316"/>
    </row>
    <row r="354" spans="1:22">
      <c r="A354" s="311"/>
      <c r="B354" s="291" t="s">
        <v>793</v>
      </c>
      <c r="C354" s="308">
        <v>0.13083444660286073</v>
      </c>
      <c r="D354" s="309">
        <v>0.46950821288184047</v>
      </c>
      <c r="E354" s="309">
        <v>0.26940667996200135</v>
      </c>
      <c r="F354" s="309">
        <v>0.1888611517603512</v>
      </c>
      <c r="G354" s="309">
        <v>0.26245649775061541</v>
      </c>
      <c r="H354" s="309">
        <v>0.23529411764705882</v>
      </c>
      <c r="I354" s="309">
        <v>0</v>
      </c>
      <c r="J354" s="310">
        <v>0.20289255083877231</v>
      </c>
      <c r="K354" s="310">
        <v>0</v>
      </c>
      <c r="L354" s="309">
        <v>0</v>
      </c>
      <c r="M354" s="309">
        <v>0</v>
      </c>
      <c r="N354" s="309">
        <v>0</v>
      </c>
      <c r="O354" s="310">
        <v>0</v>
      </c>
      <c r="P354" s="310">
        <v>0</v>
      </c>
      <c r="Q354" s="309">
        <v>0</v>
      </c>
      <c r="R354" s="310">
        <v>0</v>
      </c>
      <c r="S354" s="310">
        <v>0.20289255083877231</v>
      </c>
      <c r="T354" s="310"/>
      <c r="U354" s="310"/>
      <c r="V354" s="316"/>
    </row>
    <row r="355" spans="1:22">
      <c r="A355" s="311"/>
      <c r="B355" s="312" t="s">
        <v>794</v>
      </c>
      <c r="C355" s="313">
        <v>0.15226295353012401</v>
      </c>
      <c r="D355" s="314">
        <v>0.48295814346201127</v>
      </c>
      <c r="E355" s="314">
        <v>0.27790884031027629</v>
      </c>
      <c r="F355" s="314">
        <v>0.28104575163398693</v>
      </c>
      <c r="G355" s="314">
        <v>0.27708085743210531</v>
      </c>
      <c r="H355" s="314">
        <v>0.21521175453759722</v>
      </c>
      <c r="I355" s="314">
        <v>0</v>
      </c>
      <c r="J355" s="315">
        <v>0.2195615599829758</v>
      </c>
      <c r="K355" s="315">
        <v>0</v>
      </c>
      <c r="L355" s="314">
        <v>0</v>
      </c>
      <c r="M355" s="314">
        <v>0</v>
      </c>
      <c r="N355" s="314">
        <v>0</v>
      </c>
      <c r="O355" s="315">
        <v>0</v>
      </c>
      <c r="P355" s="315">
        <v>0</v>
      </c>
      <c r="Q355" s="314">
        <v>0</v>
      </c>
      <c r="R355" s="315">
        <v>0</v>
      </c>
      <c r="S355" s="315">
        <v>0.2195615599829758</v>
      </c>
      <c r="T355" s="315"/>
      <c r="U355" s="315"/>
      <c r="V355" s="316"/>
    </row>
    <row r="356" spans="1:22">
      <c r="A356" s="311"/>
      <c r="B356" s="317" t="s">
        <v>795</v>
      </c>
      <c r="C356" s="318">
        <v>2.142850692726328</v>
      </c>
      <c r="D356" s="319">
        <v>1.3449930580170799</v>
      </c>
      <c r="E356" s="319">
        <v>0.85021603482749453</v>
      </c>
      <c r="F356" s="321">
        <v>9.2184599873635733</v>
      </c>
      <c r="G356" s="319">
        <v>1.4624359681489896</v>
      </c>
      <c r="H356" s="319">
        <v>-2.0082363109461596</v>
      </c>
      <c r="I356" s="319">
        <v>0</v>
      </c>
      <c r="J356" s="320">
        <v>1.6669009144203495</v>
      </c>
      <c r="K356" s="320">
        <v>0</v>
      </c>
      <c r="L356" s="319">
        <v>0</v>
      </c>
      <c r="M356" s="319">
        <v>0</v>
      </c>
      <c r="N356" s="319">
        <v>0</v>
      </c>
      <c r="O356" s="320">
        <v>0</v>
      </c>
      <c r="P356" s="320">
        <v>0</v>
      </c>
      <c r="Q356" s="319">
        <v>0</v>
      </c>
      <c r="R356" s="320">
        <v>0</v>
      </c>
      <c r="S356" s="320">
        <v>1.6669009144203495</v>
      </c>
      <c r="T356" s="320"/>
      <c r="U356" s="320"/>
      <c r="V356" s="316"/>
    </row>
    <row r="357" spans="1:22">
      <c r="A357" s="311"/>
      <c r="B357" s="291" t="s">
        <v>796</v>
      </c>
      <c r="C357" s="308">
        <v>1.9361209172050157E-4</v>
      </c>
      <c r="D357" s="309">
        <v>1.1090163025396473E-4</v>
      </c>
      <c r="E357" s="309">
        <v>3.0197605581524096E-4</v>
      </c>
      <c r="F357" s="309">
        <v>0</v>
      </c>
      <c r="G357" s="309">
        <v>1.2732365673542145E-2</v>
      </c>
      <c r="H357" s="309">
        <v>0</v>
      </c>
      <c r="I357" s="309">
        <v>0</v>
      </c>
      <c r="J357" s="310">
        <v>6.0278332164625929E-4</v>
      </c>
      <c r="K357" s="310">
        <v>0</v>
      </c>
      <c r="L357" s="309">
        <v>0</v>
      </c>
      <c r="M357" s="309">
        <v>0</v>
      </c>
      <c r="N357" s="309">
        <v>0</v>
      </c>
      <c r="O357" s="310">
        <v>0</v>
      </c>
      <c r="P357" s="310">
        <v>0</v>
      </c>
      <c r="Q357" s="309">
        <v>0</v>
      </c>
      <c r="R357" s="310">
        <v>0</v>
      </c>
      <c r="S357" s="310">
        <v>6.0278332164625929E-4</v>
      </c>
      <c r="T357" s="310"/>
      <c r="U357" s="310"/>
      <c r="V357" s="316"/>
    </row>
    <row r="358" spans="1:22">
      <c r="A358" s="311"/>
      <c r="B358" s="312" t="s">
        <v>797</v>
      </c>
      <c r="C358" s="313">
        <v>2.8600058452674207E-4</v>
      </c>
      <c r="D358" s="314">
        <v>0</v>
      </c>
      <c r="E358" s="314">
        <v>3.2437976793384189E-3</v>
      </c>
      <c r="F358" s="314">
        <v>0</v>
      </c>
      <c r="G358" s="314">
        <v>1.2016373960121484E-2</v>
      </c>
      <c r="H358" s="314">
        <v>0</v>
      </c>
      <c r="I358" s="314">
        <v>0</v>
      </c>
      <c r="J358" s="315">
        <v>1.2221138567164896E-3</v>
      </c>
      <c r="K358" s="315">
        <v>0</v>
      </c>
      <c r="L358" s="314">
        <v>0</v>
      </c>
      <c r="M358" s="314">
        <v>0</v>
      </c>
      <c r="N358" s="314">
        <v>0</v>
      </c>
      <c r="O358" s="315">
        <v>0</v>
      </c>
      <c r="P358" s="315">
        <v>0</v>
      </c>
      <c r="Q358" s="314">
        <v>0</v>
      </c>
      <c r="R358" s="315">
        <v>0</v>
      </c>
      <c r="S358" s="315">
        <v>1.2221138567164896E-3</v>
      </c>
      <c r="T358" s="315"/>
      <c r="U358" s="315"/>
      <c r="V358" s="316"/>
    </row>
    <row r="359" spans="1:22">
      <c r="A359" s="311"/>
      <c r="B359" s="317" t="s">
        <v>798</v>
      </c>
      <c r="C359" s="318">
        <v>9.2388492806240504E-3</v>
      </c>
      <c r="D359" s="319">
        <v>-1.1090163025396473E-2</v>
      </c>
      <c r="E359" s="319">
        <v>0.29418216235231776</v>
      </c>
      <c r="F359" s="319">
        <v>0</v>
      </c>
      <c r="G359" s="319">
        <v>-7.1599171342066031E-2</v>
      </c>
      <c r="H359" s="319">
        <v>0</v>
      </c>
      <c r="I359" s="319">
        <v>0</v>
      </c>
      <c r="J359" s="320">
        <v>6.193305350702303E-2</v>
      </c>
      <c r="K359" s="320">
        <v>0</v>
      </c>
      <c r="L359" s="319">
        <v>0</v>
      </c>
      <c r="M359" s="319">
        <v>0</v>
      </c>
      <c r="N359" s="319">
        <v>0</v>
      </c>
      <c r="O359" s="320">
        <v>0</v>
      </c>
      <c r="P359" s="320">
        <v>0</v>
      </c>
      <c r="Q359" s="319">
        <v>0</v>
      </c>
      <c r="R359" s="320">
        <v>0</v>
      </c>
      <c r="S359" s="320">
        <v>6.193305350702303E-2</v>
      </c>
      <c r="T359" s="320"/>
      <c r="U359" s="320"/>
      <c r="V359" s="316"/>
    </row>
    <row r="360" spans="1:22">
      <c r="A360" s="311"/>
      <c r="B360" s="291" t="s">
        <v>799</v>
      </c>
      <c r="C360" s="308">
        <v>2.4287561283605143E-3</v>
      </c>
      <c r="D360" s="309">
        <v>0</v>
      </c>
      <c r="E360" s="309">
        <v>0</v>
      </c>
      <c r="F360" s="309">
        <v>0</v>
      </c>
      <c r="G360" s="309">
        <v>0</v>
      </c>
      <c r="H360" s="309">
        <v>0</v>
      </c>
      <c r="I360" s="309">
        <v>0</v>
      </c>
      <c r="J360" s="310">
        <v>1.5224661524354064E-3</v>
      </c>
      <c r="K360" s="310">
        <v>0</v>
      </c>
      <c r="L360" s="309">
        <v>0</v>
      </c>
      <c r="M360" s="309">
        <v>0</v>
      </c>
      <c r="N360" s="309">
        <v>0</v>
      </c>
      <c r="O360" s="310">
        <v>0</v>
      </c>
      <c r="P360" s="310">
        <v>0</v>
      </c>
      <c r="Q360" s="309">
        <v>0</v>
      </c>
      <c r="R360" s="310">
        <v>0</v>
      </c>
      <c r="S360" s="310">
        <v>1.5224661524354064E-3</v>
      </c>
      <c r="T360" s="310"/>
      <c r="U360" s="310"/>
      <c r="V360" s="316"/>
    </row>
    <row r="361" spans="1:22">
      <c r="A361" s="311"/>
      <c r="B361" s="312" t="s">
        <v>800</v>
      </c>
      <c r="C361" s="313">
        <v>2.6929982046678637E-3</v>
      </c>
      <c r="D361" s="314">
        <v>0</v>
      </c>
      <c r="E361" s="314">
        <v>0</v>
      </c>
      <c r="F361" s="314">
        <v>0</v>
      </c>
      <c r="G361" s="314">
        <v>0</v>
      </c>
      <c r="H361" s="314">
        <v>0</v>
      </c>
      <c r="I361" s="314">
        <v>0</v>
      </c>
      <c r="J361" s="315">
        <v>1.7210992086946196E-3</v>
      </c>
      <c r="K361" s="315">
        <v>0</v>
      </c>
      <c r="L361" s="314">
        <v>0</v>
      </c>
      <c r="M361" s="314">
        <v>0</v>
      </c>
      <c r="N361" s="314">
        <v>0</v>
      </c>
      <c r="O361" s="315">
        <v>0</v>
      </c>
      <c r="P361" s="315">
        <v>0</v>
      </c>
      <c r="Q361" s="314">
        <v>0</v>
      </c>
      <c r="R361" s="315">
        <v>0</v>
      </c>
      <c r="S361" s="315">
        <v>1.7210992086946196E-3</v>
      </c>
      <c r="T361" s="315"/>
      <c r="U361" s="315"/>
      <c r="V361" s="316"/>
    </row>
    <row r="362" spans="1:22">
      <c r="A362" s="311"/>
      <c r="B362" s="317" t="s">
        <v>801</v>
      </c>
      <c r="C362" s="318">
        <v>2.6424207630734935E-2</v>
      </c>
      <c r="D362" s="319">
        <v>0</v>
      </c>
      <c r="E362" s="319">
        <v>0</v>
      </c>
      <c r="F362" s="319">
        <v>0</v>
      </c>
      <c r="G362" s="319">
        <v>0</v>
      </c>
      <c r="H362" s="319">
        <v>0</v>
      </c>
      <c r="I362" s="319">
        <v>0</v>
      </c>
      <c r="J362" s="320">
        <v>1.9863305625921313E-2</v>
      </c>
      <c r="K362" s="320">
        <v>0</v>
      </c>
      <c r="L362" s="319">
        <v>0</v>
      </c>
      <c r="M362" s="319">
        <v>0</v>
      </c>
      <c r="N362" s="319">
        <v>0</v>
      </c>
      <c r="O362" s="320">
        <v>0</v>
      </c>
      <c r="P362" s="320">
        <v>0</v>
      </c>
      <c r="Q362" s="319">
        <v>0</v>
      </c>
      <c r="R362" s="320">
        <v>0</v>
      </c>
      <c r="S362" s="320">
        <v>1.9863305625921313E-2</v>
      </c>
      <c r="T362" s="320"/>
      <c r="U362" s="320"/>
      <c r="V362" s="316"/>
    </row>
    <row r="363" spans="1:22">
      <c r="A363" s="311"/>
      <c r="B363" s="291" t="s">
        <v>802</v>
      </c>
      <c r="C363" s="308">
        <v>0</v>
      </c>
      <c r="D363" s="309">
        <v>0</v>
      </c>
      <c r="E363" s="309">
        <v>0</v>
      </c>
      <c r="F363" s="309">
        <v>0</v>
      </c>
      <c r="G363" s="309">
        <v>0</v>
      </c>
      <c r="H363" s="309">
        <v>0</v>
      </c>
      <c r="I363" s="309">
        <v>0</v>
      </c>
      <c r="J363" s="310">
        <v>0</v>
      </c>
      <c r="K363" s="310">
        <v>0</v>
      </c>
      <c r="L363" s="309">
        <v>0</v>
      </c>
      <c r="M363" s="309">
        <v>0</v>
      </c>
      <c r="N363" s="309">
        <v>0</v>
      </c>
      <c r="O363" s="310">
        <v>0</v>
      </c>
      <c r="P363" s="310">
        <v>0</v>
      </c>
      <c r="Q363" s="309">
        <v>0</v>
      </c>
      <c r="R363" s="310">
        <v>0</v>
      </c>
      <c r="S363" s="310">
        <v>0</v>
      </c>
      <c r="T363" s="310"/>
      <c r="U363" s="310"/>
      <c r="V363" s="316"/>
    </row>
    <row r="364" spans="1:22">
      <c r="A364" s="311"/>
      <c r="B364" s="312" t="s">
        <v>803</v>
      </c>
      <c r="C364" s="313">
        <v>0</v>
      </c>
      <c r="D364" s="314">
        <v>0</v>
      </c>
      <c r="E364" s="314">
        <v>0</v>
      </c>
      <c r="F364" s="314">
        <v>0</v>
      </c>
      <c r="G364" s="314">
        <v>0</v>
      </c>
      <c r="H364" s="314">
        <v>0</v>
      </c>
      <c r="I364" s="314">
        <v>0</v>
      </c>
      <c r="J364" s="315">
        <v>0</v>
      </c>
      <c r="K364" s="315">
        <v>0</v>
      </c>
      <c r="L364" s="314">
        <v>0</v>
      </c>
      <c r="M364" s="314">
        <v>0</v>
      </c>
      <c r="N364" s="314">
        <v>0</v>
      </c>
      <c r="O364" s="315">
        <v>0</v>
      </c>
      <c r="P364" s="315">
        <v>0</v>
      </c>
      <c r="Q364" s="314">
        <v>0</v>
      </c>
      <c r="R364" s="315">
        <v>0</v>
      </c>
      <c r="S364" s="315">
        <v>0</v>
      </c>
      <c r="T364" s="315"/>
      <c r="U364" s="315"/>
      <c r="V364" s="316"/>
    </row>
    <row r="365" spans="1:22" ht="15.75" thickBot="1">
      <c r="A365" s="329"/>
      <c r="B365" s="330" t="s">
        <v>804</v>
      </c>
      <c r="C365" s="331">
        <v>0</v>
      </c>
      <c r="D365" s="332">
        <v>0</v>
      </c>
      <c r="E365" s="332">
        <v>0</v>
      </c>
      <c r="F365" s="332">
        <v>0</v>
      </c>
      <c r="G365" s="332">
        <v>0</v>
      </c>
      <c r="H365" s="332">
        <v>0</v>
      </c>
      <c r="I365" s="332">
        <v>0</v>
      </c>
      <c r="J365" s="333">
        <v>0</v>
      </c>
      <c r="K365" s="333">
        <v>0</v>
      </c>
      <c r="L365" s="332">
        <v>0</v>
      </c>
      <c r="M365" s="332">
        <v>0</v>
      </c>
      <c r="N365" s="332">
        <v>0</v>
      </c>
      <c r="O365" s="333">
        <v>0</v>
      </c>
      <c r="P365" s="333">
        <v>0</v>
      </c>
      <c r="Q365" s="332">
        <v>0</v>
      </c>
      <c r="R365" s="333">
        <v>0</v>
      </c>
      <c r="S365" s="333">
        <v>0</v>
      </c>
      <c r="T365" s="333"/>
      <c r="U365" s="333"/>
      <c r="V365" s="316"/>
    </row>
    <row r="366" spans="1:22">
      <c r="A366" s="307" t="s">
        <v>558</v>
      </c>
      <c r="B366" s="291" t="s">
        <v>769</v>
      </c>
      <c r="C366" s="308">
        <v>0.86651818634405264</v>
      </c>
      <c r="D366" s="309">
        <v>0</v>
      </c>
      <c r="E366" s="309">
        <v>0.80775748343695108</v>
      </c>
      <c r="F366" s="309">
        <v>0.65403103815339791</v>
      </c>
      <c r="G366" s="309">
        <v>0.81626382397826713</v>
      </c>
      <c r="H366" s="309">
        <v>0.77180054040776225</v>
      </c>
      <c r="I366" s="309">
        <v>0</v>
      </c>
      <c r="J366" s="310">
        <v>0.83235597930951144</v>
      </c>
      <c r="K366" s="310">
        <v>0.64594439066605402</v>
      </c>
      <c r="L366" s="309">
        <v>0.67306970785772469</v>
      </c>
      <c r="M366" s="309">
        <v>0.69441135663012876</v>
      </c>
      <c r="N366" s="309">
        <v>0.69041134997914844</v>
      </c>
      <c r="O366" s="310">
        <v>0.67657572745287897</v>
      </c>
      <c r="P366" s="310">
        <v>0</v>
      </c>
      <c r="Q366" s="309">
        <v>0</v>
      </c>
      <c r="R366" s="310">
        <v>0</v>
      </c>
      <c r="S366" s="310">
        <v>0.77742605678852772</v>
      </c>
      <c r="T366" s="310"/>
      <c r="U366" s="310"/>
      <c r="V366" s="316"/>
    </row>
    <row r="367" spans="1:22">
      <c r="A367" s="311"/>
      <c r="B367" s="312" t="s">
        <v>770</v>
      </c>
      <c r="C367" s="313">
        <v>0.86494253114380415</v>
      </c>
      <c r="D367" s="314">
        <v>0</v>
      </c>
      <c r="E367" s="314">
        <v>0.53684526433962332</v>
      </c>
      <c r="F367" s="314">
        <v>0.65792076258564192</v>
      </c>
      <c r="G367" s="314">
        <v>0.80373139972178365</v>
      </c>
      <c r="H367" s="314">
        <v>0.77587381686444623</v>
      </c>
      <c r="I367" s="314">
        <v>0</v>
      </c>
      <c r="J367" s="315">
        <v>0.76734228363420742</v>
      </c>
      <c r="K367" s="315">
        <v>0.65786161629836881</v>
      </c>
      <c r="L367" s="314">
        <v>0.6473601858329916</v>
      </c>
      <c r="M367" s="314">
        <v>0.70152912178199744</v>
      </c>
      <c r="N367" s="314">
        <v>0.6863591249688028</v>
      </c>
      <c r="O367" s="315">
        <v>0.66775619157078425</v>
      </c>
      <c r="P367" s="315">
        <v>0</v>
      </c>
      <c r="Q367" s="314">
        <v>0</v>
      </c>
      <c r="R367" s="315">
        <v>0</v>
      </c>
      <c r="S367" s="315">
        <v>0.73161854728906095</v>
      </c>
      <c r="T367" s="315"/>
      <c r="U367" s="315"/>
      <c r="V367" s="316"/>
    </row>
    <row r="368" spans="1:22">
      <c r="A368" s="311"/>
      <c r="B368" s="317" t="s">
        <v>771</v>
      </c>
      <c r="C368" s="318">
        <v>-0.15756552002484936</v>
      </c>
      <c r="D368" s="319">
        <v>0</v>
      </c>
      <c r="E368" s="321">
        <v>-27.091221909732777</v>
      </c>
      <c r="F368" s="319">
        <v>0.38897244322440017</v>
      </c>
      <c r="G368" s="319">
        <v>-1.2532424256483488</v>
      </c>
      <c r="H368" s="319">
        <v>0.4073276456683983</v>
      </c>
      <c r="I368" s="319">
        <v>0</v>
      </c>
      <c r="J368" s="320">
        <v>-6.5013695675304017</v>
      </c>
      <c r="K368" s="320">
        <v>1.1917225632314787</v>
      </c>
      <c r="L368" s="319">
        <v>-2.5709522024733089</v>
      </c>
      <c r="M368" s="319">
        <v>0.71177651518686824</v>
      </c>
      <c r="N368" s="319">
        <v>-0.40522250103456336</v>
      </c>
      <c r="O368" s="320">
        <v>-0.88195358820947201</v>
      </c>
      <c r="P368" s="320">
        <v>0</v>
      </c>
      <c r="Q368" s="319">
        <v>0</v>
      </c>
      <c r="R368" s="320">
        <v>0</v>
      </c>
      <c r="S368" s="320">
        <v>-4.580750949946677</v>
      </c>
      <c r="T368" s="320"/>
      <c r="U368" s="320"/>
      <c r="V368" s="316"/>
    </row>
    <row r="369" spans="1:22">
      <c r="A369" s="311"/>
      <c r="B369" s="291" t="s">
        <v>772</v>
      </c>
      <c r="C369" s="308">
        <v>1.1841991982062578E-2</v>
      </c>
      <c r="D369" s="309">
        <v>0</v>
      </c>
      <c r="E369" s="309">
        <v>5.329693957129217E-3</v>
      </c>
      <c r="F369" s="309">
        <v>6.3757073225390775E-3</v>
      </c>
      <c r="G369" s="309">
        <v>5.995587211530394E-3</v>
      </c>
      <c r="H369" s="309">
        <v>7.6281144814674658E-3</v>
      </c>
      <c r="I369" s="309">
        <v>0</v>
      </c>
      <c r="J369" s="310">
        <v>9.0062874449897291E-3</v>
      </c>
      <c r="K369" s="310">
        <v>7.0959223093085194E-2</v>
      </c>
      <c r="L369" s="309">
        <v>6.800090586752025E-2</v>
      </c>
      <c r="M369" s="309">
        <v>4.2203693046205457E-2</v>
      </c>
      <c r="N369" s="309">
        <v>7.8250817969867367E-2</v>
      </c>
      <c r="O369" s="310">
        <v>6.6958084372296139E-2</v>
      </c>
      <c r="P369" s="310">
        <v>0</v>
      </c>
      <c r="Q369" s="309">
        <v>0</v>
      </c>
      <c r="R369" s="310">
        <v>0</v>
      </c>
      <c r="S369" s="310">
        <v>2.9440762785922961E-2</v>
      </c>
      <c r="T369" s="310"/>
      <c r="U369" s="310"/>
      <c r="V369" s="316"/>
    </row>
    <row r="370" spans="1:22">
      <c r="A370" s="311"/>
      <c r="B370" s="312" t="s">
        <v>773</v>
      </c>
      <c r="C370" s="313">
        <v>9.3785485918768414E-3</v>
      </c>
      <c r="D370" s="314">
        <v>0</v>
      </c>
      <c r="E370" s="314">
        <v>0.25829476952489633</v>
      </c>
      <c r="F370" s="314">
        <v>4.968722073279714E-3</v>
      </c>
      <c r="G370" s="314">
        <v>8.3785759629289268E-3</v>
      </c>
      <c r="H370" s="314">
        <v>1.3020394119909059E-3</v>
      </c>
      <c r="I370" s="314">
        <v>0</v>
      </c>
      <c r="J370" s="315">
        <v>6.4493133207692677E-2</v>
      </c>
      <c r="K370" s="315">
        <v>4.3092598442569109E-2</v>
      </c>
      <c r="L370" s="314">
        <v>5.5513815125123642E-2</v>
      </c>
      <c r="M370" s="314">
        <v>2.6460653642505022E-2</v>
      </c>
      <c r="N370" s="314">
        <v>6.2397339385110079E-2</v>
      </c>
      <c r="O370" s="315">
        <v>5.0697521734049227E-2</v>
      </c>
      <c r="P370" s="315">
        <v>0</v>
      </c>
      <c r="Q370" s="314">
        <v>0</v>
      </c>
      <c r="R370" s="315">
        <v>0</v>
      </c>
      <c r="S370" s="315">
        <v>5.9544341897650628E-2</v>
      </c>
      <c r="T370" s="315"/>
      <c r="U370" s="315"/>
      <c r="V370" s="316"/>
    </row>
    <row r="371" spans="1:22">
      <c r="A371" s="311"/>
      <c r="B371" s="317" t="s">
        <v>774</v>
      </c>
      <c r="C371" s="318">
        <v>-0.24634433901857372</v>
      </c>
      <c r="D371" s="319">
        <v>0</v>
      </c>
      <c r="E371" s="321">
        <v>25.29650755677671</v>
      </c>
      <c r="F371" s="319">
        <v>-0.14069852492593635</v>
      </c>
      <c r="G371" s="319">
        <v>0.23829887513985326</v>
      </c>
      <c r="H371" s="319">
        <v>-0.632607506947656</v>
      </c>
      <c r="I371" s="319">
        <v>0</v>
      </c>
      <c r="J371" s="320">
        <v>5.5486845762702952</v>
      </c>
      <c r="K371" s="320">
        <v>-2.7866624650516085</v>
      </c>
      <c r="L371" s="319">
        <v>-1.2487090742396609</v>
      </c>
      <c r="M371" s="319">
        <v>-1.5743039403700434</v>
      </c>
      <c r="N371" s="319">
        <v>-1.5853478584757288</v>
      </c>
      <c r="O371" s="320">
        <v>-1.6260562638246914</v>
      </c>
      <c r="P371" s="320">
        <v>0</v>
      </c>
      <c r="Q371" s="319">
        <v>0</v>
      </c>
      <c r="R371" s="320">
        <v>0</v>
      </c>
      <c r="S371" s="320">
        <v>3.0103579111727665</v>
      </c>
      <c r="T371" s="320"/>
      <c r="U371" s="320"/>
      <c r="V371" s="316"/>
    </row>
    <row r="372" spans="1:22">
      <c r="A372" s="311"/>
      <c r="B372" s="291" t="s">
        <v>775</v>
      </c>
      <c r="C372" s="308">
        <v>0.10279055665148175</v>
      </c>
      <c r="D372" s="309">
        <v>0</v>
      </c>
      <c r="E372" s="309">
        <v>0.17700232502204763</v>
      </c>
      <c r="F372" s="309">
        <v>0.29908678357330942</v>
      </c>
      <c r="G372" s="309">
        <v>0.12085960937978327</v>
      </c>
      <c r="H372" s="309">
        <v>0.20589270183964362</v>
      </c>
      <c r="I372" s="309">
        <v>0</v>
      </c>
      <c r="J372" s="310">
        <v>0.13465461930358652</v>
      </c>
      <c r="K372" s="310">
        <v>0.27453149604542959</v>
      </c>
      <c r="L372" s="309">
        <v>0.25820773435096961</v>
      </c>
      <c r="M372" s="309">
        <v>0.19737141480519829</v>
      </c>
      <c r="N372" s="309">
        <v>0.19338794862393538</v>
      </c>
      <c r="O372" s="310">
        <v>0.23449320729088166</v>
      </c>
      <c r="P372" s="310">
        <v>0</v>
      </c>
      <c r="Q372" s="309">
        <v>0</v>
      </c>
      <c r="R372" s="310">
        <v>0</v>
      </c>
      <c r="S372" s="310">
        <v>0.16985886270019937</v>
      </c>
      <c r="T372" s="310"/>
      <c r="U372" s="310"/>
      <c r="V372" s="316"/>
    </row>
    <row r="373" spans="1:22">
      <c r="A373" s="311"/>
      <c r="B373" s="312" t="s">
        <v>776</v>
      </c>
      <c r="C373" s="313">
        <v>0.12007659720679989</v>
      </c>
      <c r="D373" s="314">
        <v>0</v>
      </c>
      <c r="E373" s="314">
        <v>0.19420783330060504</v>
      </c>
      <c r="F373" s="314">
        <v>0.30199582960977062</v>
      </c>
      <c r="G373" s="314">
        <v>0.13507245313978883</v>
      </c>
      <c r="H373" s="314">
        <v>0.20535792591193355</v>
      </c>
      <c r="I373" s="314">
        <v>0</v>
      </c>
      <c r="J373" s="315">
        <v>0.15108483742637072</v>
      </c>
      <c r="K373" s="315">
        <v>0.28771354503562635</v>
      </c>
      <c r="L373" s="314">
        <v>0.29635743900631734</v>
      </c>
      <c r="M373" s="314">
        <v>0.20296238816870549</v>
      </c>
      <c r="N373" s="314">
        <v>0.21212077241411334</v>
      </c>
      <c r="O373" s="315">
        <v>0.25823675616849501</v>
      </c>
      <c r="P373" s="315">
        <v>0</v>
      </c>
      <c r="Q373" s="314">
        <v>0</v>
      </c>
      <c r="R373" s="315">
        <v>0</v>
      </c>
      <c r="S373" s="315">
        <v>0.18952260333029192</v>
      </c>
      <c r="T373" s="315"/>
      <c r="U373" s="315"/>
      <c r="V373" s="316"/>
    </row>
    <row r="374" spans="1:22">
      <c r="A374" s="311"/>
      <c r="B374" s="317" t="s">
        <v>777</v>
      </c>
      <c r="C374" s="318">
        <v>1.7286040555318141</v>
      </c>
      <c r="D374" s="319">
        <v>0</v>
      </c>
      <c r="E374" s="319">
        <v>1.7205508278557406</v>
      </c>
      <c r="F374" s="319">
        <v>0.29090460364611936</v>
      </c>
      <c r="G374" s="319">
        <v>1.421284376000556</v>
      </c>
      <c r="H374" s="319">
        <v>-5.3477592771006277E-2</v>
      </c>
      <c r="I374" s="319">
        <v>0</v>
      </c>
      <c r="J374" s="320">
        <v>1.6430218122784197</v>
      </c>
      <c r="K374" s="320">
        <v>1.318204899019676</v>
      </c>
      <c r="L374" s="319">
        <v>3.8149704655347727</v>
      </c>
      <c r="M374" s="319">
        <v>0.55909733635071956</v>
      </c>
      <c r="N374" s="319">
        <v>1.8732823790177959</v>
      </c>
      <c r="O374" s="320">
        <v>2.3743548877613345</v>
      </c>
      <c r="P374" s="320">
        <v>0</v>
      </c>
      <c r="Q374" s="319">
        <v>0</v>
      </c>
      <c r="R374" s="320">
        <v>0</v>
      </c>
      <c r="S374" s="320">
        <v>1.9663740630092548</v>
      </c>
      <c r="T374" s="320"/>
      <c r="U374" s="320"/>
      <c r="V374" s="316"/>
    </row>
    <row r="375" spans="1:22">
      <c r="A375" s="311"/>
      <c r="B375" s="291" t="s">
        <v>778</v>
      </c>
      <c r="C375" s="308">
        <v>1.5258786229510652E-2</v>
      </c>
      <c r="D375" s="309">
        <v>0</v>
      </c>
      <c r="E375" s="309">
        <v>1.8804253551307187E-3</v>
      </c>
      <c r="F375" s="309">
        <v>2.6410443162081909E-2</v>
      </c>
      <c r="G375" s="309">
        <v>4.8118895850482207E-2</v>
      </c>
      <c r="H375" s="309">
        <v>1.467864327112669E-2</v>
      </c>
      <c r="I375" s="309">
        <v>0</v>
      </c>
      <c r="J375" s="310">
        <v>1.8399254705838787E-2</v>
      </c>
      <c r="K375" s="310">
        <v>8.5648901954311664E-3</v>
      </c>
      <c r="L375" s="309">
        <v>0</v>
      </c>
      <c r="M375" s="309">
        <v>5.9553604489830519E-2</v>
      </c>
      <c r="N375" s="309">
        <v>3.7558041574420567E-2</v>
      </c>
      <c r="O375" s="310">
        <v>2.0530921264976128E-2</v>
      </c>
      <c r="P375" s="310">
        <v>0</v>
      </c>
      <c r="Q375" s="309">
        <v>0</v>
      </c>
      <c r="R375" s="310">
        <v>0</v>
      </c>
      <c r="S375" s="310">
        <v>1.9150905043660481E-2</v>
      </c>
      <c r="T375" s="310"/>
      <c r="U375" s="310"/>
      <c r="V375" s="316"/>
    </row>
    <row r="376" spans="1:22">
      <c r="A376" s="311"/>
      <c r="B376" s="312" t="s">
        <v>779</v>
      </c>
      <c r="C376" s="313">
        <v>1.2922635983088275E-3</v>
      </c>
      <c r="D376" s="314">
        <v>0</v>
      </c>
      <c r="E376" s="314">
        <v>3.1085702429427303E-3</v>
      </c>
      <c r="F376" s="314">
        <v>2.2591599642537982E-2</v>
      </c>
      <c r="G376" s="314">
        <v>4.4191488045174643E-2</v>
      </c>
      <c r="H376" s="314">
        <v>1.7466217811629305E-2</v>
      </c>
      <c r="I376" s="314">
        <v>0</v>
      </c>
      <c r="J376" s="315">
        <v>1.123770485659726E-2</v>
      </c>
      <c r="K376" s="315">
        <v>1.0735542618750345E-2</v>
      </c>
      <c r="L376" s="314">
        <v>8.7884667744259057E-5</v>
      </c>
      <c r="M376" s="314">
        <v>6.2639218550301259E-2</v>
      </c>
      <c r="N376" s="314">
        <v>3.885867514844072E-2</v>
      </c>
      <c r="O376" s="315">
        <v>2.1814070131063071E-2</v>
      </c>
      <c r="P376" s="315">
        <v>0</v>
      </c>
      <c r="Q376" s="314">
        <v>0</v>
      </c>
      <c r="R376" s="315">
        <v>0</v>
      </c>
      <c r="S376" s="315">
        <v>1.5031681271640769E-2</v>
      </c>
      <c r="T376" s="315"/>
      <c r="U376" s="315"/>
      <c r="V376" s="316"/>
    </row>
    <row r="377" spans="1:22">
      <c r="A377" s="311"/>
      <c r="B377" s="317" t="s">
        <v>780</v>
      </c>
      <c r="C377" s="318">
        <v>-1.3966522631201823</v>
      </c>
      <c r="D377" s="319">
        <v>0</v>
      </c>
      <c r="E377" s="319">
        <v>0.12281448878120116</v>
      </c>
      <c r="F377" s="319">
        <v>-0.38188435195439274</v>
      </c>
      <c r="G377" s="319">
        <v>-0.39274078053075645</v>
      </c>
      <c r="H377" s="319">
        <v>0.27875745405026142</v>
      </c>
      <c r="I377" s="319">
        <v>0</v>
      </c>
      <c r="J377" s="320">
        <v>-0.71615498492415275</v>
      </c>
      <c r="K377" s="320">
        <v>0.21706524233191787</v>
      </c>
      <c r="L377" s="319">
        <v>0</v>
      </c>
      <c r="M377" s="319">
        <v>0.30856140604707399</v>
      </c>
      <c r="N377" s="319">
        <v>0.13006335740201533</v>
      </c>
      <c r="O377" s="320">
        <v>0.12831488660869431</v>
      </c>
      <c r="P377" s="320">
        <v>0</v>
      </c>
      <c r="Q377" s="319">
        <v>0</v>
      </c>
      <c r="R377" s="320">
        <v>0</v>
      </c>
      <c r="S377" s="320">
        <v>-0.41192237720197122</v>
      </c>
      <c r="T377" s="320"/>
      <c r="U377" s="320"/>
      <c r="V377" s="316"/>
    </row>
    <row r="378" spans="1:22">
      <c r="A378" s="311"/>
      <c r="B378" s="291" t="s">
        <v>781</v>
      </c>
      <c r="C378" s="308">
        <v>2.1665649763616831E-3</v>
      </c>
      <c r="D378" s="309">
        <v>0</v>
      </c>
      <c r="E378" s="309">
        <v>8.0300722287413532E-3</v>
      </c>
      <c r="F378" s="309">
        <v>1.4096027788671634E-2</v>
      </c>
      <c r="G378" s="309">
        <v>8.762083579937005E-3</v>
      </c>
      <c r="H378" s="309">
        <v>0</v>
      </c>
      <c r="I378" s="309">
        <v>0</v>
      </c>
      <c r="J378" s="310">
        <v>4.8424630568754557E-3</v>
      </c>
      <c r="K378" s="310">
        <v>0</v>
      </c>
      <c r="L378" s="309">
        <v>7.2165192378544464E-4</v>
      </c>
      <c r="M378" s="309">
        <v>6.4599310286369456E-3</v>
      </c>
      <c r="N378" s="309">
        <v>3.9184185262827921E-4</v>
      </c>
      <c r="O378" s="310">
        <v>1.4420596189670559E-3</v>
      </c>
      <c r="P378" s="310">
        <v>0</v>
      </c>
      <c r="Q378" s="309">
        <v>0</v>
      </c>
      <c r="R378" s="310">
        <v>0</v>
      </c>
      <c r="S378" s="310">
        <v>3.6434413891207012E-3</v>
      </c>
      <c r="T378" s="310"/>
      <c r="U378" s="310"/>
      <c r="V378" s="316"/>
    </row>
    <row r="379" spans="1:22">
      <c r="A379" s="311"/>
      <c r="B379" s="312" t="s">
        <v>782</v>
      </c>
      <c r="C379" s="313">
        <v>3.4812341033559463E-3</v>
      </c>
      <c r="D379" s="314">
        <v>0</v>
      </c>
      <c r="E379" s="314">
        <v>7.5435625919325379E-3</v>
      </c>
      <c r="F379" s="314">
        <v>1.2523086088769736E-2</v>
      </c>
      <c r="G379" s="314">
        <v>8.6260831303239822E-3</v>
      </c>
      <c r="H379" s="314">
        <v>0</v>
      </c>
      <c r="I379" s="314">
        <v>0</v>
      </c>
      <c r="J379" s="315">
        <v>5.4302248790160388E-3</v>
      </c>
      <c r="K379" s="315">
        <v>0</v>
      </c>
      <c r="L379" s="314">
        <v>6.6516630880949015E-4</v>
      </c>
      <c r="M379" s="314">
        <v>6.4086178564907795E-3</v>
      </c>
      <c r="N379" s="314">
        <v>2.6408808353309228E-4</v>
      </c>
      <c r="O379" s="315">
        <v>1.4001796934492285E-3</v>
      </c>
      <c r="P379" s="315">
        <v>0</v>
      </c>
      <c r="Q379" s="314">
        <v>0</v>
      </c>
      <c r="R379" s="315">
        <v>0</v>
      </c>
      <c r="S379" s="315">
        <v>3.9845584341822882E-3</v>
      </c>
      <c r="T379" s="315"/>
      <c r="U379" s="315"/>
      <c r="V379" s="316"/>
    </row>
    <row r="380" spans="1:22">
      <c r="A380" s="311"/>
      <c r="B380" s="317" t="s">
        <v>783</v>
      </c>
      <c r="C380" s="318">
        <v>0.13146691269942634</v>
      </c>
      <c r="D380" s="319">
        <v>0</v>
      </c>
      <c r="E380" s="319">
        <v>-4.865096368088153E-2</v>
      </c>
      <c r="F380" s="319">
        <v>-0.1572941699901898</v>
      </c>
      <c r="G380" s="319">
        <v>-1.3600044961302286E-2</v>
      </c>
      <c r="H380" s="319">
        <v>0</v>
      </c>
      <c r="I380" s="319">
        <v>0</v>
      </c>
      <c r="J380" s="320">
        <v>5.8776182214058309E-2</v>
      </c>
      <c r="K380" s="320">
        <v>0</v>
      </c>
      <c r="L380" s="319">
        <v>-5.6485614975954491E-3</v>
      </c>
      <c r="M380" s="319">
        <v>-5.1313172146166125E-3</v>
      </c>
      <c r="N380" s="319">
        <v>-1.2775376909518693E-2</v>
      </c>
      <c r="O380" s="320">
        <v>-4.1879925517827399E-3</v>
      </c>
      <c r="P380" s="320">
        <v>0</v>
      </c>
      <c r="Q380" s="319">
        <v>0</v>
      </c>
      <c r="R380" s="320">
        <v>0</v>
      </c>
      <c r="S380" s="320">
        <v>3.4111704506158698E-2</v>
      </c>
      <c r="T380" s="320"/>
      <c r="U380" s="320"/>
      <c r="V380" s="316"/>
    </row>
    <row r="381" spans="1:22">
      <c r="A381" s="311"/>
      <c r="B381" s="291" t="s">
        <v>784</v>
      </c>
      <c r="C381" s="308">
        <v>1.423913816530726E-3</v>
      </c>
      <c r="D381" s="309">
        <v>0</v>
      </c>
      <c r="E381" s="309">
        <v>0</v>
      </c>
      <c r="F381" s="309">
        <v>0</v>
      </c>
      <c r="G381" s="309">
        <v>0</v>
      </c>
      <c r="H381" s="309">
        <v>0</v>
      </c>
      <c r="I381" s="309">
        <v>0</v>
      </c>
      <c r="J381" s="310">
        <v>7.4139617919802921E-4</v>
      </c>
      <c r="K381" s="310">
        <v>0</v>
      </c>
      <c r="L381" s="309">
        <v>0</v>
      </c>
      <c r="M381" s="309">
        <v>0</v>
      </c>
      <c r="N381" s="309">
        <v>0</v>
      </c>
      <c r="O381" s="310">
        <v>0</v>
      </c>
      <c r="P381" s="310">
        <v>0</v>
      </c>
      <c r="Q381" s="309">
        <v>0</v>
      </c>
      <c r="R381" s="310">
        <v>0</v>
      </c>
      <c r="S381" s="310">
        <v>4.7997129256874732E-4</v>
      </c>
      <c r="T381" s="310"/>
      <c r="U381" s="310"/>
      <c r="V381" s="316"/>
    </row>
    <row r="382" spans="1:22">
      <c r="A382" s="311"/>
      <c r="B382" s="312" t="s">
        <v>785</v>
      </c>
      <c r="C382" s="313">
        <v>8.2882535585436479E-4</v>
      </c>
      <c r="D382" s="314">
        <v>0</v>
      </c>
      <c r="E382" s="314">
        <v>0</v>
      </c>
      <c r="F382" s="314">
        <v>0</v>
      </c>
      <c r="G382" s="314">
        <v>0</v>
      </c>
      <c r="H382" s="314">
        <v>0</v>
      </c>
      <c r="I382" s="314">
        <v>0</v>
      </c>
      <c r="J382" s="315">
        <v>4.1181599611585479E-4</v>
      </c>
      <c r="K382" s="315">
        <v>5.9669760468532979E-4</v>
      </c>
      <c r="L382" s="314">
        <v>1.5509059013692777E-5</v>
      </c>
      <c r="M382" s="314">
        <v>0</v>
      </c>
      <c r="N382" s="314">
        <v>0</v>
      </c>
      <c r="O382" s="315">
        <v>9.5280702159224477E-5</v>
      </c>
      <c r="P382" s="315">
        <v>0</v>
      </c>
      <c r="Q382" s="314">
        <v>0</v>
      </c>
      <c r="R382" s="315">
        <v>0</v>
      </c>
      <c r="S382" s="315">
        <v>2.9826777717340946E-4</v>
      </c>
      <c r="T382" s="315"/>
      <c r="U382" s="315"/>
      <c r="V382" s="316"/>
    </row>
    <row r="383" spans="1:22" ht="15.75" thickBot="1">
      <c r="A383" s="311"/>
      <c r="B383" s="325" t="s">
        <v>786</v>
      </c>
      <c r="C383" s="326">
        <v>-5.9508846067636123E-2</v>
      </c>
      <c r="D383" s="327">
        <v>0</v>
      </c>
      <c r="E383" s="327">
        <v>0</v>
      </c>
      <c r="F383" s="327">
        <v>0</v>
      </c>
      <c r="G383" s="327">
        <v>0</v>
      </c>
      <c r="H383" s="327">
        <v>0</v>
      </c>
      <c r="I383" s="327">
        <v>0</v>
      </c>
      <c r="J383" s="328">
        <v>-3.2958018308217443E-2</v>
      </c>
      <c r="K383" s="328">
        <v>0</v>
      </c>
      <c r="L383" s="327">
        <v>0</v>
      </c>
      <c r="M383" s="327">
        <v>0</v>
      </c>
      <c r="N383" s="327">
        <v>0</v>
      </c>
      <c r="O383" s="328">
        <v>0</v>
      </c>
      <c r="P383" s="328">
        <v>0</v>
      </c>
      <c r="Q383" s="327">
        <v>0</v>
      </c>
      <c r="R383" s="328">
        <v>0</v>
      </c>
      <c r="S383" s="328">
        <v>-1.8170351539533787E-2</v>
      </c>
      <c r="T383" s="328"/>
      <c r="U383" s="328"/>
      <c r="V383" s="316"/>
    </row>
    <row r="384" spans="1:22" ht="15.75" thickTop="1">
      <c r="A384" s="311"/>
      <c r="B384" s="312" t="s">
        <v>787</v>
      </c>
      <c r="C384" s="313">
        <v>0.61115939392714458</v>
      </c>
      <c r="D384" s="314">
        <v>0</v>
      </c>
      <c r="E384" s="314">
        <v>0.84150525733259551</v>
      </c>
      <c r="F384" s="314">
        <v>0.4355448607768993</v>
      </c>
      <c r="G384" s="314">
        <v>0.47066556307512536</v>
      </c>
      <c r="H384" s="314">
        <v>1</v>
      </c>
      <c r="I384" s="314">
        <v>0</v>
      </c>
      <c r="J384" s="315">
        <v>0.6262984408318335</v>
      </c>
      <c r="K384" s="315">
        <v>0</v>
      </c>
      <c r="L384" s="314">
        <v>0</v>
      </c>
      <c r="M384" s="314">
        <v>0</v>
      </c>
      <c r="N384" s="314">
        <v>0</v>
      </c>
      <c r="O384" s="315">
        <v>0</v>
      </c>
      <c r="P384" s="315">
        <v>0</v>
      </c>
      <c r="Q384" s="314">
        <v>0</v>
      </c>
      <c r="R384" s="315">
        <v>0</v>
      </c>
      <c r="S384" s="315">
        <v>0.6262984408318335</v>
      </c>
      <c r="T384" s="315"/>
      <c r="U384" s="315"/>
      <c r="V384" s="316"/>
    </row>
    <row r="385" spans="1:22">
      <c r="A385" s="311"/>
      <c r="B385" s="312" t="s">
        <v>788</v>
      </c>
      <c r="C385" s="313">
        <v>0.75287422318292352</v>
      </c>
      <c r="D385" s="314">
        <v>0</v>
      </c>
      <c r="E385" s="314">
        <v>0.62333224861698666</v>
      </c>
      <c r="F385" s="314">
        <v>0.32346938775510203</v>
      </c>
      <c r="G385" s="314">
        <v>0.50286820767275808</v>
      </c>
      <c r="H385" s="314">
        <v>1</v>
      </c>
      <c r="I385" s="314">
        <v>0</v>
      </c>
      <c r="J385" s="315">
        <v>0.70219731214400094</v>
      </c>
      <c r="K385" s="315">
        <v>0</v>
      </c>
      <c r="L385" s="314">
        <v>0</v>
      </c>
      <c r="M385" s="314">
        <v>0</v>
      </c>
      <c r="N385" s="314">
        <v>0</v>
      </c>
      <c r="O385" s="315">
        <v>0</v>
      </c>
      <c r="P385" s="315">
        <v>0</v>
      </c>
      <c r="Q385" s="314">
        <v>0</v>
      </c>
      <c r="R385" s="315">
        <v>0</v>
      </c>
      <c r="S385" s="315">
        <v>0.70219731214400094</v>
      </c>
      <c r="T385" s="315"/>
      <c r="U385" s="315"/>
      <c r="V385" s="316"/>
    </row>
    <row r="386" spans="1:22">
      <c r="A386" s="311"/>
      <c r="B386" s="317" t="s">
        <v>789</v>
      </c>
      <c r="C386" s="337">
        <v>14.171482925577894</v>
      </c>
      <c r="D386" s="319">
        <v>0</v>
      </c>
      <c r="E386" s="321">
        <v>-21.817300871560885</v>
      </c>
      <c r="F386" s="321">
        <v>-11.207547302179727</v>
      </c>
      <c r="G386" s="319">
        <v>3.2202644597632721</v>
      </c>
      <c r="H386" s="319">
        <v>0</v>
      </c>
      <c r="I386" s="319">
        <v>0</v>
      </c>
      <c r="J386" s="320">
        <v>7.5898871312167433</v>
      </c>
      <c r="K386" s="320">
        <v>0</v>
      </c>
      <c r="L386" s="319">
        <v>0</v>
      </c>
      <c r="M386" s="319">
        <v>0</v>
      </c>
      <c r="N386" s="319">
        <v>0</v>
      </c>
      <c r="O386" s="320">
        <v>0</v>
      </c>
      <c r="P386" s="320">
        <v>0</v>
      </c>
      <c r="Q386" s="319">
        <v>0</v>
      </c>
      <c r="R386" s="320">
        <v>0</v>
      </c>
      <c r="S386" s="320">
        <v>7.5898871312167433</v>
      </c>
      <c r="T386" s="320"/>
      <c r="U386" s="320"/>
      <c r="V386" s="316"/>
    </row>
    <row r="387" spans="1:22">
      <c r="A387" s="311"/>
      <c r="B387" s="291" t="s">
        <v>790</v>
      </c>
      <c r="C387" s="308">
        <v>0.10868349603519481</v>
      </c>
      <c r="D387" s="309">
        <v>0</v>
      </c>
      <c r="E387" s="309">
        <v>1.2174875484228002E-3</v>
      </c>
      <c r="F387" s="309">
        <v>7.5799243726366455E-2</v>
      </c>
      <c r="G387" s="309">
        <v>7.8144018696139055E-3</v>
      </c>
      <c r="H387" s="309">
        <v>0</v>
      </c>
      <c r="I387" s="309">
        <v>0</v>
      </c>
      <c r="J387" s="310">
        <v>7.0451456290501591E-2</v>
      </c>
      <c r="K387" s="310">
        <v>0</v>
      </c>
      <c r="L387" s="309">
        <v>0</v>
      </c>
      <c r="M387" s="309">
        <v>0</v>
      </c>
      <c r="N387" s="309">
        <v>0</v>
      </c>
      <c r="O387" s="310">
        <v>0</v>
      </c>
      <c r="P387" s="310">
        <v>0</v>
      </c>
      <c r="Q387" s="309">
        <v>0</v>
      </c>
      <c r="R387" s="310">
        <v>0</v>
      </c>
      <c r="S387" s="310">
        <v>7.0451456290501591E-2</v>
      </c>
      <c r="T387" s="310"/>
      <c r="U387" s="310"/>
      <c r="V387" s="316"/>
    </row>
    <row r="388" spans="1:22">
      <c r="A388" s="311"/>
      <c r="B388" s="312" t="s">
        <v>791</v>
      </c>
      <c r="C388" s="313">
        <v>5.6491488786814377E-2</v>
      </c>
      <c r="D388" s="314">
        <v>0</v>
      </c>
      <c r="E388" s="314">
        <v>0.21821103156524568</v>
      </c>
      <c r="F388" s="314">
        <v>7.3852040816326528E-2</v>
      </c>
      <c r="G388" s="314">
        <v>4.9134696841340916E-3</v>
      </c>
      <c r="H388" s="314">
        <v>0</v>
      </c>
      <c r="I388" s="314">
        <v>0</v>
      </c>
      <c r="J388" s="315">
        <v>7.1546936127946811E-2</v>
      </c>
      <c r="K388" s="315">
        <v>0</v>
      </c>
      <c r="L388" s="314">
        <v>0</v>
      </c>
      <c r="M388" s="314">
        <v>0</v>
      </c>
      <c r="N388" s="314">
        <v>0</v>
      </c>
      <c r="O388" s="315">
        <v>0</v>
      </c>
      <c r="P388" s="315">
        <v>0</v>
      </c>
      <c r="Q388" s="314">
        <v>0</v>
      </c>
      <c r="R388" s="315">
        <v>0</v>
      </c>
      <c r="S388" s="315">
        <v>7.1546936127946811E-2</v>
      </c>
      <c r="T388" s="315"/>
      <c r="U388" s="315"/>
      <c r="V388" s="316"/>
    </row>
    <row r="389" spans="1:22">
      <c r="A389" s="311"/>
      <c r="B389" s="317" t="s">
        <v>792</v>
      </c>
      <c r="C389" s="337">
        <v>-5.2192007248380436</v>
      </c>
      <c r="D389" s="319">
        <v>0</v>
      </c>
      <c r="E389" s="321">
        <v>21.699354401682289</v>
      </c>
      <c r="F389" s="319">
        <v>-0.19472029100399274</v>
      </c>
      <c r="G389" s="319">
        <v>-0.29009321854798142</v>
      </c>
      <c r="H389" s="319">
        <v>0</v>
      </c>
      <c r="I389" s="319">
        <v>0</v>
      </c>
      <c r="J389" s="320">
        <v>0.10954798374452207</v>
      </c>
      <c r="K389" s="320">
        <v>0</v>
      </c>
      <c r="L389" s="319">
        <v>0</v>
      </c>
      <c r="M389" s="319">
        <v>0</v>
      </c>
      <c r="N389" s="319">
        <v>0</v>
      </c>
      <c r="O389" s="320">
        <v>0</v>
      </c>
      <c r="P389" s="320">
        <v>0</v>
      </c>
      <c r="Q389" s="319">
        <v>0</v>
      </c>
      <c r="R389" s="320">
        <v>0</v>
      </c>
      <c r="S389" s="320">
        <v>0.10954798374452207</v>
      </c>
      <c r="T389" s="320"/>
      <c r="U389" s="320"/>
      <c r="V389" s="316"/>
    </row>
    <row r="390" spans="1:22">
      <c r="A390" s="311"/>
      <c r="B390" s="291" t="s">
        <v>793</v>
      </c>
      <c r="C390" s="308">
        <v>0.25539813111816267</v>
      </c>
      <c r="D390" s="309">
        <v>0</v>
      </c>
      <c r="E390" s="309">
        <v>0.10893193137797455</v>
      </c>
      <c r="F390" s="309">
        <v>0.47679614987968372</v>
      </c>
      <c r="G390" s="309">
        <v>0.3980476167291494</v>
      </c>
      <c r="H390" s="309">
        <v>0</v>
      </c>
      <c r="I390" s="309">
        <v>0</v>
      </c>
      <c r="J390" s="310">
        <v>0.25752669623446961</v>
      </c>
      <c r="K390" s="310">
        <v>0</v>
      </c>
      <c r="L390" s="309">
        <v>0</v>
      </c>
      <c r="M390" s="309">
        <v>0</v>
      </c>
      <c r="N390" s="309">
        <v>0</v>
      </c>
      <c r="O390" s="310">
        <v>0</v>
      </c>
      <c r="P390" s="310">
        <v>0</v>
      </c>
      <c r="Q390" s="309">
        <v>0</v>
      </c>
      <c r="R390" s="310">
        <v>0</v>
      </c>
      <c r="S390" s="310">
        <v>0.25752669623446961</v>
      </c>
      <c r="T390" s="310"/>
      <c r="U390" s="310"/>
      <c r="V390" s="316"/>
    </row>
    <row r="391" spans="1:22">
      <c r="A391" s="311"/>
      <c r="B391" s="312" t="s">
        <v>794</v>
      </c>
      <c r="C391" s="313">
        <v>0.13028235611996758</v>
      </c>
      <c r="D391" s="314">
        <v>0</v>
      </c>
      <c r="E391" s="314">
        <v>0.11428164659941425</v>
      </c>
      <c r="F391" s="314">
        <v>0.59234693877551026</v>
      </c>
      <c r="G391" s="314">
        <v>0.38218564685949413</v>
      </c>
      <c r="H391" s="314">
        <v>0</v>
      </c>
      <c r="I391" s="314">
        <v>0</v>
      </c>
      <c r="J391" s="315">
        <v>0.16375195102669612</v>
      </c>
      <c r="K391" s="315">
        <v>0</v>
      </c>
      <c r="L391" s="314">
        <v>0</v>
      </c>
      <c r="M391" s="314">
        <v>0</v>
      </c>
      <c r="N391" s="314">
        <v>0</v>
      </c>
      <c r="O391" s="315">
        <v>0</v>
      </c>
      <c r="P391" s="315">
        <v>0</v>
      </c>
      <c r="Q391" s="314">
        <v>0</v>
      </c>
      <c r="R391" s="315">
        <v>0</v>
      </c>
      <c r="S391" s="315">
        <v>0.16375195102669612</v>
      </c>
      <c r="T391" s="315"/>
      <c r="U391" s="315"/>
      <c r="V391" s="316"/>
    </row>
    <row r="392" spans="1:22">
      <c r="A392" s="311"/>
      <c r="B392" s="317" t="s">
        <v>795</v>
      </c>
      <c r="C392" s="337">
        <v>-12.511577499819509</v>
      </c>
      <c r="D392" s="319">
        <v>0</v>
      </c>
      <c r="E392" s="319">
        <v>0.53497152214397048</v>
      </c>
      <c r="F392" s="321">
        <v>11.555078889582655</v>
      </c>
      <c r="G392" s="319">
        <v>-1.5861969869655268</v>
      </c>
      <c r="H392" s="319">
        <v>0</v>
      </c>
      <c r="I392" s="319">
        <v>0</v>
      </c>
      <c r="J392" s="320">
        <v>-9.3774745207773478</v>
      </c>
      <c r="K392" s="320">
        <v>0</v>
      </c>
      <c r="L392" s="319">
        <v>0</v>
      </c>
      <c r="M392" s="319">
        <v>0</v>
      </c>
      <c r="N392" s="319">
        <v>0</v>
      </c>
      <c r="O392" s="320">
        <v>0</v>
      </c>
      <c r="P392" s="320">
        <v>0</v>
      </c>
      <c r="Q392" s="319">
        <v>0</v>
      </c>
      <c r="R392" s="320">
        <v>0</v>
      </c>
      <c r="S392" s="320">
        <v>-9.3774745207773478</v>
      </c>
      <c r="T392" s="320"/>
      <c r="U392" s="320"/>
      <c r="V392" s="316"/>
    </row>
    <row r="393" spans="1:22">
      <c r="A393" s="311"/>
      <c r="B393" s="291" t="s">
        <v>796</v>
      </c>
      <c r="C393" s="308">
        <v>4.1770250149901298E-3</v>
      </c>
      <c r="D393" s="309">
        <v>0</v>
      </c>
      <c r="E393" s="309">
        <v>1.4034311012728279E-2</v>
      </c>
      <c r="F393" s="309">
        <v>7.2189755929872807E-3</v>
      </c>
      <c r="G393" s="309">
        <v>0.10375383416914163</v>
      </c>
      <c r="H393" s="309">
        <v>0</v>
      </c>
      <c r="I393" s="309">
        <v>0</v>
      </c>
      <c r="J393" s="310">
        <v>2.3102790374807235E-2</v>
      </c>
      <c r="K393" s="310">
        <v>0</v>
      </c>
      <c r="L393" s="309">
        <v>0</v>
      </c>
      <c r="M393" s="309">
        <v>0</v>
      </c>
      <c r="N393" s="309">
        <v>0</v>
      </c>
      <c r="O393" s="310">
        <v>0</v>
      </c>
      <c r="P393" s="310">
        <v>0</v>
      </c>
      <c r="Q393" s="309">
        <v>0</v>
      </c>
      <c r="R393" s="310">
        <v>0</v>
      </c>
      <c r="S393" s="310">
        <v>2.3102790374807235E-2</v>
      </c>
      <c r="T393" s="310"/>
      <c r="U393" s="310"/>
      <c r="V393" s="316"/>
    </row>
    <row r="394" spans="1:22">
      <c r="A394" s="311"/>
      <c r="B394" s="312" t="s">
        <v>797</v>
      </c>
      <c r="C394" s="313">
        <v>2.468251823831397E-2</v>
      </c>
      <c r="D394" s="314">
        <v>0</v>
      </c>
      <c r="E394" s="314">
        <v>1.2589489098600717E-2</v>
      </c>
      <c r="F394" s="314">
        <v>7.2704081632653057E-3</v>
      </c>
      <c r="G394" s="314">
        <v>8.9241195691637423E-2</v>
      </c>
      <c r="H394" s="314">
        <v>0</v>
      </c>
      <c r="I394" s="314">
        <v>0</v>
      </c>
      <c r="J394" s="315">
        <v>2.9571990351286156E-2</v>
      </c>
      <c r="K394" s="315">
        <v>0</v>
      </c>
      <c r="L394" s="314">
        <v>0</v>
      </c>
      <c r="M394" s="314">
        <v>0</v>
      </c>
      <c r="N394" s="314">
        <v>0</v>
      </c>
      <c r="O394" s="315">
        <v>0</v>
      </c>
      <c r="P394" s="315">
        <v>0</v>
      </c>
      <c r="Q394" s="314">
        <v>0</v>
      </c>
      <c r="R394" s="315">
        <v>0</v>
      </c>
      <c r="S394" s="315">
        <v>2.9571990351286156E-2</v>
      </c>
      <c r="T394" s="315"/>
      <c r="U394" s="315"/>
      <c r="V394" s="316"/>
    </row>
    <row r="395" spans="1:22">
      <c r="A395" s="311"/>
      <c r="B395" s="317" t="s">
        <v>798</v>
      </c>
      <c r="C395" s="318">
        <v>2.0505493223323836</v>
      </c>
      <c r="D395" s="319">
        <v>0</v>
      </c>
      <c r="E395" s="319">
        <v>-0.14448219141275626</v>
      </c>
      <c r="F395" s="319">
        <v>5.1432570278025017E-3</v>
      </c>
      <c r="G395" s="319">
        <v>-1.4512638477504212</v>
      </c>
      <c r="H395" s="319">
        <v>0</v>
      </c>
      <c r="I395" s="319">
        <v>0</v>
      </c>
      <c r="J395" s="320">
        <v>0.6469199976478921</v>
      </c>
      <c r="K395" s="320">
        <v>0</v>
      </c>
      <c r="L395" s="319">
        <v>0</v>
      </c>
      <c r="M395" s="319">
        <v>0</v>
      </c>
      <c r="N395" s="319">
        <v>0</v>
      </c>
      <c r="O395" s="320">
        <v>0</v>
      </c>
      <c r="P395" s="320">
        <v>0</v>
      </c>
      <c r="Q395" s="319">
        <v>0</v>
      </c>
      <c r="R395" s="320">
        <v>0</v>
      </c>
      <c r="S395" s="320">
        <v>0.6469199976478921</v>
      </c>
      <c r="T395" s="320"/>
      <c r="U395" s="320"/>
      <c r="V395" s="316"/>
    </row>
    <row r="396" spans="1:22">
      <c r="A396" s="311"/>
      <c r="B396" s="291" t="s">
        <v>799</v>
      </c>
      <c r="C396" s="308">
        <v>1.8210481637932777E-2</v>
      </c>
      <c r="D396" s="309">
        <v>0</v>
      </c>
      <c r="E396" s="309">
        <v>3.4311012728278918E-2</v>
      </c>
      <c r="F396" s="309">
        <v>4.640770024063252E-3</v>
      </c>
      <c r="G396" s="309">
        <v>1.9718584156969667E-2</v>
      </c>
      <c r="H396" s="309">
        <v>0</v>
      </c>
      <c r="I396" s="309">
        <v>0</v>
      </c>
      <c r="J396" s="310">
        <v>2.1157467255805834E-2</v>
      </c>
      <c r="K396" s="310">
        <v>0</v>
      </c>
      <c r="L396" s="309">
        <v>0</v>
      </c>
      <c r="M396" s="309">
        <v>0</v>
      </c>
      <c r="N396" s="309">
        <v>0</v>
      </c>
      <c r="O396" s="310">
        <v>0</v>
      </c>
      <c r="P396" s="310">
        <v>0</v>
      </c>
      <c r="Q396" s="309">
        <v>0</v>
      </c>
      <c r="R396" s="310">
        <v>0</v>
      </c>
      <c r="S396" s="310">
        <v>2.1157467255805834E-2</v>
      </c>
      <c r="T396" s="310"/>
      <c r="U396" s="310"/>
      <c r="V396" s="316"/>
    </row>
    <row r="397" spans="1:22">
      <c r="A397" s="311"/>
      <c r="B397" s="312" t="s">
        <v>800</v>
      </c>
      <c r="C397" s="313">
        <v>3.4382599297487167E-2</v>
      </c>
      <c r="D397" s="314">
        <v>0</v>
      </c>
      <c r="E397" s="314">
        <v>3.1585584119752687E-2</v>
      </c>
      <c r="F397" s="314">
        <v>3.0612244897959182E-3</v>
      </c>
      <c r="G397" s="314">
        <v>2.0791480091976278E-2</v>
      </c>
      <c r="H397" s="314">
        <v>0</v>
      </c>
      <c r="I397" s="314">
        <v>0</v>
      </c>
      <c r="J397" s="315">
        <v>3.1966432205623008E-2</v>
      </c>
      <c r="K397" s="315">
        <v>0</v>
      </c>
      <c r="L397" s="314">
        <v>0</v>
      </c>
      <c r="M397" s="314">
        <v>0</v>
      </c>
      <c r="N397" s="314">
        <v>0</v>
      </c>
      <c r="O397" s="315">
        <v>0</v>
      </c>
      <c r="P397" s="315">
        <v>0</v>
      </c>
      <c r="Q397" s="314">
        <v>0</v>
      </c>
      <c r="R397" s="315">
        <v>0</v>
      </c>
      <c r="S397" s="315">
        <v>3.1966432205623008E-2</v>
      </c>
      <c r="T397" s="315"/>
      <c r="U397" s="315"/>
      <c r="V397" s="316"/>
    </row>
    <row r="398" spans="1:22">
      <c r="A398" s="311"/>
      <c r="B398" s="317" t="s">
        <v>801</v>
      </c>
      <c r="C398" s="318">
        <v>1.617211765955439</v>
      </c>
      <c r="D398" s="319">
        <v>0</v>
      </c>
      <c r="E398" s="319">
        <v>-0.27254286085262314</v>
      </c>
      <c r="F398" s="319">
        <v>-0.1579545534267334</v>
      </c>
      <c r="G398" s="319">
        <v>0.10728959350066111</v>
      </c>
      <c r="H398" s="319">
        <v>0</v>
      </c>
      <c r="I398" s="319">
        <v>0</v>
      </c>
      <c r="J398" s="320">
        <v>1.0808964949817175</v>
      </c>
      <c r="K398" s="320">
        <v>0</v>
      </c>
      <c r="L398" s="319">
        <v>0</v>
      </c>
      <c r="M398" s="319">
        <v>0</v>
      </c>
      <c r="N398" s="319">
        <v>0</v>
      </c>
      <c r="O398" s="320">
        <v>0</v>
      </c>
      <c r="P398" s="320">
        <v>0</v>
      </c>
      <c r="Q398" s="319">
        <v>0</v>
      </c>
      <c r="R398" s="320">
        <v>0</v>
      </c>
      <c r="S398" s="320">
        <v>1.0808964949817175</v>
      </c>
      <c r="T398" s="320"/>
      <c r="U398" s="320"/>
      <c r="V398" s="316"/>
    </row>
    <row r="399" spans="1:22">
      <c r="A399" s="311"/>
      <c r="B399" s="291" t="s">
        <v>802</v>
      </c>
      <c r="C399" s="308">
        <v>2.3714722665750415E-3</v>
      </c>
      <c r="D399" s="309">
        <v>0</v>
      </c>
      <c r="E399" s="309">
        <v>0</v>
      </c>
      <c r="F399" s="309">
        <v>0</v>
      </c>
      <c r="G399" s="309">
        <v>0</v>
      </c>
      <c r="H399" s="309">
        <v>0</v>
      </c>
      <c r="I399" s="309">
        <v>0</v>
      </c>
      <c r="J399" s="310">
        <v>1.4631490125822501E-3</v>
      </c>
      <c r="K399" s="310">
        <v>0</v>
      </c>
      <c r="L399" s="309">
        <v>0</v>
      </c>
      <c r="M399" s="309">
        <v>0</v>
      </c>
      <c r="N399" s="309">
        <v>0</v>
      </c>
      <c r="O399" s="310">
        <v>0</v>
      </c>
      <c r="P399" s="310">
        <v>0</v>
      </c>
      <c r="Q399" s="309">
        <v>0</v>
      </c>
      <c r="R399" s="310">
        <v>0</v>
      </c>
      <c r="S399" s="310">
        <v>1.4631490125822501E-3</v>
      </c>
      <c r="T399" s="310"/>
      <c r="U399" s="310"/>
      <c r="V399" s="316"/>
    </row>
    <row r="400" spans="1:22">
      <c r="A400" s="311"/>
      <c r="B400" s="312" t="s">
        <v>803</v>
      </c>
      <c r="C400" s="313">
        <v>1.2868143744933802E-3</v>
      </c>
      <c r="D400" s="314">
        <v>0</v>
      </c>
      <c r="E400" s="314">
        <v>0</v>
      </c>
      <c r="F400" s="314">
        <v>0</v>
      </c>
      <c r="G400" s="314">
        <v>0</v>
      </c>
      <c r="H400" s="314">
        <v>0</v>
      </c>
      <c r="I400" s="314">
        <v>0</v>
      </c>
      <c r="J400" s="315">
        <v>9.653781444469219E-4</v>
      </c>
      <c r="K400" s="315">
        <v>0</v>
      </c>
      <c r="L400" s="314">
        <v>0</v>
      </c>
      <c r="M400" s="314">
        <v>0</v>
      </c>
      <c r="N400" s="314">
        <v>0</v>
      </c>
      <c r="O400" s="315">
        <v>0</v>
      </c>
      <c r="P400" s="315">
        <v>0</v>
      </c>
      <c r="Q400" s="314">
        <v>0</v>
      </c>
      <c r="R400" s="315">
        <v>0</v>
      </c>
      <c r="S400" s="315">
        <v>9.653781444469219E-4</v>
      </c>
      <c r="T400" s="315"/>
      <c r="U400" s="315"/>
      <c r="V400" s="316"/>
    </row>
    <row r="401" spans="1:22" ht="15.75" thickBot="1">
      <c r="A401" s="329"/>
      <c r="B401" s="330" t="s">
        <v>804</v>
      </c>
      <c r="C401" s="331">
        <v>-0.10846578920816613</v>
      </c>
      <c r="D401" s="332">
        <v>0</v>
      </c>
      <c r="E401" s="332">
        <v>0</v>
      </c>
      <c r="F401" s="332">
        <v>0</v>
      </c>
      <c r="G401" s="332">
        <v>0</v>
      </c>
      <c r="H401" s="332">
        <v>0</v>
      </c>
      <c r="I401" s="332">
        <v>0</v>
      </c>
      <c r="J401" s="333">
        <v>-4.9777086813532823E-2</v>
      </c>
      <c r="K401" s="333">
        <v>0</v>
      </c>
      <c r="L401" s="332">
        <v>0</v>
      </c>
      <c r="M401" s="332">
        <v>0</v>
      </c>
      <c r="N401" s="332">
        <v>0</v>
      </c>
      <c r="O401" s="333">
        <v>0</v>
      </c>
      <c r="P401" s="333">
        <v>0</v>
      </c>
      <c r="Q401" s="332">
        <v>0</v>
      </c>
      <c r="R401" s="333">
        <v>0</v>
      </c>
      <c r="S401" s="333">
        <v>-4.9777086813532823E-2</v>
      </c>
      <c r="T401" s="333"/>
      <c r="U401" s="333"/>
      <c r="V401" s="316"/>
    </row>
    <row r="402" spans="1:22">
      <c r="A402" s="307" t="s">
        <v>586</v>
      </c>
      <c r="B402" s="291" t="s">
        <v>769</v>
      </c>
      <c r="C402" s="308">
        <v>0.87812861082693527</v>
      </c>
      <c r="D402" s="309">
        <v>0</v>
      </c>
      <c r="E402" s="309">
        <v>0.94826051191084726</v>
      </c>
      <c r="F402" s="309">
        <v>0</v>
      </c>
      <c r="G402" s="309">
        <v>0.91540879768881833</v>
      </c>
      <c r="H402" s="309">
        <v>0.85543716549035898</v>
      </c>
      <c r="I402" s="309">
        <v>0</v>
      </c>
      <c r="J402" s="310">
        <v>0.8953840697410036</v>
      </c>
      <c r="K402" s="310">
        <v>0</v>
      </c>
      <c r="L402" s="309">
        <v>0.67637056613223079</v>
      </c>
      <c r="M402" s="309">
        <v>0.7234296874460211</v>
      </c>
      <c r="N402" s="309">
        <v>0.81932346451295013</v>
      </c>
      <c r="O402" s="310">
        <v>0.70135606224566283</v>
      </c>
      <c r="P402" s="310">
        <v>0</v>
      </c>
      <c r="Q402" s="309">
        <v>0</v>
      </c>
      <c r="R402" s="310">
        <v>0</v>
      </c>
      <c r="S402" s="310">
        <v>0.81332509150278265</v>
      </c>
      <c r="T402" s="310"/>
      <c r="U402" s="310"/>
      <c r="V402" s="316"/>
    </row>
    <row r="403" spans="1:22">
      <c r="A403" s="311"/>
      <c r="B403" s="312" t="s">
        <v>770</v>
      </c>
      <c r="C403" s="313">
        <v>0.91300006780033127</v>
      </c>
      <c r="D403" s="314">
        <v>0</v>
      </c>
      <c r="E403" s="314">
        <v>0.95819003731833763</v>
      </c>
      <c r="F403" s="314">
        <v>0</v>
      </c>
      <c r="G403" s="314">
        <v>0.91899104433688628</v>
      </c>
      <c r="H403" s="314">
        <v>0.84307196194353284</v>
      </c>
      <c r="I403" s="314">
        <v>0</v>
      </c>
      <c r="J403" s="315">
        <v>0.91776424207213392</v>
      </c>
      <c r="K403" s="315">
        <v>0</v>
      </c>
      <c r="L403" s="314">
        <v>0.64295582667946638</v>
      </c>
      <c r="M403" s="314">
        <v>0.70823221767683275</v>
      </c>
      <c r="N403" s="314">
        <v>0.73258721390623271</v>
      </c>
      <c r="O403" s="315">
        <v>0.66529110673475533</v>
      </c>
      <c r="P403" s="315">
        <v>0</v>
      </c>
      <c r="Q403" s="314">
        <v>0</v>
      </c>
      <c r="R403" s="315">
        <v>0</v>
      </c>
      <c r="S403" s="315">
        <v>0.80358951471465545</v>
      </c>
      <c r="T403" s="315"/>
      <c r="U403" s="315"/>
      <c r="V403" s="316"/>
    </row>
    <row r="404" spans="1:22">
      <c r="A404" s="311"/>
      <c r="B404" s="317" t="s">
        <v>771</v>
      </c>
      <c r="C404" s="318">
        <v>3.4871456973395998</v>
      </c>
      <c r="D404" s="319">
        <v>0</v>
      </c>
      <c r="E404" s="319">
        <v>0.99295254074903694</v>
      </c>
      <c r="F404" s="319">
        <v>0</v>
      </c>
      <c r="G404" s="319">
        <v>0.35822466480679438</v>
      </c>
      <c r="H404" s="319">
        <v>-1.2365203546826131</v>
      </c>
      <c r="I404" s="319">
        <v>0</v>
      </c>
      <c r="J404" s="320">
        <v>2.2380172331130321</v>
      </c>
      <c r="K404" s="320">
        <v>0</v>
      </c>
      <c r="L404" s="319">
        <v>-3.3414739452764408</v>
      </c>
      <c r="M404" s="319">
        <v>-1.5197469769188343</v>
      </c>
      <c r="N404" s="321">
        <v>-8.6736250606717409</v>
      </c>
      <c r="O404" s="320">
        <v>-3.6064955510907493</v>
      </c>
      <c r="P404" s="320">
        <v>0</v>
      </c>
      <c r="Q404" s="319">
        <v>0</v>
      </c>
      <c r="R404" s="320">
        <v>0</v>
      </c>
      <c r="S404" s="320">
        <v>-0.97355767881271982</v>
      </c>
      <c r="T404" s="320"/>
      <c r="U404" s="320"/>
      <c r="V404" s="316"/>
    </row>
    <row r="405" spans="1:22">
      <c r="A405" s="311"/>
      <c r="B405" s="291" t="s">
        <v>772</v>
      </c>
      <c r="C405" s="308">
        <v>4.1145797121601893E-2</v>
      </c>
      <c r="D405" s="309">
        <v>0</v>
      </c>
      <c r="E405" s="309">
        <v>2.1770259611446057E-2</v>
      </c>
      <c r="F405" s="309">
        <v>0</v>
      </c>
      <c r="G405" s="309">
        <v>9.6009136045136813E-3</v>
      </c>
      <c r="H405" s="309">
        <v>4.3292859602989335E-2</v>
      </c>
      <c r="I405" s="309">
        <v>0</v>
      </c>
      <c r="J405" s="310">
        <v>3.2458620891531391E-2</v>
      </c>
      <c r="K405" s="310">
        <v>0</v>
      </c>
      <c r="L405" s="309">
        <v>5.8720181158005702E-2</v>
      </c>
      <c r="M405" s="309">
        <v>7.335380023353455E-2</v>
      </c>
      <c r="N405" s="309">
        <v>4.3060048415775834E-2</v>
      </c>
      <c r="O405" s="310">
        <v>5.9973638573510575E-2</v>
      </c>
      <c r="P405" s="310">
        <v>0</v>
      </c>
      <c r="Q405" s="309">
        <v>0</v>
      </c>
      <c r="R405" s="310">
        <v>0</v>
      </c>
      <c r="S405" s="310">
        <v>4.4095364814926118E-2</v>
      </c>
      <c r="T405" s="310"/>
      <c r="U405" s="310"/>
      <c r="V405" s="316"/>
    </row>
    <row r="406" spans="1:22">
      <c r="A406" s="311"/>
      <c r="B406" s="312" t="s">
        <v>773</v>
      </c>
      <c r="C406" s="313">
        <v>2.3576758046446454E-2</v>
      </c>
      <c r="D406" s="314">
        <v>0</v>
      </c>
      <c r="E406" s="314">
        <v>1.0200780673892918E-2</v>
      </c>
      <c r="F406" s="314">
        <v>0</v>
      </c>
      <c r="G406" s="314">
        <v>5.0251592377988288E-3</v>
      </c>
      <c r="H406" s="314">
        <v>3.7338334343445898E-2</v>
      </c>
      <c r="I406" s="314">
        <v>0</v>
      </c>
      <c r="J406" s="315">
        <v>1.8464405720698535E-2</v>
      </c>
      <c r="K406" s="315">
        <v>0</v>
      </c>
      <c r="L406" s="314">
        <v>6.125640580089959E-2</v>
      </c>
      <c r="M406" s="314">
        <v>7.2674504987271807E-2</v>
      </c>
      <c r="N406" s="314">
        <v>7.7574663934308216E-2</v>
      </c>
      <c r="O406" s="315">
        <v>6.5229412351076752E-2</v>
      </c>
      <c r="P406" s="315">
        <v>0</v>
      </c>
      <c r="Q406" s="314">
        <v>0</v>
      </c>
      <c r="R406" s="315">
        <v>0</v>
      </c>
      <c r="S406" s="315">
        <v>3.9612722648593127E-2</v>
      </c>
      <c r="T406" s="315"/>
      <c r="U406" s="315"/>
      <c r="V406" s="316"/>
    </row>
    <row r="407" spans="1:22">
      <c r="A407" s="311"/>
      <c r="B407" s="317" t="s">
        <v>774</v>
      </c>
      <c r="C407" s="318">
        <v>-1.7569039075155439</v>
      </c>
      <c r="D407" s="319">
        <v>0</v>
      </c>
      <c r="E407" s="319">
        <v>-1.1569478937553139</v>
      </c>
      <c r="F407" s="319">
        <v>0</v>
      </c>
      <c r="G407" s="319">
        <v>-0.45757543667148526</v>
      </c>
      <c r="H407" s="319">
        <v>-0.59545252595434373</v>
      </c>
      <c r="I407" s="319">
        <v>0</v>
      </c>
      <c r="J407" s="320">
        <v>-1.3994215170832855</v>
      </c>
      <c r="K407" s="320">
        <v>0</v>
      </c>
      <c r="L407" s="319">
        <v>0.25362246428938873</v>
      </c>
      <c r="M407" s="319">
        <v>-6.7929524626274274E-2</v>
      </c>
      <c r="N407" s="319">
        <v>3.4514615518532383</v>
      </c>
      <c r="O407" s="320">
        <v>0.52557737775661761</v>
      </c>
      <c r="P407" s="320">
        <v>0</v>
      </c>
      <c r="Q407" s="319">
        <v>0</v>
      </c>
      <c r="R407" s="320">
        <v>0</v>
      </c>
      <c r="S407" s="320">
        <v>-0.44826421663329907</v>
      </c>
      <c r="T407" s="320"/>
      <c r="U407" s="320"/>
      <c r="V407" s="316"/>
    </row>
    <row r="408" spans="1:22">
      <c r="A408" s="311"/>
      <c r="B408" s="291" t="s">
        <v>775</v>
      </c>
      <c r="C408" s="308">
        <v>6.9097446390083528E-2</v>
      </c>
      <c r="D408" s="309">
        <v>0</v>
      </c>
      <c r="E408" s="309">
        <v>2.988290572539886E-2</v>
      </c>
      <c r="F408" s="309">
        <v>0</v>
      </c>
      <c r="G408" s="309">
        <v>7.499028870666799E-2</v>
      </c>
      <c r="H408" s="309">
        <v>9.9400274441413319E-2</v>
      </c>
      <c r="I408" s="309">
        <v>0</v>
      </c>
      <c r="J408" s="310">
        <v>6.5929850549157301E-2</v>
      </c>
      <c r="K408" s="310">
        <v>0</v>
      </c>
      <c r="L408" s="309">
        <v>0.25629495797527385</v>
      </c>
      <c r="M408" s="309">
        <v>0.19901565418462128</v>
      </c>
      <c r="N408" s="309">
        <v>9.4303648321515027E-2</v>
      </c>
      <c r="O408" s="310">
        <v>0.22718477985236488</v>
      </c>
      <c r="P408" s="310">
        <v>0</v>
      </c>
      <c r="Q408" s="309">
        <v>0</v>
      </c>
      <c r="R408" s="310">
        <v>0</v>
      </c>
      <c r="S408" s="310">
        <v>0.1341283282087061</v>
      </c>
      <c r="T408" s="310"/>
      <c r="U408" s="310"/>
      <c r="V408" s="316"/>
    </row>
    <row r="409" spans="1:22">
      <c r="A409" s="311"/>
      <c r="B409" s="312" t="s">
        <v>776</v>
      </c>
      <c r="C409" s="313">
        <v>6.3423174153222295E-2</v>
      </c>
      <c r="D409" s="314">
        <v>0</v>
      </c>
      <c r="E409" s="314">
        <v>3.1609182007769451E-2</v>
      </c>
      <c r="F409" s="314">
        <v>0</v>
      </c>
      <c r="G409" s="314">
        <v>7.5983796425314859E-2</v>
      </c>
      <c r="H409" s="314">
        <v>0.11883955219613718</v>
      </c>
      <c r="I409" s="314">
        <v>0</v>
      </c>
      <c r="J409" s="315">
        <v>6.3704205935976033E-2</v>
      </c>
      <c r="K409" s="315">
        <v>0</v>
      </c>
      <c r="L409" s="314">
        <v>0.28748550772114434</v>
      </c>
      <c r="M409" s="314">
        <v>0.21654763909387165</v>
      </c>
      <c r="N409" s="314">
        <v>0.1474369741849717</v>
      </c>
      <c r="O409" s="315">
        <v>0.2588064517248887</v>
      </c>
      <c r="P409" s="315">
        <v>0</v>
      </c>
      <c r="Q409" s="314">
        <v>0</v>
      </c>
      <c r="R409" s="315">
        <v>0</v>
      </c>
      <c r="S409" s="315">
        <v>0.15193436828577964</v>
      </c>
      <c r="T409" s="315"/>
      <c r="U409" s="315"/>
      <c r="V409" s="316"/>
    </row>
    <row r="410" spans="1:22">
      <c r="A410" s="311"/>
      <c r="B410" s="317" t="s">
        <v>777</v>
      </c>
      <c r="C410" s="318">
        <v>-0.56742722368612331</v>
      </c>
      <c r="D410" s="319">
        <v>0</v>
      </c>
      <c r="E410" s="319">
        <v>0.1726276282370591</v>
      </c>
      <c r="F410" s="319">
        <v>0</v>
      </c>
      <c r="G410" s="319">
        <v>9.9350771864686882E-2</v>
      </c>
      <c r="H410" s="319">
        <v>1.9439277754723858</v>
      </c>
      <c r="I410" s="319">
        <v>0</v>
      </c>
      <c r="J410" s="320">
        <v>-0.22256446131812685</v>
      </c>
      <c r="K410" s="320">
        <v>0</v>
      </c>
      <c r="L410" s="319">
        <v>3.1190549745870486</v>
      </c>
      <c r="M410" s="319">
        <v>1.7531984909250369</v>
      </c>
      <c r="N410" s="321">
        <v>5.313332586345668</v>
      </c>
      <c r="O410" s="320">
        <v>3.1621671872523822</v>
      </c>
      <c r="P410" s="320">
        <v>0</v>
      </c>
      <c r="Q410" s="319">
        <v>0</v>
      </c>
      <c r="R410" s="320">
        <v>0</v>
      </c>
      <c r="S410" s="320">
        <v>1.7806040077073537</v>
      </c>
      <c r="T410" s="320"/>
      <c r="U410" s="320"/>
      <c r="V410" s="316"/>
    </row>
    <row r="411" spans="1:22">
      <c r="A411" s="311"/>
      <c r="B411" s="291" t="s">
        <v>778</v>
      </c>
      <c r="C411" s="308">
        <v>8.575600162890714E-3</v>
      </c>
      <c r="D411" s="309">
        <v>0</v>
      </c>
      <c r="E411" s="309">
        <v>8.6322752307864176E-5</v>
      </c>
      <c r="F411" s="309">
        <v>0</v>
      </c>
      <c r="G411" s="309">
        <v>0</v>
      </c>
      <c r="H411" s="309">
        <v>1.5416828397579231E-3</v>
      </c>
      <c r="I411" s="309">
        <v>0</v>
      </c>
      <c r="J411" s="310">
        <v>4.6174959733910241E-3</v>
      </c>
      <c r="K411" s="310">
        <v>0</v>
      </c>
      <c r="L411" s="309">
        <v>8.6142947344896251E-3</v>
      </c>
      <c r="M411" s="309">
        <v>4.1985550337749911E-3</v>
      </c>
      <c r="N411" s="309">
        <v>1.7943829130872554E-2</v>
      </c>
      <c r="O411" s="310">
        <v>8.7351252539307599E-3</v>
      </c>
      <c r="P411" s="310">
        <v>0</v>
      </c>
      <c r="Q411" s="309">
        <v>0</v>
      </c>
      <c r="R411" s="310">
        <v>0</v>
      </c>
      <c r="S411" s="310">
        <v>6.3589376131140173E-3</v>
      </c>
      <c r="T411" s="310"/>
      <c r="U411" s="310"/>
      <c r="V411" s="316"/>
    </row>
    <row r="412" spans="1:22">
      <c r="A412" s="311"/>
      <c r="B412" s="312" t="s">
        <v>779</v>
      </c>
      <c r="C412" s="324">
        <v>0</v>
      </c>
      <c r="D412" s="314">
        <v>0</v>
      </c>
      <c r="E412" s="314">
        <v>0</v>
      </c>
      <c r="F412" s="314">
        <v>0</v>
      </c>
      <c r="G412" s="314">
        <v>0</v>
      </c>
      <c r="H412" s="322">
        <v>0</v>
      </c>
      <c r="I412" s="314">
        <v>0</v>
      </c>
      <c r="J412" s="315">
        <v>0</v>
      </c>
      <c r="K412" s="315">
        <v>0</v>
      </c>
      <c r="L412" s="314">
        <v>8.3022597984896696E-3</v>
      </c>
      <c r="M412" s="314">
        <v>2.5456382420238318E-3</v>
      </c>
      <c r="N412" s="314">
        <v>1.7781126569946296E-2</v>
      </c>
      <c r="O412" s="315">
        <v>8.1288797658787409E-3</v>
      </c>
      <c r="P412" s="315">
        <v>0</v>
      </c>
      <c r="Q412" s="314">
        <v>0</v>
      </c>
      <c r="R412" s="315">
        <v>0</v>
      </c>
      <c r="S412" s="315">
        <v>3.6760847040248315E-3</v>
      </c>
      <c r="T412" s="315"/>
      <c r="U412" s="315"/>
      <c r="V412" s="316"/>
    </row>
    <row r="413" spans="1:22">
      <c r="A413" s="311"/>
      <c r="B413" s="317" t="s">
        <v>780</v>
      </c>
      <c r="C413" s="337">
        <v>-0.85756001628907141</v>
      </c>
      <c r="D413" s="319">
        <v>0</v>
      </c>
      <c r="E413" s="319">
        <v>-8.6322752307864178E-3</v>
      </c>
      <c r="F413" s="319">
        <v>0</v>
      </c>
      <c r="G413" s="319">
        <v>0</v>
      </c>
      <c r="H413" s="321">
        <v>-0.1541682839757923</v>
      </c>
      <c r="I413" s="319">
        <v>0</v>
      </c>
      <c r="J413" s="320">
        <v>-0.46174959733910242</v>
      </c>
      <c r="K413" s="320">
        <v>0</v>
      </c>
      <c r="L413" s="319">
        <v>-3.1203493599995559E-2</v>
      </c>
      <c r="M413" s="319">
        <v>-0.16529167917511595</v>
      </c>
      <c r="N413" s="319">
        <v>-1.6270256092625751E-2</v>
      </c>
      <c r="O413" s="320">
        <v>-6.0624548805201899E-2</v>
      </c>
      <c r="P413" s="320">
        <v>0</v>
      </c>
      <c r="Q413" s="319">
        <v>0</v>
      </c>
      <c r="R413" s="320">
        <v>0</v>
      </c>
      <c r="S413" s="320">
        <v>-0.26828529090891856</v>
      </c>
      <c r="T413" s="320"/>
      <c r="U413" s="320"/>
      <c r="V413" s="316"/>
    </row>
    <row r="414" spans="1:22">
      <c r="A414" s="311"/>
      <c r="B414" s="291" t="s">
        <v>781</v>
      </c>
      <c r="C414" s="308">
        <v>3.0525454984886256E-3</v>
      </c>
      <c r="D414" s="309">
        <v>0</v>
      </c>
      <c r="E414" s="309">
        <v>0</v>
      </c>
      <c r="F414" s="309">
        <v>0</v>
      </c>
      <c r="G414" s="309">
        <v>0</v>
      </c>
      <c r="H414" s="309">
        <v>3.2801762548040917E-4</v>
      </c>
      <c r="I414" s="309">
        <v>0</v>
      </c>
      <c r="J414" s="310">
        <v>1.60996284491667E-3</v>
      </c>
      <c r="K414" s="310">
        <v>0</v>
      </c>
      <c r="L414" s="309">
        <v>0</v>
      </c>
      <c r="M414" s="309">
        <v>2.3031020481486516E-6</v>
      </c>
      <c r="N414" s="309">
        <v>2.5369009618886437E-2</v>
      </c>
      <c r="O414" s="310">
        <v>2.7503940745309424E-3</v>
      </c>
      <c r="P414" s="310">
        <v>0</v>
      </c>
      <c r="Q414" s="309">
        <v>0</v>
      </c>
      <c r="R414" s="310">
        <v>0</v>
      </c>
      <c r="S414" s="310">
        <v>2.0922778604710729E-3</v>
      </c>
      <c r="T414" s="310"/>
      <c r="U414" s="310"/>
      <c r="V414" s="316"/>
    </row>
    <row r="415" spans="1:22">
      <c r="A415" s="311"/>
      <c r="B415" s="312" t="s">
        <v>782</v>
      </c>
      <c r="C415" s="324">
        <v>0</v>
      </c>
      <c r="D415" s="314">
        <v>0</v>
      </c>
      <c r="E415" s="314">
        <v>0</v>
      </c>
      <c r="F415" s="314">
        <v>0</v>
      </c>
      <c r="G415" s="314">
        <v>0</v>
      </c>
      <c r="H415" s="314">
        <v>7.5015151688412676E-4</v>
      </c>
      <c r="I415" s="314">
        <v>0</v>
      </c>
      <c r="J415" s="315">
        <v>6.7146271191506491E-5</v>
      </c>
      <c r="K415" s="315">
        <v>0</v>
      </c>
      <c r="L415" s="314">
        <v>0</v>
      </c>
      <c r="M415" s="314">
        <v>0</v>
      </c>
      <c r="N415" s="314">
        <v>2.4620021404541025E-2</v>
      </c>
      <c r="O415" s="315">
        <v>2.5441494234005211E-3</v>
      </c>
      <c r="P415" s="315">
        <v>0</v>
      </c>
      <c r="Q415" s="314">
        <v>0</v>
      </c>
      <c r="R415" s="315">
        <v>0</v>
      </c>
      <c r="S415" s="315">
        <v>1.1873096469469501E-3</v>
      </c>
      <c r="T415" s="315"/>
      <c r="U415" s="315"/>
      <c r="V415" s="316"/>
    </row>
    <row r="416" spans="1:22">
      <c r="A416" s="311"/>
      <c r="B416" s="317" t="s">
        <v>783</v>
      </c>
      <c r="C416" s="337">
        <v>-0.30525454984886258</v>
      </c>
      <c r="D416" s="319">
        <v>0</v>
      </c>
      <c r="E416" s="319">
        <v>0</v>
      </c>
      <c r="F416" s="319">
        <v>0</v>
      </c>
      <c r="G416" s="319">
        <v>0</v>
      </c>
      <c r="H416" s="319">
        <v>4.221338914037176E-2</v>
      </c>
      <c r="I416" s="319">
        <v>0</v>
      </c>
      <c r="J416" s="320">
        <v>-0.15428165737251637</v>
      </c>
      <c r="K416" s="320">
        <v>0</v>
      </c>
      <c r="L416" s="319">
        <v>0</v>
      </c>
      <c r="M416" s="319">
        <v>-2.3031020481486516E-4</v>
      </c>
      <c r="N416" s="319">
        <v>-7.4898821434541199E-2</v>
      </c>
      <c r="O416" s="320">
        <v>-2.0624465113042126E-2</v>
      </c>
      <c r="P416" s="320">
        <v>0</v>
      </c>
      <c r="Q416" s="319">
        <v>0</v>
      </c>
      <c r="R416" s="320">
        <v>0</v>
      </c>
      <c r="S416" s="320">
        <v>-9.0496821352412271E-2</v>
      </c>
      <c r="T416" s="320"/>
      <c r="U416" s="320"/>
      <c r="V416" s="316"/>
    </row>
    <row r="417" spans="1:22">
      <c r="A417" s="311"/>
      <c r="B417" s="291" t="s">
        <v>784</v>
      </c>
      <c r="C417" s="308">
        <v>0</v>
      </c>
      <c r="D417" s="309">
        <v>0</v>
      </c>
      <c r="E417" s="309">
        <v>0</v>
      </c>
      <c r="F417" s="309">
        <v>0</v>
      </c>
      <c r="G417" s="309">
        <v>0</v>
      </c>
      <c r="H417" s="309">
        <v>0</v>
      </c>
      <c r="I417" s="309">
        <v>0</v>
      </c>
      <c r="J417" s="310">
        <v>0</v>
      </c>
      <c r="K417" s="310">
        <v>0</v>
      </c>
      <c r="L417" s="309">
        <v>0</v>
      </c>
      <c r="M417" s="309">
        <v>0</v>
      </c>
      <c r="N417" s="309">
        <v>0</v>
      </c>
      <c r="O417" s="310">
        <v>0</v>
      </c>
      <c r="P417" s="310">
        <v>0</v>
      </c>
      <c r="Q417" s="309">
        <v>0</v>
      </c>
      <c r="R417" s="310">
        <v>0</v>
      </c>
      <c r="S417" s="310">
        <v>0</v>
      </c>
      <c r="T417" s="310"/>
      <c r="U417" s="310"/>
      <c r="V417" s="316"/>
    </row>
    <row r="418" spans="1:22">
      <c r="A418" s="311"/>
      <c r="B418" s="312" t="s">
        <v>785</v>
      </c>
      <c r="C418" s="313">
        <v>0</v>
      </c>
      <c r="D418" s="314">
        <v>0</v>
      </c>
      <c r="E418" s="314">
        <v>0</v>
      </c>
      <c r="F418" s="314">
        <v>0</v>
      </c>
      <c r="G418" s="314">
        <v>0</v>
      </c>
      <c r="H418" s="314">
        <v>0</v>
      </c>
      <c r="I418" s="314">
        <v>0</v>
      </c>
      <c r="J418" s="315">
        <v>0</v>
      </c>
      <c r="K418" s="315">
        <v>0</v>
      </c>
      <c r="L418" s="314">
        <v>0</v>
      </c>
      <c r="M418" s="314">
        <v>0</v>
      </c>
      <c r="N418" s="314">
        <v>0</v>
      </c>
      <c r="O418" s="315">
        <v>0</v>
      </c>
      <c r="P418" s="315">
        <v>0</v>
      </c>
      <c r="Q418" s="314">
        <v>0</v>
      </c>
      <c r="R418" s="315">
        <v>0</v>
      </c>
      <c r="S418" s="315">
        <v>0</v>
      </c>
      <c r="T418" s="315"/>
      <c r="U418" s="315"/>
      <c r="V418" s="316"/>
    </row>
    <row r="419" spans="1:22" ht="15.75" thickBot="1">
      <c r="A419" s="311"/>
      <c r="B419" s="325" t="s">
        <v>786</v>
      </c>
      <c r="C419" s="326">
        <v>0</v>
      </c>
      <c r="D419" s="327">
        <v>0</v>
      </c>
      <c r="E419" s="327">
        <v>0</v>
      </c>
      <c r="F419" s="327">
        <v>0</v>
      </c>
      <c r="G419" s="327">
        <v>0</v>
      </c>
      <c r="H419" s="327">
        <v>0</v>
      </c>
      <c r="I419" s="327">
        <v>0</v>
      </c>
      <c r="J419" s="328">
        <v>0</v>
      </c>
      <c r="K419" s="328">
        <v>0</v>
      </c>
      <c r="L419" s="327">
        <v>0</v>
      </c>
      <c r="M419" s="327">
        <v>0</v>
      </c>
      <c r="N419" s="327">
        <v>0</v>
      </c>
      <c r="O419" s="328">
        <v>0</v>
      </c>
      <c r="P419" s="328">
        <v>0</v>
      </c>
      <c r="Q419" s="327">
        <v>0</v>
      </c>
      <c r="R419" s="328">
        <v>0</v>
      </c>
      <c r="S419" s="328">
        <v>0</v>
      </c>
      <c r="T419" s="328"/>
      <c r="U419" s="328"/>
      <c r="V419" s="316"/>
    </row>
    <row r="420" spans="1:22" ht="15.75" thickTop="1">
      <c r="A420" s="311"/>
      <c r="B420" s="312" t="s">
        <v>787</v>
      </c>
      <c r="C420" s="313">
        <v>0.69849002406645444</v>
      </c>
      <c r="D420" s="314">
        <v>0</v>
      </c>
      <c r="E420" s="314">
        <v>0.74912007706272465</v>
      </c>
      <c r="F420" s="314">
        <v>0</v>
      </c>
      <c r="G420" s="314">
        <v>0.65631577004024666</v>
      </c>
      <c r="H420" s="314">
        <v>0.66459165660131936</v>
      </c>
      <c r="I420" s="314">
        <v>0</v>
      </c>
      <c r="J420" s="315">
        <v>0.70199858061857556</v>
      </c>
      <c r="K420" s="315">
        <v>0</v>
      </c>
      <c r="L420" s="314">
        <v>0</v>
      </c>
      <c r="M420" s="314">
        <v>0</v>
      </c>
      <c r="N420" s="314">
        <v>0</v>
      </c>
      <c r="O420" s="315">
        <v>0</v>
      </c>
      <c r="P420" s="315">
        <v>0</v>
      </c>
      <c r="Q420" s="314">
        <v>0</v>
      </c>
      <c r="R420" s="315">
        <v>0</v>
      </c>
      <c r="S420" s="315">
        <v>0.70199858061857556</v>
      </c>
      <c r="T420" s="315"/>
      <c r="U420" s="315"/>
      <c r="V420" s="316"/>
    </row>
    <row r="421" spans="1:22">
      <c r="A421" s="311"/>
      <c r="B421" s="312" t="s">
        <v>788</v>
      </c>
      <c r="C421" s="313">
        <v>0.70276253640993425</v>
      </c>
      <c r="D421" s="314">
        <v>0</v>
      </c>
      <c r="E421" s="314">
        <v>0.74734201183431948</v>
      </c>
      <c r="F421" s="314">
        <v>0</v>
      </c>
      <c r="G421" s="314">
        <v>0.62595963000411936</v>
      </c>
      <c r="H421" s="314">
        <v>0.85272256393654899</v>
      </c>
      <c r="I421" s="314">
        <v>0</v>
      </c>
      <c r="J421" s="315">
        <v>0.74475851447767694</v>
      </c>
      <c r="K421" s="315">
        <v>0</v>
      </c>
      <c r="L421" s="314">
        <v>0</v>
      </c>
      <c r="M421" s="314">
        <v>0</v>
      </c>
      <c r="N421" s="314">
        <v>0</v>
      </c>
      <c r="O421" s="315">
        <v>0</v>
      </c>
      <c r="P421" s="315">
        <v>0</v>
      </c>
      <c r="Q421" s="314">
        <v>0</v>
      </c>
      <c r="R421" s="315">
        <v>0</v>
      </c>
      <c r="S421" s="315">
        <v>0.74475851447767694</v>
      </c>
      <c r="T421" s="315"/>
      <c r="U421" s="315"/>
      <c r="V421" s="316"/>
    </row>
    <row r="422" spans="1:22">
      <c r="A422" s="311"/>
      <c r="B422" s="317" t="s">
        <v>789</v>
      </c>
      <c r="C422" s="318">
        <v>0.42725123434798062</v>
      </c>
      <c r="D422" s="319">
        <v>0</v>
      </c>
      <c r="E422" s="319">
        <v>-0.1778065228405179</v>
      </c>
      <c r="F422" s="319">
        <v>0</v>
      </c>
      <c r="G422" s="319">
        <v>-3.0356140036127299</v>
      </c>
      <c r="H422" s="321">
        <v>18.813090733522962</v>
      </c>
      <c r="I422" s="319">
        <v>0</v>
      </c>
      <c r="J422" s="320">
        <v>4.2759933859101373</v>
      </c>
      <c r="K422" s="320">
        <v>0</v>
      </c>
      <c r="L422" s="319">
        <v>0</v>
      </c>
      <c r="M422" s="319">
        <v>0</v>
      </c>
      <c r="N422" s="319">
        <v>0</v>
      </c>
      <c r="O422" s="320">
        <v>0</v>
      </c>
      <c r="P422" s="320">
        <v>0</v>
      </c>
      <c r="Q422" s="319">
        <v>0</v>
      </c>
      <c r="R422" s="320">
        <v>0</v>
      </c>
      <c r="S422" s="320">
        <v>4.2759933859101373</v>
      </c>
      <c r="T422" s="320"/>
      <c r="U422" s="320"/>
      <c r="V422" s="316"/>
    </row>
    <row r="423" spans="1:22">
      <c r="A423" s="311"/>
      <c r="B423" s="291" t="s">
        <v>790</v>
      </c>
      <c r="C423" s="308">
        <v>0.12020805838056052</v>
      </c>
      <c r="D423" s="309">
        <v>0</v>
      </c>
      <c r="E423" s="309">
        <v>0.15147641806528103</v>
      </c>
      <c r="F423" s="309">
        <v>0</v>
      </c>
      <c r="G423" s="309">
        <v>8.1084074880921606E-2</v>
      </c>
      <c r="H423" s="309">
        <v>7.0612282820774874E-3</v>
      </c>
      <c r="I423" s="309">
        <v>0</v>
      </c>
      <c r="J423" s="310">
        <v>0.11852121059499554</v>
      </c>
      <c r="K423" s="310">
        <v>0</v>
      </c>
      <c r="L423" s="309">
        <v>0</v>
      </c>
      <c r="M423" s="309">
        <v>0</v>
      </c>
      <c r="N423" s="309">
        <v>0</v>
      </c>
      <c r="O423" s="310">
        <v>0</v>
      </c>
      <c r="P423" s="310">
        <v>0</v>
      </c>
      <c r="Q423" s="309">
        <v>0</v>
      </c>
      <c r="R423" s="310">
        <v>0</v>
      </c>
      <c r="S423" s="310">
        <v>0.11852121059499554</v>
      </c>
      <c r="T423" s="310"/>
      <c r="U423" s="310"/>
      <c r="V423" s="316"/>
    </row>
    <row r="424" spans="1:22">
      <c r="A424" s="311"/>
      <c r="B424" s="312" t="s">
        <v>791</v>
      </c>
      <c r="C424" s="313">
        <v>9.846539439733476E-2</v>
      </c>
      <c r="D424" s="314">
        <v>0</v>
      </c>
      <c r="E424" s="314">
        <v>0.13593372781065088</v>
      </c>
      <c r="F424" s="314">
        <v>0</v>
      </c>
      <c r="G424" s="314">
        <v>7.3025502752499721E-2</v>
      </c>
      <c r="H424" s="314">
        <v>4.592424732923276E-2</v>
      </c>
      <c r="I424" s="314">
        <v>0</v>
      </c>
      <c r="J424" s="315">
        <v>8.6267392944296944E-2</v>
      </c>
      <c r="K424" s="315">
        <v>0</v>
      </c>
      <c r="L424" s="314">
        <v>0</v>
      </c>
      <c r="M424" s="314">
        <v>0</v>
      </c>
      <c r="N424" s="314">
        <v>0</v>
      </c>
      <c r="O424" s="315">
        <v>0</v>
      </c>
      <c r="P424" s="315">
        <v>0</v>
      </c>
      <c r="Q424" s="314">
        <v>0</v>
      </c>
      <c r="R424" s="315">
        <v>0</v>
      </c>
      <c r="S424" s="315">
        <v>8.6267392944296944E-2</v>
      </c>
      <c r="T424" s="315"/>
      <c r="U424" s="315"/>
      <c r="V424" s="316"/>
    </row>
    <row r="425" spans="1:22">
      <c r="A425" s="311"/>
      <c r="B425" s="317" t="s">
        <v>792</v>
      </c>
      <c r="C425" s="318">
        <v>-2.1742663983225761</v>
      </c>
      <c r="D425" s="319">
        <v>0</v>
      </c>
      <c r="E425" s="319">
        <v>-1.5542690254630149</v>
      </c>
      <c r="F425" s="319">
        <v>0</v>
      </c>
      <c r="G425" s="319">
        <v>-0.80585721284218836</v>
      </c>
      <c r="H425" s="319">
        <v>3.8863019047155269</v>
      </c>
      <c r="I425" s="319">
        <v>0</v>
      </c>
      <c r="J425" s="320">
        <v>-3.2253817650698595</v>
      </c>
      <c r="K425" s="320">
        <v>0</v>
      </c>
      <c r="L425" s="319">
        <v>0</v>
      </c>
      <c r="M425" s="319">
        <v>0</v>
      </c>
      <c r="N425" s="319">
        <v>0</v>
      </c>
      <c r="O425" s="320">
        <v>0</v>
      </c>
      <c r="P425" s="320">
        <v>0</v>
      </c>
      <c r="Q425" s="319">
        <v>0</v>
      </c>
      <c r="R425" s="320">
        <v>0</v>
      </c>
      <c r="S425" s="320">
        <v>-3.2253817650698595</v>
      </c>
      <c r="T425" s="320"/>
      <c r="U425" s="320"/>
      <c r="V425" s="316"/>
    </row>
    <row r="426" spans="1:22">
      <c r="A426" s="311"/>
      <c r="B426" s="291" t="s">
        <v>793</v>
      </c>
      <c r="C426" s="308">
        <v>0.15269777191211861</v>
      </c>
      <c r="D426" s="309">
        <v>0</v>
      </c>
      <c r="E426" s="309">
        <v>9.9403504871994369E-2</v>
      </c>
      <c r="F426" s="309">
        <v>0</v>
      </c>
      <c r="G426" s="309">
        <v>0.26260015507883172</v>
      </c>
      <c r="H426" s="309">
        <v>0.32277246120969988</v>
      </c>
      <c r="I426" s="309">
        <v>0</v>
      </c>
      <c r="J426" s="310">
        <v>0.15822096563723359</v>
      </c>
      <c r="K426" s="310">
        <v>0</v>
      </c>
      <c r="L426" s="309">
        <v>0</v>
      </c>
      <c r="M426" s="309">
        <v>0</v>
      </c>
      <c r="N426" s="309">
        <v>0</v>
      </c>
      <c r="O426" s="310">
        <v>0</v>
      </c>
      <c r="P426" s="310">
        <v>0</v>
      </c>
      <c r="Q426" s="309">
        <v>0</v>
      </c>
      <c r="R426" s="310">
        <v>0</v>
      </c>
      <c r="S426" s="310">
        <v>0.15822096563723359</v>
      </c>
      <c r="T426" s="310"/>
      <c r="U426" s="310"/>
      <c r="V426" s="316"/>
    </row>
    <row r="427" spans="1:22">
      <c r="A427" s="311"/>
      <c r="B427" s="312" t="s">
        <v>794</v>
      </c>
      <c r="C427" s="313">
        <v>0.15599155104780554</v>
      </c>
      <c r="D427" s="314">
        <v>0</v>
      </c>
      <c r="E427" s="314">
        <v>0.11672426035502959</v>
      </c>
      <c r="F427" s="314">
        <v>0</v>
      </c>
      <c r="G427" s="314">
        <v>0.30101486724338089</v>
      </c>
      <c r="H427" s="314">
        <v>0.10073162835869214</v>
      </c>
      <c r="I427" s="314">
        <v>0</v>
      </c>
      <c r="J427" s="315">
        <v>0.14393559073593329</v>
      </c>
      <c r="K427" s="315">
        <v>0</v>
      </c>
      <c r="L427" s="314">
        <v>0</v>
      </c>
      <c r="M427" s="314">
        <v>0</v>
      </c>
      <c r="N427" s="314">
        <v>0</v>
      </c>
      <c r="O427" s="315">
        <v>0</v>
      </c>
      <c r="P427" s="315">
        <v>0</v>
      </c>
      <c r="Q427" s="314">
        <v>0</v>
      </c>
      <c r="R427" s="315">
        <v>0</v>
      </c>
      <c r="S427" s="315">
        <v>0.14393559073593329</v>
      </c>
      <c r="T427" s="315"/>
      <c r="U427" s="315"/>
      <c r="V427" s="316"/>
    </row>
    <row r="428" spans="1:22">
      <c r="A428" s="311"/>
      <c r="B428" s="317" t="s">
        <v>795</v>
      </c>
      <c r="C428" s="318">
        <v>0.32937791356869306</v>
      </c>
      <c r="D428" s="319">
        <v>0</v>
      </c>
      <c r="E428" s="319">
        <v>1.7320755483035217</v>
      </c>
      <c r="F428" s="319">
        <v>0</v>
      </c>
      <c r="G428" s="319">
        <v>3.841471216454917</v>
      </c>
      <c r="H428" s="321">
        <v>-22.204083285100772</v>
      </c>
      <c r="I428" s="319">
        <v>0</v>
      </c>
      <c r="J428" s="320">
        <v>-1.4285374901300303</v>
      </c>
      <c r="K428" s="320">
        <v>0</v>
      </c>
      <c r="L428" s="319">
        <v>0</v>
      </c>
      <c r="M428" s="319">
        <v>0</v>
      </c>
      <c r="N428" s="319">
        <v>0</v>
      </c>
      <c r="O428" s="320">
        <v>0</v>
      </c>
      <c r="P428" s="320">
        <v>0</v>
      </c>
      <c r="Q428" s="319">
        <v>0</v>
      </c>
      <c r="R428" s="320">
        <v>0</v>
      </c>
      <c r="S428" s="320">
        <v>-1.4285374901300303</v>
      </c>
      <c r="T428" s="320"/>
      <c r="U428" s="320"/>
      <c r="V428" s="316"/>
    </row>
    <row r="429" spans="1:22">
      <c r="A429" s="311"/>
      <c r="B429" s="291" t="s">
        <v>796</v>
      </c>
      <c r="C429" s="308">
        <v>1.3209378153870041E-2</v>
      </c>
      <c r="D429" s="309">
        <v>0</v>
      </c>
      <c r="E429" s="309">
        <v>0</v>
      </c>
      <c r="F429" s="309">
        <v>0</v>
      </c>
      <c r="G429" s="309">
        <v>0</v>
      </c>
      <c r="H429" s="309">
        <v>5.5746539069032796E-3</v>
      </c>
      <c r="I429" s="309">
        <v>0</v>
      </c>
      <c r="J429" s="310">
        <v>9.9099150660470221E-3</v>
      </c>
      <c r="K429" s="310">
        <v>0</v>
      </c>
      <c r="L429" s="309">
        <v>0</v>
      </c>
      <c r="M429" s="309">
        <v>0</v>
      </c>
      <c r="N429" s="309">
        <v>0</v>
      </c>
      <c r="O429" s="310">
        <v>0</v>
      </c>
      <c r="P429" s="310">
        <v>0</v>
      </c>
      <c r="Q429" s="309">
        <v>0</v>
      </c>
      <c r="R429" s="310">
        <v>0</v>
      </c>
      <c r="S429" s="310">
        <v>9.9099150660470221E-3</v>
      </c>
      <c r="T429" s="310"/>
      <c r="U429" s="310"/>
      <c r="V429" s="316"/>
    </row>
    <row r="430" spans="1:22">
      <c r="A430" s="311"/>
      <c r="B430" s="312" t="s">
        <v>797</v>
      </c>
      <c r="C430" s="313">
        <v>3.8435958543479469E-2</v>
      </c>
      <c r="D430" s="314">
        <v>0</v>
      </c>
      <c r="E430" s="314">
        <v>0</v>
      </c>
      <c r="F430" s="314">
        <v>0</v>
      </c>
      <c r="G430" s="314">
        <v>0</v>
      </c>
      <c r="H430" s="322">
        <v>0</v>
      </c>
      <c r="I430" s="314">
        <v>0</v>
      </c>
      <c r="J430" s="315">
        <v>2.2341359434942403E-2</v>
      </c>
      <c r="K430" s="315">
        <v>0</v>
      </c>
      <c r="L430" s="314">
        <v>0</v>
      </c>
      <c r="M430" s="314">
        <v>0</v>
      </c>
      <c r="N430" s="314">
        <v>0</v>
      </c>
      <c r="O430" s="315">
        <v>0</v>
      </c>
      <c r="P430" s="315">
        <v>0</v>
      </c>
      <c r="Q430" s="314">
        <v>0</v>
      </c>
      <c r="R430" s="315">
        <v>0</v>
      </c>
      <c r="S430" s="315">
        <v>2.2341359434942403E-2</v>
      </c>
      <c r="T430" s="315"/>
      <c r="U430" s="315"/>
      <c r="V430" s="316"/>
    </row>
    <row r="431" spans="1:22">
      <c r="A431" s="311"/>
      <c r="B431" s="317" t="s">
        <v>798</v>
      </c>
      <c r="C431" s="318">
        <v>2.5226580389609428</v>
      </c>
      <c r="D431" s="319">
        <v>0</v>
      </c>
      <c r="E431" s="319">
        <v>0</v>
      </c>
      <c r="F431" s="319">
        <v>0</v>
      </c>
      <c r="G431" s="319">
        <v>0</v>
      </c>
      <c r="H431" s="321">
        <v>-0.55746539069032797</v>
      </c>
      <c r="I431" s="319">
        <v>0</v>
      </c>
      <c r="J431" s="320">
        <v>1.2431444368895381</v>
      </c>
      <c r="K431" s="320">
        <v>0</v>
      </c>
      <c r="L431" s="319">
        <v>0</v>
      </c>
      <c r="M431" s="319">
        <v>0</v>
      </c>
      <c r="N431" s="319">
        <v>0</v>
      </c>
      <c r="O431" s="320">
        <v>0</v>
      </c>
      <c r="P431" s="320">
        <v>0</v>
      </c>
      <c r="Q431" s="319">
        <v>0</v>
      </c>
      <c r="R431" s="320">
        <v>0</v>
      </c>
      <c r="S431" s="320">
        <v>1.2431444368895381</v>
      </c>
      <c r="T431" s="320"/>
      <c r="U431" s="320"/>
      <c r="V431" s="316"/>
    </row>
    <row r="432" spans="1:22">
      <c r="A432" s="311"/>
      <c r="B432" s="291" t="s">
        <v>799</v>
      </c>
      <c r="C432" s="308">
        <v>1.5394767486996351E-2</v>
      </c>
      <c r="D432" s="309">
        <v>0</v>
      </c>
      <c r="E432" s="309">
        <v>0</v>
      </c>
      <c r="F432" s="309">
        <v>0</v>
      </c>
      <c r="G432" s="309">
        <v>0</v>
      </c>
      <c r="H432" s="309">
        <v>0</v>
      </c>
      <c r="I432" s="309">
        <v>0</v>
      </c>
      <c r="J432" s="310">
        <v>1.1349328083148279E-2</v>
      </c>
      <c r="K432" s="310">
        <v>0</v>
      </c>
      <c r="L432" s="309">
        <v>0</v>
      </c>
      <c r="M432" s="309">
        <v>0</v>
      </c>
      <c r="N432" s="309">
        <v>0</v>
      </c>
      <c r="O432" s="310">
        <v>0</v>
      </c>
      <c r="P432" s="310">
        <v>0</v>
      </c>
      <c r="Q432" s="309">
        <v>0</v>
      </c>
      <c r="R432" s="310">
        <v>0</v>
      </c>
      <c r="S432" s="310">
        <v>1.1349328083148279E-2</v>
      </c>
      <c r="T432" s="310"/>
      <c r="U432" s="310"/>
      <c r="V432" s="316"/>
    </row>
    <row r="433" spans="1:22">
      <c r="A433" s="311"/>
      <c r="B433" s="312" t="s">
        <v>800</v>
      </c>
      <c r="C433" s="313">
        <v>4.3445596014459282E-3</v>
      </c>
      <c r="D433" s="314">
        <v>0</v>
      </c>
      <c r="E433" s="314">
        <v>0</v>
      </c>
      <c r="F433" s="314">
        <v>0</v>
      </c>
      <c r="G433" s="314">
        <v>0</v>
      </c>
      <c r="H433" s="322">
        <v>6.2156037552606018E-4</v>
      </c>
      <c r="I433" s="314">
        <v>0</v>
      </c>
      <c r="J433" s="315">
        <v>2.6971424071503803E-3</v>
      </c>
      <c r="K433" s="315">
        <v>0</v>
      </c>
      <c r="L433" s="314">
        <v>0</v>
      </c>
      <c r="M433" s="314">
        <v>0</v>
      </c>
      <c r="N433" s="314">
        <v>0</v>
      </c>
      <c r="O433" s="315">
        <v>0</v>
      </c>
      <c r="P433" s="315">
        <v>0</v>
      </c>
      <c r="Q433" s="314">
        <v>0</v>
      </c>
      <c r="R433" s="315">
        <v>0</v>
      </c>
      <c r="S433" s="315">
        <v>2.6971424071503803E-3</v>
      </c>
      <c r="T433" s="315"/>
      <c r="U433" s="315"/>
      <c r="V433" s="316"/>
    </row>
    <row r="434" spans="1:22">
      <c r="A434" s="311"/>
      <c r="B434" s="317" t="s">
        <v>801</v>
      </c>
      <c r="C434" s="318">
        <v>-1.1050207885550425</v>
      </c>
      <c r="D434" s="319">
        <v>0</v>
      </c>
      <c r="E434" s="319">
        <v>0</v>
      </c>
      <c r="F434" s="319">
        <v>0</v>
      </c>
      <c r="G434" s="319">
        <v>0</v>
      </c>
      <c r="H434" s="319">
        <v>0</v>
      </c>
      <c r="I434" s="319">
        <v>0</v>
      </c>
      <c r="J434" s="320">
        <v>-0.86521856759978977</v>
      </c>
      <c r="K434" s="320">
        <v>0</v>
      </c>
      <c r="L434" s="319">
        <v>0</v>
      </c>
      <c r="M434" s="319">
        <v>0</v>
      </c>
      <c r="N434" s="319">
        <v>0</v>
      </c>
      <c r="O434" s="320">
        <v>0</v>
      </c>
      <c r="P434" s="320">
        <v>0</v>
      </c>
      <c r="Q434" s="319">
        <v>0</v>
      </c>
      <c r="R434" s="320">
        <v>0</v>
      </c>
      <c r="S434" s="320">
        <v>-0.86521856759978977</v>
      </c>
      <c r="T434" s="320"/>
      <c r="U434" s="320"/>
      <c r="V434" s="316"/>
    </row>
    <row r="435" spans="1:22">
      <c r="A435" s="311"/>
      <c r="B435" s="291" t="s">
        <v>802</v>
      </c>
      <c r="C435" s="308">
        <v>0</v>
      </c>
      <c r="D435" s="309">
        <v>0</v>
      </c>
      <c r="E435" s="309">
        <v>0</v>
      </c>
      <c r="F435" s="309">
        <v>0</v>
      </c>
      <c r="G435" s="309">
        <v>0</v>
      </c>
      <c r="H435" s="309">
        <v>0</v>
      </c>
      <c r="I435" s="309">
        <v>0</v>
      </c>
      <c r="J435" s="310">
        <v>0</v>
      </c>
      <c r="K435" s="310">
        <v>0</v>
      </c>
      <c r="L435" s="309">
        <v>0</v>
      </c>
      <c r="M435" s="309">
        <v>0</v>
      </c>
      <c r="N435" s="309">
        <v>0</v>
      </c>
      <c r="O435" s="310">
        <v>0</v>
      </c>
      <c r="P435" s="310">
        <v>0</v>
      </c>
      <c r="Q435" s="309">
        <v>0</v>
      </c>
      <c r="R435" s="310">
        <v>0</v>
      </c>
      <c r="S435" s="310">
        <v>0</v>
      </c>
      <c r="T435" s="310"/>
      <c r="U435" s="310"/>
      <c r="V435" s="316"/>
    </row>
    <row r="436" spans="1:22">
      <c r="A436" s="311"/>
      <c r="B436" s="312" t="s">
        <v>803</v>
      </c>
      <c r="C436" s="313">
        <v>0</v>
      </c>
      <c r="D436" s="314">
        <v>0</v>
      </c>
      <c r="E436" s="314">
        <v>0</v>
      </c>
      <c r="F436" s="314">
        <v>0</v>
      </c>
      <c r="G436" s="314">
        <v>0</v>
      </c>
      <c r="H436" s="314">
        <v>0</v>
      </c>
      <c r="I436" s="314">
        <v>0</v>
      </c>
      <c r="J436" s="315">
        <v>0</v>
      </c>
      <c r="K436" s="315">
        <v>0</v>
      </c>
      <c r="L436" s="314">
        <v>0</v>
      </c>
      <c r="M436" s="314">
        <v>0</v>
      </c>
      <c r="N436" s="314">
        <v>0</v>
      </c>
      <c r="O436" s="315">
        <v>0</v>
      </c>
      <c r="P436" s="315">
        <v>0</v>
      </c>
      <c r="Q436" s="314">
        <v>0</v>
      </c>
      <c r="R436" s="315">
        <v>0</v>
      </c>
      <c r="S436" s="315">
        <v>0</v>
      </c>
      <c r="T436" s="315"/>
      <c r="U436" s="315"/>
      <c r="V436" s="316"/>
    </row>
    <row r="437" spans="1:22" ht="15.75" thickBot="1">
      <c r="A437" s="329"/>
      <c r="B437" s="330" t="s">
        <v>804</v>
      </c>
      <c r="C437" s="331">
        <v>0</v>
      </c>
      <c r="D437" s="332">
        <v>0</v>
      </c>
      <c r="E437" s="332">
        <v>0</v>
      </c>
      <c r="F437" s="332">
        <v>0</v>
      </c>
      <c r="G437" s="332">
        <v>0</v>
      </c>
      <c r="H437" s="332">
        <v>0</v>
      </c>
      <c r="I437" s="332">
        <v>0</v>
      </c>
      <c r="J437" s="333">
        <v>0</v>
      </c>
      <c r="K437" s="333">
        <v>0</v>
      </c>
      <c r="L437" s="332">
        <v>0</v>
      </c>
      <c r="M437" s="332">
        <v>0</v>
      </c>
      <c r="N437" s="332">
        <v>0</v>
      </c>
      <c r="O437" s="333">
        <v>0</v>
      </c>
      <c r="P437" s="333">
        <v>0</v>
      </c>
      <c r="Q437" s="332">
        <v>0</v>
      </c>
      <c r="R437" s="333">
        <v>0</v>
      </c>
      <c r="S437" s="333">
        <v>0</v>
      </c>
      <c r="T437" s="333"/>
      <c r="U437" s="333"/>
      <c r="V437" s="316"/>
    </row>
    <row r="438" spans="1:22">
      <c r="A438" s="307" t="s">
        <v>412</v>
      </c>
      <c r="B438" s="291" t="s">
        <v>769</v>
      </c>
      <c r="C438" s="308">
        <v>0.87317172311810998</v>
      </c>
      <c r="D438" s="309">
        <v>0.71517834974757921</v>
      </c>
      <c r="E438" s="309">
        <v>0.77831216584394369</v>
      </c>
      <c r="F438" s="309">
        <v>0</v>
      </c>
      <c r="G438" s="309">
        <v>0.8173711613840734</v>
      </c>
      <c r="H438" s="309">
        <v>0</v>
      </c>
      <c r="I438" s="309">
        <v>0</v>
      </c>
      <c r="J438" s="310">
        <v>0.80226979842884849</v>
      </c>
      <c r="K438" s="310">
        <v>0</v>
      </c>
      <c r="L438" s="309">
        <v>0.48483002161543159</v>
      </c>
      <c r="M438" s="309">
        <v>0.40679267306562089</v>
      </c>
      <c r="N438" s="309">
        <v>0</v>
      </c>
      <c r="O438" s="310">
        <v>0.4500594358741144</v>
      </c>
      <c r="P438" s="310">
        <v>0</v>
      </c>
      <c r="Q438" s="309">
        <v>0</v>
      </c>
      <c r="R438" s="310">
        <v>0</v>
      </c>
      <c r="S438" s="310">
        <v>0.67709408831462048</v>
      </c>
      <c r="T438" s="310"/>
      <c r="U438" s="310"/>
      <c r="V438" s="316"/>
    </row>
    <row r="439" spans="1:22">
      <c r="A439" s="311"/>
      <c r="B439" s="312" t="s">
        <v>770</v>
      </c>
      <c r="C439" s="313">
        <v>0.86595366976302712</v>
      </c>
      <c r="D439" s="314">
        <v>0.72421345187255948</v>
      </c>
      <c r="E439" s="314">
        <v>0.76925318705210688</v>
      </c>
      <c r="F439" s="314">
        <v>0</v>
      </c>
      <c r="G439" s="314">
        <v>0.80507678196622612</v>
      </c>
      <c r="H439" s="314">
        <v>0</v>
      </c>
      <c r="I439" s="314">
        <v>0</v>
      </c>
      <c r="J439" s="315">
        <v>0.79668741640536167</v>
      </c>
      <c r="K439" s="315">
        <v>0</v>
      </c>
      <c r="L439" s="314">
        <v>0.50828735943386605</v>
      </c>
      <c r="M439" s="314">
        <v>0.40489697144144038</v>
      </c>
      <c r="N439" s="314">
        <v>0</v>
      </c>
      <c r="O439" s="315">
        <v>0.46162483551009315</v>
      </c>
      <c r="P439" s="315">
        <v>0</v>
      </c>
      <c r="Q439" s="314">
        <v>0</v>
      </c>
      <c r="R439" s="315">
        <v>0</v>
      </c>
      <c r="S439" s="315">
        <v>0.67653923211462852</v>
      </c>
      <c r="T439" s="315"/>
      <c r="U439" s="315"/>
      <c r="V439" s="316"/>
    </row>
    <row r="440" spans="1:22">
      <c r="A440" s="311"/>
      <c r="B440" s="317" t="s">
        <v>771</v>
      </c>
      <c r="C440" s="318">
        <v>-0.72180533550828541</v>
      </c>
      <c r="D440" s="319">
        <v>0.90351021249802654</v>
      </c>
      <c r="E440" s="319">
        <v>-0.90589787918368136</v>
      </c>
      <c r="F440" s="319">
        <v>0</v>
      </c>
      <c r="G440" s="319">
        <v>-1.2294379417847279</v>
      </c>
      <c r="H440" s="319">
        <v>0</v>
      </c>
      <c r="I440" s="319">
        <v>0</v>
      </c>
      <c r="J440" s="320">
        <v>-0.55823820234868204</v>
      </c>
      <c r="K440" s="320">
        <v>0</v>
      </c>
      <c r="L440" s="319">
        <v>2.3457337818434452</v>
      </c>
      <c r="M440" s="319">
        <v>-0.18957016241805125</v>
      </c>
      <c r="N440" s="319">
        <v>0</v>
      </c>
      <c r="O440" s="320">
        <v>1.1565399635978746</v>
      </c>
      <c r="P440" s="320">
        <v>0</v>
      </c>
      <c r="Q440" s="319">
        <v>0</v>
      </c>
      <c r="R440" s="320">
        <v>0</v>
      </c>
      <c r="S440" s="320">
        <v>-5.548561999919599E-2</v>
      </c>
      <c r="T440" s="320"/>
      <c r="U440" s="320"/>
      <c r="V440" s="316"/>
    </row>
    <row r="441" spans="1:22">
      <c r="A441" s="311"/>
      <c r="B441" s="291" t="s">
        <v>772</v>
      </c>
      <c r="C441" s="308">
        <v>1.8827159566810137E-2</v>
      </c>
      <c r="D441" s="309">
        <v>5.9302325581395351E-2</v>
      </c>
      <c r="E441" s="309">
        <v>1.274378818180368E-2</v>
      </c>
      <c r="F441" s="309">
        <v>0</v>
      </c>
      <c r="G441" s="309">
        <v>7.9868949504807149E-2</v>
      </c>
      <c r="H441" s="309">
        <v>0</v>
      </c>
      <c r="I441" s="309">
        <v>0</v>
      </c>
      <c r="J441" s="310">
        <v>2.6510795427708504E-2</v>
      </c>
      <c r="K441" s="310">
        <v>0</v>
      </c>
      <c r="L441" s="309">
        <v>0.26554872786746919</v>
      </c>
      <c r="M441" s="309">
        <v>0.31790729925315231</v>
      </c>
      <c r="N441" s="309">
        <v>0</v>
      </c>
      <c r="O441" s="310">
        <v>0.28887779054694673</v>
      </c>
      <c r="P441" s="310">
        <v>0</v>
      </c>
      <c r="Q441" s="309">
        <v>0</v>
      </c>
      <c r="R441" s="310">
        <v>0</v>
      </c>
      <c r="S441" s="310">
        <v>0.11975613519105273</v>
      </c>
      <c r="T441" s="310"/>
      <c r="U441" s="310"/>
      <c r="V441" s="316"/>
    </row>
    <row r="442" spans="1:22">
      <c r="A442" s="311"/>
      <c r="B442" s="312" t="s">
        <v>773</v>
      </c>
      <c r="C442" s="313">
        <v>1.8759854011699714E-2</v>
      </c>
      <c r="D442" s="314">
        <v>5.8395332111642495E-2</v>
      </c>
      <c r="E442" s="314">
        <v>9.5039108126549199E-3</v>
      </c>
      <c r="F442" s="314">
        <v>0</v>
      </c>
      <c r="G442" s="314">
        <v>8.2898638801199701E-2</v>
      </c>
      <c r="H442" s="314">
        <v>0</v>
      </c>
      <c r="I442" s="314">
        <v>0</v>
      </c>
      <c r="J442" s="315">
        <v>2.5115208457877718E-2</v>
      </c>
      <c r="K442" s="315">
        <v>0</v>
      </c>
      <c r="L442" s="314">
        <v>0.24578616738262818</v>
      </c>
      <c r="M442" s="314">
        <v>0.32376006598944862</v>
      </c>
      <c r="N442" s="314">
        <v>0</v>
      </c>
      <c r="O442" s="315">
        <v>0.28097762937266496</v>
      </c>
      <c r="P442" s="315">
        <v>0</v>
      </c>
      <c r="Q442" s="314">
        <v>0</v>
      </c>
      <c r="R442" s="315">
        <v>0</v>
      </c>
      <c r="S442" s="315">
        <v>0.11686345805054681</v>
      </c>
      <c r="T442" s="315"/>
      <c r="U442" s="315"/>
      <c r="V442" s="316"/>
    </row>
    <row r="443" spans="1:22">
      <c r="A443" s="311"/>
      <c r="B443" s="317" t="s">
        <v>774</v>
      </c>
      <c r="C443" s="318">
        <v>-6.7305555110423049E-3</v>
      </c>
      <c r="D443" s="319">
        <v>-9.0699346975285644E-2</v>
      </c>
      <c r="E443" s="319">
        <v>-0.32398773691487603</v>
      </c>
      <c r="F443" s="319">
        <v>0</v>
      </c>
      <c r="G443" s="319">
        <v>0.30296892963925515</v>
      </c>
      <c r="H443" s="319">
        <v>0</v>
      </c>
      <c r="I443" s="319">
        <v>0</v>
      </c>
      <c r="J443" s="320">
        <v>-0.1395586969830786</v>
      </c>
      <c r="K443" s="320">
        <v>0</v>
      </c>
      <c r="L443" s="319">
        <v>-1.9762560484841014</v>
      </c>
      <c r="M443" s="319">
        <v>0.58527667362963109</v>
      </c>
      <c r="N443" s="319">
        <v>0</v>
      </c>
      <c r="O443" s="320">
        <v>-0.79001611742817723</v>
      </c>
      <c r="P443" s="320">
        <v>0</v>
      </c>
      <c r="Q443" s="319">
        <v>0</v>
      </c>
      <c r="R443" s="320">
        <v>0</v>
      </c>
      <c r="S443" s="320">
        <v>-0.28926771405059226</v>
      </c>
      <c r="T443" s="320"/>
      <c r="U443" s="320"/>
      <c r="V443" s="316"/>
    </row>
    <row r="444" spans="1:22">
      <c r="A444" s="311"/>
      <c r="B444" s="291" t="s">
        <v>775</v>
      </c>
      <c r="C444" s="308">
        <v>7.7124775861188613E-2</v>
      </c>
      <c r="D444" s="309">
        <v>0.160932715385252</v>
      </c>
      <c r="E444" s="309">
        <v>0.1308254903107561</v>
      </c>
      <c r="F444" s="309">
        <v>0</v>
      </c>
      <c r="G444" s="309">
        <v>8.7188259076748195E-2</v>
      </c>
      <c r="H444" s="309">
        <v>0</v>
      </c>
      <c r="I444" s="309">
        <v>0</v>
      </c>
      <c r="J444" s="310">
        <v>0.11500606827216545</v>
      </c>
      <c r="K444" s="310">
        <v>0</v>
      </c>
      <c r="L444" s="309">
        <v>0.19897155474950481</v>
      </c>
      <c r="M444" s="309">
        <v>0.18086613604163912</v>
      </c>
      <c r="N444" s="309">
        <v>0</v>
      </c>
      <c r="O444" s="310">
        <v>0.19090444297209141</v>
      </c>
      <c r="P444" s="310">
        <v>0</v>
      </c>
      <c r="Q444" s="309">
        <v>0</v>
      </c>
      <c r="R444" s="310">
        <v>0</v>
      </c>
      <c r="S444" s="310">
        <v>0.14198038237430255</v>
      </c>
      <c r="T444" s="310"/>
      <c r="U444" s="310"/>
      <c r="V444" s="316"/>
    </row>
    <row r="445" spans="1:22">
      <c r="A445" s="311"/>
      <c r="B445" s="312" t="s">
        <v>776</v>
      </c>
      <c r="C445" s="313">
        <v>8.240237330272715E-2</v>
      </c>
      <c r="D445" s="314">
        <v>0.16060290849102218</v>
      </c>
      <c r="E445" s="314">
        <v>0.13987178548161397</v>
      </c>
      <c r="F445" s="314">
        <v>0</v>
      </c>
      <c r="G445" s="314">
        <v>9.3989679873502485E-2</v>
      </c>
      <c r="H445" s="314">
        <v>0</v>
      </c>
      <c r="I445" s="314">
        <v>0</v>
      </c>
      <c r="J445" s="315">
        <v>0.12109916904659916</v>
      </c>
      <c r="K445" s="315">
        <v>0</v>
      </c>
      <c r="L445" s="314">
        <v>0.20311676182980687</v>
      </c>
      <c r="M445" s="314">
        <v>0.17649379083530223</v>
      </c>
      <c r="N445" s="314">
        <v>0</v>
      </c>
      <c r="O445" s="315">
        <v>0.19110118625189149</v>
      </c>
      <c r="P445" s="315">
        <v>0</v>
      </c>
      <c r="Q445" s="314">
        <v>0</v>
      </c>
      <c r="R445" s="315">
        <v>0</v>
      </c>
      <c r="S445" s="315">
        <v>0.14620079406671282</v>
      </c>
      <c r="T445" s="315"/>
      <c r="U445" s="315"/>
      <c r="V445" s="316"/>
    </row>
    <row r="446" spans="1:22">
      <c r="A446" s="311"/>
      <c r="B446" s="317" t="s">
        <v>777</v>
      </c>
      <c r="C446" s="318">
        <v>0.52775974415385374</v>
      </c>
      <c r="D446" s="319">
        <v>-3.2980689422981713E-2</v>
      </c>
      <c r="E446" s="319">
        <v>0.90462951708578654</v>
      </c>
      <c r="F446" s="319">
        <v>0</v>
      </c>
      <c r="G446" s="319">
        <v>0.68014207967542895</v>
      </c>
      <c r="H446" s="319">
        <v>0</v>
      </c>
      <c r="I446" s="319">
        <v>0</v>
      </c>
      <c r="J446" s="320">
        <v>0.60931007744337151</v>
      </c>
      <c r="K446" s="320">
        <v>0</v>
      </c>
      <c r="L446" s="319">
        <v>0.41452070803020546</v>
      </c>
      <c r="M446" s="319">
        <v>-0.43723452063368917</v>
      </c>
      <c r="N446" s="319">
        <v>0</v>
      </c>
      <c r="O446" s="320">
        <v>1.9674327980007122E-2</v>
      </c>
      <c r="P446" s="320">
        <v>0</v>
      </c>
      <c r="Q446" s="319">
        <v>0</v>
      </c>
      <c r="R446" s="320">
        <v>0</v>
      </c>
      <c r="S446" s="320">
        <v>0.42204116924102753</v>
      </c>
      <c r="T446" s="320"/>
      <c r="U446" s="320"/>
      <c r="V446" s="316"/>
    </row>
    <row r="447" spans="1:22">
      <c r="A447" s="311"/>
      <c r="B447" s="291" t="s">
        <v>778</v>
      </c>
      <c r="C447" s="308">
        <v>3.003535160884361E-6</v>
      </c>
      <c r="D447" s="309">
        <v>1.4969378465612845E-2</v>
      </c>
      <c r="E447" s="309">
        <v>2.9850451516562441E-4</v>
      </c>
      <c r="F447" s="309">
        <v>0</v>
      </c>
      <c r="G447" s="309">
        <v>1.3705608253392889E-2</v>
      </c>
      <c r="H447" s="309">
        <v>0</v>
      </c>
      <c r="I447" s="309">
        <v>0</v>
      </c>
      <c r="J447" s="310">
        <v>3.4125028180700852E-3</v>
      </c>
      <c r="K447" s="310">
        <v>0</v>
      </c>
      <c r="L447" s="309">
        <v>9.128341967634384E-4</v>
      </c>
      <c r="M447" s="309">
        <v>4.549130086766328E-2</v>
      </c>
      <c r="N447" s="309">
        <v>0</v>
      </c>
      <c r="O447" s="310">
        <v>2.0775367027534925E-2</v>
      </c>
      <c r="P447" s="310">
        <v>0</v>
      </c>
      <c r="Q447" s="309">
        <v>0</v>
      </c>
      <c r="R447" s="310">
        <v>0</v>
      </c>
      <c r="S447" s="310">
        <v>9.5832720176813654E-3</v>
      </c>
      <c r="T447" s="310"/>
      <c r="U447" s="310"/>
      <c r="V447" s="316"/>
    </row>
    <row r="448" spans="1:22">
      <c r="A448" s="311"/>
      <c r="B448" s="312" t="s">
        <v>779</v>
      </c>
      <c r="C448" s="313">
        <v>3.3856100650910838E-4</v>
      </c>
      <c r="D448" s="314">
        <v>1.3567269520980712E-2</v>
      </c>
      <c r="E448" s="314">
        <v>1.6421943725930866E-4</v>
      </c>
      <c r="F448" s="314">
        <v>0</v>
      </c>
      <c r="G448" s="314">
        <v>1.6189206070530242E-2</v>
      </c>
      <c r="H448" s="314">
        <v>0</v>
      </c>
      <c r="I448" s="314">
        <v>0</v>
      </c>
      <c r="J448" s="315">
        <v>3.3989268953329562E-3</v>
      </c>
      <c r="K448" s="315">
        <v>0</v>
      </c>
      <c r="L448" s="314">
        <v>6.6754869323780843E-4</v>
      </c>
      <c r="M448" s="322">
        <v>4.6333867698617977E-2</v>
      </c>
      <c r="N448" s="314">
        <v>0</v>
      </c>
      <c r="O448" s="315">
        <v>2.1277836984788745E-2</v>
      </c>
      <c r="P448" s="315">
        <v>0</v>
      </c>
      <c r="Q448" s="314">
        <v>0</v>
      </c>
      <c r="R448" s="315">
        <v>0</v>
      </c>
      <c r="S448" s="315">
        <v>9.8100235287013494E-3</v>
      </c>
      <c r="T448" s="315"/>
      <c r="U448" s="315"/>
      <c r="V448" s="316"/>
    </row>
    <row r="449" spans="1:22">
      <c r="A449" s="311"/>
      <c r="B449" s="317" t="s">
        <v>780</v>
      </c>
      <c r="C449" s="318">
        <v>3.35557471348224E-2</v>
      </c>
      <c r="D449" s="319">
        <v>-0.14021089446321339</v>
      </c>
      <c r="E449" s="319">
        <v>-1.3428507790631575E-2</v>
      </c>
      <c r="F449" s="319">
        <v>0</v>
      </c>
      <c r="G449" s="319">
        <v>0.24835978171373532</v>
      </c>
      <c r="H449" s="319">
        <v>0</v>
      </c>
      <c r="I449" s="319">
        <v>0</v>
      </c>
      <c r="J449" s="320">
        <v>-1.3575922737128938E-3</v>
      </c>
      <c r="K449" s="320">
        <v>0</v>
      </c>
      <c r="L449" s="319">
        <v>-2.4528550352562996E-2</v>
      </c>
      <c r="M449" s="321">
        <v>8.4256683095469687E-2</v>
      </c>
      <c r="N449" s="319">
        <v>0</v>
      </c>
      <c r="O449" s="320">
        <v>5.0246995725381979E-2</v>
      </c>
      <c r="P449" s="320">
        <v>0</v>
      </c>
      <c r="Q449" s="319">
        <v>0</v>
      </c>
      <c r="R449" s="320">
        <v>0</v>
      </c>
      <c r="S449" s="320">
        <v>2.26751511019984E-2</v>
      </c>
      <c r="T449" s="320"/>
      <c r="U449" s="320"/>
      <c r="V449" s="316"/>
    </row>
    <row r="450" spans="1:22">
      <c r="A450" s="311"/>
      <c r="B450" s="291" t="s">
        <v>781</v>
      </c>
      <c r="C450" s="308">
        <v>2.4825219283096205E-2</v>
      </c>
      <c r="D450" s="309">
        <v>4.4819167425308282E-2</v>
      </c>
      <c r="E450" s="309">
        <v>7.0018677419918379E-2</v>
      </c>
      <c r="F450" s="309">
        <v>0</v>
      </c>
      <c r="G450" s="309">
        <v>1.9303673596328012E-4</v>
      </c>
      <c r="H450" s="309">
        <v>0</v>
      </c>
      <c r="I450" s="309">
        <v>0</v>
      </c>
      <c r="J450" s="310">
        <v>4.6455194444323479E-2</v>
      </c>
      <c r="K450" s="310">
        <v>0</v>
      </c>
      <c r="L450" s="309">
        <v>4.8833889928414295E-2</v>
      </c>
      <c r="M450" s="309">
        <v>4.6612186012389735E-2</v>
      </c>
      <c r="N450" s="309">
        <v>0</v>
      </c>
      <c r="O450" s="310">
        <v>4.7843979995036125E-2</v>
      </c>
      <c r="P450" s="310">
        <v>0</v>
      </c>
      <c r="Q450" s="309">
        <v>0</v>
      </c>
      <c r="R450" s="310">
        <v>0</v>
      </c>
      <c r="S450" s="310">
        <v>4.6948769409710302E-2</v>
      </c>
      <c r="T450" s="310"/>
      <c r="U450" s="310"/>
      <c r="V450" s="316"/>
    </row>
    <row r="451" spans="1:22">
      <c r="A451" s="311"/>
      <c r="B451" s="312" t="s">
        <v>782</v>
      </c>
      <c r="C451" s="313">
        <v>2.6789011957855609E-2</v>
      </c>
      <c r="D451" s="314">
        <v>3.8361363146923899E-2</v>
      </c>
      <c r="E451" s="314">
        <v>7.3824732372431173E-2</v>
      </c>
      <c r="F451" s="314">
        <v>0</v>
      </c>
      <c r="G451" s="314">
        <v>6.0772827793439911E-4</v>
      </c>
      <c r="H451" s="314">
        <v>0</v>
      </c>
      <c r="I451" s="314">
        <v>0</v>
      </c>
      <c r="J451" s="315">
        <v>4.7652222095949999E-2</v>
      </c>
      <c r="K451" s="315">
        <v>0</v>
      </c>
      <c r="L451" s="314">
        <v>4.1299231716126289E-2</v>
      </c>
      <c r="M451" s="314">
        <v>4.6480451691912429E-2</v>
      </c>
      <c r="N451" s="314">
        <v>0</v>
      </c>
      <c r="O451" s="315">
        <v>4.3637638658676529E-2</v>
      </c>
      <c r="P451" s="315">
        <v>0</v>
      </c>
      <c r="Q451" s="314">
        <v>0</v>
      </c>
      <c r="R451" s="315">
        <v>0</v>
      </c>
      <c r="S451" s="315">
        <v>4.6212655465193264E-2</v>
      </c>
      <c r="T451" s="315"/>
      <c r="U451" s="315"/>
      <c r="V451" s="316"/>
    </row>
    <row r="452" spans="1:22">
      <c r="A452" s="311"/>
      <c r="B452" s="317" t="s">
        <v>783</v>
      </c>
      <c r="C452" s="318">
        <v>0.19637926747594037</v>
      </c>
      <c r="D452" s="319">
        <v>-0.64578042783843825</v>
      </c>
      <c r="E452" s="319">
        <v>0.3806054952512794</v>
      </c>
      <c r="F452" s="319">
        <v>0</v>
      </c>
      <c r="G452" s="319">
        <v>4.1469154197111897E-2</v>
      </c>
      <c r="H452" s="319">
        <v>0</v>
      </c>
      <c r="I452" s="319">
        <v>0</v>
      </c>
      <c r="J452" s="320">
        <v>0.11970276516265199</v>
      </c>
      <c r="K452" s="320">
        <v>0</v>
      </c>
      <c r="L452" s="319">
        <v>-0.75346582122880057</v>
      </c>
      <c r="M452" s="319">
        <v>-1.3173432047730582E-2</v>
      </c>
      <c r="N452" s="319">
        <v>0</v>
      </c>
      <c r="O452" s="320">
        <v>-0.42063413363595953</v>
      </c>
      <c r="P452" s="320">
        <v>0</v>
      </c>
      <c r="Q452" s="319">
        <v>0</v>
      </c>
      <c r="R452" s="320">
        <v>0</v>
      </c>
      <c r="S452" s="320">
        <v>-7.3611394451703754E-2</v>
      </c>
      <c r="T452" s="320"/>
      <c r="U452" s="320"/>
      <c r="V452" s="316"/>
    </row>
    <row r="453" spans="1:22">
      <c r="A453" s="311"/>
      <c r="B453" s="291" t="s">
        <v>784</v>
      </c>
      <c r="C453" s="308">
        <v>6.0481186356341416E-3</v>
      </c>
      <c r="D453" s="309">
        <v>4.7980633948522715E-3</v>
      </c>
      <c r="E453" s="309">
        <v>7.8013737284125407E-3</v>
      </c>
      <c r="F453" s="309">
        <v>0</v>
      </c>
      <c r="G453" s="309">
        <v>1.6729850450150944E-3</v>
      </c>
      <c r="H453" s="309">
        <v>0</v>
      </c>
      <c r="I453" s="309">
        <v>0</v>
      </c>
      <c r="J453" s="310">
        <v>6.3456406088840305E-3</v>
      </c>
      <c r="K453" s="310">
        <v>0</v>
      </c>
      <c r="L453" s="309">
        <v>9.0297164241665462E-4</v>
      </c>
      <c r="M453" s="309">
        <v>2.3304047595346829E-3</v>
      </c>
      <c r="N453" s="309">
        <v>0</v>
      </c>
      <c r="O453" s="310">
        <v>1.5389835842763632E-3</v>
      </c>
      <c r="P453" s="310">
        <v>0</v>
      </c>
      <c r="Q453" s="309">
        <v>0</v>
      </c>
      <c r="R453" s="310">
        <v>0</v>
      </c>
      <c r="S453" s="310">
        <v>4.637352692632545E-3</v>
      </c>
      <c r="T453" s="310"/>
      <c r="U453" s="310"/>
      <c r="V453" s="316"/>
    </row>
    <row r="454" spans="1:22">
      <c r="A454" s="311"/>
      <c r="B454" s="312" t="s">
        <v>785</v>
      </c>
      <c r="C454" s="313">
        <v>5.7565299581812624E-3</v>
      </c>
      <c r="D454" s="314">
        <v>4.8596748568711986E-3</v>
      </c>
      <c r="E454" s="314">
        <v>7.3821648439337112E-3</v>
      </c>
      <c r="F454" s="314">
        <v>0</v>
      </c>
      <c r="G454" s="314">
        <v>1.2379650106071093E-3</v>
      </c>
      <c r="H454" s="314">
        <v>0</v>
      </c>
      <c r="I454" s="314">
        <v>0</v>
      </c>
      <c r="J454" s="315">
        <v>6.0470570988785458E-3</v>
      </c>
      <c r="K454" s="315">
        <v>0</v>
      </c>
      <c r="L454" s="314">
        <v>8.4293094433476965E-4</v>
      </c>
      <c r="M454" s="314">
        <v>2.0348523432783911E-3</v>
      </c>
      <c r="N454" s="314">
        <v>0</v>
      </c>
      <c r="O454" s="315">
        <v>1.3808732218851566E-3</v>
      </c>
      <c r="P454" s="315">
        <v>0</v>
      </c>
      <c r="Q454" s="314">
        <v>0</v>
      </c>
      <c r="R454" s="315">
        <v>0</v>
      </c>
      <c r="S454" s="315">
        <v>4.3738367742172015E-3</v>
      </c>
      <c r="T454" s="315"/>
      <c r="U454" s="315"/>
      <c r="V454" s="316"/>
    </row>
    <row r="455" spans="1:22" ht="15.75" thickBot="1">
      <c r="A455" s="311"/>
      <c r="B455" s="325" t="s">
        <v>786</v>
      </c>
      <c r="C455" s="326">
        <v>-2.9158867745287913E-2</v>
      </c>
      <c r="D455" s="327">
        <v>6.1611462018927067E-3</v>
      </c>
      <c r="E455" s="327">
        <v>-4.1920888447882949E-2</v>
      </c>
      <c r="F455" s="327">
        <v>0</v>
      </c>
      <c r="G455" s="327">
        <v>-4.3502003440798506E-2</v>
      </c>
      <c r="H455" s="327">
        <v>0</v>
      </c>
      <c r="I455" s="327">
        <v>0</v>
      </c>
      <c r="J455" s="328">
        <v>-2.9858351000548473E-2</v>
      </c>
      <c r="K455" s="328">
        <v>0</v>
      </c>
      <c r="L455" s="327">
        <v>-6.0040698081884969E-3</v>
      </c>
      <c r="M455" s="327">
        <v>-2.9555241625629173E-2</v>
      </c>
      <c r="N455" s="327">
        <v>0</v>
      </c>
      <c r="O455" s="328">
        <v>-1.5811036239120661E-2</v>
      </c>
      <c r="P455" s="328">
        <v>0</v>
      </c>
      <c r="Q455" s="327">
        <v>0</v>
      </c>
      <c r="R455" s="328">
        <v>0</v>
      </c>
      <c r="S455" s="328">
        <v>-2.6351591841534353E-2</v>
      </c>
      <c r="T455" s="328"/>
      <c r="U455" s="328"/>
      <c r="V455" s="316"/>
    </row>
    <row r="456" spans="1:22" ht="15.75" thickTop="1">
      <c r="A456" s="311"/>
      <c r="B456" s="312" t="s">
        <v>787</v>
      </c>
      <c r="C456" s="313">
        <v>0.71110061099796329</v>
      </c>
      <c r="D456" s="314">
        <v>0.46890959088613277</v>
      </c>
      <c r="E456" s="314">
        <v>0.52562566775666142</v>
      </c>
      <c r="F456" s="314">
        <v>0</v>
      </c>
      <c r="G456" s="314">
        <v>0.15557847687811588</v>
      </c>
      <c r="H456" s="314">
        <v>0</v>
      </c>
      <c r="I456" s="314">
        <v>0</v>
      </c>
      <c r="J456" s="315">
        <v>0.59451285074019578</v>
      </c>
      <c r="K456" s="315">
        <v>0</v>
      </c>
      <c r="L456" s="314">
        <v>0</v>
      </c>
      <c r="M456" s="314">
        <v>0</v>
      </c>
      <c r="N456" s="314">
        <v>0</v>
      </c>
      <c r="O456" s="315">
        <v>0</v>
      </c>
      <c r="P456" s="315">
        <v>0</v>
      </c>
      <c r="Q456" s="314">
        <v>0</v>
      </c>
      <c r="R456" s="315">
        <v>0</v>
      </c>
      <c r="S456" s="315">
        <v>0.59451285074019578</v>
      </c>
      <c r="T456" s="315"/>
      <c r="U456" s="315"/>
      <c r="V456" s="316"/>
    </row>
    <row r="457" spans="1:22">
      <c r="A457" s="311"/>
      <c r="B457" s="312" t="s">
        <v>788</v>
      </c>
      <c r="C457" s="313">
        <v>0.71382149551691187</v>
      </c>
      <c r="D457" s="314">
        <v>0.46489881367759944</v>
      </c>
      <c r="E457" s="314">
        <v>0.52578081889416184</v>
      </c>
      <c r="F457" s="314">
        <v>0</v>
      </c>
      <c r="G457" s="314">
        <v>0.12152244410308927</v>
      </c>
      <c r="H457" s="314">
        <v>0</v>
      </c>
      <c r="I457" s="314">
        <v>0</v>
      </c>
      <c r="J457" s="315">
        <v>0.59335458199874647</v>
      </c>
      <c r="K457" s="315">
        <v>0</v>
      </c>
      <c r="L457" s="314">
        <v>0</v>
      </c>
      <c r="M457" s="314">
        <v>0</v>
      </c>
      <c r="N457" s="314">
        <v>0</v>
      </c>
      <c r="O457" s="315">
        <v>0</v>
      </c>
      <c r="P457" s="315">
        <v>0</v>
      </c>
      <c r="Q457" s="314">
        <v>0</v>
      </c>
      <c r="R457" s="315">
        <v>0</v>
      </c>
      <c r="S457" s="315">
        <v>0.59335458199874647</v>
      </c>
      <c r="T457" s="315"/>
      <c r="U457" s="315"/>
      <c r="V457" s="316"/>
    </row>
    <row r="458" spans="1:22">
      <c r="A458" s="311"/>
      <c r="B458" s="317" t="s">
        <v>789</v>
      </c>
      <c r="C458" s="318">
        <v>0.27208845189485853</v>
      </c>
      <c r="D458" s="319">
        <v>-0.40107772085333226</v>
      </c>
      <c r="E458" s="319">
        <v>1.5515113750041998E-2</v>
      </c>
      <c r="F458" s="319">
        <v>0</v>
      </c>
      <c r="G458" s="319">
        <v>-3.405603277502661</v>
      </c>
      <c r="H458" s="319">
        <v>0</v>
      </c>
      <c r="I458" s="319">
        <v>0</v>
      </c>
      <c r="J458" s="320">
        <v>-0.11582687414493087</v>
      </c>
      <c r="K458" s="320">
        <v>0</v>
      </c>
      <c r="L458" s="319">
        <v>0</v>
      </c>
      <c r="M458" s="319">
        <v>0</v>
      </c>
      <c r="N458" s="319">
        <v>0</v>
      </c>
      <c r="O458" s="320">
        <v>0</v>
      </c>
      <c r="P458" s="320">
        <v>0</v>
      </c>
      <c r="Q458" s="319">
        <v>0</v>
      </c>
      <c r="R458" s="320">
        <v>0</v>
      </c>
      <c r="S458" s="320">
        <v>-0.11582687414493087</v>
      </c>
      <c r="T458" s="320"/>
      <c r="U458" s="320"/>
      <c r="V458" s="316"/>
    </row>
    <row r="459" spans="1:22">
      <c r="A459" s="311"/>
      <c r="B459" s="291" t="s">
        <v>790</v>
      </c>
      <c r="C459" s="308">
        <v>2.1435437881873728E-2</v>
      </c>
      <c r="D459" s="309">
        <v>0.10173129805264045</v>
      </c>
      <c r="E459" s="309">
        <v>1.9587528733771488E-2</v>
      </c>
      <c r="F459" s="309">
        <v>0</v>
      </c>
      <c r="G459" s="309">
        <v>0</v>
      </c>
      <c r="H459" s="309">
        <v>0</v>
      </c>
      <c r="I459" s="309">
        <v>0</v>
      </c>
      <c r="J459" s="310">
        <v>3.8228109340746892E-2</v>
      </c>
      <c r="K459" s="310">
        <v>0</v>
      </c>
      <c r="L459" s="309">
        <v>0</v>
      </c>
      <c r="M459" s="309">
        <v>0</v>
      </c>
      <c r="N459" s="309">
        <v>0</v>
      </c>
      <c r="O459" s="310">
        <v>0</v>
      </c>
      <c r="P459" s="310">
        <v>0</v>
      </c>
      <c r="Q459" s="309">
        <v>0</v>
      </c>
      <c r="R459" s="310">
        <v>0</v>
      </c>
      <c r="S459" s="310">
        <v>3.8228109340746892E-2</v>
      </c>
      <c r="T459" s="310"/>
      <c r="U459" s="310"/>
      <c r="V459" s="316"/>
    </row>
    <row r="460" spans="1:22">
      <c r="A460" s="311"/>
      <c r="B460" s="312" t="s">
        <v>791</v>
      </c>
      <c r="C460" s="313">
        <v>2.1008753092215442E-2</v>
      </c>
      <c r="D460" s="314">
        <v>0.1011165387299372</v>
      </c>
      <c r="E460" s="314">
        <v>1.418165765368061E-2</v>
      </c>
      <c r="F460" s="314">
        <v>0</v>
      </c>
      <c r="G460" s="322">
        <v>1.5360983102918587E-3</v>
      </c>
      <c r="H460" s="314">
        <v>0</v>
      </c>
      <c r="I460" s="314">
        <v>0</v>
      </c>
      <c r="J460" s="315">
        <v>3.673956037568981E-2</v>
      </c>
      <c r="K460" s="315">
        <v>0</v>
      </c>
      <c r="L460" s="314">
        <v>0</v>
      </c>
      <c r="M460" s="314">
        <v>0</v>
      </c>
      <c r="N460" s="314">
        <v>0</v>
      </c>
      <c r="O460" s="315">
        <v>0</v>
      </c>
      <c r="P460" s="315">
        <v>0</v>
      </c>
      <c r="Q460" s="314">
        <v>0</v>
      </c>
      <c r="R460" s="315">
        <v>0</v>
      </c>
      <c r="S460" s="315">
        <v>3.673956037568981E-2</v>
      </c>
      <c r="T460" s="315"/>
      <c r="U460" s="315"/>
      <c r="V460" s="316"/>
    </row>
    <row r="461" spans="1:22">
      <c r="A461" s="311"/>
      <c r="B461" s="317" t="s">
        <v>792</v>
      </c>
      <c r="C461" s="318">
        <v>-4.2668478965828677E-2</v>
      </c>
      <c r="D461" s="319">
        <v>-6.1475932270324551E-2</v>
      </c>
      <c r="E461" s="319">
        <v>-0.54058710800908782</v>
      </c>
      <c r="F461" s="319">
        <v>0</v>
      </c>
      <c r="G461" s="319">
        <v>0</v>
      </c>
      <c r="H461" s="319">
        <v>0</v>
      </c>
      <c r="I461" s="319">
        <v>0</v>
      </c>
      <c r="J461" s="320">
        <v>-0.14885489650570821</v>
      </c>
      <c r="K461" s="320">
        <v>0</v>
      </c>
      <c r="L461" s="319">
        <v>0</v>
      </c>
      <c r="M461" s="319">
        <v>0</v>
      </c>
      <c r="N461" s="319">
        <v>0</v>
      </c>
      <c r="O461" s="320">
        <v>0</v>
      </c>
      <c r="P461" s="320">
        <v>0</v>
      </c>
      <c r="Q461" s="319">
        <v>0</v>
      </c>
      <c r="R461" s="320">
        <v>0</v>
      </c>
      <c r="S461" s="320">
        <v>-0.14885489650570821</v>
      </c>
      <c r="T461" s="320"/>
      <c r="U461" s="320"/>
      <c r="V461" s="316"/>
    </row>
    <row r="462" spans="1:22">
      <c r="A462" s="311"/>
      <c r="B462" s="291" t="s">
        <v>793</v>
      </c>
      <c r="C462" s="308">
        <v>0.19248879837067209</v>
      </c>
      <c r="D462" s="309">
        <v>0.34428138503844213</v>
      </c>
      <c r="E462" s="309">
        <v>0.37187166121669313</v>
      </c>
      <c r="F462" s="309">
        <v>0</v>
      </c>
      <c r="G462" s="309">
        <v>0.84390579336427707</v>
      </c>
      <c r="H462" s="309">
        <v>0</v>
      </c>
      <c r="I462" s="309">
        <v>0</v>
      </c>
      <c r="J462" s="310">
        <v>0.28911960865307412</v>
      </c>
      <c r="K462" s="310">
        <v>0</v>
      </c>
      <c r="L462" s="309">
        <v>0</v>
      </c>
      <c r="M462" s="309">
        <v>0</v>
      </c>
      <c r="N462" s="309">
        <v>0</v>
      </c>
      <c r="O462" s="310">
        <v>0</v>
      </c>
      <c r="P462" s="310">
        <v>0</v>
      </c>
      <c r="Q462" s="309">
        <v>0</v>
      </c>
      <c r="R462" s="310">
        <v>0</v>
      </c>
      <c r="S462" s="310">
        <v>0.28911960865307412</v>
      </c>
      <c r="T462" s="310"/>
      <c r="U462" s="310"/>
      <c r="V462" s="316"/>
    </row>
    <row r="463" spans="1:22">
      <c r="A463" s="311"/>
      <c r="B463" s="312" t="s">
        <v>794</v>
      </c>
      <c r="C463" s="313">
        <v>0.1965766719604729</v>
      </c>
      <c r="D463" s="314">
        <v>0.35251919050942082</v>
      </c>
      <c r="E463" s="314">
        <v>0.38003531619026598</v>
      </c>
      <c r="F463" s="314">
        <v>0</v>
      </c>
      <c r="G463" s="314">
        <v>0.87591739204642427</v>
      </c>
      <c r="H463" s="314">
        <v>0</v>
      </c>
      <c r="I463" s="314">
        <v>0</v>
      </c>
      <c r="J463" s="315">
        <v>0.29641102815160175</v>
      </c>
      <c r="K463" s="315">
        <v>0</v>
      </c>
      <c r="L463" s="314">
        <v>0</v>
      </c>
      <c r="M463" s="314">
        <v>0</v>
      </c>
      <c r="N463" s="314">
        <v>0</v>
      </c>
      <c r="O463" s="315">
        <v>0</v>
      </c>
      <c r="P463" s="315">
        <v>0</v>
      </c>
      <c r="Q463" s="314">
        <v>0</v>
      </c>
      <c r="R463" s="315">
        <v>0</v>
      </c>
      <c r="S463" s="315">
        <v>0.29641102815160175</v>
      </c>
      <c r="T463" s="315"/>
      <c r="U463" s="315"/>
      <c r="V463" s="316"/>
    </row>
    <row r="464" spans="1:22">
      <c r="A464" s="311"/>
      <c r="B464" s="317" t="s">
        <v>795</v>
      </c>
      <c r="C464" s="318">
        <v>0.40878735898008112</v>
      </c>
      <c r="D464" s="319">
        <v>0.82378054709786874</v>
      </c>
      <c r="E464" s="319">
        <v>0.81636549735728536</v>
      </c>
      <c r="F464" s="319">
        <v>0</v>
      </c>
      <c r="G464" s="319">
        <v>3.2011598682147202</v>
      </c>
      <c r="H464" s="319">
        <v>0</v>
      </c>
      <c r="I464" s="319">
        <v>0</v>
      </c>
      <c r="J464" s="320">
        <v>0.72914194985276293</v>
      </c>
      <c r="K464" s="320">
        <v>0</v>
      </c>
      <c r="L464" s="319">
        <v>0</v>
      </c>
      <c r="M464" s="319">
        <v>0</v>
      </c>
      <c r="N464" s="319">
        <v>0</v>
      </c>
      <c r="O464" s="320">
        <v>0</v>
      </c>
      <c r="P464" s="320">
        <v>0</v>
      </c>
      <c r="Q464" s="319">
        <v>0</v>
      </c>
      <c r="R464" s="320">
        <v>0</v>
      </c>
      <c r="S464" s="320">
        <v>0.72914194985276293</v>
      </c>
      <c r="T464" s="320"/>
      <c r="U464" s="320"/>
      <c r="V464" s="316"/>
    </row>
    <row r="465" spans="1:22">
      <c r="A465" s="311"/>
      <c r="B465" s="291" t="s">
        <v>796</v>
      </c>
      <c r="C465" s="308">
        <v>2.4114052953156822E-3</v>
      </c>
      <c r="D465" s="309">
        <v>3.7179415230933275E-3</v>
      </c>
      <c r="E465" s="309">
        <v>1.877812671997928E-3</v>
      </c>
      <c r="F465" s="309">
        <v>0</v>
      </c>
      <c r="G465" s="309">
        <v>0</v>
      </c>
      <c r="H465" s="309">
        <v>0</v>
      </c>
      <c r="I465" s="309">
        <v>0</v>
      </c>
      <c r="J465" s="310">
        <v>2.5031598912718931E-3</v>
      </c>
      <c r="K465" s="310">
        <v>0</v>
      </c>
      <c r="L465" s="309">
        <v>0</v>
      </c>
      <c r="M465" s="309">
        <v>0</v>
      </c>
      <c r="N465" s="309">
        <v>0</v>
      </c>
      <c r="O465" s="310">
        <v>0</v>
      </c>
      <c r="P465" s="310">
        <v>0</v>
      </c>
      <c r="Q465" s="309">
        <v>0</v>
      </c>
      <c r="R465" s="310">
        <v>0</v>
      </c>
      <c r="S465" s="310">
        <v>2.5031598912718931E-3</v>
      </c>
      <c r="T465" s="310"/>
      <c r="U465" s="310"/>
      <c r="V465" s="316"/>
    </row>
    <row r="466" spans="1:22">
      <c r="A466" s="311"/>
      <c r="B466" s="312" t="s">
        <v>797</v>
      </c>
      <c r="C466" s="313">
        <v>1.0987145040302845E-3</v>
      </c>
      <c r="D466" s="314">
        <v>5.7641311933007673E-3</v>
      </c>
      <c r="E466" s="314">
        <v>2.207261891623441E-4</v>
      </c>
      <c r="F466" s="314">
        <v>0</v>
      </c>
      <c r="G466" s="314">
        <v>0</v>
      </c>
      <c r="H466" s="314">
        <v>0</v>
      </c>
      <c r="I466" s="314">
        <v>0</v>
      </c>
      <c r="J466" s="315">
        <v>1.8787632208536434E-3</v>
      </c>
      <c r="K466" s="315">
        <v>0</v>
      </c>
      <c r="L466" s="314">
        <v>0</v>
      </c>
      <c r="M466" s="314">
        <v>0</v>
      </c>
      <c r="N466" s="314">
        <v>0</v>
      </c>
      <c r="O466" s="315">
        <v>0</v>
      </c>
      <c r="P466" s="315">
        <v>0</v>
      </c>
      <c r="Q466" s="314">
        <v>0</v>
      </c>
      <c r="R466" s="315">
        <v>0</v>
      </c>
      <c r="S466" s="315">
        <v>1.8787632208536434E-3</v>
      </c>
      <c r="T466" s="315"/>
      <c r="U466" s="315"/>
      <c r="V466" s="316"/>
    </row>
    <row r="467" spans="1:22">
      <c r="A467" s="311"/>
      <c r="B467" s="317" t="s">
        <v>798</v>
      </c>
      <c r="C467" s="318">
        <v>-0.13126907912853977</v>
      </c>
      <c r="D467" s="319">
        <v>0.20461896702074397</v>
      </c>
      <c r="E467" s="319">
        <v>-0.16570864828355839</v>
      </c>
      <c r="F467" s="319">
        <v>0</v>
      </c>
      <c r="G467" s="319">
        <v>0</v>
      </c>
      <c r="H467" s="319">
        <v>0</v>
      </c>
      <c r="I467" s="319">
        <v>0</v>
      </c>
      <c r="J467" s="320">
        <v>-6.2439667041824971E-2</v>
      </c>
      <c r="K467" s="320">
        <v>0</v>
      </c>
      <c r="L467" s="319">
        <v>0</v>
      </c>
      <c r="M467" s="319">
        <v>0</v>
      </c>
      <c r="N467" s="319">
        <v>0</v>
      </c>
      <c r="O467" s="320">
        <v>0</v>
      </c>
      <c r="P467" s="320">
        <v>0</v>
      </c>
      <c r="Q467" s="319">
        <v>0</v>
      </c>
      <c r="R467" s="320">
        <v>0</v>
      </c>
      <c r="S467" s="320">
        <v>-6.2439667041824971E-2</v>
      </c>
      <c r="T467" s="320"/>
      <c r="U467" s="320"/>
      <c r="V467" s="316"/>
    </row>
    <row r="468" spans="1:22">
      <c r="A468" s="311"/>
      <c r="B468" s="291" t="s">
        <v>799</v>
      </c>
      <c r="C468" s="308">
        <v>2.7020773930753562E-2</v>
      </c>
      <c r="D468" s="309">
        <v>3.1230708793983951E-2</v>
      </c>
      <c r="E468" s="309">
        <v>4.9330354733922575E-2</v>
      </c>
      <c r="F468" s="309">
        <v>0</v>
      </c>
      <c r="G468" s="309">
        <v>0</v>
      </c>
      <c r="H468" s="309">
        <v>0</v>
      </c>
      <c r="I468" s="309">
        <v>0</v>
      </c>
      <c r="J468" s="310">
        <v>3.3859182558947251E-2</v>
      </c>
      <c r="K468" s="310">
        <v>0</v>
      </c>
      <c r="L468" s="309">
        <v>0</v>
      </c>
      <c r="M468" s="309">
        <v>0</v>
      </c>
      <c r="N468" s="309">
        <v>0</v>
      </c>
      <c r="O468" s="310">
        <v>0</v>
      </c>
      <c r="P468" s="310">
        <v>0</v>
      </c>
      <c r="Q468" s="309">
        <v>0</v>
      </c>
      <c r="R468" s="310">
        <v>0</v>
      </c>
      <c r="S468" s="310">
        <v>3.3859182558947251E-2</v>
      </c>
      <c r="T468" s="310"/>
      <c r="U468" s="310"/>
      <c r="V468" s="316"/>
    </row>
    <row r="469" spans="1:22">
      <c r="A469" s="311"/>
      <c r="B469" s="312" t="s">
        <v>800</v>
      </c>
      <c r="C469" s="313">
        <v>2.4684452523880393E-2</v>
      </c>
      <c r="D469" s="314">
        <v>2.9825540823447315E-2</v>
      </c>
      <c r="E469" s="314">
        <v>4.3494095574439909E-2</v>
      </c>
      <c r="F469" s="314">
        <v>0</v>
      </c>
      <c r="G469" s="314">
        <v>0</v>
      </c>
      <c r="H469" s="314">
        <v>0</v>
      </c>
      <c r="I469" s="314">
        <v>0</v>
      </c>
      <c r="J469" s="315">
        <v>3.0741970093733948E-2</v>
      </c>
      <c r="K469" s="315">
        <v>0</v>
      </c>
      <c r="L469" s="314">
        <v>0</v>
      </c>
      <c r="M469" s="314">
        <v>0</v>
      </c>
      <c r="N469" s="314">
        <v>0</v>
      </c>
      <c r="O469" s="315">
        <v>0</v>
      </c>
      <c r="P469" s="315">
        <v>0</v>
      </c>
      <c r="Q469" s="314">
        <v>0</v>
      </c>
      <c r="R469" s="315">
        <v>0</v>
      </c>
      <c r="S469" s="315">
        <v>3.0741970093733948E-2</v>
      </c>
      <c r="T469" s="315"/>
      <c r="U469" s="315"/>
      <c r="V469" s="316"/>
    </row>
    <row r="470" spans="1:22">
      <c r="A470" s="311"/>
      <c r="B470" s="317" t="s">
        <v>801</v>
      </c>
      <c r="C470" s="318">
        <v>-0.23363214068731694</v>
      </c>
      <c r="D470" s="319">
        <v>-0.1405167970536636</v>
      </c>
      <c r="E470" s="319">
        <v>-0.58362591594826663</v>
      </c>
      <c r="F470" s="319">
        <v>0</v>
      </c>
      <c r="G470" s="319">
        <v>0</v>
      </c>
      <c r="H470" s="319">
        <v>0</v>
      </c>
      <c r="I470" s="319">
        <v>0</v>
      </c>
      <c r="J470" s="320">
        <v>-0.31172124652133032</v>
      </c>
      <c r="K470" s="320">
        <v>0</v>
      </c>
      <c r="L470" s="319">
        <v>0</v>
      </c>
      <c r="M470" s="319">
        <v>0</v>
      </c>
      <c r="N470" s="319">
        <v>0</v>
      </c>
      <c r="O470" s="320">
        <v>0</v>
      </c>
      <c r="P470" s="320">
        <v>0</v>
      </c>
      <c r="Q470" s="319">
        <v>0</v>
      </c>
      <c r="R470" s="320">
        <v>0</v>
      </c>
      <c r="S470" s="320">
        <v>-0.31172124652133032</v>
      </c>
      <c r="T470" s="320"/>
      <c r="U470" s="320"/>
      <c r="V470" s="316"/>
    </row>
    <row r="471" spans="1:22">
      <c r="A471" s="311"/>
      <c r="B471" s="291" t="s">
        <v>802</v>
      </c>
      <c r="C471" s="308">
        <v>4.5542973523421591E-2</v>
      </c>
      <c r="D471" s="309">
        <v>5.012907570570739E-2</v>
      </c>
      <c r="E471" s="309">
        <v>3.1706974886953516E-2</v>
      </c>
      <c r="F471" s="309">
        <v>0</v>
      </c>
      <c r="G471" s="309">
        <v>5.1572975760701394E-4</v>
      </c>
      <c r="H471" s="309">
        <v>0</v>
      </c>
      <c r="I471" s="309">
        <v>0</v>
      </c>
      <c r="J471" s="310">
        <v>4.177708881576403E-2</v>
      </c>
      <c r="K471" s="310">
        <v>0</v>
      </c>
      <c r="L471" s="309">
        <v>0</v>
      </c>
      <c r="M471" s="309">
        <v>0</v>
      </c>
      <c r="N471" s="309">
        <v>0</v>
      </c>
      <c r="O471" s="310">
        <v>0</v>
      </c>
      <c r="P471" s="310">
        <v>0</v>
      </c>
      <c r="Q471" s="309">
        <v>0</v>
      </c>
      <c r="R471" s="310">
        <v>0</v>
      </c>
      <c r="S471" s="310">
        <v>4.177708881576403E-2</v>
      </c>
      <c r="T471" s="310"/>
      <c r="U471" s="310"/>
      <c r="V471" s="316"/>
    </row>
    <row r="472" spans="1:22">
      <c r="A472" s="311"/>
      <c r="B472" s="312" t="s">
        <v>803</v>
      </c>
      <c r="C472" s="313">
        <v>4.2809912402489089E-2</v>
      </c>
      <c r="D472" s="314">
        <v>4.5875785066294486E-2</v>
      </c>
      <c r="E472" s="314">
        <v>3.6287385498289373E-2</v>
      </c>
      <c r="F472" s="314">
        <v>0</v>
      </c>
      <c r="G472" s="314">
        <v>1.0240655401945725E-3</v>
      </c>
      <c r="H472" s="314">
        <v>0</v>
      </c>
      <c r="I472" s="314">
        <v>0</v>
      </c>
      <c r="J472" s="315">
        <v>4.0874096159374415E-2</v>
      </c>
      <c r="K472" s="315">
        <v>0</v>
      </c>
      <c r="L472" s="314">
        <v>0</v>
      </c>
      <c r="M472" s="314">
        <v>0</v>
      </c>
      <c r="N472" s="314">
        <v>0</v>
      </c>
      <c r="O472" s="315">
        <v>0</v>
      </c>
      <c r="P472" s="315">
        <v>0</v>
      </c>
      <c r="Q472" s="314">
        <v>0</v>
      </c>
      <c r="R472" s="315">
        <v>0</v>
      </c>
      <c r="S472" s="315">
        <v>4.0874096159374415E-2</v>
      </c>
      <c r="T472" s="315"/>
      <c r="U472" s="315"/>
      <c r="V472" s="316"/>
    </row>
    <row r="473" spans="1:22" ht="15.75" thickBot="1">
      <c r="A473" s="329"/>
      <c r="B473" s="330" t="s">
        <v>804</v>
      </c>
      <c r="C473" s="331">
        <v>-0.27330611209325018</v>
      </c>
      <c r="D473" s="332">
        <v>-0.42532906394129044</v>
      </c>
      <c r="E473" s="332">
        <v>0.45804106113358567</v>
      </c>
      <c r="F473" s="332">
        <v>0</v>
      </c>
      <c r="G473" s="332">
        <v>5.0833578258755854E-2</v>
      </c>
      <c r="H473" s="332">
        <v>0</v>
      </c>
      <c r="I473" s="332">
        <v>0</v>
      </c>
      <c r="J473" s="333">
        <v>-9.0299265638961457E-2</v>
      </c>
      <c r="K473" s="333">
        <v>0</v>
      </c>
      <c r="L473" s="332">
        <v>0</v>
      </c>
      <c r="M473" s="332">
        <v>0</v>
      </c>
      <c r="N473" s="332">
        <v>0</v>
      </c>
      <c r="O473" s="333">
        <v>0</v>
      </c>
      <c r="P473" s="333">
        <v>0</v>
      </c>
      <c r="Q473" s="332">
        <v>0</v>
      </c>
      <c r="R473" s="333">
        <v>0</v>
      </c>
      <c r="S473" s="333">
        <v>-9.0299265638961457E-2</v>
      </c>
      <c r="T473" s="333"/>
      <c r="U473" s="333"/>
      <c r="V473" s="316"/>
    </row>
    <row r="474" spans="1:22">
      <c r="A474" s="307" t="s">
        <v>646</v>
      </c>
      <c r="B474" s="291" t="s">
        <v>769</v>
      </c>
      <c r="C474" s="308">
        <v>0.87652971277046343</v>
      </c>
      <c r="D474" s="309">
        <v>0.86361089319735518</v>
      </c>
      <c r="E474" s="309">
        <v>0.84249251797093705</v>
      </c>
      <c r="F474" s="309">
        <v>0.44338227177392647</v>
      </c>
      <c r="G474" s="309">
        <v>0.58389875565766669</v>
      </c>
      <c r="H474" s="309">
        <v>0.98709517514871115</v>
      </c>
      <c r="I474" s="309">
        <v>0</v>
      </c>
      <c r="J474" s="310">
        <v>0.84889844428807015</v>
      </c>
      <c r="K474" s="310">
        <v>0.78574188023975944</v>
      </c>
      <c r="L474" s="309">
        <v>0.64691382583197354</v>
      </c>
      <c r="M474" s="309">
        <v>0.54988073890689304</v>
      </c>
      <c r="N474" s="309">
        <v>0.53550959931038089</v>
      </c>
      <c r="O474" s="310">
        <v>0.63382257562891853</v>
      </c>
      <c r="P474" s="310">
        <v>0</v>
      </c>
      <c r="Q474" s="309">
        <v>0</v>
      </c>
      <c r="R474" s="310">
        <v>0</v>
      </c>
      <c r="S474" s="310">
        <v>0.73370787246092761</v>
      </c>
      <c r="T474" s="310"/>
      <c r="U474" s="310"/>
      <c r="V474" s="316"/>
    </row>
    <row r="475" spans="1:22">
      <c r="A475" s="311"/>
      <c r="B475" s="312" t="s">
        <v>770</v>
      </c>
      <c r="C475" s="313">
        <v>0.86016016801389283</v>
      </c>
      <c r="D475" s="314">
        <v>0.84505060108803831</v>
      </c>
      <c r="E475" s="314">
        <v>0.82570067478442877</v>
      </c>
      <c r="F475" s="314">
        <v>0.48309086268504337</v>
      </c>
      <c r="G475" s="314">
        <v>0.54737984582417276</v>
      </c>
      <c r="H475" s="314">
        <v>0.97972518497165373</v>
      </c>
      <c r="I475" s="314">
        <v>0</v>
      </c>
      <c r="J475" s="315">
        <v>0.83252004511933408</v>
      </c>
      <c r="K475" s="315">
        <v>0.77051024732823648</v>
      </c>
      <c r="L475" s="314">
        <v>0.63771237990879037</v>
      </c>
      <c r="M475" s="314">
        <v>0.53804123845157859</v>
      </c>
      <c r="N475" s="314">
        <v>0.50117458650842894</v>
      </c>
      <c r="O475" s="315">
        <v>0.62363568925390533</v>
      </c>
      <c r="P475" s="315">
        <v>0</v>
      </c>
      <c r="Q475" s="314">
        <v>0</v>
      </c>
      <c r="R475" s="315">
        <v>0</v>
      </c>
      <c r="S475" s="315">
        <v>0.72235776679376196</v>
      </c>
      <c r="T475" s="315"/>
      <c r="U475" s="315"/>
      <c r="V475" s="316"/>
    </row>
    <row r="476" spans="1:22">
      <c r="A476" s="311"/>
      <c r="B476" s="317" t="s">
        <v>771</v>
      </c>
      <c r="C476" s="318">
        <v>-1.6369544756570598</v>
      </c>
      <c r="D476" s="319">
        <v>-1.8560292109316867</v>
      </c>
      <c r="E476" s="319">
        <v>-1.6791843186508282</v>
      </c>
      <c r="F476" s="321">
        <v>3.9708590911116892</v>
      </c>
      <c r="G476" s="319">
        <v>-3.6518909833493929</v>
      </c>
      <c r="H476" s="319">
        <v>-0.73699901770574172</v>
      </c>
      <c r="I476" s="319">
        <v>0</v>
      </c>
      <c r="J476" s="320">
        <v>-1.6378399168736069</v>
      </c>
      <c r="K476" s="320">
        <v>-1.5231632911522963</v>
      </c>
      <c r="L476" s="319">
        <v>-0.92014459231831713</v>
      </c>
      <c r="M476" s="319">
        <v>-1.1839500455314456</v>
      </c>
      <c r="N476" s="319">
        <v>-3.4335012801951947</v>
      </c>
      <c r="O476" s="320">
        <v>-1.0186886375013193</v>
      </c>
      <c r="P476" s="320">
        <v>0</v>
      </c>
      <c r="Q476" s="319">
        <v>0</v>
      </c>
      <c r="R476" s="320">
        <v>0</v>
      </c>
      <c r="S476" s="320">
        <v>-1.1350105667165655</v>
      </c>
      <c r="T476" s="320"/>
      <c r="U476" s="320"/>
      <c r="V476" s="316"/>
    </row>
    <row r="477" spans="1:22">
      <c r="A477" s="311"/>
      <c r="B477" s="291" t="s">
        <v>772</v>
      </c>
      <c r="C477" s="308">
        <v>6.544944338403409E-3</v>
      </c>
      <c r="D477" s="309">
        <v>3.9033880951237381E-3</v>
      </c>
      <c r="E477" s="309">
        <v>2.4630030807320607E-2</v>
      </c>
      <c r="F477" s="309">
        <v>9.8428818486219968E-2</v>
      </c>
      <c r="G477" s="309">
        <v>2.9881295746867105E-2</v>
      </c>
      <c r="H477" s="309">
        <v>1.9497686715135491E-3</v>
      </c>
      <c r="I477" s="309">
        <v>0</v>
      </c>
      <c r="J477" s="310">
        <v>1.4870757340420216E-2</v>
      </c>
      <c r="K477" s="310">
        <v>8.4778726991523463E-3</v>
      </c>
      <c r="L477" s="309">
        <v>0.11409123470131793</v>
      </c>
      <c r="M477" s="309">
        <v>0.20159112670484239</v>
      </c>
      <c r="N477" s="309">
        <v>0.14724083514413425</v>
      </c>
      <c r="O477" s="310">
        <v>0.1251928192927122</v>
      </c>
      <c r="P477" s="310">
        <v>0</v>
      </c>
      <c r="Q477" s="309">
        <v>0</v>
      </c>
      <c r="R477" s="310">
        <v>0</v>
      </c>
      <c r="S477" s="310">
        <v>7.3957169408216963E-2</v>
      </c>
      <c r="T477" s="310"/>
      <c r="U477" s="310"/>
      <c r="V477" s="316"/>
    </row>
    <row r="478" spans="1:22">
      <c r="A478" s="311"/>
      <c r="B478" s="312" t="s">
        <v>773</v>
      </c>
      <c r="C478" s="313">
        <v>6.9767026432906174E-3</v>
      </c>
      <c r="D478" s="314">
        <v>5.5223103598693027E-3</v>
      </c>
      <c r="E478" s="314">
        <v>2.4198959341293777E-2</v>
      </c>
      <c r="F478" s="314">
        <v>7.0621348760705582E-2</v>
      </c>
      <c r="G478" s="314">
        <v>3.2407536248017142E-2</v>
      </c>
      <c r="H478" s="314">
        <v>1.5214118702155601E-3</v>
      </c>
      <c r="I478" s="314">
        <v>0</v>
      </c>
      <c r="J478" s="315">
        <v>1.4829112558078927E-2</v>
      </c>
      <c r="K478" s="315">
        <v>1.3772134241718074E-2</v>
      </c>
      <c r="L478" s="314">
        <v>0.11586304402706527</v>
      </c>
      <c r="M478" s="314">
        <v>0.19935244467953231</v>
      </c>
      <c r="N478" s="314">
        <v>0.14994670612004646</v>
      </c>
      <c r="O478" s="315">
        <v>0.12596887739551743</v>
      </c>
      <c r="P478" s="315">
        <v>0</v>
      </c>
      <c r="Q478" s="314">
        <v>0</v>
      </c>
      <c r="R478" s="315">
        <v>0</v>
      </c>
      <c r="S478" s="315">
        <v>7.3442452251876775E-2</v>
      </c>
      <c r="T478" s="315"/>
      <c r="U478" s="315"/>
      <c r="V478" s="316"/>
    </row>
    <row r="479" spans="1:22">
      <c r="A479" s="311"/>
      <c r="B479" s="317" t="s">
        <v>774</v>
      </c>
      <c r="C479" s="318">
        <v>4.3175830488720833E-2</v>
      </c>
      <c r="D479" s="319">
        <v>0.16189222647455645</v>
      </c>
      <c r="E479" s="319">
        <v>-4.3107146602682986E-2</v>
      </c>
      <c r="F479" s="319">
        <v>-2.7807469725514387</v>
      </c>
      <c r="G479" s="319">
        <v>0.25262405011500372</v>
      </c>
      <c r="H479" s="319">
        <v>-4.2835680129798909E-2</v>
      </c>
      <c r="I479" s="319">
        <v>0</v>
      </c>
      <c r="J479" s="320">
        <v>-4.1644782341289377E-3</v>
      </c>
      <c r="K479" s="320">
        <v>0.5294261542565728</v>
      </c>
      <c r="L479" s="319">
        <v>0.17718093257473311</v>
      </c>
      <c r="M479" s="319">
        <v>-0.22386820253100792</v>
      </c>
      <c r="N479" s="319">
        <v>0.27058709759122113</v>
      </c>
      <c r="O479" s="320">
        <v>7.7605810280523269E-2</v>
      </c>
      <c r="P479" s="320">
        <v>0</v>
      </c>
      <c r="Q479" s="319">
        <v>0</v>
      </c>
      <c r="R479" s="320">
        <v>0</v>
      </c>
      <c r="S479" s="320">
        <v>-5.1471715634018866E-2</v>
      </c>
      <c r="T479" s="320"/>
      <c r="U479" s="320"/>
      <c r="V479" s="316"/>
    </row>
    <row r="480" spans="1:22">
      <c r="A480" s="311"/>
      <c r="B480" s="291" t="s">
        <v>775</v>
      </c>
      <c r="C480" s="308">
        <v>0.11301852348197043</v>
      </c>
      <c r="D480" s="309">
        <v>0.13064914411354589</v>
      </c>
      <c r="E480" s="309">
        <v>0.13004245677831389</v>
      </c>
      <c r="F480" s="309">
        <v>0.43673694668285684</v>
      </c>
      <c r="G480" s="309">
        <v>0.37559193725671691</v>
      </c>
      <c r="H480" s="309">
        <v>1.0492399206873761E-2</v>
      </c>
      <c r="I480" s="309">
        <v>0</v>
      </c>
      <c r="J480" s="310">
        <v>0.13257304646047857</v>
      </c>
      <c r="K480" s="310">
        <v>0.20445267538881257</v>
      </c>
      <c r="L480" s="309">
        <v>0.23671096189956747</v>
      </c>
      <c r="M480" s="309">
        <v>0.22636314973090363</v>
      </c>
      <c r="N480" s="309">
        <v>0.28291182294635897</v>
      </c>
      <c r="O480" s="310">
        <v>0.23427277393763807</v>
      </c>
      <c r="P480" s="310">
        <v>0</v>
      </c>
      <c r="Q480" s="309">
        <v>0</v>
      </c>
      <c r="R480" s="310">
        <v>0</v>
      </c>
      <c r="S480" s="310">
        <v>0.18704149908509196</v>
      </c>
      <c r="T480" s="310"/>
      <c r="U480" s="310"/>
      <c r="V480" s="316"/>
    </row>
    <row r="481" spans="1:22">
      <c r="A481" s="311"/>
      <c r="B481" s="312" t="s">
        <v>776</v>
      </c>
      <c r="C481" s="313">
        <v>0.12745297551455306</v>
      </c>
      <c r="D481" s="314">
        <v>0.14719480948029259</v>
      </c>
      <c r="E481" s="314">
        <v>0.14620329288987241</v>
      </c>
      <c r="F481" s="314">
        <v>0.42305456298565025</v>
      </c>
      <c r="G481" s="314">
        <v>0.40598614087329193</v>
      </c>
      <c r="H481" s="314">
        <v>1.7984689792127095E-2</v>
      </c>
      <c r="I481" s="314">
        <v>0</v>
      </c>
      <c r="J481" s="315">
        <v>0.14772159579103394</v>
      </c>
      <c r="K481" s="315">
        <v>0.21320271802697408</v>
      </c>
      <c r="L481" s="314">
        <v>0.24425805256499844</v>
      </c>
      <c r="M481" s="314">
        <v>0.23942672451559097</v>
      </c>
      <c r="N481" s="314">
        <v>0.31745387825662724</v>
      </c>
      <c r="O481" s="315">
        <v>0.24362270666173091</v>
      </c>
      <c r="P481" s="315">
        <v>0</v>
      </c>
      <c r="Q481" s="314">
        <v>0</v>
      </c>
      <c r="R481" s="315">
        <v>0</v>
      </c>
      <c r="S481" s="315">
        <v>0.1982983123847622</v>
      </c>
      <c r="T481" s="315"/>
      <c r="U481" s="315"/>
      <c r="V481" s="316"/>
    </row>
    <row r="482" spans="1:22">
      <c r="A482" s="311"/>
      <c r="B482" s="317" t="s">
        <v>777</v>
      </c>
      <c r="C482" s="318">
        <v>1.4434452032582632</v>
      </c>
      <c r="D482" s="319">
        <v>1.6545665366746705</v>
      </c>
      <c r="E482" s="319">
        <v>1.6160836111558523</v>
      </c>
      <c r="F482" s="319">
        <v>-1.368238369720659</v>
      </c>
      <c r="G482" s="319">
        <v>3.039420361657502</v>
      </c>
      <c r="H482" s="319">
        <v>0.74922905852533339</v>
      </c>
      <c r="I482" s="319">
        <v>0</v>
      </c>
      <c r="J482" s="320">
        <v>1.5148549330555372</v>
      </c>
      <c r="K482" s="320">
        <v>0.87500426381615093</v>
      </c>
      <c r="L482" s="319">
        <v>0.75470906654309666</v>
      </c>
      <c r="M482" s="319">
        <v>1.3063574784687337</v>
      </c>
      <c r="N482" s="319">
        <v>3.4542055310268269</v>
      </c>
      <c r="O482" s="320">
        <v>0.93499327240928465</v>
      </c>
      <c r="P482" s="320">
        <v>0</v>
      </c>
      <c r="Q482" s="319">
        <v>0</v>
      </c>
      <c r="R482" s="320">
        <v>0</v>
      </c>
      <c r="S482" s="320">
        <v>1.1256813299670236</v>
      </c>
      <c r="T482" s="320"/>
      <c r="U482" s="320"/>
      <c r="V482" s="316"/>
    </row>
    <row r="483" spans="1:22">
      <c r="A483" s="311"/>
      <c r="B483" s="291" t="s">
        <v>778</v>
      </c>
      <c r="C483" s="308">
        <v>2.4621534782122748E-3</v>
      </c>
      <c r="D483" s="309">
        <v>1.6147218721625151E-3</v>
      </c>
      <c r="E483" s="309">
        <v>9.7064160817027028E-4</v>
      </c>
      <c r="F483" s="309">
        <v>2.1451963056996724E-2</v>
      </c>
      <c r="G483" s="309">
        <v>1.0628011338749266E-2</v>
      </c>
      <c r="H483" s="309">
        <v>0</v>
      </c>
      <c r="I483" s="309">
        <v>0</v>
      </c>
      <c r="J483" s="310">
        <v>2.2528103225089484E-3</v>
      </c>
      <c r="K483" s="310">
        <v>1.0514367644423204E-3</v>
      </c>
      <c r="L483" s="309">
        <v>4.8745226886112518E-4</v>
      </c>
      <c r="M483" s="309">
        <v>1.9905154594994406E-2</v>
      </c>
      <c r="N483" s="309">
        <v>2.1892101052330082E-2</v>
      </c>
      <c r="O483" s="310">
        <v>4.6331052856831249E-3</v>
      </c>
      <c r="P483" s="310">
        <v>0</v>
      </c>
      <c r="Q483" s="309">
        <v>0</v>
      </c>
      <c r="R483" s="310">
        <v>0</v>
      </c>
      <c r="S483" s="310">
        <v>3.5276513338909745E-3</v>
      </c>
      <c r="T483" s="310"/>
      <c r="U483" s="310"/>
      <c r="V483" s="316"/>
    </row>
    <row r="484" spans="1:22">
      <c r="A484" s="311"/>
      <c r="B484" s="312" t="s">
        <v>779</v>
      </c>
      <c r="C484" s="313">
        <v>2.9008736246069178E-3</v>
      </c>
      <c r="D484" s="314">
        <v>2.1034502762285255E-3</v>
      </c>
      <c r="E484" s="314">
        <v>7.8852030712320905E-4</v>
      </c>
      <c r="F484" s="314">
        <v>2.323322556860076E-2</v>
      </c>
      <c r="G484" s="314">
        <v>1.4226477054518131E-2</v>
      </c>
      <c r="H484" s="314">
        <v>0</v>
      </c>
      <c r="I484" s="314">
        <v>0</v>
      </c>
      <c r="J484" s="315">
        <v>2.5600742758713365E-3</v>
      </c>
      <c r="K484" s="315">
        <v>1.0856326132691542E-3</v>
      </c>
      <c r="L484" s="314">
        <v>4.2726893055003629E-4</v>
      </c>
      <c r="M484" s="314">
        <v>2.0292284177973061E-2</v>
      </c>
      <c r="N484" s="314">
        <v>1.9615329547081565E-2</v>
      </c>
      <c r="O484" s="315">
        <v>4.5674814530226931E-3</v>
      </c>
      <c r="P484" s="315">
        <v>0</v>
      </c>
      <c r="Q484" s="314">
        <v>0</v>
      </c>
      <c r="R484" s="315">
        <v>0</v>
      </c>
      <c r="S484" s="315">
        <v>3.6187488101412264E-3</v>
      </c>
      <c r="T484" s="315"/>
      <c r="U484" s="315"/>
      <c r="V484" s="316"/>
    </row>
    <row r="485" spans="1:22">
      <c r="A485" s="311"/>
      <c r="B485" s="317" t="s">
        <v>780</v>
      </c>
      <c r="C485" s="318">
        <v>4.3872014639464302E-2</v>
      </c>
      <c r="D485" s="319">
        <v>4.8872840406601038E-2</v>
      </c>
      <c r="E485" s="319">
        <v>-1.8212130104706122E-2</v>
      </c>
      <c r="F485" s="319">
        <v>0.17812625116040356</v>
      </c>
      <c r="G485" s="319">
        <v>0.35984657157688649</v>
      </c>
      <c r="H485" s="319">
        <v>0</v>
      </c>
      <c r="I485" s="319">
        <v>0</v>
      </c>
      <c r="J485" s="320">
        <v>3.0726395336238804E-2</v>
      </c>
      <c r="K485" s="320">
        <v>3.4195848826833793E-3</v>
      </c>
      <c r="L485" s="319">
        <v>-6.018333831108889E-3</v>
      </c>
      <c r="M485" s="319">
        <v>3.8712958297865488E-2</v>
      </c>
      <c r="N485" s="319">
        <v>-0.22767715052485171</v>
      </c>
      <c r="O485" s="320">
        <v>-6.562383266043182E-3</v>
      </c>
      <c r="P485" s="320">
        <v>0</v>
      </c>
      <c r="Q485" s="319">
        <v>0</v>
      </c>
      <c r="R485" s="320">
        <v>0</v>
      </c>
      <c r="S485" s="320">
        <v>9.1097476250251962E-3</v>
      </c>
      <c r="T485" s="320"/>
      <c r="U485" s="320"/>
      <c r="V485" s="316"/>
    </row>
    <row r="486" spans="1:22">
      <c r="A486" s="311"/>
      <c r="B486" s="291" t="s">
        <v>781</v>
      </c>
      <c r="C486" s="308">
        <v>1.4446659309504664E-3</v>
      </c>
      <c r="D486" s="309">
        <v>2.2185272181269683E-4</v>
      </c>
      <c r="E486" s="309">
        <v>1.8643528352582047E-3</v>
      </c>
      <c r="F486" s="309">
        <v>0</v>
      </c>
      <c r="G486" s="309">
        <v>0</v>
      </c>
      <c r="H486" s="309">
        <v>4.6265697290152018E-4</v>
      </c>
      <c r="I486" s="309">
        <v>0</v>
      </c>
      <c r="J486" s="310">
        <v>1.4049415885220734E-3</v>
      </c>
      <c r="K486" s="310">
        <v>2.7613490783333665E-4</v>
      </c>
      <c r="L486" s="309">
        <v>1.79652529827988E-3</v>
      </c>
      <c r="M486" s="309">
        <v>2.2598300623665481E-3</v>
      </c>
      <c r="N486" s="309">
        <v>1.2445641546795777E-2</v>
      </c>
      <c r="O486" s="310">
        <v>2.078725855048074E-3</v>
      </c>
      <c r="P486" s="310">
        <v>0</v>
      </c>
      <c r="Q486" s="309">
        <v>0</v>
      </c>
      <c r="R486" s="310">
        <v>0</v>
      </c>
      <c r="S486" s="310">
        <v>1.7658077118725384E-3</v>
      </c>
      <c r="T486" s="310"/>
      <c r="U486" s="310"/>
      <c r="V486" s="316"/>
    </row>
    <row r="487" spans="1:22">
      <c r="A487" s="311"/>
      <c r="B487" s="312" t="s">
        <v>782</v>
      </c>
      <c r="C487" s="313">
        <v>2.5092802036565998E-3</v>
      </c>
      <c r="D487" s="314">
        <v>1.2882879557130298E-4</v>
      </c>
      <c r="E487" s="314">
        <v>3.1085526772818726E-3</v>
      </c>
      <c r="F487" s="314">
        <v>0</v>
      </c>
      <c r="G487" s="314">
        <v>0</v>
      </c>
      <c r="H487" s="314">
        <v>7.687133660036514E-4</v>
      </c>
      <c r="I487" s="314">
        <v>0</v>
      </c>
      <c r="J487" s="315">
        <v>2.3691722556816561E-3</v>
      </c>
      <c r="K487" s="315">
        <v>1.4292677898021806E-3</v>
      </c>
      <c r="L487" s="314">
        <v>1.7392545685958726E-3</v>
      </c>
      <c r="M487" s="314">
        <v>2.8873081753250755E-3</v>
      </c>
      <c r="N487" s="314">
        <v>1.1809499567815799E-2</v>
      </c>
      <c r="O487" s="315">
        <v>2.2052452358236633E-3</v>
      </c>
      <c r="P487" s="315">
        <v>0</v>
      </c>
      <c r="Q487" s="314">
        <v>0</v>
      </c>
      <c r="R487" s="315">
        <v>0</v>
      </c>
      <c r="S487" s="315">
        <v>2.2827197594578038E-3</v>
      </c>
      <c r="T487" s="315"/>
      <c r="U487" s="315"/>
      <c r="V487" s="316"/>
    </row>
    <row r="488" spans="1:22">
      <c r="A488" s="311"/>
      <c r="B488" s="317" t="s">
        <v>783</v>
      </c>
      <c r="C488" s="318">
        <v>0.10646142727061335</v>
      </c>
      <c r="D488" s="319">
        <v>-9.3023926241393856E-3</v>
      </c>
      <c r="E488" s="319">
        <v>0.12441998420236679</v>
      </c>
      <c r="F488" s="319">
        <v>0</v>
      </c>
      <c r="G488" s="319">
        <v>0</v>
      </c>
      <c r="H488" s="319">
        <v>3.0605639310213123E-2</v>
      </c>
      <c r="I488" s="319">
        <v>0</v>
      </c>
      <c r="J488" s="320">
        <v>9.6423066715958267E-2</v>
      </c>
      <c r="K488" s="320">
        <v>0.1153132881968844</v>
      </c>
      <c r="L488" s="319">
        <v>-5.7270729684007335E-3</v>
      </c>
      <c r="M488" s="319">
        <v>6.2747811295852746E-2</v>
      </c>
      <c r="N488" s="319">
        <v>-6.3614197897997854E-2</v>
      </c>
      <c r="O488" s="320">
        <v>1.2651938077558929E-2</v>
      </c>
      <c r="P488" s="320">
        <v>0</v>
      </c>
      <c r="Q488" s="319">
        <v>0</v>
      </c>
      <c r="R488" s="320">
        <v>0</v>
      </c>
      <c r="S488" s="320">
        <v>5.1691204758526538E-2</v>
      </c>
      <c r="T488" s="320"/>
      <c r="U488" s="320"/>
      <c r="V488" s="316"/>
    </row>
    <row r="489" spans="1:22">
      <c r="A489" s="311"/>
      <c r="B489" s="291" t="s">
        <v>784</v>
      </c>
      <c r="C489" s="308">
        <v>0</v>
      </c>
      <c r="D489" s="309">
        <v>0</v>
      </c>
      <c r="E489" s="309">
        <v>0</v>
      </c>
      <c r="F489" s="309">
        <v>0</v>
      </c>
      <c r="G489" s="309">
        <v>0</v>
      </c>
      <c r="H489" s="309">
        <v>0</v>
      </c>
      <c r="I489" s="309">
        <v>0</v>
      </c>
      <c r="J489" s="310">
        <v>0</v>
      </c>
      <c r="K489" s="310">
        <v>0</v>
      </c>
      <c r="L489" s="309">
        <v>0</v>
      </c>
      <c r="M489" s="309">
        <v>0</v>
      </c>
      <c r="N489" s="309">
        <v>0</v>
      </c>
      <c r="O489" s="310">
        <v>0</v>
      </c>
      <c r="P489" s="310">
        <v>0</v>
      </c>
      <c r="Q489" s="309">
        <v>0</v>
      </c>
      <c r="R489" s="310">
        <v>0</v>
      </c>
      <c r="S489" s="310">
        <v>0</v>
      </c>
      <c r="T489" s="310"/>
      <c r="U489" s="310"/>
      <c r="V489" s="316"/>
    </row>
    <row r="490" spans="1:22">
      <c r="A490" s="311"/>
      <c r="B490" s="312" t="s">
        <v>785</v>
      </c>
      <c r="C490" s="313">
        <v>0</v>
      </c>
      <c r="D490" s="314">
        <v>0</v>
      </c>
      <c r="E490" s="314">
        <v>0</v>
      </c>
      <c r="F490" s="314">
        <v>0</v>
      </c>
      <c r="G490" s="314">
        <v>0</v>
      </c>
      <c r="H490" s="314">
        <v>0</v>
      </c>
      <c r="I490" s="314">
        <v>0</v>
      </c>
      <c r="J490" s="315">
        <v>0</v>
      </c>
      <c r="K490" s="315">
        <v>0</v>
      </c>
      <c r="L490" s="314">
        <v>0</v>
      </c>
      <c r="M490" s="314">
        <v>0</v>
      </c>
      <c r="N490" s="314">
        <v>0</v>
      </c>
      <c r="O490" s="315">
        <v>0</v>
      </c>
      <c r="P490" s="315">
        <v>0</v>
      </c>
      <c r="Q490" s="314">
        <v>0</v>
      </c>
      <c r="R490" s="315">
        <v>0</v>
      </c>
      <c r="S490" s="315">
        <v>0</v>
      </c>
      <c r="T490" s="315"/>
      <c r="U490" s="315"/>
      <c r="V490" s="316"/>
    </row>
    <row r="491" spans="1:22" ht="15.75" thickBot="1">
      <c r="A491" s="311"/>
      <c r="B491" s="325" t="s">
        <v>786</v>
      </c>
      <c r="C491" s="326">
        <v>0</v>
      </c>
      <c r="D491" s="327">
        <v>0</v>
      </c>
      <c r="E491" s="327">
        <v>0</v>
      </c>
      <c r="F491" s="327">
        <v>0</v>
      </c>
      <c r="G491" s="327">
        <v>0</v>
      </c>
      <c r="H491" s="327">
        <v>0</v>
      </c>
      <c r="I491" s="327">
        <v>0</v>
      </c>
      <c r="J491" s="328">
        <v>0</v>
      </c>
      <c r="K491" s="328">
        <v>0</v>
      </c>
      <c r="L491" s="327">
        <v>0</v>
      </c>
      <c r="M491" s="327">
        <v>0</v>
      </c>
      <c r="N491" s="327">
        <v>0</v>
      </c>
      <c r="O491" s="328">
        <v>0</v>
      </c>
      <c r="P491" s="328">
        <v>0</v>
      </c>
      <c r="Q491" s="327">
        <v>0</v>
      </c>
      <c r="R491" s="328">
        <v>0</v>
      </c>
      <c r="S491" s="328">
        <v>0</v>
      </c>
      <c r="T491" s="328"/>
      <c r="U491" s="328"/>
      <c r="V491" s="316"/>
    </row>
    <row r="492" spans="1:22" ht="15.75" thickTop="1">
      <c r="A492" s="311"/>
      <c r="B492" s="312" t="s">
        <v>787</v>
      </c>
      <c r="C492" s="313">
        <v>0.84526214414241974</v>
      </c>
      <c r="D492" s="314">
        <v>0.66852346398352713</v>
      </c>
      <c r="E492" s="314">
        <v>0.50315593238952228</v>
      </c>
      <c r="F492" s="314">
        <v>0.21302553046038966</v>
      </c>
      <c r="G492" s="314">
        <v>0.37543845820360228</v>
      </c>
      <c r="H492" s="314">
        <v>0.80824544582933844</v>
      </c>
      <c r="I492" s="314">
        <v>0</v>
      </c>
      <c r="J492" s="315">
        <v>0.6945169760385993</v>
      </c>
      <c r="K492" s="315">
        <v>0</v>
      </c>
      <c r="L492" s="314">
        <v>0</v>
      </c>
      <c r="M492" s="314">
        <v>0</v>
      </c>
      <c r="N492" s="314">
        <v>0</v>
      </c>
      <c r="O492" s="315">
        <v>0</v>
      </c>
      <c r="P492" s="315">
        <v>0</v>
      </c>
      <c r="Q492" s="314">
        <v>0</v>
      </c>
      <c r="R492" s="315">
        <v>0</v>
      </c>
      <c r="S492" s="315">
        <v>0.6945169760385993</v>
      </c>
      <c r="T492" s="315"/>
      <c r="U492" s="315"/>
      <c r="V492" s="316"/>
    </row>
    <row r="493" spans="1:22">
      <c r="A493" s="311"/>
      <c r="B493" s="312" t="s">
        <v>788</v>
      </c>
      <c r="C493" s="313">
        <v>0.84342442758570435</v>
      </c>
      <c r="D493" s="314">
        <v>0.67595722465637176</v>
      </c>
      <c r="E493" s="314">
        <v>0.50424931054671462</v>
      </c>
      <c r="F493" s="314">
        <v>0.27901136259226361</v>
      </c>
      <c r="G493" s="314">
        <v>0.28617666891436278</v>
      </c>
      <c r="H493" s="314">
        <v>0.89638009049773759</v>
      </c>
      <c r="I493" s="314">
        <v>0</v>
      </c>
      <c r="J493" s="315">
        <v>0.69585855006026665</v>
      </c>
      <c r="K493" s="315">
        <v>0</v>
      </c>
      <c r="L493" s="314">
        <v>0</v>
      </c>
      <c r="M493" s="314">
        <v>0</v>
      </c>
      <c r="N493" s="314">
        <v>0</v>
      </c>
      <c r="O493" s="315">
        <v>0</v>
      </c>
      <c r="P493" s="315">
        <v>0</v>
      </c>
      <c r="Q493" s="314">
        <v>0</v>
      </c>
      <c r="R493" s="315">
        <v>0</v>
      </c>
      <c r="S493" s="315">
        <v>0.69585855006026665</v>
      </c>
      <c r="T493" s="315"/>
      <c r="U493" s="315"/>
      <c r="V493" s="316"/>
    </row>
    <row r="494" spans="1:22">
      <c r="A494" s="311"/>
      <c r="B494" s="317" t="s">
        <v>789</v>
      </c>
      <c r="C494" s="318">
        <v>-0.18377165567153853</v>
      </c>
      <c r="D494" s="319">
        <v>0.74337606728446248</v>
      </c>
      <c r="E494" s="319">
        <v>0.10933781571923484</v>
      </c>
      <c r="F494" s="321">
        <v>6.5985832131873954</v>
      </c>
      <c r="G494" s="321">
        <v>-8.9261789289239495</v>
      </c>
      <c r="H494" s="321">
        <v>8.8134644668399158</v>
      </c>
      <c r="I494" s="319">
        <v>0</v>
      </c>
      <c r="J494" s="320">
        <v>0.13415740216673466</v>
      </c>
      <c r="K494" s="320">
        <v>0</v>
      </c>
      <c r="L494" s="319">
        <v>0</v>
      </c>
      <c r="M494" s="319">
        <v>0</v>
      </c>
      <c r="N494" s="319">
        <v>0</v>
      </c>
      <c r="O494" s="320">
        <v>0</v>
      </c>
      <c r="P494" s="320">
        <v>0</v>
      </c>
      <c r="Q494" s="319">
        <v>0</v>
      </c>
      <c r="R494" s="320">
        <v>0</v>
      </c>
      <c r="S494" s="320">
        <v>0.13415740216673466</v>
      </c>
      <c r="T494" s="320"/>
      <c r="U494" s="320"/>
      <c r="V494" s="316"/>
    </row>
    <row r="495" spans="1:22">
      <c r="A495" s="311"/>
      <c r="B495" s="291" t="s">
        <v>790</v>
      </c>
      <c r="C495" s="308">
        <v>1.7613651549913394E-2</v>
      </c>
      <c r="D495" s="309">
        <v>1.2291728484979274E-2</v>
      </c>
      <c r="E495" s="309">
        <v>5.266181770455973E-2</v>
      </c>
      <c r="F495" s="309">
        <v>0.10979938474482687</v>
      </c>
      <c r="G495" s="309">
        <v>2.9204272257911952E-2</v>
      </c>
      <c r="H495" s="309">
        <v>6.2320230105465009E-3</v>
      </c>
      <c r="I495" s="309">
        <v>0</v>
      </c>
      <c r="J495" s="310">
        <v>3.0720737716945414E-2</v>
      </c>
      <c r="K495" s="310">
        <v>0</v>
      </c>
      <c r="L495" s="309">
        <v>0</v>
      </c>
      <c r="M495" s="309">
        <v>0</v>
      </c>
      <c r="N495" s="309">
        <v>0</v>
      </c>
      <c r="O495" s="310">
        <v>0</v>
      </c>
      <c r="P495" s="310">
        <v>0</v>
      </c>
      <c r="Q495" s="309">
        <v>0</v>
      </c>
      <c r="R495" s="310">
        <v>0</v>
      </c>
      <c r="S495" s="310">
        <v>3.0720737716945414E-2</v>
      </c>
      <c r="T495" s="310"/>
      <c r="U495" s="310"/>
      <c r="V495" s="316"/>
    </row>
    <row r="496" spans="1:22">
      <c r="A496" s="311"/>
      <c r="B496" s="312" t="s">
        <v>791</v>
      </c>
      <c r="C496" s="313">
        <v>0</v>
      </c>
      <c r="D496" s="314">
        <v>0</v>
      </c>
      <c r="E496" s="314">
        <v>0</v>
      </c>
      <c r="F496" s="314">
        <v>0</v>
      </c>
      <c r="G496" s="314">
        <v>0</v>
      </c>
      <c r="H496" s="314">
        <v>0</v>
      </c>
      <c r="I496" s="314">
        <v>0</v>
      </c>
      <c r="J496" s="315">
        <v>0</v>
      </c>
      <c r="K496" s="315">
        <v>0</v>
      </c>
      <c r="L496" s="314">
        <v>0</v>
      </c>
      <c r="M496" s="314">
        <v>0</v>
      </c>
      <c r="N496" s="314">
        <v>0</v>
      </c>
      <c r="O496" s="315">
        <v>0</v>
      </c>
      <c r="P496" s="315">
        <v>0</v>
      </c>
      <c r="Q496" s="314">
        <v>0</v>
      </c>
      <c r="R496" s="315">
        <v>0</v>
      </c>
      <c r="S496" s="315">
        <v>0</v>
      </c>
      <c r="T496" s="315"/>
      <c r="U496" s="315"/>
      <c r="V496" s="316"/>
    </row>
    <row r="497" spans="1:22">
      <c r="A497" s="311"/>
      <c r="B497" s="317" t="s">
        <v>792</v>
      </c>
      <c r="C497" s="318">
        <v>-1.7613651549913394</v>
      </c>
      <c r="D497" s="319">
        <v>-1.2291728484979274</v>
      </c>
      <c r="E497" s="321">
        <v>-5.2661817704559732</v>
      </c>
      <c r="F497" s="321">
        <v>-10.979938474482687</v>
      </c>
      <c r="G497" s="319">
        <v>-2.9204272257911952</v>
      </c>
      <c r="H497" s="319">
        <v>-0.62320230105465013</v>
      </c>
      <c r="I497" s="319">
        <v>0</v>
      </c>
      <c r="J497" s="320">
        <v>-3.0720737716945412</v>
      </c>
      <c r="K497" s="320">
        <v>0</v>
      </c>
      <c r="L497" s="319">
        <v>0</v>
      </c>
      <c r="M497" s="319">
        <v>0</v>
      </c>
      <c r="N497" s="319">
        <v>0</v>
      </c>
      <c r="O497" s="320">
        <v>0</v>
      </c>
      <c r="P497" s="320">
        <v>0</v>
      </c>
      <c r="Q497" s="319">
        <v>0</v>
      </c>
      <c r="R497" s="320">
        <v>0</v>
      </c>
      <c r="S497" s="320">
        <v>-3.0720737716945412</v>
      </c>
      <c r="T497" s="320"/>
      <c r="U497" s="320"/>
      <c r="V497" s="316"/>
    </row>
    <row r="498" spans="1:22">
      <c r="A498" s="311"/>
      <c r="B498" s="291" t="s">
        <v>793</v>
      </c>
      <c r="C498" s="308">
        <v>0.13069658806092915</v>
      </c>
      <c r="D498" s="309">
        <v>0.31748986179673239</v>
      </c>
      <c r="E498" s="309">
        <v>0.43173931851145525</v>
      </c>
      <c r="F498" s="309">
        <v>0.65209160465911187</v>
      </c>
      <c r="G498" s="309">
        <v>0.58932723761478734</v>
      </c>
      <c r="H498" s="309">
        <v>0.1840843720038351</v>
      </c>
      <c r="I498" s="309">
        <v>0</v>
      </c>
      <c r="J498" s="310">
        <v>0.26645358327340934</v>
      </c>
      <c r="K498" s="310">
        <v>0</v>
      </c>
      <c r="L498" s="309">
        <v>0</v>
      </c>
      <c r="M498" s="309">
        <v>0</v>
      </c>
      <c r="N498" s="309">
        <v>0</v>
      </c>
      <c r="O498" s="310">
        <v>0</v>
      </c>
      <c r="P498" s="310">
        <v>0</v>
      </c>
      <c r="Q498" s="309">
        <v>0</v>
      </c>
      <c r="R498" s="310">
        <v>0</v>
      </c>
      <c r="S498" s="310">
        <v>0.26645358327340934</v>
      </c>
      <c r="T498" s="310"/>
      <c r="U498" s="310"/>
      <c r="V498" s="316"/>
    </row>
    <row r="499" spans="1:22">
      <c r="A499" s="311"/>
      <c r="B499" s="312" t="s">
        <v>794</v>
      </c>
      <c r="C499" s="313">
        <v>0.14995174272730277</v>
      </c>
      <c r="D499" s="314">
        <v>0.31957548856479473</v>
      </c>
      <c r="E499" s="314">
        <v>0.48164239561505062</v>
      </c>
      <c r="F499" s="314">
        <v>0.68965728461609144</v>
      </c>
      <c r="G499" s="314">
        <v>0.70391099123398515</v>
      </c>
      <c r="H499" s="314">
        <v>0.10361990950226245</v>
      </c>
      <c r="I499" s="314">
        <v>0</v>
      </c>
      <c r="J499" s="315">
        <v>0.29476220801893049</v>
      </c>
      <c r="K499" s="315">
        <v>0</v>
      </c>
      <c r="L499" s="314">
        <v>0</v>
      </c>
      <c r="M499" s="314">
        <v>0</v>
      </c>
      <c r="N499" s="314">
        <v>0</v>
      </c>
      <c r="O499" s="315">
        <v>0</v>
      </c>
      <c r="P499" s="315">
        <v>0</v>
      </c>
      <c r="Q499" s="314">
        <v>0</v>
      </c>
      <c r="R499" s="315">
        <v>0</v>
      </c>
      <c r="S499" s="315">
        <v>0.29476220801893049</v>
      </c>
      <c r="T499" s="315"/>
      <c r="U499" s="315"/>
      <c r="V499" s="316"/>
    </row>
    <row r="500" spans="1:22">
      <c r="A500" s="311"/>
      <c r="B500" s="317" t="s">
        <v>795</v>
      </c>
      <c r="C500" s="318">
        <v>1.9255154666373619</v>
      </c>
      <c r="D500" s="319">
        <v>0.2085626768062343</v>
      </c>
      <c r="E500" s="321">
        <v>4.990307710359537</v>
      </c>
      <c r="F500" s="319">
        <v>3.756567995697957</v>
      </c>
      <c r="G500" s="321">
        <v>11.458375361919781</v>
      </c>
      <c r="H500" s="321">
        <v>-8.0464462501572651</v>
      </c>
      <c r="I500" s="319">
        <v>0</v>
      </c>
      <c r="J500" s="320">
        <v>2.8308624745521147</v>
      </c>
      <c r="K500" s="320">
        <v>0</v>
      </c>
      <c r="L500" s="319">
        <v>0</v>
      </c>
      <c r="M500" s="319">
        <v>0</v>
      </c>
      <c r="N500" s="319">
        <v>0</v>
      </c>
      <c r="O500" s="320">
        <v>0</v>
      </c>
      <c r="P500" s="320">
        <v>0</v>
      </c>
      <c r="Q500" s="319">
        <v>0</v>
      </c>
      <c r="R500" s="320">
        <v>0</v>
      </c>
      <c r="S500" s="320">
        <v>2.8308624745521147</v>
      </c>
      <c r="T500" s="320"/>
      <c r="U500" s="320"/>
      <c r="V500" s="316"/>
    </row>
    <row r="501" spans="1:22">
      <c r="A501" s="311"/>
      <c r="B501" s="291" t="s">
        <v>796</v>
      </c>
      <c r="C501" s="308">
        <v>2.1158109013406172E-3</v>
      </c>
      <c r="D501" s="309">
        <v>1.6949457347612239E-3</v>
      </c>
      <c r="E501" s="309">
        <v>2.5512629756163545E-3</v>
      </c>
      <c r="F501" s="309">
        <v>2.5083480135671653E-2</v>
      </c>
      <c r="G501" s="309">
        <v>6.0300319236984198E-3</v>
      </c>
      <c r="H501" s="309">
        <v>1.4381591562799617E-3</v>
      </c>
      <c r="I501" s="309">
        <v>0</v>
      </c>
      <c r="J501" s="310">
        <v>2.6639981115962755E-3</v>
      </c>
      <c r="K501" s="310">
        <v>0</v>
      </c>
      <c r="L501" s="309">
        <v>0</v>
      </c>
      <c r="M501" s="309">
        <v>0</v>
      </c>
      <c r="N501" s="309">
        <v>0</v>
      </c>
      <c r="O501" s="310">
        <v>0</v>
      </c>
      <c r="P501" s="310">
        <v>0</v>
      </c>
      <c r="Q501" s="309">
        <v>0</v>
      </c>
      <c r="R501" s="310">
        <v>0</v>
      </c>
      <c r="S501" s="310">
        <v>2.6639981115962755E-3</v>
      </c>
      <c r="T501" s="310"/>
      <c r="U501" s="310"/>
      <c r="V501" s="316"/>
    </row>
    <row r="502" spans="1:22">
      <c r="A502" s="311"/>
      <c r="B502" s="312" t="s">
        <v>797</v>
      </c>
      <c r="C502" s="313">
        <v>2.1760259225019553E-3</v>
      </c>
      <c r="D502" s="314">
        <v>4.4672867788335471E-3</v>
      </c>
      <c r="E502" s="314">
        <v>3.2121502729996585E-3</v>
      </c>
      <c r="F502" s="314">
        <v>3.1331352791644972E-2</v>
      </c>
      <c r="G502" s="314">
        <v>9.7100472016183412E-3</v>
      </c>
      <c r="H502" s="322">
        <v>0</v>
      </c>
      <c r="I502" s="314">
        <v>0</v>
      </c>
      <c r="J502" s="315">
        <v>3.2774389898915833E-3</v>
      </c>
      <c r="K502" s="315">
        <v>0</v>
      </c>
      <c r="L502" s="314">
        <v>0</v>
      </c>
      <c r="M502" s="314">
        <v>0</v>
      </c>
      <c r="N502" s="314">
        <v>0</v>
      </c>
      <c r="O502" s="315">
        <v>0</v>
      </c>
      <c r="P502" s="315">
        <v>0</v>
      </c>
      <c r="Q502" s="314">
        <v>0</v>
      </c>
      <c r="R502" s="315">
        <v>0</v>
      </c>
      <c r="S502" s="315">
        <v>3.2774389898915833E-3</v>
      </c>
      <c r="T502" s="315"/>
      <c r="U502" s="315"/>
      <c r="V502" s="316"/>
    </row>
    <row r="503" spans="1:22">
      <c r="A503" s="311"/>
      <c r="B503" s="317" t="s">
        <v>798</v>
      </c>
      <c r="C503" s="318">
        <v>6.0215021161338055E-3</v>
      </c>
      <c r="D503" s="319">
        <v>0.27723410440723234</v>
      </c>
      <c r="E503" s="319">
        <v>6.6088729738330396E-2</v>
      </c>
      <c r="F503" s="319">
        <v>0.62478726559733189</v>
      </c>
      <c r="G503" s="319">
        <v>0.36800152779199213</v>
      </c>
      <c r="H503" s="321">
        <v>-0.14381591562799617</v>
      </c>
      <c r="I503" s="319">
        <v>0</v>
      </c>
      <c r="J503" s="320">
        <v>6.1344087829530783E-2</v>
      </c>
      <c r="K503" s="320">
        <v>0</v>
      </c>
      <c r="L503" s="319">
        <v>0</v>
      </c>
      <c r="M503" s="319">
        <v>0</v>
      </c>
      <c r="N503" s="319">
        <v>0</v>
      </c>
      <c r="O503" s="320">
        <v>0</v>
      </c>
      <c r="P503" s="320">
        <v>0</v>
      </c>
      <c r="Q503" s="319">
        <v>0</v>
      </c>
      <c r="R503" s="320">
        <v>0</v>
      </c>
      <c r="S503" s="320">
        <v>6.1344087829530783E-2</v>
      </c>
      <c r="T503" s="320"/>
      <c r="U503" s="320"/>
      <c r="V503" s="316"/>
    </row>
    <row r="504" spans="1:22">
      <c r="A504" s="311"/>
      <c r="B504" s="291" t="s">
        <v>799</v>
      </c>
      <c r="C504" s="308">
        <v>4.3118053453970765E-3</v>
      </c>
      <c r="D504" s="309">
        <v>0</v>
      </c>
      <c r="E504" s="309">
        <v>9.8916684188464013E-3</v>
      </c>
      <c r="F504" s="309">
        <v>0</v>
      </c>
      <c r="G504" s="309">
        <v>0</v>
      </c>
      <c r="H504" s="309">
        <v>0</v>
      </c>
      <c r="I504" s="309">
        <v>0</v>
      </c>
      <c r="J504" s="310">
        <v>5.6447048594497201E-3</v>
      </c>
      <c r="K504" s="310">
        <v>0</v>
      </c>
      <c r="L504" s="309">
        <v>0</v>
      </c>
      <c r="M504" s="309">
        <v>0</v>
      </c>
      <c r="N504" s="309">
        <v>0</v>
      </c>
      <c r="O504" s="310">
        <v>0</v>
      </c>
      <c r="P504" s="310">
        <v>0</v>
      </c>
      <c r="Q504" s="309">
        <v>0</v>
      </c>
      <c r="R504" s="310">
        <v>0</v>
      </c>
      <c r="S504" s="310">
        <v>5.6447048594497201E-3</v>
      </c>
      <c r="T504" s="310"/>
      <c r="U504" s="310"/>
      <c r="V504" s="316"/>
    </row>
    <row r="505" spans="1:22">
      <c r="A505" s="311"/>
      <c r="B505" s="312" t="s">
        <v>800</v>
      </c>
      <c r="C505" s="313">
        <v>4.4478037644909516E-3</v>
      </c>
      <c r="D505" s="314">
        <v>0</v>
      </c>
      <c r="E505" s="314">
        <v>1.089614356523513E-2</v>
      </c>
      <c r="F505" s="314">
        <v>0</v>
      </c>
      <c r="G505" s="314">
        <v>2.0229265003371543E-4</v>
      </c>
      <c r="H505" s="314">
        <v>0</v>
      </c>
      <c r="I505" s="314">
        <v>0</v>
      </c>
      <c r="J505" s="315">
        <v>6.1018029309112603E-3</v>
      </c>
      <c r="K505" s="315">
        <v>0</v>
      </c>
      <c r="L505" s="314">
        <v>0</v>
      </c>
      <c r="M505" s="314">
        <v>0</v>
      </c>
      <c r="N505" s="314">
        <v>0</v>
      </c>
      <c r="O505" s="315">
        <v>0</v>
      </c>
      <c r="P505" s="315">
        <v>0</v>
      </c>
      <c r="Q505" s="314">
        <v>0</v>
      </c>
      <c r="R505" s="315">
        <v>0</v>
      </c>
      <c r="S505" s="315">
        <v>6.1018029309112603E-3</v>
      </c>
      <c r="T505" s="315"/>
      <c r="U505" s="315"/>
      <c r="V505" s="316"/>
    </row>
    <row r="506" spans="1:22">
      <c r="A506" s="311"/>
      <c r="B506" s="317" t="s">
        <v>801</v>
      </c>
      <c r="C506" s="318">
        <v>1.3599841909387508E-2</v>
      </c>
      <c r="D506" s="319">
        <v>0</v>
      </c>
      <c r="E506" s="319">
        <v>0.10044751463887287</v>
      </c>
      <c r="F506" s="319">
        <v>0</v>
      </c>
      <c r="G506" s="319">
        <v>0</v>
      </c>
      <c r="H506" s="319">
        <v>0</v>
      </c>
      <c r="I506" s="319">
        <v>0</v>
      </c>
      <c r="J506" s="320">
        <v>4.5709807146154025E-2</v>
      </c>
      <c r="K506" s="320">
        <v>0</v>
      </c>
      <c r="L506" s="319">
        <v>0</v>
      </c>
      <c r="M506" s="319">
        <v>0</v>
      </c>
      <c r="N506" s="319">
        <v>0</v>
      </c>
      <c r="O506" s="320">
        <v>0</v>
      </c>
      <c r="P506" s="320">
        <v>0</v>
      </c>
      <c r="Q506" s="319">
        <v>0</v>
      </c>
      <c r="R506" s="320">
        <v>0</v>
      </c>
      <c r="S506" s="320">
        <v>4.5709807146154025E-2</v>
      </c>
      <c r="T506" s="320"/>
      <c r="U506" s="320"/>
      <c r="V506" s="316"/>
    </row>
    <row r="507" spans="1:22">
      <c r="A507" s="311"/>
      <c r="B507" s="291" t="s">
        <v>802</v>
      </c>
      <c r="C507" s="308">
        <v>0</v>
      </c>
      <c r="D507" s="309">
        <v>0</v>
      </c>
      <c r="E507" s="309">
        <v>0</v>
      </c>
      <c r="F507" s="309">
        <v>0</v>
      </c>
      <c r="G507" s="309">
        <v>0</v>
      </c>
      <c r="H507" s="309">
        <v>0</v>
      </c>
      <c r="I507" s="309">
        <v>0</v>
      </c>
      <c r="J507" s="310">
        <v>0</v>
      </c>
      <c r="K507" s="310">
        <v>0</v>
      </c>
      <c r="L507" s="309">
        <v>0</v>
      </c>
      <c r="M507" s="309">
        <v>0</v>
      </c>
      <c r="N507" s="309">
        <v>0</v>
      </c>
      <c r="O507" s="310">
        <v>0</v>
      </c>
      <c r="P507" s="310">
        <v>0</v>
      </c>
      <c r="Q507" s="309">
        <v>0</v>
      </c>
      <c r="R507" s="310">
        <v>0</v>
      </c>
      <c r="S507" s="310">
        <v>0</v>
      </c>
      <c r="T507" s="310"/>
      <c r="U507" s="310"/>
      <c r="V507" s="316"/>
    </row>
    <row r="508" spans="1:22">
      <c r="A508" s="311"/>
      <c r="B508" s="312" t="s">
        <v>803</v>
      </c>
      <c r="C508" s="313">
        <v>0</v>
      </c>
      <c r="D508" s="314">
        <v>0</v>
      </c>
      <c r="E508" s="314">
        <v>0</v>
      </c>
      <c r="F508" s="314">
        <v>0</v>
      </c>
      <c r="G508" s="314">
        <v>0</v>
      </c>
      <c r="H508" s="314">
        <v>0</v>
      </c>
      <c r="I508" s="314">
        <v>0</v>
      </c>
      <c r="J508" s="315">
        <v>0</v>
      </c>
      <c r="K508" s="315">
        <v>0</v>
      </c>
      <c r="L508" s="314">
        <v>0</v>
      </c>
      <c r="M508" s="314">
        <v>0</v>
      </c>
      <c r="N508" s="314">
        <v>0</v>
      </c>
      <c r="O508" s="315">
        <v>0</v>
      </c>
      <c r="P508" s="315">
        <v>0</v>
      </c>
      <c r="Q508" s="314">
        <v>0</v>
      </c>
      <c r="R508" s="315">
        <v>0</v>
      </c>
      <c r="S508" s="315">
        <v>0</v>
      </c>
      <c r="T508" s="315"/>
      <c r="U508" s="315"/>
      <c r="V508" s="316"/>
    </row>
    <row r="509" spans="1:22" ht="15.75" thickBot="1">
      <c r="A509" s="329"/>
      <c r="B509" s="330" t="s">
        <v>804</v>
      </c>
      <c r="C509" s="331">
        <v>0</v>
      </c>
      <c r="D509" s="332">
        <v>0</v>
      </c>
      <c r="E509" s="332">
        <v>0</v>
      </c>
      <c r="F509" s="332">
        <v>0</v>
      </c>
      <c r="G509" s="332">
        <v>0</v>
      </c>
      <c r="H509" s="332">
        <v>0</v>
      </c>
      <c r="I509" s="332">
        <v>0</v>
      </c>
      <c r="J509" s="333">
        <v>0</v>
      </c>
      <c r="K509" s="333">
        <v>0</v>
      </c>
      <c r="L509" s="332">
        <v>0</v>
      </c>
      <c r="M509" s="332">
        <v>0</v>
      </c>
      <c r="N509" s="332">
        <v>0</v>
      </c>
      <c r="O509" s="333">
        <v>0</v>
      </c>
      <c r="P509" s="333">
        <v>0</v>
      </c>
      <c r="Q509" s="332">
        <v>0</v>
      </c>
      <c r="R509" s="333">
        <v>0</v>
      </c>
      <c r="S509" s="333">
        <v>0</v>
      </c>
      <c r="T509" s="333"/>
      <c r="U509" s="333"/>
      <c r="V509" s="316"/>
    </row>
    <row r="510" spans="1:22">
      <c r="A510" s="307" t="s">
        <v>463</v>
      </c>
      <c r="B510" s="291" t="s">
        <v>769</v>
      </c>
      <c r="C510" s="308">
        <v>0.91242196629262373</v>
      </c>
      <c r="D510" s="309">
        <v>0.97675625200176597</v>
      </c>
      <c r="E510" s="309">
        <v>0.92123572028921574</v>
      </c>
      <c r="F510" s="309">
        <v>0</v>
      </c>
      <c r="G510" s="309">
        <v>0.99652206734787419</v>
      </c>
      <c r="H510" s="309">
        <v>0.80153743949890865</v>
      </c>
      <c r="I510" s="309">
        <v>0</v>
      </c>
      <c r="J510" s="310">
        <v>0.9187994593012645</v>
      </c>
      <c r="K510" s="310">
        <v>0</v>
      </c>
      <c r="L510" s="309">
        <v>0.67199153277918144</v>
      </c>
      <c r="M510" s="309">
        <v>0.48305274224469702</v>
      </c>
      <c r="N510" s="309">
        <v>0.46311688141027746</v>
      </c>
      <c r="O510" s="310">
        <v>0.5993273095152305</v>
      </c>
      <c r="P510" s="310">
        <v>0</v>
      </c>
      <c r="Q510" s="309">
        <v>0</v>
      </c>
      <c r="R510" s="310">
        <v>0</v>
      </c>
      <c r="S510" s="310">
        <v>0.78184643923725727</v>
      </c>
      <c r="T510" s="310"/>
      <c r="U510" s="310"/>
      <c r="V510" s="316"/>
    </row>
    <row r="511" spans="1:22">
      <c r="A511" s="311"/>
      <c r="B511" s="312" t="s">
        <v>770</v>
      </c>
      <c r="C511" s="313">
        <v>0.90648323002692588</v>
      </c>
      <c r="D511" s="314">
        <v>0.97552781383986154</v>
      </c>
      <c r="E511" s="314">
        <v>0.91082210731769087</v>
      </c>
      <c r="F511" s="314">
        <v>0</v>
      </c>
      <c r="G511" s="314">
        <v>0.99577782138289883</v>
      </c>
      <c r="H511" s="314">
        <v>0.80502502887947636</v>
      </c>
      <c r="I511" s="314">
        <v>0</v>
      </c>
      <c r="J511" s="315">
        <v>0.91199315471985354</v>
      </c>
      <c r="K511" s="315">
        <v>0</v>
      </c>
      <c r="L511" s="314">
        <v>0.6667586299381657</v>
      </c>
      <c r="M511" s="314">
        <v>0.46814399475081275</v>
      </c>
      <c r="N511" s="314">
        <v>0.43903714127890153</v>
      </c>
      <c r="O511" s="315">
        <v>0.58894783307219378</v>
      </c>
      <c r="P511" s="315">
        <v>0</v>
      </c>
      <c r="Q511" s="314">
        <v>0</v>
      </c>
      <c r="R511" s="315">
        <v>0</v>
      </c>
      <c r="S511" s="315">
        <v>0.77743177483750769</v>
      </c>
      <c r="T511" s="315"/>
      <c r="U511" s="315"/>
      <c r="V511" s="316"/>
    </row>
    <row r="512" spans="1:22">
      <c r="A512" s="311"/>
      <c r="B512" s="317" t="s">
        <v>771</v>
      </c>
      <c r="C512" s="318">
        <v>-0.59387362656978526</v>
      </c>
      <c r="D512" s="319">
        <v>-0.12284381619044327</v>
      </c>
      <c r="E512" s="319">
        <v>-1.0413612971524877</v>
      </c>
      <c r="F512" s="319">
        <v>0</v>
      </c>
      <c r="G512" s="319">
        <v>-7.4424596497535411E-2</v>
      </c>
      <c r="H512" s="319">
        <v>0.34875893805677016</v>
      </c>
      <c r="I512" s="319">
        <v>0</v>
      </c>
      <c r="J512" s="320">
        <v>-0.68063045814109602</v>
      </c>
      <c r="K512" s="320">
        <v>0</v>
      </c>
      <c r="L512" s="319">
        <v>-0.52329028410157408</v>
      </c>
      <c r="M512" s="319">
        <v>-1.4908747493884267</v>
      </c>
      <c r="N512" s="319">
        <v>-2.4079740131375926</v>
      </c>
      <c r="O512" s="320">
        <v>-1.0379476443036717</v>
      </c>
      <c r="P512" s="320">
        <v>0</v>
      </c>
      <c r="Q512" s="319">
        <v>0</v>
      </c>
      <c r="R512" s="320">
        <v>0</v>
      </c>
      <c r="S512" s="320">
        <v>-0.44146643997495794</v>
      </c>
      <c r="T512" s="320"/>
      <c r="U512" s="320"/>
      <c r="V512" s="316"/>
    </row>
    <row r="513" spans="1:22">
      <c r="A513" s="311"/>
      <c r="B513" s="291" t="s">
        <v>772</v>
      </c>
      <c r="C513" s="308">
        <v>2.1460388077978128E-2</v>
      </c>
      <c r="D513" s="309">
        <v>2.2578296096881143E-2</v>
      </c>
      <c r="E513" s="309">
        <v>1.5689392577908721E-2</v>
      </c>
      <c r="F513" s="309">
        <v>0</v>
      </c>
      <c r="G513" s="309">
        <v>3.4779326521258524E-3</v>
      </c>
      <c r="H513" s="309">
        <v>2.2207459428679891E-3</v>
      </c>
      <c r="I513" s="309">
        <v>0</v>
      </c>
      <c r="J513" s="310">
        <v>1.9084782786287238E-2</v>
      </c>
      <c r="K513" s="310">
        <v>0</v>
      </c>
      <c r="L513" s="309">
        <v>5.9497853671400619E-2</v>
      </c>
      <c r="M513" s="309">
        <v>0.22809367730518385</v>
      </c>
      <c r="N513" s="309">
        <v>0.18830528854050999</v>
      </c>
      <c r="O513" s="310">
        <v>0.11948058427340004</v>
      </c>
      <c r="P513" s="310">
        <v>0</v>
      </c>
      <c r="Q513" s="309">
        <v>0</v>
      </c>
      <c r="R513" s="310">
        <v>0</v>
      </c>
      <c r="S513" s="310">
        <v>6.2122988854062915E-2</v>
      </c>
      <c r="T513" s="310"/>
      <c r="U513" s="310"/>
      <c r="V513" s="316"/>
    </row>
    <row r="514" spans="1:22">
      <c r="A514" s="311"/>
      <c r="B514" s="312" t="s">
        <v>773</v>
      </c>
      <c r="C514" s="313">
        <v>1.7734033545109319E-2</v>
      </c>
      <c r="D514" s="314">
        <v>2.4128709348311784E-2</v>
      </c>
      <c r="E514" s="314">
        <v>1.9356824217418418E-2</v>
      </c>
      <c r="F514" s="314">
        <v>0</v>
      </c>
      <c r="G514" s="314">
        <v>4.2221786171011766E-3</v>
      </c>
      <c r="H514" s="314">
        <v>0</v>
      </c>
      <c r="I514" s="314">
        <v>0</v>
      </c>
      <c r="J514" s="315">
        <v>1.7832647717186574E-2</v>
      </c>
      <c r="K514" s="315">
        <v>0</v>
      </c>
      <c r="L514" s="314">
        <v>6.1799784084207623E-2</v>
      </c>
      <c r="M514" s="314">
        <v>0.22864187221012655</v>
      </c>
      <c r="N514" s="314">
        <v>0.206785780045769</v>
      </c>
      <c r="O514" s="315">
        <v>0.12308991562795318</v>
      </c>
      <c r="P514" s="315">
        <v>0</v>
      </c>
      <c r="Q514" s="314">
        <v>0</v>
      </c>
      <c r="R514" s="315">
        <v>0</v>
      </c>
      <c r="S514" s="315">
        <v>6.1676536681368764E-2</v>
      </c>
      <c r="T514" s="315"/>
      <c r="U514" s="315"/>
      <c r="V514" s="316"/>
    </row>
    <row r="515" spans="1:22">
      <c r="A515" s="311"/>
      <c r="B515" s="317" t="s">
        <v>774</v>
      </c>
      <c r="C515" s="318">
        <v>-0.37263545328688091</v>
      </c>
      <c r="D515" s="319">
        <v>0.15504132514306407</v>
      </c>
      <c r="E515" s="319">
        <v>0.36674316395096973</v>
      </c>
      <c r="F515" s="319">
        <v>0</v>
      </c>
      <c r="G515" s="319">
        <v>7.4424596497532414E-2</v>
      </c>
      <c r="H515" s="319">
        <v>-0.2220745942867989</v>
      </c>
      <c r="I515" s="319">
        <v>0</v>
      </c>
      <c r="J515" s="320">
        <v>-0.12521350691006641</v>
      </c>
      <c r="K515" s="320">
        <v>0</v>
      </c>
      <c r="L515" s="319">
        <v>0.23019304128070045</v>
      </c>
      <c r="M515" s="319">
        <v>5.4819490494270595E-2</v>
      </c>
      <c r="N515" s="319">
        <v>1.8480491505259016</v>
      </c>
      <c r="O515" s="320">
        <v>0.36093313545531441</v>
      </c>
      <c r="P515" s="320">
        <v>0</v>
      </c>
      <c r="Q515" s="319">
        <v>0</v>
      </c>
      <c r="R515" s="320">
        <v>0</v>
      </c>
      <c r="S515" s="320">
        <v>-4.4645217269415061E-2</v>
      </c>
      <c r="T515" s="320"/>
      <c r="U515" s="320"/>
      <c r="V515" s="316"/>
    </row>
    <row r="516" spans="1:22">
      <c r="A516" s="311"/>
      <c r="B516" s="291" t="s">
        <v>775</v>
      </c>
      <c r="C516" s="308">
        <v>5.5523729914750519E-2</v>
      </c>
      <c r="D516" s="309">
        <v>3.7330228612484094E-4</v>
      </c>
      <c r="E516" s="309">
        <v>6.1316211295244422E-2</v>
      </c>
      <c r="F516" s="309">
        <v>0</v>
      </c>
      <c r="G516" s="309">
        <v>0</v>
      </c>
      <c r="H516" s="309">
        <v>0.1962418145582234</v>
      </c>
      <c r="I516" s="309">
        <v>0</v>
      </c>
      <c r="J516" s="310">
        <v>5.489137026649437E-2</v>
      </c>
      <c r="K516" s="310">
        <v>0</v>
      </c>
      <c r="L516" s="309">
        <v>0.26776564728822072</v>
      </c>
      <c r="M516" s="309">
        <v>0.24746469023980666</v>
      </c>
      <c r="N516" s="309">
        <v>0.27427938789857881</v>
      </c>
      <c r="O516" s="310">
        <v>0.26240111976496022</v>
      </c>
      <c r="P516" s="310">
        <v>0</v>
      </c>
      <c r="Q516" s="309">
        <v>0</v>
      </c>
      <c r="R516" s="310">
        <v>0</v>
      </c>
      <c r="S516" s="310">
        <v>0.14384775317991613</v>
      </c>
      <c r="T516" s="310"/>
      <c r="U516" s="310"/>
      <c r="V516" s="316"/>
    </row>
    <row r="517" spans="1:22">
      <c r="A517" s="311"/>
      <c r="B517" s="312" t="s">
        <v>776</v>
      </c>
      <c r="C517" s="313">
        <v>6.6407066829478598E-2</v>
      </c>
      <c r="D517" s="314">
        <v>3.4347681182676532E-4</v>
      </c>
      <c r="E517" s="314">
        <v>6.7998106357617161E-2</v>
      </c>
      <c r="F517" s="314">
        <v>0</v>
      </c>
      <c r="G517" s="314">
        <v>0</v>
      </c>
      <c r="H517" s="314">
        <v>0.19497497112052367</v>
      </c>
      <c r="I517" s="314">
        <v>0</v>
      </c>
      <c r="J517" s="315">
        <v>6.3663987776250056E-2</v>
      </c>
      <c r="K517" s="315">
        <v>0</v>
      </c>
      <c r="L517" s="314">
        <v>0.27065419411886732</v>
      </c>
      <c r="M517" s="314">
        <v>0.2584707765417002</v>
      </c>
      <c r="N517" s="314">
        <v>0.27851684772601731</v>
      </c>
      <c r="O517" s="315">
        <v>0.26780146069422384</v>
      </c>
      <c r="P517" s="315">
        <v>0</v>
      </c>
      <c r="Q517" s="314">
        <v>0</v>
      </c>
      <c r="R517" s="315">
        <v>0</v>
      </c>
      <c r="S517" s="315">
        <v>0.14869546231188058</v>
      </c>
      <c r="T517" s="315"/>
      <c r="U517" s="315"/>
      <c r="V517" s="316"/>
    </row>
    <row r="518" spans="1:22">
      <c r="A518" s="311"/>
      <c r="B518" s="317" t="s">
        <v>777</v>
      </c>
      <c r="C518" s="318">
        <v>1.0883336914728079</v>
      </c>
      <c r="D518" s="319">
        <v>-2.9825474298075623E-3</v>
      </c>
      <c r="E518" s="319">
        <v>0.66818950623727391</v>
      </c>
      <c r="F518" s="319">
        <v>0</v>
      </c>
      <c r="G518" s="319">
        <v>0</v>
      </c>
      <c r="H518" s="319">
        <v>-0.12668434376997273</v>
      </c>
      <c r="I518" s="319">
        <v>0</v>
      </c>
      <c r="J518" s="320">
        <v>0.87726175097556858</v>
      </c>
      <c r="K518" s="320">
        <v>0</v>
      </c>
      <c r="L518" s="319">
        <v>0.28885468306465989</v>
      </c>
      <c r="M518" s="319">
        <v>1.1006086301893536</v>
      </c>
      <c r="N518" s="319">
        <v>0.42374598274385056</v>
      </c>
      <c r="O518" s="320">
        <v>0.5400340929263614</v>
      </c>
      <c r="P518" s="320">
        <v>0</v>
      </c>
      <c r="Q518" s="319">
        <v>0</v>
      </c>
      <c r="R518" s="320">
        <v>0</v>
      </c>
      <c r="S518" s="320">
        <v>0.4847709131964445</v>
      </c>
      <c r="T518" s="320"/>
      <c r="U518" s="320"/>
      <c r="V518" s="316"/>
    </row>
    <row r="519" spans="1:22">
      <c r="A519" s="311"/>
      <c r="B519" s="291" t="s">
        <v>778</v>
      </c>
      <c r="C519" s="308">
        <v>1.0593915714647637E-2</v>
      </c>
      <c r="D519" s="309">
        <v>2.921496152281364E-4</v>
      </c>
      <c r="E519" s="309">
        <v>1.7586758376310883E-3</v>
      </c>
      <c r="F519" s="309">
        <v>0</v>
      </c>
      <c r="G519" s="309">
        <v>0</v>
      </c>
      <c r="H519" s="309">
        <v>0</v>
      </c>
      <c r="I519" s="309">
        <v>0</v>
      </c>
      <c r="J519" s="310">
        <v>7.2243876459539688E-3</v>
      </c>
      <c r="K519" s="310">
        <v>0</v>
      </c>
      <c r="L519" s="309">
        <v>7.4496626119724689E-4</v>
      </c>
      <c r="M519" s="309">
        <v>4.1388890210312494E-2</v>
      </c>
      <c r="N519" s="309">
        <v>7.429844215063372E-2</v>
      </c>
      <c r="O519" s="310">
        <v>1.879098644640927E-2</v>
      </c>
      <c r="P519" s="310">
        <v>0</v>
      </c>
      <c r="Q519" s="309">
        <v>0</v>
      </c>
      <c r="R519" s="310">
        <v>0</v>
      </c>
      <c r="S519" s="310">
        <v>1.2182818728763567E-2</v>
      </c>
      <c r="T519" s="310"/>
      <c r="U519" s="310"/>
      <c r="V519" s="316"/>
    </row>
    <row r="520" spans="1:22">
      <c r="A520" s="311"/>
      <c r="B520" s="312" t="s">
        <v>779</v>
      </c>
      <c r="C520" s="313">
        <v>9.2327143554170685E-3</v>
      </c>
      <c r="D520" s="314">
        <v>0</v>
      </c>
      <c r="E520" s="314">
        <v>1.8229621072735158E-3</v>
      </c>
      <c r="F520" s="314">
        <v>0</v>
      </c>
      <c r="G520" s="314">
        <v>0</v>
      </c>
      <c r="H520" s="314">
        <v>0</v>
      </c>
      <c r="I520" s="314">
        <v>0</v>
      </c>
      <c r="J520" s="315">
        <v>6.4187406165381331E-3</v>
      </c>
      <c r="K520" s="315">
        <v>0</v>
      </c>
      <c r="L520" s="314">
        <v>7.8739185875931531E-4</v>
      </c>
      <c r="M520" s="314">
        <v>4.4743356497360491E-2</v>
      </c>
      <c r="N520" s="314">
        <v>7.5660230949312152E-2</v>
      </c>
      <c r="O520" s="315">
        <v>2.0160790605629191E-2</v>
      </c>
      <c r="P520" s="315">
        <v>0</v>
      </c>
      <c r="Q520" s="314">
        <v>0</v>
      </c>
      <c r="R520" s="315">
        <v>0</v>
      </c>
      <c r="S520" s="315">
        <v>1.2142857590320235E-2</v>
      </c>
      <c r="T520" s="315"/>
      <c r="U520" s="315"/>
      <c r="V520" s="316"/>
    </row>
    <row r="521" spans="1:22">
      <c r="A521" s="311"/>
      <c r="B521" s="317" t="s">
        <v>780</v>
      </c>
      <c r="C521" s="318">
        <v>-0.13612013592305683</v>
      </c>
      <c r="D521" s="319">
        <v>-2.9214961522813641E-2</v>
      </c>
      <c r="E521" s="319">
        <v>6.4286269642427514E-3</v>
      </c>
      <c r="F521" s="319">
        <v>0</v>
      </c>
      <c r="G521" s="319">
        <v>0</v>
      </c>
      <c r="H521" s="319">
        <v>0</v>
      </c>
      <c r="I521" s="319">
        <v>0</v>
      </c>
      <c r="J521" s="320">
        <v>-8.0564702941583577E-2</v>
      </c>
      <c r="K521" s="320">
        <v>0</v>
      </c>
      <c r="L521" s="319">
        <v>4.2425597562068419E-3</v>
      </c>
      <c r="M521" s="319">
        <v>0.33544662870479969</v>
      </c>
      <c r="N521" s="319">
        <v>0.13617887986784316</v>
      </c>
      <c r="O521" s="320">
        <v>0.13698041592199206</v>
      </c>
      <c r="P521" s="320">
        <v>0</v>
      </c>
      <c r="Q521" s="319">
        <v>0</v>
      </c>
      <c r="R521" s="320">
        <v>0</v>
      </c>
      <c r="S521" s="320">
        <v>-3.9961138443331268E-3</v>
      </c>
      <c r="T521" s="320"/>
      <c r="U521" s="320"/>
      <c r="V521" s="316"/>
    </row>
    <row r="522" spans="1:22">
      <c r="A522" s="311"/>
      <c r="B522" s="291" t="s">
        <v>781</v>
      </c>
      <c r="C522" s="308">
        <v>0</v>
      </c>
      <c r="D522" s="309">
        <v>0</v>
      </c>
      <c r="E522" s="309">
        <v>0</v>
      </c>
      <c r="F522" s="309">
        <v>0</v>
      </c>
      <c r="G522" s="309">
        <v>0</v>
      </c>
      <c r="H522" s="309">
        <v>0</v>
      </c>
      <c r="I522" s="309">
        <v>0</v>
      </c>
      <c r="J522" s="310">
        <v>0</v>
      </c>
      <c r="K522" s="310">
        <v>0</v>
      </c>
      <c r="L522" s="309">
        <v>0</v>
      </c>
      <c r="M522" s="309">
        <v>0</v>
      </c>
      <c r="N522" s="309">
        <v>0</v>
      </c>
      <c r="O522" s="310">
        <v>0</v>
      </c>
      <c r="P522" s="310">
        <v>0</v>
      </c>
      <c r="Q522" s="309">
        <v>0</v>
      </c>
      <c r="R522" s="310">
        <v>0</v>
      </c>
      <c r="S522" s="310">
        <v>0</v>
      </c>
      <c r="T522" s="310"/>
      <c r="U522" s="310"/>
      <c r="V522" s="316"/>
    </row>
    <row r="523" spans="1:22">
      <c r="A523" s="311"/>
      <c r="B523" s="312" t="s">
        <v>782</v>
      </c>
      <c r="C523" s="313">
        <v>1.4295524306909095E-4</v>
      </c>
      <c r="D523" s="314">
        <v>0</v>
      </c>
      <c r="E523" s="314">
        <v>0</v>
      </c>
      <c r="F523" s="314">
        <v>0</v>
      </c>
      <c r="G523" s="314">
        <v>0</v>
      </c>
      <c r="H523" s="314">
        <v>0</v>
      </c>
      <c r="I523" s="314">
        <v>0</v>
      </c>
      <c r="J523" s="315">
        <v>9.1469170171659954E-5</v>
      </c>
      <c r="K523" s="315">
        <v>0</v>
      </c>
      <c r="L523" s="314">
        <v>0</v>
      </c>
      <c r="M523" s="314">
        <v>0</v>
      </c>
      <c r="N523" s="314">
        <v>0</v>
      </c>
      <c r="O523" s="315">
        <v>0</v>
      </c>
      <c r="P523" s="315">
        <v>0</v>
      </c>
      <c r="Q523" s="314">
        <v>0</v>
      </c>
      <c r="R523" s="315">
        <v>0</v>
      </c>
      <c r="S523" s="315">
        <v>5.3368578922683312E-5</v>
      </c>
      <c r="T523" s="315"/>
      <c r="U523" s="315"/>
      <c r="V523" s="316"/>
    </row>
    <row r="524" spans="1:22">
      <c r="A524" s="311"/>
      <c r="B524" s="317" t="s">
        <v>783</v>
      </c>
      <c r="C524" s="318">
        <v>0</v>
      </c>
      <c r="D524" s="319">
        <v>0</v>
      </c>
      <c r="E524" s="319">
        <v>0</v>
      </c>
      <c r="F524" s="319">
        <v>0</v>
      </c>
      <c r="G524" s="319">
        <v>0</v>
      </c>
      <c r="H524" s="319">
        <v>0</v>
      </c>
      <c r="I524" s="319">
        <v>0</v>
      </c>
      <c r="J524" s="320">
        <v>0</v>
      </c>
      <c r="K524" s="320">
        <v>0</v>
      </c>
      <c r="L524" s="319">
        <v>0</v>
      </c>
      <c r="M524" s="319">
        <v>0</v>
      </c>
      <c r="N524" s="319">
        <v>0</v>
      </c>
      <c r="O524" s="320">
        <v>0</v>
      </c>
      <c r="P524" s="320">
        <v>0</v>
      </c>
      <c r="Q524" s="319">
        <v>0</v>
      </c>
      <c r="R524" s="320">
        <v>0</v>
      </c>
      <c r="S524" s="320">
        <v>0</v>
      </c>
      <c r="T524" s="320"/>
      <c r="U524" s="320"/>
      <c r="V524" s="316"/>
    </row>
    <row r="525" spans="1:22">
      <c r="A525" s="311"/>
      <c r="B525" s="291" t="s">
        <v>784</v>
      </c>
      <c r="C525" s="308">
        <v>0</v>
      </c>
      <c r="D525" s="309">
        <v>0</v>
      </c>
      <c r="E525" s="309">
        <v>0</v>
      </c>
      <c r="F525" s="309">
        <v>0</v>
      </c>
      <c r="G525" s="309">
        <v>0</v>
      </c>
      <c r="H525" s="309">
        <v>0</v>
      </c>
      <c r="I525" s="309">
        <v>0</v>
      </c>
      <c r="J525" s="310">
        <v>0</v>
      </c>
      <c r="K525" s="310">
        <v>0</v>
      </c>
      <c r="L525" s="309">
        <v>0</v>
      </c>
      <c r="M525" s="309">
        <v>0</v>
      </c>
      <c r="N525" s="309">
        <v>0</v>
      </c>
      <c r="O525" s="310">
        <v>0</v>
      </c>
      <c r="P525" s="310">
        <v>0</v>
      </c>
      <c r="Q525" s="309">
        <v>0</v>
      </c>
      <c r="R525" s="310">
        <v>0</v>
      </c>
      <c r="S525" s="310">
        <v>0</v>
      </c>
      <c r="T525" s="310"/>
      <c r="U525" s="310"/>
      <c r="V525" s="316"/>
    </row>
    <row r="526" spans="1:22">
      <c r="A526" s="311"/>
      <c r="B526" s="312" t="s">
        <v>785</v>
      </c>
      <c r="C526" s="313">
        <v>0</v>
      </c>
      <c r="D526" s="314">
        <v>0</v>
      </c>
      <c r="E526" s="314">
        <v>0</v>
      </c>
      <c r="F526" s="314">
        <v>0</v>
      </c>
      <c r="G526" s="314">
        <v>0</v>
      </c>
      <c r="H526" s="314">
        <v>0</v>
      </c>
      <c r="I526" s="314">
        <v>0</v>
      </c>
      <c r="J526" s="315">
        <v>0</v>
      </c>
      <c r="K526" s="315">
        <v>0</v>
      </c>
      <c r="L526" s="314">
        <v>0</v>
      </c>
      <c r="M526" s="314">
        <v>0</v>
      </c>
      <c r="N526" s="314">
        <v>0</v>
      </c>
      <c r="O526" s="315">
        <v>0</v>
      </c>
      <c r="P526" s="315">
        <v>0</v>
      </c>
      <c r="Q526" s="314">
        <v>0</v>
      </c>
      <c r="R526" s="315">
        <v>0</v>
      </c>
      <c r="S526" s="315">
        <v>0</v>
      </c>
      <c r="T526" s="315"/>
      <c r="U526" s="315"/>
      <c r="V526" s="316"/>
    </row>
    <row r="527" spans="1:22" ht="15.75" thickBot="1">
      <c r="A527" s="311"/>
      <c r="B527" s="325" t="s">
        <v>786</v>
      </c>
      <c r="C527" s="326">
        <v>0</v>
      </c>
      <c r="D527" s="327">
        <v>0</v>
      </c>
      <c r="E527" s="327">
        <v>0</v>
      </c>
      <c r="F527" s="327">
        <v>0</v>
      </c>
      <c r="G527" s="327">
        <v>0</v>
      </c>
      <c r="H527" s="327">
        <v>0</v>
      </c>
      <c r="I527" s="327">
        <v>0</v>
      </c>
      <c r="J527" s="328">
        <v>0</v>
      </c>
      <c r="K527" s="328">
        <v>0</v>
      </c>
      <c r="L527" s="327">
        <v>0</v>
      </c>
      <c r="M527" s="327">
        <v>0</v>
      </c>
      <c r="N527" s="327">
        <v>0</v>
      </c>
      <c r="O527" s="328">
        <v>0</v>
      </c>
      <c r="P527" s="328">
        <v>0</v>
      </c>
      <c r="Q527" s="327">
        <v>0</v>
      </c>
      <c r="R527" s="328">
        <v>0</v>
      </c>
      <c r="S527" s="328">
        <v>0</v>
      </c>
      <c r="T527" s="328"/>
      <c r="U527" s="328"/>
      <c r="V527" s="316"/>
    </row>
    <row r="528" spans="1:22" ht="15.75" thickTop="1">
      <c r="A528" s="311"/>
      <c r="B528" s="312" t="s">
        <v>787</v>
      </c>
      <c r="C528" s="313">
        <v>0.80218163354998617</v>
      </c>
      <c r="D528" s="314">
        <v>0.91514479225850676</v>
      </c>
      <c r="E528" s="314">
        <v>0.73048296394310297</v>
      </c>
      <c r="F528" s="314">
        <v>0</v>
      </c>
      <c r="G528" s="314">
        <v>0.98261638185032407</v>
      </c>
      <c r="H528" s="314">
        <v>0</v>
      </c>
      <c r="I528" s="314">
        <v>0</v>
      </c>
      <c r="J528" s="315">
        <v>0.80251961704541863</v>
      </c>
      <c r="K528" s="315">
        <v>0</v>
      </c>
      <c r="L528" s="314">
        <v>0</v>
      </c>
      <c r="M528" s="314">
        <v>0</v>
      </c>
      <c r="N528" s="314">
        <v>0</v>
      </c>
      <c r="O528" s="315">
        <v>0</v>
      </c>
      <c r="P528" s="315">
        <v>0</v>
      </c>
      <c r="Q528" s="314">
        <v>0</v>
      </c>
      <c r="R528" s="315">
        <v>0</v>
      </c>
      <c r="S528" s="315">
        <v>0.80251961704541863</v>
      </c>
      <c r="T528" s="315"/>
      <c r="U528" s="315"/>
      <c r="V528" s="316"/>
    </row>
    <row r="529" spans="1:22">
      <c r="A529" s="311"/>
      <c r="B529" s="312" t="s">
        <v>788</v>
      </c>
      <c r="C529" s="313">
        <v>0.80618043196147215</v>
      </c>
      <c r="D529" s="314">
        <v>0.90171244768536285</v>
      </c>
      <c r="E529" s="314">
        <v>0.72312346284023621</v>
      </c>
      <c r="F529" s="314">
        <v>0</v>
      </c>
      <c r="G529" s="314">
        <v>0.97745277269957342</v>
      </c>
      <c r="H529" s="314">
        <v>0</v>
      </c>
      <c r="I529" s="314">
        <v>0</v>
      </c>
      <c r="J529" s="315">
        <v>0.80442890835962311</v>
      </c>
      <c r="K529" s="315">
        <v>0</v>
      </c>
      <c r="L529" s="314">
        <v>0</v>
      </c>
      <c r="M529" s="314">
        <v>0</v>
      </c>
      <c r="N529" s="314">
        <v>0</v>
      </c>
      <c r="O529" s="315">
        <v>0</v>
      </c>
      <c r="P529" s="315">
        <v>0</v>
      </c>
      <c r="Q529" s="314">
        <v>0</v>
      </c>
      <c r="R529" s="315">
        <v>0</v>
      </c>
      <c r="S529" s="315">
        <v>0.80442890835962311</v>
      </c>
      <c r="T529" s="315"/>
      <c r="U529" s="315"/>
      <c r="V529" s="316"/>
    </row>
    <row r="530" spans="1:22">
      <c r="A530" s="311"/>
      <c r="B530" s="317" t="s">
        <v>789</v>
      </c>
      <c r="C530" s="318">
        <v>0.3998798411485982</v>
      </c>
      <c r="D530" s="319">
        <v>-1.3432344573143906</v>
      </c>
      <c r="E530" s="319">
        <v>-0.73595011028667612</v>
      </c>
      <c r="F530" s="319">
        <v>0</v>
      </c>
      <c r="G530" s="319">
        <v>-0.51636091507506476</v>
      </c>
      <c r="H530" s="319">
        <v>0</v>
      </c>
      <c r="I530" s="319">
        <v>0</v>
      </c>
      <c r="J530" s="320">
        <v>0.19092913142044754</v>
      </c>
      <c r="K530" s="320">
        <v>0</v>
      </c>
      <c r="L530" s="319">
        <v>0</v>
      </c>
      <c r="M530" s="319">
        <v>0</v>
      </c>
      <c r="N530" s="319">
        <v>0</v>
      </c>
      <c r="O530" s="320">
        <v>0</v>
      </c>
      <c r="P530" s="320">
        <v>0</v>
      </c>
      <c r="Q530" s="319">
        <v>0</v>
      </c>
      <c r="R530" s="320">
        <v>0</v>
      </c>
      <c r="S530" s="320">
        <v>0.19092913142044754</v>
      </c>
      <c r="T530" s="320"/>
      <c r="U530" s="320"/>
      <c r="V530" s="316"/>
    </row>
    <row r="531" spans="1:22">
      <c r="A531" s="311"/>
      <c r="B531" s="291" t="s">
        <v>790</v>
      </c>
      <c r="C531" s="308">
        <v>9.0764190969656572E-2</v>
      </c>
      <c r="D531" s="309">
        <v>8.2744875228844814E-2</v>
      </c>
      <c r="E531" s="309">
        <v>8.1698208471890937E-2</v>
      </c>
      <c r="F531" s="309">
        <v>0</v>
      </c>
      <c r="G531" s="309">
        <v>1.73836181496759E-2</v>
      </c>
      <c r="H531" s="309">
        <v>0</v>
      </c>
      <c r="I531" s="309">
        <v>0</v>
      </c>
      <c r="J531" s="310">
        <v>8.8961074850170699E-2</v>
      </c>
      <c r="K531" s="310">
        <v>0</v>
      </c>
      <c r="L531" s="309">
        <v>0</v>
      </c>
      <c r="M531" s="309">
        <v>0</v>
      </c>
      <c r="N531" s="309">
        <v>0</v>
      </c>
      <c r="O531" s="310">
        <v>0</v>
      </c>
      <c r="P531" s="310">
        <v>0</v>
      </c>
      <c r="Q531" s="309">
        <v>0</v>
      </c>
      <c r="R531" s="310">
        <v>0</v>
      </c>
      <c r="S531" s="310">
        <v>8.8961074850170699E-2</v>
      </c>
      <c r="T531" s="310"/>
      <c r="U531" s="310"/>
      <c r="V531" s="316"/>
    </row>
    <row r="532" spans="1:22">
      <c r="A532" s="311"/>
      <c r="B532" s="312" t="s">
        <v>791</v>
      </c>
      <c r="C532" s="313">
        <v>7.6297849456917852E-2</v>
      </c>
      <c r="D532" s="314">
        <v>8.6481349489189827E-2</v>
      </c>
      <c r="E532" s="314">
        <v>8.8233542944293558E-2</v>
      </c>
      <c r="F532" s="314">
        <v>0</v>
      </c>
      <c r="G532" s="314">
        <v>2.2547227300426569E-2</v>
      </c>
      <c r="H532" s="314">
        <v>0</v>
      </c>
      <c r="I532" s="314">
        <v>0</v>
      </c>
      <c r="J532" s="315">
        <v>7.7999939963707937E-2</v>
      </c>
      <c r="K532" s="315">
        <v>0</v>
      </c>
      <c r="L532" s="314">
        <v>0</v>
      </c>
      <c r="M532" s="314">
        <v>0</v>
      </c>
      <c r="N532" s="314">
        <v>0</v>
      </c>
      <c r="O532" s="315">
        <v>0</v>
      </c>
      <c r="P532" s="315">
        <v>0</v>
      </c>
      <c r="Q532" s="314">
        <v>0</v>
      </c>
      <c r="R532" s="315">
        <v>0</v>
      </c>
      <c r="S532" s="315">
        <v>7.7999939963707937E-2</v>
      </c>
      <c r="T532" s="315"/>
      <c r="U532" s="315"/>
      <c r="V532" s="316"/>
    </row>
    <row r="533" spans="1:22">
      <c r="A533" s="311"/>
      <c r="B533" s="317" t="s">
        <v>792</v>
      </c>
      <c r="C533" s="318">
        <v>-1.4466341512738721</v>
      </c>
      <c r="D533" s="319">
        <v>0.3736474260345013</v>
      </c>
      <c r="E533" s="319">
        <v>0.65353344724026208</v>
      </c>
      <c r="F533" s="319">
        <v>0</v>
      </c>
      <c r="G533" s="319">
        <v>0.51636091507506687</v>
      </c>
      <c r="H533" s="319">
        <v>0</v>
      </c>
      <c r="I533" s="319">
        <v>0</v>
      </c>
      <c r="J533" s="320">
        <v>-1.0961134886462762</v>
      </c>
      <c r="K533" s="320">
        <v>0</v>
      </c>
      <c r="L533" s="319">
        <v>0</v>
      </c>
      <c r="M533" s="319">
        <v>0</v>
      </c>
      <c r="N533" s="319">
        <v>0</v>
      </c>
      <c r="O533" s="320">
        <v>0</v>
      </c>
      <c r="P533" s="320">
        <v>0</v>
      </c>
      <c r="Q533" s="319">
        <v>0</v>
      </c>
      <c r="R533" s="320">
        <v>0</v>
      </c>
      <c r="S533" s="320">
        <v>-1.0961134886462762</v>
      </c>
      <c r="T533" s="320"/>
      <c r="U533" s="320"/>
      <c r="V533" s="316"/>
    </row>
    <row r="534" spans="1:22">
      <c r="A534" s="311"/>
      <c r="B534" s="291" t="s">
        <v>793</v>
      </c>
      <c r="C534" s="308">
        <v>7.6429297691518266E-2</v>
      </c>
      <c r="D534" s="309">
        <v>0</v>
      </c>
      <c r="E534" s="309">
        <v>0.15595783205947386</v>
      </c>
      <c r="F534" s="309">
        <v>0</v>
      </c>
      <c r="G534" s="309">
        <v>0</v>
      </c>
      <c r="H534" s="309">
        <v>0</v>
      </c>
      <c r="I534" s="309">
        <v>0</v>
      </c>
      <c r="J534" s="310">
        <v>7.9750003424804747E-2</v>
      </c>
      <c r="K534" s="310">
        <v>0</v>
      </c>
      <c r="L534" s="309">
        <v>0</v>
      </c>
      <c r="M534" s="309">
        <v>0</v>
      </c>
      <c r="N534" s="309">
        <v>0</v>
      </c>
      <c r="O534" s="310">
        <v>0</v>
      </c>
      <c r="P534" s="310">
        <v>0</v>
      </c>
      <c r="Q534" s="309">
        <v>0</v>
      </c>
      <c r="R534" s="310">
        <v>0</v>
      </c>
      <c r="S534" s="310">
        <v>7.9750003424804747E-2</v>
      </c>
      <c r="T534" s="310"/>
      <c r="U534" s="310"/>
      <c r="V534" s="316"/>
    </row>
    <row r="535" spans="1:22">
      <c r="A535" s="311"/>
      <c r="B535" s="312" t="s">
        <v>794</v>
      </c>
      <c r="C535" s="313">
        <v>8.2560646646656785E-2</v>
      </c>
      <c r="D535" s="322">
        <v>1.0764479046731364E-2</v>
      </c>
      <c r="E535" s="314">
        <v>0.16360188878863796</v>
      </c>
      <c r="F535" s="314">
        <v>0</v>
      </c>
      <c r="G535" s="314">
        <v>0</v>
      </c>
      <c r="H535" s="314">
        <v>0</v>
      </c>
      <c r="I535" s="314">
        <v>0</v>
      </c>
      <c r="J535" s="315">
        <v>8.6003064721155931E-2</v>
      </c>
      <c r="K535" s="315">
        <v>0</v>
      </c>
      <c r="L535" s="314">
        <v>0</v>
      </c>
      <c r="M535" s="314">
        <v>0</v>
      </c>
      <c r="N535" s="314">
        <v>0</v>
      </c>
      <c r="O535" s="315">
        <v>0</v>
      </c>
      <c r="P535" s="315">
        <v>0</v>
      </c>
      <c r="Q535" s="314">
        <v>0</v>
      </c>
      <c r="R535" s="315">
        <v>0</v>
      </c>
      <c r="S535" s="315">
        <v>8.6003064721155931E-2</v>
      </c>
      <c r="T535" s="315"/>
      <c r="U535" s="315"/>
      <c r="V535" s="316"/>
    </row>
    <row r="536" spans="1:22">
      <c r="A536" s="311"/>
      <c r="B536" s="317" t="s">
        <v>795</v>
      </c>
      <c r="C536" s="318">
        <v>0.61313489551385181</v>
      </c>
      <c r="D536" s="319">
        <v>0</v>
      </c>
      <c r="E536" s="319">
        <v>0.76440567291641004</v>
      </c>
      <c r="F536" s="319">
        <v>0</v>
      </c>
      <c r="G536" s="319">
        <v>0</v>
      </c>
      <c r="H536" s="319">
        <v>0</v>
      </c>
      <c r="I536" s="319">
        <v>0</v>
      </c>
      <c r="J536" s="320">
        <v>0.62530612963511834</v>
      </c>
      <c r="K536" s="320">
        <v>0</v>
      </c>
      <c r="L536" s="319">
        <v>0</v>
      </c>
      <c r="M536" s="319">
        <v>0</v>
      </c>
      <c r="N536" s="319">
        <v>0</v>
      </c>
      <c r="O536" s="320">
        <v>0</v>
      </c>
      <c r="P536" s="320">
        <v>0</v>
      </c>
      <c r="Q536" s="319">
        <v>0</v>
      </c>
      <c r="R536" s="320">
        <v>0</v>
      </c>
      <c r="S536" s="320">
        <v>0.62530612963511834</v>
      </c>
      <c r="T536" s="320"/>
      <c r="U536" s="320"/>
      <c r="V536" s="316"/>
    </row>
    <row r="537" spans="1:22">
      <c r="A537" s="311"/>
      <c r="B537" s="291" t="s">
        <v>796</v>
      </c>
      <c r="C537" s="308">
        <v>3.0624877788838937E-2</v>
      </c>
      <c r="D537" s="309">
        <v>2.1103325126484674E-3</v>
      </c>
      <c r="E537" s="309">
        <v>3.1860995525532322E-2</v>
      </c>
      <c r="F537" s="309">
        <v>0</v>
      </c>
      <c r="G537" s="309">
        <v>0</v>
      </c>
      <c r="H537" s="309">
        <v>0</v>
      </c>
      <c r="I537" s="309">
        <v>0</v>
      </c>
      <c r="J537" s="310">
        <v>2.8769304679605971E-2</v>
      </c>
      <c r="K537" s="310">
        <v>0</v>
      </c>
      <c r="L537" s="309">
        <v>0</v>
      </c>
      <c r="M537" s="309">
        <v>0</v>
      </c>
      <c r="N537" s="309">
        <v>0</v>
      </c>
      <c r="O537" s="310">
        <v>0</v>
      </c>
      <c r="P537" s="310">
        <v>0</v>
      </c>
      <c r="Q537" s="309">
        <v>0</v>
      </c>
      <c r="R537" s="310">
        <v>0</v>
      </c>
      <c r="S537" s="310">
        <v>2.8769304679605971E-2</v>
      </c>
      <c r="T537" s="310"/>
      <c r="U537" s="310"/>
      <c r="V537" s="316"/>
    </row>
    <row r="538" spans="1:22">
      <c r="A538" s="311"/>
      <c r="B538" s="312" t="s">
        <v>797</v>
      </c>
      <c r="C538" s="313">
        <v>3.1067179772605383E-2</v>
      </c>
      <c r="D538" s="314">
        <v>1.0417237787159383E-3</v>
      </c>
      <c r="E538" s="314">
        <v>2.5041105426832341E-2</v>
      </c>
      <c r="F538" s="314">
        <v>0</v>
      </c>
      <c r="G538" s="314">
        <v>0</v>
      </c>
      <c r="H538" s="314">
        <v>0</v>
      </c>
      <c r="I538" s="314">
        <v>0</v>
      </c>
      <c r="J538" s="315">
        <v>2.835100277948897E-2</v>
      </c>
      <c r="K538" s="315">
        <v>0</v>
      </c>
      <c r="L538" s="314">
        <v>0</v>
      </c>
      <c r="M538" s="314">
        <v>0</v>
      </c>
      <c r="N538" s="314">
        <v>0</v>
      </c>
      <c r="O538" s="315">
        <v>0</v>
      </c>
      <c r="P538" s="315">
        <v>0</v>
      </c>
      <c r="Q538" s="314">
        <v>0</v>
      </c>
      <c r="R538" s="315">
        <v>0</v>
      </c>
      <c r="S538" s="315">
        <v>2.835100277948897E-2</v>
      </c>
      <c r="T538" s="315"/>
      <c r="U538" s="315"/>
      <c r="V538" s="316"/>
    </row>
    <row r="539" spans="1:22">
      <c r="A539" s="311"/>
      <c r="B539" s="317" t="s">
        <v>798</v>
      </c>
      <c r="C539" s="318">
        <v>4.4230198376644589E-2</v>
      </c>
      <c r="D539" s="319">
        <v>-0.10686087339325291</v>
      </c>
      <c r="E539" s="319">
        <v>-0.68198900986999811</v>
      </c>
      <c r="F539" s="319">
        <v>0</v>
      </c>
      <c r="G539" s="319">
        <v>0</v>
      </c>
      <c r="H539" s="319">
        <v>0</v>
      </c>
      <c r="I539" s="319">
        <v>0</v>
      </c>
      <c r="J539" s="320">
        <v>-4.1830190011700116E-2</v>
      </c>
      <c r="K539" s="320">
        <v>0</v>
      </c>
      <c r="L539" s="319">
        <v>0</v>
      </c>
      <c r="M539" s="319">
        <v>0</v>
      </c>
      <c r="N539" s="319">
        <v>0</v>
      </c>
      <c r="O539" s="320">
        <v>0</v>
      </c>
      <c r="P539" s="320">
        <v>0</v>
      </c>
      <c r="Q539" s="319">
        <v>0</v>
      </c>
      <c r="R539" s="320">
        <v>0</v>
      </c>
      <c r="S539" s="320">
        <v>-4.1830190011700116E-2</v>
      </c>
      <c r="T539" s="320"/>
      <c r="U539" s="320"/>
      <c r="V539" s="316"/>
    </row>
    <row r="540" spans="1:22">
      <c r="A540" s="311"/>
      <c r="B540" s="291" t="s">
        <v>799</v>
      </c>
      <c r="C540" s="308">
        <v>0</v>
      </c>
      <c r="D540" s="309">
        <v>0</v>
      </c>
      <c r="E540" s="309">
        <v>0</v>
      </c>
      <c r="F540" s="309">
        <v>0</v>
      </c>
      <c r="G540" s="309">
        <v>0</v>
      </c>
      <c r="H540" s="309">
        <v>0</v>
      </c>
      <c r="I540" s="309">
        <v>0</v>
      </c>
      <c r="J540" s="310">
        <v>0</v>
      </c>
      <c r="K540" s="310">
        <v>0</v>
      </c>
      <c r="L540" s="309">
        <v>0</v>
      </c>
      <c r="M540" s="309">
        <v>0</v>
      </c>
      <c r="N540" s="309">
        <v>0</v>
      </c>
      <c r="O540" s="310">
        <v>0</v>
      </c>
      <c r="P540" s="310">
        <v>0</v>
      </c>
      <c r="Q540" s="309">
        <v>0</v>
      </c>
      <c r="R540" s="310">
        <v>0</v>
      </c>
      <c r="S540" s="310">
        <v>0</v>
      </c>
      <c r="T540" s="310"/>
      <c r="U540" s="310"/>
      <c r="V540" s="316"/>
    </row>
    <row r="541" spans="1:22">
      <c r="A541" s="311"/>
      <c r="B541" s="312" t="s">
        <v>800</v>
      </c>
      <c r="C541" s="324">
        <v>3.8938921623477996E-3</v>
      </c>
      <c r="D541" s="314">
        <v>0</v>
      </c>
      <c r="E541" s="314">
        <v>0</v>
      </c>
      <c r="F541" s="314">
        <v>0</v>
      </c>
      <c r="G541" s="314">
        <v>0</v>
      </c>
      <c r="H541" s="314">
        <v>0</v>
      </c>
      <c r="I541" s="314">
        <v>0</v>
      </c>
      <c r="J541" s="315">
        <v>3.2170841760240164E-3</v>
      </c>
      <c r="K541" s="315">
        <v>0</v>
      </c>
      <c r="L541" s="314">
        <v>0</v>
      </c>
      <c r="M541" s="314">
        <v>0</v>
      </c>
      <c r="N541" s="314">
        <v>0</v>
      </c>
      <c r="O541" s="315">
        <v>0</v>
      </c>
      <c r="P541" s="315">
        <v>0</v>
      </c>
      <c r="Q541" s="314">
        <v>0</v>
      </c>
      <c r="R541" s="315">
        <v>0</v>
      </c>
      <c r="S541" s="315">
        <v>3.2170841760240164E-3</v>
      </c>
      <c r="T541" s="315"/>
      <c r="U541" s="315"/>
      <c r="V541" s="316"/>
    </row>
    <row r="542" spans="1:22">
      <c r="A542" s="311"/>
      <c r="B542" s="317" t="s">
        <v>801</v>
      </c>
      <c r="C542" s="318">
        <v>0</v>
      </c>
      <c r="D542" s="319">
        <v>0</v>
      </c>
      <c r="E542" s="319">
        <v>0</v>
      </c>
      <c r="F542" s="319">
        <v>0</v>
      </c>
      <c r="G542" s="319">
        <v>0</v>
      </c>
      <c r="H542" s="319">
        <v>0</v>
      </c>
      <c r="I542" s="319">
        <v>0</v>
      </c>
      <c r="J542" s="320">
        <v>0</v>
      </c>
      <c r="K542" s="320">
        <v>0</v>
      </c>
      <c r="L542" s="319">
        <v>0</v>
      </c>
      <c r="M542" s="319">
        <v>0</v>
      </c>
      <c r="N542" s="319">
        <v>0</v>
      </c>
      <c r="O542" s="320">
        <v>0</v>
      </c>
      <c r="P542" s="320">
        <v>0</v>
      </c>
      <c r="Q542" s="319">
        <v>0</v>
      </c>
      <c r="R542" s="320">
        <v>0</v>
      </c>
      <c r="S542" s="320">
        <v>0</v>
      </c>
      <c r="T542" s="320"/>
      <c r="U542" s="320"/>
      <c r="V542" s="316"/>
    </row>
    <row r="543" spans="1:22">
      <c r="A543" s="311"/>
      <c r="B543" s="291" t="s">
        <v>802</v>
      </c>
      <c r="C543" s="308">
        <v>0</v>
      </c>
      <c r="D543" s="309">
        <v>0</v>
      </c>
      <c r="E543" s="309">
        <v>0</v>
      </c>
      <c r="F543" s="309">
        <v>0</v>
      </c>
      <c r="G543" s="309">
        <v>0</v>
      </c>
      <c r="H543" s="309">
        <v>0</v>
      </c>
      <c r="I543" s="309">
        <v>0</v>
      </c>
      <c r="J543" s="310">
        <v>0</v>
      </c>
      <c r="K543" s="310">
        <v>0</v>
      </c>
      <c r="L543" s="309">
        <v>0</v>
      </c>
      <c r="M543" s="309">
        <v>0</v>
      </c>
      <c r="N543" s="309">
        <v>0</v>
      </c>
      <c r="O543" s="310">
        <v>0</v>
      </c>
      <c r="P543" s="310">
        <v>0</v>
      </c>
      <c r="Q543" s="309">
        <v>0</v>
      </c>
      <c r="R543" s="310">
        <v>0</v>
      </c>
      <c r="S543" s="310">
        <v>0</v>
      </c>
      <c r="T543" s="310"/>
      <c r="U543" s="310"/>
      <c r="V543" s="316"/>
    </row>
    <row r="544" spans="1:22">
      <c r="A544" s="311"/>
      <c r="B544" s="312" t="s">
        <v>803</v>
      </c>
      <c r="C544" s="313">
        <v>0</v>
      </c>
      <c r="D544" s="314">
        <v>0</v>
      </c>
      <c r="E544" s="314">
        <v>0</v>
      </c>
      <c r="F544" s="314">
        <v>0</v>
      </c>
      <c r="G544" s="314">
        <v>0</v>
      </c>
      <c r="H544" s="314">
        <v>0</v>
      </c>
      <c r="I544" s="314">
        <v>0</v>
      </c>
      <c r="J544" s="315">
        <v>0</v>
      </c>
      <c r="K544" s="315">
        <v>0</v>
      </c>
      <c r="L544" s="314">
        <v>0</v>
      </c>
      <c r="M544" s="314">
        <v>0</v>
      </c>
      <c r="N544" s="314">
        <v>0</v>
      </c>
      <c r="O544" s="315">
        <v>0</v>
      </c>
      <c r="P544" s="315">
        <v>0</v>
      </c>
      <c r="Q544" s="314">
        <v>0</v>
      </c>
      <c r="R544" s="315">
        <v>0</v>
      </c>
      <c r="S544" s="315">
        <v>0</v>
      </c>
      <c r="T544" s="315"/>
      <c r="U544" s="315"/>
      <c r="V544" s="316"/>
    </row>
    <row r="545" spans="1:22" ht="15.75" thickBot="1">
      <c r="A545" s="329"/>
      <c r="B545" s="330" t="s">
        <v>804</v>
      </c>
      <c r="C545" s="331">
        <v>0</v>
      </c>
      <c r="D545" s="332">
        <v>0</v>
      </c>
      <c r="E545" s="332">
        <v>0</v>
      </c>
      <c r="F545" s="332">
        <v>0</v>
      </c>
      <c r="G545" s="332">
        <v>0</v>
      </c>
      <c r="H545" s="332">
        <v>0</v>
      </c>
      <c r="I545" s="332">
        <v>0</v>
      </c>
      <c r="J545" s="333">
        <v>0</v>
      </c>
      <c r="K545" s="333">
        <v>0</v>
      </c>
      <c r="L545" s="332">
        <v>0</v>
      </c>
      <c r="M545" s="332">
        <v>0</v>
      </c>
      <c r="N545" s="332">
        <v>0</v>
      </c>
      <c r="O545" s="333">
        <v>0</v>
      </c>
      <c r="P545" s="333">
        <v>0</v>
      </c>
      <c r="Q545" s="332">
        <v>0</v>
      </c>
      <c r="R545" s="333">
        <v>0</v>
      </c>
      <c r="S545" s="333">
        <v>0</v>
      </c>
      <c r="T545" s="333"/>
      <c r="U545" s="333"/>
      <c r="V545" s="316"/>
    </row>
    <row r="546" spans="1:22">
      <c r="A546" s="307" t="s">
        <v>502</v>
      </c>
      <c r="B546" s="291" t="s">
        <v>769</v>
      </c>
      <c r="C546" s="308">
        <v>0.90833935765258522</v>
      </c>
      <c r="D546" s="309">
        <v>0</v>
      </c>
      <c r="E546" s="309">
        <v>0.79271872067241722</v>
      </c>
      <c r="F546" s="309">
        <v>0</v>
      </c>
      <c r="G546" s="309">
        <v>0.86875884715013429</v>
      </c>
      <c r="H546" s="309">
        <v>0.76240987136594662</v>
      </c>
      <c r="I546" s="309">
        <v>0</v>
      </c>
      <c r="J546" s="310">
        <v>0.84568026622165759</v>
      </c>
      <c r="K546" s="310">
        <v>0.8807698128436664</v>
      </c>
      <c r="L546" s="309">
        <v>0</v>
      </c>
      <c r="M546" s="309">
        <v>0.53999485963960359</v>
      </c>
      <c r="N546" s="309">
        <v>0.61119312108195734</v>
      </c>
      <c r="O546" s="310">
        <v>0.61921186944806872</v>
      </c>
      <c r="P546" s="310">
        <v>0</v>
      </c>
      <c r="Q546" s="309">
        <v>0</v>
      </c>
      <c r="R546" s="310">
        <v>0</v>
      </c>
      <c r="S546" s="310">
        <v>0.79876145760459749</v>
      </c>
      <c r="T546" s="310"/>
      <c r="U546" s="310"/>
      <c r="V546" s="316"/>
    </row>
    <row r="547" spans="1:22">
      <c r="A547" s="311"/>
      <c r="B547" s="312" t="s">
        <v>770</v>
      </c>
      <c r="C547" s="313">
        <v>0.89988638316706537</v>
      </c>
      <c r="D547" s="314">
        <v>0</v>
      </c>
      <c r="E547" s="314">
        <v>0.78993273179674239</v>
      </c>
      <c r="F547" s="314">
        <v>0</v>
      </c>
      <c r="G547" s="314">
        <v>0.85288129101190413</v>
      </c>
      <c r="H547" s="314">
        <v>0.71231610126499423</v>
      </c>
      <c r="I547" s="314">
        <v>0</v>
      </c>
      <c r="J547" s="315">
        <v>0.82778026402613647</v>
      </c>
      <c r="K547" s="315">
        <v>0.84227204942479761</v>
      </c>
      <c r="L547" s="314">
        <v>0</v>
      </c>
      <c r="M547" s="314">
        <v>0.53843512105775282</v>
      </c>
      <c r="N547" s="314">
        <v>0.63421217565704258</v>
      </c>
      <c r="O547" s="315">
        <v>0.63269245024530729</v>
      </c>
      <c r="P547" s="315">
        <v>0</v>
      </c>
      <c r="Q547" s="314">
        <v>0</v>
      </c>
      <c r="R547" s="315">
        <v>0</v>
      </c>
      <c r="S547" s="315">
        <v>0.78942066687792156</v>
      </c>
      <c r="T547" s="315"/>
      <c r="U547" s="315"/>
      <c r="V547" s="316"/>
    </row>
    <row r="548" spans="1:22">
      <c r="A548" s="311"/>
      <c r="B548" s="317" t="s">
        <v>771</v>
      </c>
      <c r="C548" s="318">
        <v>-0.84529744855198485</v>
      </c>
      <c r="D548" s="319">
        <v>0</v>
      </c>
      <c r="E548" s="319">
        <v>-0.27859888756748274</v>
      </c>
      <c r="F548" s="319">
        <v>0</v>
      </c>
      <c r="G548" s="319">
        <v>-1.5877556138230164</v>
      </c>
      <c r="H548" s="321">
        <v>-5.0093770100952391</v>
      </c>
      <c r="I548" s="319">
        <v>0</v>
      </c>
      <c r="J548" s="320">
        <v>-1.7900002195521125</v>
      </c>
      <c r="K548" s="320">
        <v>-3.8497763418868791</v>
      </c>
      <c r="L548" s="319">
        <v>0</v>
      </c>
      <c r="M548" s="319">
        <v>-0.1559738581850767</v>
      </c>
      <c r="N548" s="319">
        <v>2.301905457508524</v>
      </c>
      <c r="O548" s="320">
        <v>1.3480580797238573</v>
      </c>
      <c r="P548" s="320">
        <v>0</v>
      </c>
      <c r="Q548" s="319">
        <v>0</v>
      </c>
      <c r="R548" s="320">
        <v>0</v>
      </c>
      <c r="S548" s="320">
        <v>-0.93407907266759294</v>
      </c>
      <c r="T548" s="320"/>
      <c r="U548" s="320"/>
      <c r="V548" s="316"/>
    </row>
    <row r="549" spans="1:22">
      <c r="A549" s="311"/>
      <c r="B549" s="291" t="s">
        <v>772</v>
      </c>
      <c r="C549" s="308">
        <v>1.3573466198319589E-3</v>
      </c>
      <c r="D549" s="309">
        <v>0</v>
      </c>
      <c r="E549" s="309">
        <v>6.436271045753833E-2</v>
      </c>
      <c r="F549" s="309">
        <v>0</v>
      </c>
      <c r="G549" s="309">
        <v>4.6231475150943217E-2</v>
      </c>
      <c r="H549" s="309">
        <v>7.9626688867989501E-2</v>
      </c>
      <c r="I549" s="309">
        <v>0</v>
      </c>
      <c r="J549" s="310">
        <v>3.8345454604831311E-2</v>
      </c>
      <c r="K549" s="310">
        <v>5.2035514301568886E-2</v>
      </c>
      <c r="L549" s="309">
        <v>0</v>
      </c>
      <c r="M549" s="309">
        <v>0.2382652235580813</v>
      </c>
      <c r="N549" s="309">
        <v>0.16890312425358961</v>
      </c>
      <c r="O549" s="310">
        <v>0.17553476002659429</v>
      </c>
      <c r="P549" s="310">
        <v>0</v>
      </c>
      <c r="Q549" s="309">
        <v>0</v>
      </c>
      <c r="R549" s="310">
        <v>0</v>
      </c>
      <c r="S549" s="310">
        <v>6.6767781327205011E-2</v>
      </c>
      <c r="T549" s="310"/>
      <c r="U549" s="310"/>
      <c r="V549" s="316"/>
    </row>
    <row r="550" spans="1:22">
      <c r="A550" s="311"/>
      <c r="B550" s="312" t="s">
        <v>773</v>
      </c>
      <c r="C550" s="313">
        <v>1.5483525559224485E-3</v>
      </c>
      <c r="D550" s="314">
        <v>0</v>
      </c>
      <c r="E550" s="314">
        <v>7.6690268884597582E-2</v>
      </c>
      <c r="F550" s="314">
        <v>0</v>
      </c>
      <c r="G550" s="314">
        <v>3.9013597556673288E-2</v>
      </c>
      <c r="H550" s="314">
        <v>8.3836549004205743E-2</v>
      </c>
      <c r="I550" s="314">
        <v>0</v>
      </c>
      <c r="J550" s="315">
        <v>4.0230186280478378E-2</v>
      </c>
      <c r="K550" s="315">
        <v>6.2286962079250108E-2</v>
      </c>
      <c r="L550" s="314">
        <v>0</v>
      </c>
      <c r="M550" s="314">
        <v>0.20915803331234617</v>
      </c>
      <c r="N550" s="314">
        <v>0.11255588517945933</v>
      </c>
      <c r="O550" s="315">
        <v>0.1305413782784286</v>
      </c>
      <c r="P550" s="315">
        <v>0</v>
      </c>
      <c r="Q550" s="314">
        <v>0</v>
      </c>
      <c r="R550" s="315">
        <v>0</v>
      </c>
      <c r="S550" s="315">
        <v>5.7987835391808455E-2</v>
      </c>
      <c r="T550" s="315"/>
      <c r="U550" s="315"/>
      <c r="V550" s="316"/>
    </row>
    <row r="551" spans="1:22">
      <c r="A551" s="311"/>
      <c r="B551" s="317" t="s">
        <v>774</v>
      </c>
      <c r="C551" s="318">
        <v>1.9100593609048956E-2</v>
      </c>
      <c r="D551" s="319">
        <v>0</v>
      </c>
      <c r="E551" s="319">
        <v>1.2327558427059251</v>
      </c>
      <c r="F551" s="319">
        <v>0</v>
      </c>
      <c r="G551" s="319">
        <v>-0.72178775942699291</v>
      </c>
      <c r="H551" s="319">
        <v>0.42098601362162424</v>
      </c>
      <c r="I551" s="319">
        <v>0</v>
      </c>
      <c r="J551" s="320">
        <v>0.18847316756470667</v>
      </c>
      <c r="K551" s="320">
        <v>1.0251447777681222</v>
      </c>
      <c r="L551" s="319">
        <v>0</v>
      </c>
      <c r="M551" s="319">
        <v>-2.9107190245735133</v>
      </c>
      <c r="N551" s="319">
        <v>-5.6347239074130275</v>
      </c>
      <c r="O551" s="320">
        <v>-4.4993381748165699</v>
      </c>
      <c r="P551" s="320">
        <v>0</v>
      </c>
      <c r="Q551" s="319">
        <v>0</v>
      </c>
      <c r="R551" s="320">
        <v>0</v>
      </c>
      <c r="S551" s="320">
        <v>-0.87799459353965559</v>
      </c>
      <c r="T551" s="320"/>
      <c r="U551" s="320"/>
      <c r="V551" s="316"/>
    </row>
    <row r="552" spans="1:22">
      <c r="A552" s="311"/>
      <c r="B552" s="291" t="s">
        <v>775</v>
      </c>
      <c r="C552" s="308">
        <v>8.7200146383458674E-2</v>
      </c>
      <c r="D552" s="309">
        <v>0</v>
      </c>
      <c r="E552" s="309">
        <v>0.12505374776128889</v>
      </c>
      <c r="F552" s="309">
        <v>0</v>
      </c>
      <c r="G552" s="309">
        <v>8.5009677698922453E-2</v>
      </c>
      <c r="H552" s="309">
        <v>0.14292872450316832</v>
      </c>
      <c r="I552" s="309">
        <v>0</v>
      </c>
      <c r="J552" s="310">
        <v>0.10768065157685387</v>
      </c>
      <c r="K552" s="310">
        <v>6.7194672854764673E-2</v>
      </c>
      <c r="L552" s="309">
        <v>0</v>
      </c>
      <c r="M552" s="309">
        <v>0.17415350639213334</v>
      </c>
      <c r="N552" s="309">
        <v>0.20128118282306598</v>
      </c>
      <c r="O552" s="310">
        <v>0.1808711127107672</v>
      </c>
      <c r="P552" s="310">
        <v>0</v>
      </c>
      <c r="Q552" s="309">
        <v>0</v>
      </c>
      <c r="R552" s="310">
        <v>0</v>
      </c>
      <c r="S552" s="310">
        <v>0.12284395598249946</v>
      </c>
      <c r="T552" s="310"/>
      <c r="U552" s="310"/>
      <c r="V552" s="316"/>
    </row>
    <row r="553" spans="1:22">
      <c r="A553" s="311"/>
      <c r="B553" s="312" t="s">
        <v>776</v>
      </c>
      <c r="C553" s="313">
        <v>9.4413002511129732E-2</v>
      </c>
      <c r="D553" s="314">
        <v>0</v>
      </c>
      <c r="E553" s="314">
        <v>0.126778165501613</v>
      </c>
      <c r="F553" s="314">
        <v>0</v>
      </c>
      <c r="G553" s="314">
        <v>0.10810511143142255</v>
      </c>
      <c r="H553" s="314">
        <v>0.17595365506406796</v>
      </c>
      <c r="I553" s="314">
        <v>0</v>
      </c>
      <c r="J553" s="315">
        <v>0.1221050325698535</v>
      </c>
      <c r="K553" s="315">
        <v>9.5440988495952284E-2</v>
      </c>
      <c r="L553" s="314">
        <v>0</v>
      </c>
      <c r="M553" s="314">
        <v>0.20747524469120257</v>
      </c>
      <c r="N553" s="314">
        <v>0.2324071365896461</v>
      </c>
      <c r="O553" s="315">
        <v>0.21230682220642055</v>
      </c>
      <c r="P553" s="315">
        <v>0</v>
      </c>
      <c r="Q553" s="314">
        <v>0</v>
      </c>
      <c r="R553" s="315">
        <v>0</v>
      </c>
      <c r="S553" s="315">
        <v>0.13984117018629114</v>
      </c>
      <c r="T553" s="315"/>
      <c r="U553" s="315"/>
      <c r="V553" s="316"/>
    </row>
    <row r="554" spans="1:22">
      <c r="A554" s="311"/>
      <c r="B554" s="317" t="s">
        <v>777</v>
      </c>
      <c r="C554" s="318">
        <v>0.72128561276710579</v>
      </c>
      <c r="D554" s="319">
        <v>0</v>
      </c>
      <c r="E554" s="319">
        <v>0.17244177403241134</v>
      </c>
      <c r="F554" s="319">
        <v>0</v>
      </c>
      <c r="G554" s="319">
        <v>2.3095433732500101</v>
      </c>
      <c r="H554" s="319">
        <v>3.3024930560899639</v>
      </c>
      <c r="I554" s="319">
        <v>0</v>
      </c>
      <c r="J554" s="320">
        <v>1.4424380992999628</v>
      </c>
      <c r="K554" s="320">
        <v>2.8246315641187612</v>
      </c>
      <c r="L554" s="319">
        <v>0</v>
      </c>
      <c r="M554" s="319">
        <v>3.3321738299069232</v>
      </c>
      <c r="N554" s="319">
        <v>3.1125953766580117</v>
      </c>
      <c r="O554" s="320">
        <v>3.1435709495653357</v>
      </c>
      <c r="P554" s="320">
        <v>0</v>
      </c>
      <c r="Q554" s="319">
        <v>0</v>
      </c>
      <c r="R554" s="320">
        <v>0</v>
      </c>
      <c r="S554" s="320">
        <v>1.6997214203791675</v>
      </c>
      <c r="T554" s="320"/>
      <c r="U554" s="320"/>
      <c r="V554" s="316"/>
    </row>
    <row r="555" spans="1:22">
      <c r="A555" s="311"/>
      <c r="B555" s="291" t="s">
        <v>778</v>
      </c>
      <c r="C555" s="308">
        <v>0</v>
      </c>
      <c r="D555" s="309">
        <v>0</v>
      </c>
      <c r="E555" s="309">
        <v>1.7864821108755556E-2</v>
      </c>
      <c r="F555" s="309">
        <v>0</v>
      </c>
      <c r="G555" s="309">
        <v>0</v>
      </c>
      <c r="H555" s="309">
        <v>1.2986746015838999E-2</v>
      </c>
      <c r="I555" s="309">
        <v>0</v>
      </c>
      <c r="J555" s="310">
        <v>6.4217157450254889E-3</v>
      </c>
      <c r="K555" s="310">
        <v>0</v>
      </c>
      <c r="L555" s="309">
        <v>0</v>
      </c>
      <c r="M555" s="309">
        <v>4.7586410410181725E-2</v>
      </c>
      <c r="N555" s="309">
        <v>1.8622571841387062E-2</v>
      </c>
      <c r="O555" s="310">
        <v>2.4382257814569867E-2</v>
      </c>
      <c r="P555" s="310">
        <v>0</v>
      </c>
      <c r="Q555" s="309">
        <v>0</v>
      </c>
      <c r="R555" s="310">
        <v>0</v>
      </c>
      <c r="S555" s="310">
        <v>1.0142708378103929E-2</v>
      </c>
      <c r="T555" s="310"/>
      <c r="U555" s="310"/>
      <c r="V555" s="316"/>
    </row>
    <row r="556" spans="1:22">
      <c r="A556" s="311"/>
      <c r="B556" s="312" t="s">
        <v>779</v>
      </c>
      <c r="C556" s="313">
        <v>6.0839000232709176E-6</v>
      </c>
      <c r="D556" s="314">
        <v>0</v>
      </c>
      <c r="E556" s="314">
        <v>6.5988338170470499E-3</v>
      </c>
      <c r="F556" s="314">
        <v>0</v>
      </c>
      <c r="G556" s="314">
        <v>0</v>
      </c>
      <c r="H556" s="314">
        <v>1.060434974716481E-2</v>
      </c>
      <c r="I556" s="314">
        <v>0</v>
      </c>
      <c r="J556" s="315">
        <v>3.7932086446183476E-3</v>
      </c>
      <c r="K556" s="315">
        <v>0</v>
      </c>
      <c r="L556" s="314">
        <v>0</v>
      </c>
      <c r="M556" s="314">
        <v>4.4931600938698413E-2</v>
      </c>
      <c r="N556" s="314">
        <v>2.0824802573852004E-2</v>
      </c>
      <c r="O556" s="315">
        <v>2.4459349269843535E-2</v>
      </c>
      <c r="P556" s="315">
        <v>0</v>
      </c>
      <c r="Q556" s="314">
        <v>0</v>
      </c>
      <c r="R556" s="315">
        <v>0</v>
      </c>
      <c r="S556" s="315">
        <v>7.8567368252283627E-3</v>
      </c>
      <c r="T556" s="315"/>
      <c r="U556" s="315"/>
      <c r="V556" s="316"/>
    </row>
    <row r="557" spans="1:22">
      <c r="A557" s="311"/>
      <c r="B557" s="317" t="s">
        <v>780</v>
      </c>
      <c r="C557" s="318">
        <v>0</v>
      </c>
      <c r="D557" s="319">
        <v>0</v>
      </c>
      <c r="E557" s="319">
        <v>-1.1265987291708506</v>
      </c>
      <c r="F557" s="319">
        <v>0</v>
      </c>
      <c r="G557" s="319">
        <v>0</v>
      </c>
      <c r="H557" s="319">
        <v>-0.2382396268674189</v>
      </c>
      <c r="I557" s="319">
        <v>0</v>
      </c>
      <c r="J557" s="320">
        <v>-0.26285071004071414</v>
      </c>
      <c r="K557" s="320">
        <v>0</v>
      </c>
      <c r="L557" s="319">
        <v>0</v>
      </c>
      <c r="M557" s="319">
        <v>-0.26548094714833115</v>
      </c>
      <c r="N557" s="319">
        <v>0.22022307324649423</v>
      </c>
      <c r="O557" s="320">
        <v>7.7091455273667342E-3</v>
      </c>
      <c r="P557" s="320">
        <v>0</v>
      </c>
      <c r="Q557" s="319">
        <v>0</v>
      </c>
      <c r="R557" s="320">
        <v>0</v>
      </c>
      <c r="S557" s="320">
        <v>-0.22859715528755659</v>
      </c>
      <c r="T557" s="320"/>
      <c r="U557" s="320"/>
      <c r="V557" s="316"/>
    </row>
    <row r="558" spans="1:22">
      <c r="A558" s="311"/>
      <c r="B558" s="291" t="s">
        <v>781</v>
      </c>
      <c r="C558" s="308">
        <v>3.1031493441241141E-3</v>
      </c>
      <c r="D558" s="309">
        <v>0</v>
      </c>
      <c r="E558" s="309">
        <v>0</v>
      </c>
      <c r="F558" s="309">
        <v>0</v>
      </c>
      <c r="G558" s="309">
        <v>0</v>
      </c>
      <c r="H558" s="309">
        <v>2.047969247056526E-3</v>
      </c>
      <c r="I558" s="309">
        <v>0</v>
      </c>
      <c r="J558" s="310">
        <v>1.871911851631718E-3</v>
      </c>
      <c r="K558" s="310">
        <v>0</v>
      </c>
      <c r="L558" s="309">
        <v>0</v>
      </c>
      <c r="M558" s="309">
        <v>0</v>
      </c>
      <c r="N558" s="309">
        <v>0</v>
      </c>
      <c r="O558" s="310">
        <v>0</v>
      </c>
      <c r="P558" s="310">
        <v>0</v>
      </c>
      <c r="Q558" s="309">
        <v>0</v>
      </c>
      <c r="R558" s="310">
        <v>0</v>
      </c>
      <c r="S558" s="310">
        <v>1.4840967075941114E-3</v>
      </c>
      <c r="T558" s="310"/>
      <c r="U558" s="310"/>
      <c r="V558" s="316"/>
    </row>
    <row r="559" spans="1:22">
      <c r="A559" s="311"/>
      <c r="B559" s="312" t="s">
        <v>782</v>
      </c>
      <c r="C559" s="313">
        <v>4.1461778658591301E-3</v>
      </c>
      <c r="D559" s="314">
        <v>0</v>
      </c>
      <c r="E559" s="314">
        <v>0</v>
      </c>
      <c r="F559" s="314">
        <v>0</v>
      </c>
      <c r="G559" s="314">
        <v>0</v>
      </c>
      <c r="H559" s="314">
        <v>1.7289344919567316E-2</v>
      </c>
      <c r="I559" s="314">
        <v>0</v>
      </c>
      <c r="J559" s="315">
        <v>6.0913084789132538E-3</v>
      </c>
      <c r="K559" s="315">
        <v>0</v>
      </c>
      <c r="L559" s="314">
        <v>0</v>
      </c>
      <c r="M559" s="314">
        <v>0</v>
      </c>
      <c r="N559" s="314">
        <v>0</v>
      </c>
      <c r="O559" s="315">
        <v>0</v>
      </c>
      <c r="P559" s="315">
        <v>0</v>
      </c>
      <c r="Q559" s="314">
        <v>0</v>
      </c>
      <c r="R559" s="315">
        <v>0</v>
      </c>
      <c r="S559" s="315">
        <v>4.8935907187505233E-3</v>
      </c>
      <c r="T559" s="315"/>
      <c r="U559" s="315"/>
      <c r="V559" s="316"/>
    </row>
    <row r="560" spans="1:22">
      <c r="A560" s="311"/>
      <c r="B560" s="317" t="s">
        <v>783</v>
      </c>
      <c r="C560" s="318">
        <v>0.1043028521735016</v>
      </c>
      <c r="D560" s="319">
        <v>0</v>
      </c>
      <c r="E560" s="319">
        <v>0</v>
      </c>
      <c r="F560" s="319">
        <v>0</v>
      </c>
      <c r="G560" s="319">
        <v>0</v>
      </c>
      <c r="H560" s="319">
        <v>1.5241375672510791</v>
      </c>
      <c r="I560" s="319">
        <v>0</v>
      </c>
      <c r="J560" s="320">
        <v>0.42193966272815359</v>
      </c>
      <c r="K560" s="320">
        <v>0</v>
      </c>
      <c r="L560" s="319">
        <v>0</v>
      </c>
      <c r="M560" s="319">
        <v>0</v>
      </c>
      <c r="N560" s="319">
        <v>0</v>
      </c>
      <c r="O560" s="320">
        <v>0</v>
      </c>
      <c r="P560" s="320">
        <v>0</v>
      </c>
      <c r="Q560" s="319">
        <v>0</v>
      </c>
      <c r="R560" s="320">
        <v>0</v>
      </c>
      <c r="S560" s="320">
        <v>0.34094940111564115</v>
      </c>
      <c r="T560" s="320"/>
      <c r="U560" s="320"/>
      <c r="V560" s="316"/>
    </row>
    <row r="561" spans="1:22">
      <c r="A561" s="311"/>
      <c r="B561" s="291" t="s">
        <v>784</v>
      </c>
      <c r="C561" s="308">
        <v>0</v>
      </c>
      <c r="D561" s="309">
        <v>0</v>
      </c>
      <c r="E561" s="309">
        <v>0</v>
      </c>
      <c r="F561" s="309">
        <v>0</v>
      </c>
      <c r="G561" s="309">
        <v>0</v>
      </c>
      <c r="H561" s="309">
        <v>0</v>
      </c>
      <c r="I561" s="309">
        <v>0</v>
      </c>
      <c r="J561" s="310">
        <v>0</v>
      </c>
      <c r="K561" s="310">
        <v>0</v>
      </c>
      <c r="L561" s="309">
        <v>0</v>
      </c>
      <c r="M561" s="309">
        <v>0</v>
      </c>
      <c r="N561" s="309">
        <v>0</v>
      </c>
      <c r="O561" s="310">
        <v>0</v>
      </c>
      <c r="P561" s="310">
        <v>0</v>
      </c>
      <c r="Q561" s="309">
        <v>0</v>
      </c>
      <c r="R561" s="310">
        <v>0</v>
      </c>
      <c r="S561" s="310">
        <v>0</v>
      </c>
      <c r="T561" s="310"/>
      <c r="U561" s="310"/>
      <c r="V561" s="316"/>
    </row>
    <row r="562" spans="1:22">
      <c r="A562" s="311"/>
      <c r="B562" s="312" t="s">
        <v>785</v>
      </c>
      <c r="C562" s="313">
        <v>0</v>
      </c>
      <c r="D562" s="314">
        <v>0</v>
      </c>
      <c r="E562" s="314">
        <v>0</v>
      </c>
      <c r="F562" s="314">
        <v>0</v>
      </c>
      <c r="G562" s="314">
        <v>0</v>
      </c>
      <c r="H562" s="314">
        <v>0</v>
      </c>
      <c r="I562" s="314">
        <v>0</v>
      </c>
      <c r="J562" s="315">
        <v>0</v>
      </c>
      <c r="K562" s="315">
        <v>0</v>
      </c>
      <c r="L562" s="314">
        <v>0</v>
      </c>
      <c r="M562" s="314">
        <v>0</v>
      </c>
      <c r="N562" s="314">
        <v>0</v>
      </c>
      <c r="O562" s="315">
        <v>0</v>
      </c>
      <c r="P562" s="315">
        <v>0</v>
      </c>
      <c r="Q562" s="314">
        <v>0</v>
      </c>
      <c r="R562" s="315">
        <v>0</v>
      </c>
      <c r="S562" s="315">
        <v>0</v>
      </c>
      <c r="T562" s="315"/>
      <c r="U562" s="315"/>
      <c r="V562" s="316"/>
    </row>
    <row r="563" spans="1:22" ht="15.75" thickBot="1">
      <c r="A563" s="311"/>
      <c r="B563" s="325" t="s">
        <v>786</v>
      </c>
      <c r="C563" s="326">
        <v>0</v>
      </c>
      <c r="D563" s="327">
        <v>0</v>
      </c>
      <c r="E563" s="327">
        <v>0</v>
      </c>
      <c r="F563" s="327">
        <v>0</v>
      </c>
      <c r="G563" s="327">
        <v>0</v>
      </c>
      <c r="H563" s="327">
        <v>0</v>
      </c>
      <c r="I563" s="327">
        <v>0</v>
      </c>
      <c r="J563" s="328">
        <v>0</v>
      </c>
      <c r="K563" s="328">
        <v>0</v>
      </c>
      <c r="L563" s="327">
        <v>0</v>
      </c>
      <c r="M563" s="327">
        <v>0</v>
      </c>
      <c r="N563" s="327">
        <v>0</v>
      </c>
      <c r="O563" s="328">
        <v>0</v>
      </c>
      <c r="P563" s="328">
        <v>0</v>
      </c>
      <c r="Q563" s="327">
        <v>0</v>
      </c>
      <c r="R563" s="328">
        <v>0</v>
      </c>
      <c r="S563" s="328">
        <v>0</v>
      </c>
      <c r="T563" s="328"/>
      <c r="U563" s="328"/>
      <c r="V563" s="316"/>
    </row>
    <row r="564" spans="1:22" ht="15.75" thickTop="1">
      <c r="A564" s="311"/>
      <c r="B564" s="312" t="s">
        <v>787</v>
      </c>
      <c r="C564" s="313">
        <v>0.66354199920674073</v>
      </c>
      <c r="D564" s="314">
        <v>0</v>
      </c>
      <c r="E564" s="314">
        <v>0.39377819675442732</v>
      </c>
      <c r="F564" s="314">
        <v>0</v>
      </c>
      <c r="G564" s="314">
        <v>0.52980678605089537</v>
      </c>
      <c r="H564" s="314">
        <v>0.32728054152788222</v>
      </c>
      <c r="I564" s="314">
        <v>0</v>
      </c>
      <c r="J564" s="315">
        <v>0.5511768289306086</v>
      </c>
      <c r="K564" s="315">
        <v>0</v>
      </c>
      <c r="L564" s="314">
        <v>0</v>
      </c>
      <c r="M564" s="314">
        <v>0</v>
      </c>
      <c r="N564" s="314">
        <v>0</v>
      </c>
      <c r="O564" s="315">
        <v>0</v>
      </c>
      <c r="P564" s="315">
        <v>0</v>
      </c>
      <c r="Q564" s="314">
        <v>0</v>
      </c>
      <c r="R564" s="315">
        <v>0</v>
      </c>
      <c r="S564" s="315">
        <v>0.55116767180032455</v>
      </c>
      <c r="T564" s="315"/>
      <c r="U564" s="315"/>
      <c r="V564" s="316"/>
    </row>
    <row r="565" spans="1:22">
      <c r="A565" s="311"/>
      <c r="B565" s="312" t="s">
        <v>788</v>
      </c>
      <c r="C565" s="313">
        <v>0.67051167693804736</v>
      </c>
      <c r="D565" s="314">
        <v>0</v>
      </c>
      <c r="E565" s="314">
        <v>0.46946015190333973</v>
      </c>
      <c r="F565" s="314">
        <v>0</v>
      </c>
      <c r="G565" s="314">
        <v>0.509373060211049</v>
      </c>
      <c r="H565" s="314">
        <v>0.2548864236661384</v>
      </c>
      <c r="I565" s="314">
        <v>0</v>
      </c>
      <c r="J565" s="315">
        <v>0.56574400104329681</v>
      </c>
      <c r="K565" s="315">
        <v>0</v>
      </c>
      <c r="L565" s="314">
        <v>0</v>
      </c>
      <c r="M565" s="314">
        <v>0</v>
      </c>
      <c r="N565" s="314">
        <v>0</v>
      </c>
      <c r="O565" s="315">
        <v>0</v>
      </c>
      <c r="P565" s="315">
        <v>0</v>
      </c>
      <c r="Q565" s="314">
        <v>0</v>
      </c>
      <c r="R565" s="315">
        <v>0</v>
      </c>
      <c r="S565" s="315">
        <v>0.56574400104329681</v>
      </c>
      <c r="T565" s="315"/>
      <c r="U565" s="315"/>
      <c r="V565" s="316"/>
    </row>
    <row r="566" spans="1:22">
      <c r="A566" s="311"/>
      <c r="B566" s="317" t="s">
        <v>789</v>
      </c>
      <c r="C566" s="318">
        <v>0.69696777313066338</v>
      </c>
      <c r="D566" s="319">
        <v>0</v>
      </c>
      <c r="E566" s="321">
        <v>7.5681955148912401</v>
      </c>
      <c r="F566" s="319">
        <v>0</v>
      </c>
      <c r="G566" s="319">
        <v>-2.0433725839846373</v>
      </c>
      <c r="H566" s="321">
        <v>-7.2394117861743821</v>
      </c>
      <c r="I566" s="319">
        <v>0</v>
      </c>
      <c r="J566" s="320">
        <v>1.4567172112688209</v>
      </c>
      <c r="K566" s="320">
        <v>0</v>
      </c>
      <c r="L566" s="319">
        <v>0</v>
      </c>
      <c r="M566" s="319">
        <v>0</v>
      </c>
      <c r="N566" s="319">
        <v>0</v>
      </c>
      <c r="O566" s="320">
        <v>0</v>
      </c>
      <c r="P566" s="320">
        <v>0</v>
      </c>
      <c r="Q566" s="319">
        <v>0</v>
      </c>
      <c r="R566" s="320">
        <v>0</v>
      </c>
      <c r="S566" s="320">
        <v>1.4576329242972252</v>
      </c>
      <c r="T566" s="320"/>
      <c r="U566" s="320"/>
      <c r="V566" s="316"/>
    </row>
    <row r="567" spans="1:22">
      <c r="A567" s="311"/>
      <c r="B567" s="291" t="s">
        <v>790</v>
      </c>
      <c r="C567" s="308">
        <v>6.2183784620444806E-2</v>
      </c>
      <c r="D567" s="309">
        <v>0</v>
      </c>
      <c r="E567" s="309">
        <v>0.30454178169820212</v>
      </c>
      <c r="F567" s="309">
        <v>0</v>
      </c>
      <c r="G567" s="309">
        <v>0</v>
      </c>
      <c r="H567" s="309">
        <v>0.1592349844203288</v>
      </c>
      <c r="I567" s="309">
        <v>0</v>
      </c>
      <c r="J567" s="310">
        <v>0.14399401894002326</v>
      </c>
      <c r="K567" s="310">
        <v>0</v>
      </c>
      <c r="L567" s="309">
        <v>0</v>
      </c>
      <c r="M567" s="309">
        <v>0</v>
      </c>
      <c r="N567" s="309">
        <v>0</v>
      </c>
      <c r="O567" s="310">
        <v>0</v>
      </c>
      <c r="P567" s="310">
        <v>0</v>
      </c>
      <c r="Q567" s="309">
        <v>0</v>
      </c>
      <c r="R567" s="310">
        <v>0</v>
      </c>
      <c r="S567" s="310">
        <v>0.14399162665514778</v>
      </c>
      <c r="T567" s="310"/>
      <c r="U567" s="310"/>
      <c r="V567" s="316"/>
    </row>
    <row r="568" spans="1:22">
      <c r="A568" s="311"/>
      <c r="B568" s="312" t="s">
        <v>791</v>
      </c>
      <c r="C568" s="313">
        <v>3.7372283490107037E-2</v>
      </c>
      <c r="D568" s="314">
        <v>0</v>
      </c>
      <c r="E568" s="314">
        <v>0.28643330351863922</v>
      </c>
      <c r="F568" s="314">
        <v>0</v>
      </c>
      <c r="G568" s="314">
        <v>0</v>
      </c>
      <c r="H568" s="314">
        <v>0.13021658742736397</v>
      </c>
      <c r="I568" s="314">
        <v>0</v>
      </c>
      <c r="J568" s="315">
        <v>0.13073813249869587</v>
      </c>
      <c r="K568" s="315">
        <v>0</v>
      </c>
      <c r="L568" s="314">
        <v>0</v>
      </c>
      <c r="M568" s="314">
        <v>0</v>
      </c>
      <c r="N568" s="314">
        <v>0</v>
      </c>
      <c r="O568" s="315">
        <v>0</v>
      </c>
      <c r="P568" s="315">
        <v>0</v>
      </c>
      <c r="Q568" s="314">
        <v>0</v>
      </c>
      <c r="R568" s="315">
        <v>0</v>
      </c>
      <c r="S568" s="315">
        <v>0.13073813249869587</v>
      </c>
      <c r="T568" s="315"/>
      <c r="U568" s="315"/>
      <c r="V568" s="316"/>
    </row>
    <row r="569" spans="1:22">
      <c r="A569" s="311"/>
      <c r="B569" s="317" t="s">
        <v>792</v>
      </c>
      <c r="C569" s="318">
        <v>-2.481150113033777</v>
      </c>
      <c r="D569" s="319">
        <v>0</v>
      </c>
      <c r="E569" s="319">
        <v>-1.8108478179562904</v>
      </c>
      <c r="F569" s="319">
        <v>0</v>
      </c>
      <c r="G569" s="319">
        <v>0</v>
      </c>
      <c r="H569" s="319">
        <v>-2.9018396992964823</v>
      </c>
      <c r="I569" s="319">
        <v>0</v>
      </c>
      <c r="J569" s="320">
        <v>-1.3255886441327385</v>
      </c>
      <c r="K569" s="320">
        <v>0</v>
      </c>
      <c r="L569" s="319">
        <v>0</v>
      </c>
      <c r="M569" s="319">
        <v>0</v>
      </c>
      <c r="N569" s="319">
        <v>0</v>
      </c>
      <c r="O569" s="320">
        <v>0</v>
      </c>
      <c r="P569" s="320">
        <v>0</v>
      </c>
      <c r="Q569" s="319">
        <v>0</v>
      </c>
      <c r="R569" s="320">
        <v>0</v>
      </c>
      <c r="S569" s="320">
        <v>-1.3253494156451913</v>
      </c>
      <c r="T569" s="320"/>
      <c r="U569" s="320"/>
      <c r="V569" s="316"/>
    </row>
    <row r="570" spans="1:22">
      <c r="A570" s="311"/>
      <c r="B570" s="291" t="s">
        <v>793</v>
      </c>
      <c r="C570" s="308">
        <v>0.2678507511777965</v>
      </c>
      <c r="D570" s="309">
        <v>0</v>
      </c>
      <c r="E570" s="309">
        <v>0.28080600632954011</v>
      </c>
      <c r="F570" s="309">
        <v>0</v>
      </c>
      <c r="G570" s="309">
        <v>0.47019321394910463</v>
      </c>
      <c r="H570" s="309">
        <v>0.51348447405178899</v>
      </c>
      <c r="I570" s="309">
        <v>0</v>
      </c>
      <c r="J570" s="310">
        <v>0.29428476491111483</v>
      </c>
      <c r="K570" s="310">
        <v>0</v>
      </c>
      <c r="L570" s="309">
        <v>0</v>
      </c>
      <c r="M570" s="309">
        <v>1</v>
      </c>
      <c r="N570" s="309">
        <v>0</v>
      </c>
      <c r="O570" s="310">
        <v>1</v>
      </c>
      <c r="P570" s="310">
        <v>0</v>
      </c>
      <c r="Q570" s="309">
        <v>0</v>
      </c>
      <c r="R570" s="310">
        <v>0</v>
      </c>
      <c r="S570" s="310">
        <v>0.29429648950839826</v>
      </c>
      <c r="T570" s="310"/>
      <c r="U570" s="310"/>
      <c r="V570" s="316"/>
    </row>
    <row r="571" spans="1:22">
      <c r="A571" s="311"/>
      <c r="B571" s="312" t="s">
        <v>794</v>
      </c>
      <c r="C571" s="313">
        <v>0.28572007784625364</v>
      </c>
      <c r="D571" s="314">
        <v>0</v>
      </c>
      <c r="E571" s="314">
        <v>0.23766353865045556</v>
      </c>
      <c r="F571" s="314">
        <v>0</v>
      </c>
      <c r="G571" s="314">
        <v>0.49062693978895094</v>
      </c>
      <c r="H571" s="314">
        <v>0.61489698890649758</v>
      </c>
      <c r="I571" s="314">
        <v>0</v>
      </c>
      <c r="J571" s="315">
        <v>0.2977797339593114</v>
      </c>
      <c r="K571" s="315">
        <v>0</v>
      </c>
      <c r="L571" s="314">
        <v>0</v>
      </c>
      <c r="M571" s="314">
        <v>0</v>
      </c>
      <c r="N571" s="314">
        <v>0</v>
      </c>
      <c r="O571" s="315">
        <v>0</v>
      </c>
      <c r="P571" s="315">
        <v>0</v>
      </c>
      <c r="Q571" s="314">
        <v>0</v>
      </c>
      <c r="R571" s="315">
        <v>0</v>
      </c>
      <c r="S571" s="315">
        <v>0.2977797339593114</v>
      </c>
      <c r="T571" s="315"/>
      <c r="U571" s="315"/>
      <c r="V571" s="316"/>
    </row>
    <row r="572" spans="1:22">
      <c r="A572" s="311"/>
      <c r="B572" s="317" t="s">
        <v>795</v>
      </c>
      <c r="C572" s="318">
        <v>1.7869326668457142</v>
      </c>
      <c r="D572" s="319">
        <v>0</v>
      </c>
      <c r="E572" s="321">
        <v>-4.3142467679084557</v>
      </c>
      <c r="F572" s="319">
        <v>0</v>
      </c>
      <c r="G572" s="319">
        <v>2.043372583984632</v>
      </c>
      <c r="H572" s="321">
        <v>10.141251485470859</v>
      </c>
      <c r="I572" s="319">
        <v>0</v>
      </c>
      <c r="J572" s="320">
        <v>0.34949690481965723</v>
      </c>
      <c r="K572" s="320">
        <v>0</v>
      </c>
      <c r="L572" s="319">
        <v>0</v>
      </c>
      <c r="M572" s="319">
        <v>-100</v>
      </c>
      <c r="N572" s="319">
        <v>0</v>
      </c>
      <c r="O572" s="320">
        <v>-100</v>
      </c>
      <c r="P572" s="320">
        <v>0</v>
      </c>
      <c r="Q572" s="319">
        <v>0</v>
      </c>
      <c r="R572" s="320">
        <v>0</v>
      </c>
      <c r="S572" s="320">
        <v>0.34832444509131366</v>
      </c>
      <c r="T572" s="320"/>
      <c r="U572" s="320"/>
      <c r="V572" s="316"/>
    </row>
    <row r="573" spans="1:22">
      <c r="A573" s="311"/>
      <c r="B573" s="291" t="s">
        <v>796</v>
      </c>
      <c r="C573" s="308">
        <v>3.8598833328496386E-3</v>
      </c>
      <c r="D573" s="309">
        <v>0</v>
      </c>
      <c r="E573" s="309">
        <v>2.0874015217830451E-2</v>
      </c>
      <c r="F573" s="309">
        <v>0</v>
      </c>
      <c r="G573" s="309">
        <v>0</v>
      </c>
      <c r="H573" s="309">
        <v>0</v>
      </c>
      <c r="I573" s="309">
        <v>0</v>
      </c>
      <c r="J573" s="310">
        <v>9.0768123165531379E-3</v>
      </c>
      <c r="K573" s="310">
        <v>0</v>
      </c>
      <c r="L573" s="309">
        <v>0</v>
      </c>
      <c r="M573" s="309">
        <v>0</v>
      </c>
      <c r="N573" s="309">
        <v>0</v>
      </c>
      <c r="O573" s="310">
        <v>0</v>
      </c>
      <c r="P573" s="310">
        <v>0</v>
      </c>
      <c r="Q573" s="309">
        <v>0</v>
      </c>
      <c r="R573" s="310">
        <v>0</v>
      </c>
      <c r="S573" s="310">
        <v>9.0766615163950307E-3</v>
      </c>
      <c r="T573" s="310"/>
      <c r="U573" s="310"/>
      <c r="V573" s="316"/>
    </row>
    <row r="574" spans="1:22">
      <c r="A574" s="311"/>
      <c r="B574" s="312" t="s">
        <v>797</v>
      </c>
      <c r="C574" s="313">
        <v>2.2096983457671098E-3</v>
      </c>
      <c r="D574" s="314">
        <v>0</v>
      </c>
      <c r="E574" s="314">
        <v>6.4430059275654532E-3</v>
      </c>
      <c r="F574" s="314">
        <v>0</v>
      </c>
      <c r="G574" s="314">
        <v>0</v>
      </c>
      <c r="H574" s="314">
        <v>0</v>
      </c>
      <c r="I574" s="314">
        <v>0</v>
      </c>
      <c r="J574" s="315">
        <v>3.4939575725960702E-3</v>
      </c>
      <c r="K574" s="315">
        <v>0</v>
      </c>
      <c r="L574" s="314">
        <v>0</v>
      </c>
      <c r="M574" s="314">
        <v>0</v>
      </c>
      <c r="N574" s="314">
        <v>0</v>
      </c>
      <c r="O574" s="315">
        <v>0</v>
      </c>
      <c r="P574" s="315">
        <v>0</v>
      </c>
      <c r="Q574" s="314">
        <v>0</v>
      </c>
      <c r="R574" s="315">
        <v>0</v>
      </c>
      <c r="S574" s="315">
        <v>3.4939575725960702E-3</v>
      </c>
      <c r="T574" s="315"/>
      <c r="U574" s="315"/>
      <c r="V574" s="316"/>
    </row>
    <row r="575" spans="1:22">
      <c r="A575" s="311"/>
      <c r="B575" s="317" t="s">
        <v>798</v>
      </c>
      <c r="C575" s="318">
        <v>-0.16501849870825289</v>
      </c>
      <c r="D575" s="319">
        <v>0</v>
      </c>
      <c r="E575" s="319">
        <v>-1.4431009290264998</v>
      </c>
      <c r="F575" s="319">
        <v>0</v>
      </c>
      <c r="G575" s="319">
        <v>0</v>
      </c>
      <c r="H575" s="319">
        <v>0</v>
      </c>
      <c r="I575" s="319">
        <v>0</v>
      </c>
      <c r="J575" s="320">
        <v>-0.55828547439570675</v>
      </c>
      <c r="K575" s="320">
        <v>0</v>
      </c>
      <c r="L575" s="319">
        <v>0</v>
      </c>
      <c r="M575" s="319">
        <v>0</v>
      </c>
      <c r="N575" s="319">
        <v>0</v>
      </c>
      <c r="O575" s="320">
        <v>0</v>
      </c>
      <c r="P575" s="320">
        <v>0</v>
      </c>
      <c r="Q575" s="319">
        <v>0</v>
      </c>
      <c r="R575" s="320">
        <v>0</v>
      </c>
      <c r="S575" s="320">
        <v>-0.55827039437989601</v>
      </c>
      <c r="T575" s="320"/>
      <c r="U575" s="320"/>
      <c r="V575" s="316"/>
    </row>
    <row r="576" spans="1:22">
      <c r="A576" s="311"/>
      <c r="B576" s="291" t="s">
        <v>799</v>
      </c>
      <c r="C576" s="308">
        <v>2.5635816621683064E-3</v>
      </c>
      <c r="D576" s="309">
        <v>0</v>
      </c>
      <c r="E576" s="309">
        <v>0</v>
      </c>
      <c r="F576" s="309">
        <v>0</v>
      </c>
      <c r="G576" s="309">
        <v>0</v>
      </c>
      <c r="H576" s="309">
        <v>0</v>
      </c>
      <c r="I576" s="309">
        <v>0</v>
      </c>
      <c r="J576" s="310">
        <v>1.4675749017001717E-3</v>
      </c>
      <c r="K576" s="310">
        <v>0</v>
      </c>
      <c r="L576" s="309">
        <v>0</v>
      </c>
      <c r="M576" s="309">
        <v>0</v>
      </c>
      <c r="N576" s="309">
        <v>0</v>
      </c>
      <c r="O576" s="310">
        <v>0</v>
      </c>
      <c r="P576" s="310">
        <v>0</v>
      </c>
      <c r="Q576" s="309">
        <v>0</v>
      </c>
      <c r="R576" s="310">
        <v>0</v>
      </c>
      <c r="S576" s="310">
        <v>1.4675505197344011E-3</v>
      </c>
      <c r="T576" s="310"/>
      <c r="U576" s="310"/>
      <c r="V576" s="316"/>
    </row>
    <row r="577" spans="1:22">
      <c r="A577" s="311"/>
      <c r="B577" s="312" t="s">
        <v>800</v>
      </c>
      <c r="C577" s="313">
        <v>4.186263379824846E-3</v>
      </c>
      <c r="D577" s="314">
        <v>0</v>
      </c>
      <c r="E577" s="314">
        <v>0</v>
      </c>
      <c r="F577" s="314">
        <v>0</v>
      </c>
      <c r="G577" s="314">
        <v>0</v>
      </c>
      <c r="H577" s="314">
        <v>0</v>
      </c>
      <c r="I577" s="314">
        <v>0</v>
      </c>
      <c r="J577" s="315">
        <v>2.2441749260998086E-3</v>
      </c>
      <c r="K577" s="315">
        <v>0</v>
      </c>
      <c r="L577" s="314">
        <v>0</v>
      </c>
      <c r="M577" s="314">
        <v>0</v>
      </c>
      <c r="N577" s="314">
        <v>0</v>
      </c>
      <c r="O577" s="315">
        <v>0</v>
      </c>
      <c r="P577" s="315">
        <v>0</v>
      </c>
      <c r="Q577" s="314">
        <v>0</v>
      </c>
      <c r="R577" s="315">
        <v>0</v>
      </c>
      <c r="S577" s="315">
        <v>2.2441749260998086E-3</v>
      </c>
      <c r="T577" s="315"/>
      <c r="U577" s="315"/>
      <c r="V577" s="316"/>
    </row>
    <row r="578" spans="1:22">
      <c r="A578" s="311"/>
      <c r="B578" s="317" t="s">
        <v>801</v>
      </c>
      <c r="C578" s="318">
        <v>0.16226817176565397</v>
      </c>
      <c r="D578" s="319">
        <v>0</v>
      </c>
      <c r="E578" s="319">
        <v>0</v>
      </c>
      <c r="F578" s="319">
        <v>0</v>
      </c>
      <c r="G578" s="319">
        <v>0</v>
      </c>
      <c r="H578" s="319">
        <v>0</v>
      </c>
      <c r="I578" s="319">
        <v>0</v>
      </c>
      <c r="J578" s="320">
        <v>7.7660002439963696E-2</v>
      </c>
      <c r="K578" s="320">
        <v>0</v>
      </c>
      <c r="L578" s="319">
        <v>0</v>
      </c>
      <c r="M578" s="319">
        <v>0</v>
      </c>
      <c r="N578" s="319">
        <v>0</v>
      </c>
      <c r="O578" s="320">
        <v>0</v>
      </c>
      <c r="P578" s="320">
        <v>0</v>
      </c>
      <c r="Q578" s="319">
        <v>0</v>
      </c>
      <c r="R578" s="320">
        <v>0</v>
      </c>
      <c r="S578" s="320">
        <v>7.766244063654075E-2</v>
      </c>
      <c r="T578" s="320"/>
      <c r="U578" s="320"/>
      <c r="V578" s="316"/>
    </row>
    <row r="579" spans="1:22">
      <c r="A579" s="311"/>
      <c r="B579" s="291" t="s">
        <v>802</v>
      </c>
      <c r="C579" s="308">
        <v>0</v>
      </c>
      <c r="D579" s="309">
        <v>0</v>
      </c>
      <c r="E579" s="309">
        <v>0</v>
      </c>
      <c r="F579" s="309">
        <v>0</v>
      </c>
      <c r="G579" s="309">
        <v>0</v>
      </c>
      <c r="H579" s="309">
        <v>0</v>
      </c>
      <c r="I579" s="309">
        <v>0</v>
      </c>
      <c r="J579" s="310">
        <v>0</v>
      </c>
      <c r="K579" s="310">
        <v>0</v>
      </c>
      <c r="L579" s="309">
        <v>0</v>
      </c>
      <c r="M579" s="309">
        <v>0</v>
      </c>
      <c r="N579" s="309">
        <v>0</v>
      </c>
      <c r="O579" s="310">
        <v>0</v>
      </c>
      <c r="P579" s="310">
        <v>0</v>
      </c>
      <c r="Q579" s="309">
        <v>0</v>
      </c>
      <c r="R579" s="310">
        <v>0</v>
      </c>
      <c r="S579" s="310">
        <v>0</v>
      </c>
      <c r="T579" s="310"/>
      <c r="U579" s="310"/>
      <c r="V579" s="316"/>
    </row>
    <row r="580" spans="1:22">
      <c r="A580" s="311"/>
      <c r="B580" s="312" t="s">
        <v>803</v>
      </c>
      <c r="C580" s="313">
        <v>0</v>
      </c>
      <c r="D580" s="314">
        <v>0</v>
      </c>
      <c r="E580" s="314">
        <v>0</v>
      </c>
      <c r="F580" s="314">
        <v>0</v>
      </c>
      <c r="G580" s="314">
        <v>0</v>
      </c>
      <c r="H580" s="314">
        <v>0</v>
      </c>
      <c r="I580" s="314">
        <v>0</v>
      </c>
      <c r="J580" s="315">
        <v>0</v>
      </c>
      <c r="K580" s="315">
        <v>0</v>
      </c>
      <c r="L580" s="314">
        <v>0</v>
      </c>
      <c r="M580" s="314">
        <v>0</v>
      </c>
      <c r="N580" s="314">
        <v>0</v>
      </c>
      <c r="O580" s="315">
        <v>0</v>
      </c>
      <c r="P580" s="315">
        <v>0</v>
      </c>
      <c r="Q580" s="314">
        <v>0</v>
      </c>
      <c r="R580" s="315">
        <v>0</v>
      </c>
      <c r="S580" s="315">
        <v>0</v>
      </c>
      <c r="T580" s="315"/>
      <c r="U580" s="315"/>
      <c r="V580" s="316"/>
    </row>
    <row r="581" spans="1:22" ht="15.75" thickBot="1">
      <c r="A581" s="329"/>
      <c r="B581" s="330" t="s">
        <v>804</v>
      </c>
      <c r="C581" s="331">
        <v>0</v>
      </c>
      <c r="D581" s="332">
        <v>0</v>
      </c>
      <c r="E581" s="332">
        <v>0</v>
      </c>
      <c r="F581" s="332">
        <v>0</v>
      </c>
      <c r="G581" s="332">
        <v>0</v>
      </c>
      <c r="H581" s="332">
        <v>0</v>
      </c>
      <c r="I581" s="332">
        <v>0</v>
      </c>
      <c r="J581" s="333">
        <v>0</v>
      </c>
      <c r="K581" s="333">
        <v>0</v>
      </c>
      <c r="L581" s="332">
        <v>0</v>
      </c>
      <c r="M581" s="332">
        <v>0</v>
      </c>
      <c r="N581" s="332">
        <v>0</v>
      </c>
      <c r="O581" s="333">
        <v>0</v>
      </c>
      <c r="P581" s="333">
        <v>0</v>
      </c>
      <c r="Q581" s="332">
        <v>0</v>
      </c>
      <c r="R581" s="333">
        <v>0</v>
      </c>
      <c r="S581" s="333">
        <v>0</v>
      </c>
      <c r="T581" s="333"/>
      <c r="U581" s="333"/>
      <c r="V581" s="316"/>
    </row>
    <row r="582" spans="1:22">
      <c r="A582" s="307" t="s">
        <v>805</v>
      </c>
      <c r="B582" s="291"/>
      <c r="C582" s="308">
        <v>0.86487203756249509</v>
      </c>
      <c r="D582" s="309">
        <v>0.84555872299518042</v>
      </c>
      <c r="E582" s="309">
        <v>0.84203386817117176</v>
      </c>
      <c r="F582" s="309">
        <v>0.82127502460751334</v>
      </c>
      <c r="G582" s="309">
        <v>0.80855686926954773</v>
      </c>
      <c r="H582" s="309">
        <v>0.82072690486614663</v>
      </c>
      <c r="I582" s="309">
        <v>6.9404803054993164E-2</v>
      </c>
      <c r="J582" s="310">
        <v>0.84142430324227935</v>
      </c>
      <c r="K582" s="310">
        <v>0.75677793734402488</v>
      </c>
      <c r="L582" s="309">
        <v>0.66396318367145934</v>
      </c>
      <c r="M582" s="309">
        <v>0.60700688320570984</v>
      </c>
      <c r="N582" s="309">
        <v>0.62089679958925215</v>
      </c>
      <c r="O582" s="310">
        <v>0.66458679395195952</v>
      </c>
      <c r="P582" s="310">
        <v>0.68898868544009706</v>
      </c>
      <c r="Q582" s="309">
        <v>0.88958180484225968</v>
      </c>
      <c r="R582" s="310">
        <v>0.6937817576435914</v>
      </c>
      <c r="S582" s="310">
        <v>0.75950345148043952</v>
      </c>
      <c r="T582" s="310"/>
      <c r="U582" s="310"/>
      <c r="V582" s="316"/>
    </row>
    <row r="583" spans="1:22">
      <c r="A583" s="311" t="s">
        <v>806</v>
      </c>
      <c r="B583" s="312"/>
      <c r="C583" s="313">
        <v>0.86317944738742736</v>
      </c>
      <c r="D583" s="314">
        <v>0.84453937207071117</v>
      </c>
      <c r="E583" s="314">
        <v>0.82531514565566222</v>
      </c>
      <c r="F583" s="314">
        <v>0.8084940064310373</v>
      </c>
      <c r="G583" s="314">
        <v>0.80041502852638913</v>
      </c>
      <c r="H583" s="314">
        <v>0.80583466918283586</v>
      </c>
      <c r="I583" s="314">
        <v>6.3060462391249322E-2</v>
      </c>
      <c r="J583" s="315">
        <v>0.8328820835429126</v>
      </c>
      <c r="K583" s="315">
        <v>0.74401347539122109</v>
      </c>
      <c r="L583" s="314">
        <v>0.65757091171494675</v>
      </c>
      <c r="M583" s="314">
        <v>0.60185016760344456</v>
      </c>
      <c r="N583" s="314">
        <v>0.60395512638255344</v>
      </c>
      <c r="O583" s="315">
        <v>0.656395398213097</v>
      </c>
      <c r="P583" s="315">
        <v>0.70602728686207283</v>
      </c>
      <c r="Q583" s="314">
        <v>0.94973231896308818</v>
      </c>
      <c r="R583" s="315">
        <v>0.71099470802451303</v>
      </c>
      <c r="S583" s="315">
        <v>0.75407370017572761</v>
      </c>
      <c r="T583" s="315"/>
      <c r="U583" s="315"/>
      <c r="V583" s="316"/>
    </row>
    <row r="584" spans="1:22">
      <c r="A584" s="311" t="s">
        <v>807</v>
      </c>
      <c r="B584" s="317"/>
      <c r="C584" s="318">
        <v>-0.16925901750677319</v>
      </c>
      <c r="D584" s="319">
        <v>-0.10193509244692533</v>
      </c>
      <c r="E584" s="319">
        <v>-1.6718722515509543</v>
      </c>
      <c r="F584" s="319">
        <v>-1.2781018176476033</v>
      </c>
      <c r="G584" s="319">
        <v>-0.81418407431586015</v>
      </c>
      <c r="H584" s="319">
        <v>-1.4892235683310773</v>
      </c>
      <c r="I584" s="319">
        <v>-0.63443406637438415</v>
      </c>
      <c r="J584" s="320">
        <v>-0.85422196993667487</v>
      </c>
      <c r="K584" s="320">
        <v>-1.2764461952803785</v>
      </c>
      <c r="L584" s="319">
        <v>-0.63922719565125963</v>
      </c>
      <c r="M584" s="319">
        <v>-0.51567156022652716</v>
      </c>
      <c r="N584" s="319">
        <v>-1.6941673206698704</v>
      </c>
      <c r="O584" s="320">
        <v>-0.81913957388625169</v>
      </c>
      <c r="P584" s="320">
        <v>1.7038601421975774</v>
      </c>
      <c r="Q584" s="319">
        <v>6.0150514120828502</v>
      </c>
      <c r="R584" s="320">
        <v>1.7212950380921632</v>
      </c>
      <c r="S584" s="320">
        <v>-0.5429751304711905</v>
      </c>
      <c r="T584" s="320"/>
      <c r="U584" s="320"/>
      <c r="V584" s="316"/>
    </row>
    <row r="585" spans="1:22">
      <c r="A585" s="311" t="s">
        <v>808</v>
      </c>
      <c r="B585" s="291"/>
      <c r="C585" s="308">
        <v>2.8939662215453056E-2</v>
      </c>
      <c r="D585" s="309">
        <v>2.7267034436541722E-2</v>
      </c>
      <c r="E585" s="309">
        <v>2.1998011836245966E-2</v>
      </c>
      <c r="F585" s="309">
        <v>2.1115908565700458E-2</v>
      </c>
      <c r="G585" s="309">
        <v>2.5746218337144165E-2</v>
      </c>
      <c r="H585" s="309">
        <v>4.1736885527143532E-2</v>
      </c>
      <c r="I585" s="309">
        <v>8.690928843020097E-3</v>
      </c>
      <c r="J585" s="310">
        <v>2.6431922114985282E-2</v>
      </c>
      <c r="K585" s="310">
        <v>2.9828055174069612E-2</v>
      </c>
      <c r="L585" s="309">
        <v>8.7939387155336959E-2</v>
      </c>
      <c r="M585" s="309">
        <v>0.12186168035857221</v>
      </c>
      <c r="N585" s="309">
        <v>9.3122539791203149E-2</v>
      </c>
      <c r="O585" s="310">
        <v>8.5542649034822532E-2</v>
      </c>
      <c r="P585" s="310">
        <v>7.096321608117559E-3</v>
      </c>
      <c r="Q585" s="309">
        <v>5.1235020787478602E-2</v>
      </c>
      <c r="R585" s="310">
        <v>8.150993736281878E-3</v>
      </c>
      <c r="S585" s="310">
        <v>5.2321910971668738E-2</v>
      </c>
      <c r="T585" s="310"/>
      <c r="U585" s="310"/>
      <c r="V585" s="316"/>
    </row>
    <row r="586" spans="1:22">
      <c r="A586" s="311" t="s">
        <v>809</v>
      </c>
      <c r="B586" s="312"/>
      <c r="C586" s="313">
        <v>2.2352996168513137E-2</v>
      </c>
      <c r="D586" s="314">
        <v>2.2887834750925897E-2</v>
      </c>
      <c r="E586" s="314">
        <v>2.8333519356018699E-2</v>
      </c>
      <c r="F586" s="314">
        <v>1.4735377280022574E-2</v>
      </c>
      <c r="G586" s="314">
        <v>2.2695065663523067E-2</v>
      </c>
      <c r="H586" s="314">
        <v>3.7271488462895588E-2</v>
      </c>
      <c r="I586" s="314">
        <v>9.0313901600366318E-3</v>
      </c>
      <c r="J586" s="315">
        <v>2.3936721346914623E-2</v>
      </c>
      <c r="K586" s="315">
        <v>3.0088867499379016E-2</v>
      </c>
      <c r="L586" s="314">
        <v>8.4755237810185777E-2</v>
      </c>
      <c r="M586" s="314">
        <v>0.119030183624194</v>
      </c>
      <c r="N586" s="314">
        <v>9.0056481861373924E-2</v>
      </c>
      <c r="O586" s="315">
        <v>8.317425771917128E-2</v>
      </c>
      <c r="P586" s="315">
        <v>9.6544473150388319E-3</v>
      </c>
      <c r="Q586" s="314">
        <v>5.0267681036911809E-2</v>
      </c>
      <c r="R586" s="315">
        <v>1.0482263773837033E-2</v>
      </c>
      <c r="S586" s="315">
        <v>4.9116016996605193E-2</v>
      </c>
      <c r="T586" s="315"/>
      <c r="U586" s="315"/>
      <c r="V586" s="316"/>
    </row>
    <row r="587" spans="1:22">
      <c r="A587" s="311" t="s">
        <v>810</v>
      </c>
      <c r="B587" s="317"/>
      <c r="C587" s="318">
        <v>-0.65866660469399185</v>
      </c>
      <c r="D587" s="319">
        <v>-0.4379199685615825</v>
      </c>
      <c r="E587" s="319">
        <v>0.63355075197727329</v>
      </c>
      <c r="F587" s="319">
        <v>-0.6380531285677884</v>
      </c>
      <c r="G587" s="319">
        <v>-0.30511526736210981</v>
      </c>
      <c r="H587" s="319">
        <v>-0.44653970642479435</v>
      </c>
      <c r="I587" s="319">
        <v>3.4046131701653479E-2</v>
      </c>
      <c r="J587" s="320">
        <v>-0.24952007680706587</v>
      </c>
      <c r="K587" s="320">
        <v>2.6081232530940357E-2</v>
      </c>
      <c r="L587" s="319">
        <v>-0.31841493451511826</v>
      </c>
      <c r="M587" s="319">
        <v>-0.28314967343782138</v>
      </c>
      <c r="N587" s="319">
        <v>-0.30660579298292245</v>
      </c>
      <c r="O587" s="320">
        <v>-0.23683913156512526</v>
      </c>
      <c r="P587" s="320">
        <v>0.25581257069212726</v>
      </c>
      <c r="Q587" s="319">
        <v>-9.6733975056679383E-2</v>
      </c>
      <c r="R587" s="320">
        <v>0.23312700375551551</v>
      </c>
      <c r="S587" s="320">
        <v>-0.32058939750635451</v>
      </c>
      <c r="T587" s="320"/>
      <c r="U587" s="320"/>
      <c r="V587" s="316"/>
    </row>
    <row r="588" spans="1:22">
      <c r="A588" s="311" t="s">
        <v>811</v>
      </c>
      <c r="B588" s="291"/>
      <c r="C588" s="308">
        <v>0.10017237197884349</v>
      </c>
      <c r="D588" s="309">
        <v>0.1179106569571914</v>
      </c>
      <c r="E588" s="309">
        <v>0.12469441578564686</v>
      </c>
      <c r="F588" s="309">
        <v>0.15421126473558666</v>
      </c>
      <c r="G588" s="309">
        <v>0.15272834303845229</v>
      </c>
      <c r="H588" s="309">
        <v>0.13264722752030408</v>
      </c>
      <c r="I588" s="309">
        <v>0.92190262209273621</v>
      </c>
      <c r="J588" s="310">
        <v>0.12429357803868638</v>
      </c>
      <c r="K588" s="310">
        <v>0.20926208532762394</v>
      </c>
      <c r="L588" s="309">
        <v>0.24378495770892983</v>
      </c>
      <c r="M588" s="309">
        <v>0.25246495471794123</v>
      </c>
      <c r="N588" s="309">
        <v>0.26198442580865994</v>
      </c>
      <c r="O588" s="310">
        <v>0.24065929254989363</v>
      </c>
      <c r="P588" s="310">
        <v>0.3007519022054615</v>
      </c>
      <c r="Q588" s="309">
        <v>5.9183174370261681E-2</v>
      </c>
      <c r="R588" s="310">
        <v>0.29497973834425217</v>
      </c>
      <c r="S588" s="310">
        <v>0.17982417194206765</v>
      </c>
      <c r="T588" s="310"/>
      <c r="U588" s="310"/>
      <c r="V588" s="316"/>
    </row>
    <row r="589" spans="1:22">
      <c r="A589" s="311" t="s">
        <v>812</v>
      </c>
      <c r="B589" s="312"/>
      <c r="C589" s="313">
        <v>0.10958584084349729</v>
      </c>
      <c r="D589" s="314">
        <v>0.12515317486515443</v>
      </c>
      <c r="E589" s="314">
        <v>0.13616302442456366</v>
      </c>
      <c r="F589" s="314">
        <v>0.17411922623577375</v>
      </c>
      <c r="G589" s="314">
        <v>0.16470320916115366</v>
      </c>
      <c r="H589" s="314">
        <v>0.14983285000630153</v>
      </c>
      <c r="I589" s="314">
        <v>0.92790814744871408</v>
      </c>
      <c r="J589" s="315">
        <v>0.1363676380745017</v>
      </c>
      <c r="K589" s="315">
        <v>0.22402338898548668</v>
      </c>
      <c r="L589" s="314">
        <v>0.25431249995065436</v>
      </c>
      <c r="M589" s="314">
        <v>0.25996627598626748</v>
      </c>
      <c r="N589" s="314">
        <v>0.28258661677464081</v>
      </c>
      <c r="O589" s="315">
        <v>0.25205985181531343</v>
      </c>
      <c r="P589" s="315">
        <v>0.280039994485274</v>
      </c>
      <c r="Q589" s="314">
        <v>0</v>
      </c>
      <c r="R589" s="315">
        <v>0.2743319605438197</v>
      </c>
      <c r="S589" s="315">
        <v>0.18938805200485528</v>
      </c>
      <c r="T589" s="315"/>
      <c r="U589" s="315"/>
      <c r="V589" s="316"/>
    </row>
    <row r="590" spans="1:22">
      <c r="A590" s="311" t="s">
        <v>813</v>
      </c>
      <c r="B590" s="317"/>
      <c r="C590" s="318">
        <v>0.94134688646538012</v>
      </c>
      <c r="D590" s="319">
        <v>0.72425179079630286</v>
      </c>
      <c r="E590" s="319">
        <v>1.14686086389168</v>
      </c>
      <c r="F590" s="319">
        <v>1.9907961500187088</v>
      </c>
      <c r="G590" s="319">
        <v>1.1974866122701378</v>
      </c>
      <c r="H590" s="319">
        <v>1.7185622485997447</v>
      </c>
      <c r="I590" s="319">
        <v>0.60055253559778699</v>
      </c>
      <c r="J590" s="320">
        <v>1.2074060035815322</v>
      </c>
      <c r="K590" s="320">
        <v>1.4761303657862741</v>
      </c>
      <c r="L590" s="319">
        <v>1.052754224172453</v>
      </c>
      <c r="M590" s="319">
        <v>0.75013212683262553</v>
      </c>
      <c r="N590" s="319">
        <v>2.0602190965980869</v>
      </c>
      <c r="O590" s="320">
        <v>1.1400559265419803</v>
      </c>
      <c r="P590" s="320">
        <v>-2.0711907720187495</v>
      </c>
      <c r="Q590" s="319">
        <v>-5.9183174370261682</v>
      </c>
      <c r="R590" s="320">
        <v>-2.0647777800432476</v>
      </c>
      <c r="S590" s="320">
        <v>0.9563880062787633</v>
      </c>
      <c r="T590" s="320"/>
      <c r="U590" s="320"/>
      <c r="V590" s="316"/>
    </row>
    <row r="591" spans="1:22">
      <c r="A591" s="311" t="s">
        <v>814</v>
      </c>
      <c r="B591" s="291"/>
      <c r="C591" s="308">
        <v>3.5087226871552517E-3</v>
      </c>
      <c r="D591" s="309">
        <v>4.102287558355306E-3</v>
      </c>
      <c r="E591" s="309">
        <v>3.9885723351002203E-3</v>
      </c>
      <c r="F591" s="309">
        <v>2.1539762703010243E-3</v>
      </c>
      <c r="G591" s="309">
        <v>1.1373020526970532E-2</v>
      </c>
      <c r="H591" s="309">
        <v>4.3212443765626492E-3</v>
      </c>
      <c r="I591" s="309">
        <v>0</v>
      </c>
      <c r="J591" s="310">
        <v>3.9644115223328317E-3</v>
      </c>
      <c r="K591" s="310">
        <v>2.900733538734782E-3</v>
      </c>
      <c r="L591" s="309">
        <v>9.8587703727121933E-4</v>
      </c>
      <c r="M591" s="309">
        <v>1.4649870613593692E-2</v>
      </c>
      <c r="N591" s="309">
        <v>2.0487477893776029E-2</v>
      </c>
      <c r="O591" s="310">
        <v>6.101566344052684E-3</v>
      </c>
      <c r="P591" s="310">
        <v>3.1630907463239279E-3</v>
      </c>
      <c r="Q591" s="309">
        <v>0</v>
      </c>
      <c r="R591" s="310">
        <v>3.0875102758744903E-3</v>
      </c>
      <c r="S591" s="310">
        <v>4.8956986336506948E-3</v>
      </c>
      <c r="T591" s="310"/>
      <c r="U591" s="310"/>
      <c r="V591" s="316"/>
    </row>
    <row r="592" spans="1:22">
      <c r="A592" s="311" t="s">
        <v>815</v>
      </c>
      <c r="B592" s="312"/>
      <c r="C592" s="313">
        <v>2.2272760727741672E-3</v>
      </c>
      <c r="D592" s="314">
        <v>3.519206567960894E-3</v>
      </c>
      <c r="E592" s="314">
        <v>2.5448132661863095E-3</v>
      </c>
      <c r="F592" s="314">
        <v>1.3724924801032244E-3</v>
      </c>
      <c r="G592" s="314">
        <v>1.0630802521217689E-2</v>
      </c>
      <c r="H592" s="314">
        <v>3.7780344476820724E-3</v>
      </c>
      <c r="I592" s="314">
        <v>0</v>
      </c>
      <c r="J592" s="315">
        <v>2.7679911367048905E-3</v>
      </c>
      <c r="K592" s="315">
        <v>3.4265107696675065E-4</v>
      </c>
      <c r="L592" s="314">
        <v>9.2450339423530523E-4</v>
      </c>
      <c r="M592" s="314">
        <v>1.4781151068999953E-2</v>
      </c>
      <c r="N592" s="314">
        <v>2.0306663839807986E-2</v>
      </c>
      <c r="O592" s="315">
        <v>5.5869646890013671E-3</v>
      </c>
      <c r="P592" s="315">
        <v>4.2782713376144713E-3</v>
      </c>
      <c r="Q592" s="314">
        <v>0</v>
      </c>
      <c r="R592" s="315">
        <v>4.1910676578303012E-3</v>
      </c>
      <c r="S592" s="315">
        <v>4.0145144060594867E-3</v>
      </c>
      <c r="T592" s="315"/>
      <c r="U592" s="315"/>
      <c r="V592" s="316"/>
    </row>
    <row r="593" spans="1:22">
      <c r="A593" s="311" t="s">
        <v>816</v>
      </c>
      <c r="B593" s="317"/>
      <c r="C593" s="318">
        <v>-0.12814466143810846</v>
      </c>
      <c r="D593" s="319">
        <v>-5.8308099039441202E-2</v>
      </c>
      <c r="E593" s="319">
        <v>-0.14437590689139107</v>
      </c>
      <c r="F593" s="319">
        <v>-7.8148379019779987E-2</v>
      </c>
      <c r="G593" s="319">
        <v>-7.422180057528438E-2</v>
      </c>
      <c r="H593" s="319">
        <v>-5.4320992888057681E-2</v>
      </c>
      <c r="I593" s="319">
        <v>0</v>
      </c>
      <c r="J593" s="320">
        <v>-0.11964203856279412</v>
      </c>
      <c r="K593" s="320">
        <v>-0.25580824617680314</v>
      </c>
      <c r="L593" s="319">
        <v>-6.13736430359141E-3</v>
      </c>
      <c r="M593" s="319">
        <v>1.3128045540626056E-2</v>
      </c>
      <c r="N593" s="319">
        <v>-1.808140539680432E-2</v>
      </c>
      <c r="O593" s="320">
        <v>-5.1460165505131696E-2</v>
      </c>
      <c r="P593" s="320">
        <v>0.11151805912905434</v>
      </c>
      <c r="Q593" s="319">
        <v>0</v>
      </c>
      <c r="R593" s="320">
        <v>0.1103557381955811</v>
      </c>
      <c r="S593" s="320">
        <v>-8.8118422759120824E-2</v>
      </c>
      <c r="T593" s="320"/>
      <c r="U593" s="320"/>
      <c r="V593" s="316"/>
    </row>
    <row r="594" spans="1:22">
      <c r="A594" s="311" t="s">
        <v>817</v>
      </c>
      <c r="B594" s="291"/>
      <c r="C594" s="308">
        <v>1.8473627521584184E-3</v>
      </c>
      <c r="D594" s="309">
        <v>4.5665797256008332E-3</v>
      </c>
      <c r="E594" s="309">
        <v>6.6585448649712203E-3</v>
      </c>
      <c r="F594" s="309">
        <v>5.6030701479294152E-4</v>
      </c>
      <c r="G594" s="309">
        <v>1.4773600258197075E-3</v>
      </c>
      <c r="H594" s="309">
        <v>5.6773770984311172E-4</v>
      </c>
      <c r="I594" s="309">
        <v>0</v>
      </c>
      <c r="J594" s="310">
        <v>3.2955508448882149E-3</v>
      </c>
      <c r="K594" s="310">
        <v>1.177810238125299E-3</v>
      </c>
      <c r="L594" s="309">
        <v>3.29197128935136E-3</v>
      </c>
      <c r="M594" s="309">
        <v>3.8239088489469839E-3</v>
      </c>
      <c r="N594" s="309">
        <v>3.5019111187175539E-3</v>
      </c>
      <c r="O594" s="310">
        <v>3.0349433699623316E-3</v>
      </c>
      <c r="P594" s="310">
        <v>0</v>
      </c>
      <c r="Q594" s="309">
        <v>0</v>
      </c>
      <c r="R594" s="310">
        <v>0</v>
      </c>
      <c r="S594" s="310">
        <v>3.1068608582394907E-3</v>
      </c>
      <c r="T594" s="310"/>
      <c r="U594" s="310"/>
      <c r="V594" s="316"/>
    </row>
    <row r="595" spans="1:22">
      <c r="A595" s="311" t="s">
        <v>818</v>
      </c>
      <c r="B595" s="312"/>
      <c r="C595" s="313">
        <v>2.0090342509462215E-3</v>
      </c>
      <c r="D595" s="314">
        <v>3.327119671481115E-3</v>
      </c>
      <c r="E595" s="314">
        <v>6.9526050313031178E-3</v>
      </c>
      <c r="F595" s="314">
        <v>9.8460910913596893E-4</v>
      </c>
      <c r="G595" s="314">
        <v>1.4722439057961619E-3</v>
      </c>
      <c r="H595" s="314">
        <v>3.2829579002848904E-3</v>
      </c>
      <c r="I595" s="314">
        <v>0</v>
      </c>
      <c r="J595" s="315">
        <v>3.4718731655517666E-3</v>
      </c>
      <c r="K595" s="315">
        <v>1.2401972960505304E-3</v>
      </c>
      <c r="L595" s="314">
        <v>2.4042452062757865E-3</v>
      </c>
      <c r="M595" s="314">
        <v>4.2104182023018763E-3</v>
      </c>
      <c r="N595" s="314">
        <v>3.0951111416238396E-3</v>
      </c>
      <c r="O595" s="315">
        <v>2.6734210203418402E-3</v>
      </c>
      <c r="P595" s="315">
        <v>0</v>
      </c>
      <c r="Q595" s="314">
        <v>0</v>
      </c>
      <c r="R595" s="315">
        <v>0</v>
      </c>
      <c r="S595" s="315">
        <v>3.04696824063054E-3</v>
      </c>
      <c r="T595" s="315"/>
      <c r="U595" s="315"/>
      <c r="V595" s="316"/>
    </row>
    <row r="596" spans="1:22">
      <c r="A596" s="311" t="s">
        <v>819</v>
      </c>
      <c r="B596" s="317"/>
      <c r="C596" s="318">
        <v>1.6167149878780311E-2</v>
      </c>
      <c r="D596" s="319">
        <v>-0.12394600541197182</v>
      </c>
      <c r="E596" s="319">
        <v>2.9406016633189754E-2</v>
      </c>
      <c r="F596" s="319">
        <v>4.2430209434302743E-2</v>
      </c>
      <c r="G596" s="319">
        <v>-5.1161200235456776E-4</v>
      </c>
      <c r="H596" s="319">
        <v>0.27152201904417789</v>
      </c>
      <c r="I596" s="319">
        <v>0</v>
      </c>
      <c r="J596" s="320">
        <v>1.7632232066355173E-2</v>
      </c>
      <c r="K596" s="320">
        <v>6.2387057925231354E-3</v>
      </c>
      <c r="L596" s="319">
        <v>-8.8772608307557344E-2</v>
      </c>
      <c r="M596" s="319">
        <v>3.8650935335489238E-2</v>
      </c>
      <c r="N596" s="319">
        <v>-4.0679997709371432E-2</v>
      </c>
      <c r="O596" s="320">
        <v>-3.615223496204914E-2</v>
      </c>
      <c r="P596" s="320">
        <v>0</v>
      </c>
      <c r="Q596" s="319">
        <v>0</v>
      </c>
      <c r="R596" s="320">
        <v>0</v>
      </c>
      <c r="S596" s="320">
        <v>-5.9892617608950718E-3</v>
      </c>
      <c r="T596" s="320"/>
      <c r="U596" s="320"/>
      <c r="V596" s="316"/>
    </row>
    <row r="597" spans="1:22">
      <c r="A597" s="311" t="s">
        <v>820</v>
      </c>
      <c r="B597" s="291"/>
      <c r="C597" s="308">
        <v>6.5984280389464931E-4</v>
      </c>
      <c r="D597" s="309">
        <v>5.9471832713035952E-4</v>
      </c>
      <c r="E597" s="309">
        <v>6.2658700686397581E-4</v>
      </c>
      <c r="F597" s="309">
        <v>6.8351880610561817E-4</v>
      </c>
      <c r="G597" s="309">
        <v>1.1818880206557661E-4</v>
      </c>
      <c r="H597" s="309">
        <v>0</v>
      </c>
      <c r="I597" s="309">
        <v>1.6460092505719883E-6</v>
      </c>
      <c r="J597" s="310">
        <v>5.90234236827953E-4</v>
      </c>
      <c r="K597" s="310">
        <v>5.3378377421512815E-5</v>
      </c>
      <c r="L597" s="309">
        <v>3.4623137651258783E-5</v>
      </c>
      <c r="M597" s="309">
        <v>1.9270225523608956E-4</v>
      </c>
      <c r="N597" s="309">
        <v>6.845798391237378E-6</v>
      </c>
      <c r="O597" s="310">
        <v>7.4754749309285175E-5</v>
      </c>
      <c r="P597" s="310">
        <v>0</v>
      </c>
      <c r="Q597" s="309">
        <v>0</v>
      </c>
      <c r="R597" s="310">
        <v>0</v>
      </c>
      <c r="S597" s="310">
        <v>3.4790611393388569E-4</v>
      </c>
      <c r="T597" s="310"/>
      <c r="U597" s="310"/>
      <c r="V597" s="316"/>
    </row>
    <row r="598" spans="1:22">
      <c r="A598" s="311" t="s">
        <v>821</v>
      </c>
      <c r="B598" s="312"/>
      <c r="C598" s="313">
        <v>6.4540527684179649E-4</v>
      </c>
      <c r="D598" s="314">
        <v>5.732920737664672E-4</v>
      </c>
      <c r="E598" s="314">
        <v>6.9089226626593543E-4</v>
      </c>
      <c r="F598" s="314">
        <v>2.9428846392713751E-4</v>
      </c>
      <c r="G598" s="314">
        <v>8.3650221920236474E-5</v>
      </c>
      <c r="H598" s="314">
        <v>0</v>
      </c>
      <c r="I598" s="314">
        <v>0</v>
      </c>
      <c r="J598" s="315">
        <v>5.7369273341440884E-4</v>
      </c>
      <c r="K598" s="315">
        <v>2.9141975089599378E-4</v>
      </c>
      <c r="L598" s="314">
        <v>3.260192370206996E-5</v>
      </c>
      <c r="M598" s="314">
        <v>1.6180351479211862E-4</v>
      </c>
      <c r="N598" s="314">
        <v>0</v>
      </c>
      <c r="O598" s="315">
        <v>1.1010654307507446E-4</v>
      </c>
      <c r="P598" s="315">
        <v>0</v>
      </c>
      <c r="Q598" s="314">
        <v>0</v>
      </c>
      <c r="R598" s="315">
        <v>0</v>
      </c>
      <c r="S598" s="315">
        <v>3.607481761218127E-4</v>
      </c>
      <c r="T598" s="315"/>
      <c r="U598" s="315"/>
      <c r="V598" s="316"/>
    </row>
    <row r="599" spans="1:22" ht="15.75" thickBot="1">
      <c r="A599" s="311" t="s">
        <v>822</v>
      </c>
      <c r="B599" s="325"/>
      <c r="C599" s="326">
        <v>-1.4437527052852815E-3</v>
      </c>
      <c r="D599" s="327">
        <v>-2.142625336389232E-3</v>
      </c>
      <c r="E599" s="327">
        <v>6.4305259401959622E-3</v>
      </c>
      <c r="F599" s="327">
        <v>-3.8923034217848068E-2</v>
      </c>
      <c r="G599" s="327">
        <v>-3.4538580145340135E-3</v>
      </c>
      <c r="H599" s="327">
        <v>0</v>
      </c>
      <c r="I599" s="327">
        <v>-1.6460092505719883E-4</v>
      </c>
      <c r="J599" s="328">
        <v>-1.6541503413544157E-3</v>
      </c>
      <c r="K599" s="328">
        <v>2.3804137347448098E-2</v>
      </c>
      <c r="L599" s="327">
        <v>-2.021213949188823E-4</v>
      </c>
      <c r="M599" s="327">
        <v>-3.0898740443970935E-3</v>
      </c>
      <c r="N599" s="327">
        <v>-6.8457983912373777E-4</v>
      </c>
      <c r="O599" s="328">
        <v>3.5351793765789285E-3</v>
      </c>
      <c r="P599" s="328">
        <v>0</v>
      </c>
      <c r="Q599" s="327">
        <v>0</v>
      </c>
      <c r="R599" s="328">
        <v>0</v>
      </c>
      <c r="S599" s="328">
        <v>1.2842062187927005E-3</v>
      </c>
      <c r="T599" s="328"/>
      <c r="U599" s="328"/>
      <c r="V599" s="316"/>
    </row>
    <row r="600" spans="1:22" ht="15.75" thickTop="1">
      <c r="A600" s="311" t="s">
        <v>823</v>
      </c>
      <c r="B600" s="312"/>
      <c r="C600" s="313">
        <v>0.78622939644495349</v>
      </c>
      <c r="D600" s="314">
        <v>0.73362194343674159</v>
      </c>
      <c r="E600" s="314">
        <v>0.53683661555986795</v>
      </c>
      <c r="F600" s="314">
        <v>0.63848503979918314</v>
      </c>
      <c r="G600" s="314">
        <v>0.4766986051529708</v>
      </c>
      <c r="H600" s="314">
        <v>0.58707854586551145</v>
      </c>
      <c r="I600" s="314">
        <v>0.30719680707856423</v>
      </c>
      <c r="J600" s="315">
        <v>0.69703030049918246</v>
      </c>
      <c r="K600" s="315">
        <v>0</v>
      </c>
      <c r="L600" s="314">
        <v>0</v>
      </c>
      <c r="M600" s="314">
        <v>0</v>
      </c>
      <c r="N600" s="314">
        <v>0</v>
      </c>
      <c r="O600" s="315">
        <v>0</v>
      </c>
      <c r="P600" s="315">
        <v>0</v>
      </c>
      <c r="Q600" s="314">
        <v>0</v>
      </c>
      <c r="R600" s="315">
        <v>0</v>
      </c>
      <c r="S600" s="315">
        <v>0.69703007307411924</v>
      </c>
      <c r="T600" s="315"/>
      <c r="U600" s="315"/>
      <c r="V600" s="316"/>
    </row>
    <row r="601" spans="1:22">
      <c r="A601" s="311" t="s">
        <v>824</v>
      </c>
      <c r="B601" s="312"/>
      <c r="C601" s="313">
        <v>0.78657384019132548</v>
      </c>
      <c r="D601" s="314">
        <v>0.72922009275200916</v>
      </c>
      <c r="E601" s="314">
        <v>0.53813691338991143</v>
      </c>
      <c r="F601" s="314">
        <v>0.62492134697345325</v>
      </c>
      <c r="G601" s="314">
        <v>0.46215936790236339</v>
      </c>
      <c r="H601" s="314">
        <v>0.81365010248867997</v>
      </c>
      <c r="I601" s="314">
        <v>0.30819988634799395</v>
      </c>
      <c r="J601" s="315">
        <v>0.69930723251913418</v>
      </c>
      <c r="K601" s="315">
        <v>0</v>
      </c>
      <c r="L601" s="314">
        <v>0</v>
      </c>
      <c r="M601" s="314">
        <v>0</v>
      </c>
      <c r="N601" s="314">
        <v>0</v>
      </c>
      <c r="O601" s="315">
        <v>0</v>
      </c>
      <c r="P601" s="315">
        <v>0</v>
      </c>
      <c r="Q601" s="314">
        <v>0</v>
      </c>
      <c r="R601" s="315">
        <v>0</v>
      </c>
      <c r="S601" s="315">
        <v>0.69930723251913418</v>
      </c>
      <c r="T601" s="315"/>
      <c r="U601" s="315"/>
      <c r="V601" s="316"/>
    </row>
    <row r="602" spans="1:22">
      <c r="A602" s="311" t="s">
        <v>825</v>
      </c>
      <c r="B602" s="317"/>
      <c r="C602" s="318">
        <v>3.4444374637199182E-2</v>
      </c>
      <c r="D602" s="319">
        <v>-0.44018506847324224</v>
      </c>
      <c r="E602" s="319">
        <v>0.13002978300434842</v>
      </c>
      <c r="F602" s="319">
        <v>-1.3563692825729889</v>
      </c>
      <c r="G602" s="319">
        <v>-1.4539237250607406</v>
      </c>
      <c r="H602" s="319">
        <v>22.657155662316853</v>
      </c>
      <c r="I602" s="319">
        <v>0.10030792694297186</v>
      </c>
      <c r="J602" s="320">
        <v>0.22769320199517162</v>
      </c>
      <c r="K602" s="320">
        <v>0</v>
      </c>
      <c r="L602" s="319">
        <v>0</v>
      </c>
      <c r="M602" s="319">
        <v>0</v>
      </c>
      <c r="N602" s="319">
        <v>0</v>
      </c>
      <c r="O602" s="320">
        <v>0</v>
      </c>
      <c r="P602" s="320">
        <v>0</v>
      </c>
      <c r="Q602" s="319">
        <v>0</v>
      </c>
      <c r="R602" s="320">
        <v>0</v>
      </c>
      <c r="S602" s="320">
        <v>0.22771594450149424</v>
      </c>
      <c r="T602" s="320"/>
      <c r="U602" s="320"/>
      <c r="V602" s="316"/>
    </row>
    <row r="603" spans="1:22">
      <c r="A603" s="311" t="s">
        <v>826</v>
      </c>
      <c r="B603" s="291"/>
      <c r="C603" s="308">
        <v>6.4293517437448891E-2</v>
      </c>
      <c r="D603" s="309">
        <v>5.3124699438278369E-2</v>
      </c>
      <c r="E603" s="309">
        <v>6.0688370150017476E-2</v>
      </c>
      <c r="F603" s="309">
        <v>7.6251120868591898E-2</v>
      </c>
      <c r="G603" s="309">
        <v>3.251560533278533E-2</v>
      </c>
      <c r="H603" s="309">
        <v>5.9182520248634393E-2</v>
      </c>
      <c r="I603" s="309">
        <v>3.0985090483085811E-2</v>
      </c>
      <c r="J603" s="310">
        <v>6.1426458084139081E-2</v>
      </c>
      <c r="K603" s="310">
        <v>0</v>
      </c>
      <c r="L603" s="309">
        <v>0</v>
      </c>
      <c r="M603" s="309">
        <v>0</v>
      </c>
      <c r="N603" s="309">
        <v>0</v>
      </c>
      <c r="O603" s="310">
        <v>0</v>
      </c>
      <c r="P603" s="310">
        <v>0</v>
      </c>
      <c r="Q603" s="309">
        <v>0</v>
      </c>
      <c r="R603" s="310">
        <v>0</v>
      </c>
      <c r="S603" s="310">
        <v>6.1426438042089103E-2</v>
      </c>
      <c r="T603" s="310"/>
      <c r="U603" s="310"/>
      <c r="V603" s="316"/>
    </row>
    <row r="604" spans="1:22">
      <c r="A604" s="311" t="s">
        <v>827</v>
      </c>
      <c r="B604" s="312"/>
      <c r="C604" s="313">
        <v>5.5700642519696274E-2</v>
      </c>
      <c r="D604" s="314">
        <v>4.3532118209166519E-2</v>
      </c>
      <c r="E604" s="314">
        <v>4.0726905707576894E-2</v>
      </c>
      <c r="F604" s="314">
        <v>5.0163754993733885E-2</v>
      </c>
      <c r="G604" s="314">
        <v>2.4384259418291383E-2</v>
      </c>
      <c r="H604" s="314">
        <v>4.9652001713934989E-2</v>
      </c>
      <c r="I604" s="314">
        <v>2.6526448798359459E-2</v>
      </c>
      <c r="J604" s="315">
        <v>4.9427943800339082E-2</v>
      </c>
      <c r="K604" s="315">
        <v>0</v>
      </c>
      <c r="L604" s="314">
        <v>0</v>
      </c>
      <c r="M604" s="314">
        <v>0</v>
      </c>
      <c r="N604" s="314">
        <v>0</v>
      </c>
      <c r="O604" s="315">
        <v>0</v>
      </c>
      <c r="P604" s="315">
        <v>0</v>
      </c>
      <c r="Q604" s="314">
        <v>0</v>
      </c>
      <c r="R604" s="315">
        <v>0</v>
      </c>
      <c r="S604" s="315">
        <v>4.9427943800339082E-2</v>
      </c>
      <c r="T604" s="315"/>
      <c r="U604" s="315"/>
      <c r="V604" s="316"/>
    </row>
    <row r="605" spans="1:22">
      <c r="A605" s="311" t="s">
        <v>828</v>
      </c>
      <c r="B605" s="317"/>
      <c r="C605" s="318">
        <v>-0.85928749177526176</v>
      </c>
      <c r="D605" s="319">
        <v>-0.95925812291118506</v>
      </c>
      <c r="E605" s="319">
        <v>-1.9961464442440582</v>
      </c>
      <c r="F605" s="319">
        <v>-2.6087365874858013</v>
      </c>
      <c r="G605" s="319">
        <v>-0.81313459144939471</v>
      </c>
      <c r="H605" s="319">
        <v>-0.95305185346994048</v>
      </c>
      <c r="I605" s="319">
        <v>-0.4458641684726351</v>
      </c>
      <c r="J605" s="320">
        <v>-1.1998514283799999</v>
      </c>
      <c r="K605" s="320">
        <v>0</v>
      </c>
      <c r="L605" s="319">
        <v>0</v>
      </c>
      <c r="M605" s="319">
        <v>0</v>
      </c>
      <c r="N605" s="319">
        <v>0</v>
      </c>
      <c r="O605" s="320">
        <v>0</v>
      </c>
      <c r="P605" s="320">
        <v>0</v>
      </c>
      <c r="Q605" s="319">
        <v>0</v>
      </c>
      <c r="R605" s="320">
        <v>0</v>
      </c>
      <c r="S605" s="320">
        <v>-1.1998494241750022</v>
      </c>
      <c r="T605" s="320"/>
      <c r="U605" s="320"/>
      <c r="V605" s="316"/>
    </row>
    <row r="606" spans="1:22">
      <c r="A606" s="311" t="s">
        <v>829</v>
      </c>
      <c r="B606" s="291"/>
      <c r="C606" s="308">
        <v>0.13784326000009789</v>
      </c>
      <c r="D606" s="309">
        <v>0.20481610803589789</v>
      </c>
      <c r="E606" s="309">
        <v>0.38450928188831068</v>
      </c>
      <c r="F606" s="309">
        <v>0.27907691184340699</v>
      </c>
      <c r="G606" s="309">
        <v>0.46238536823447818</v>
      </c>
      <c r="H606" s="309">
        <v>0.35136560557543794</v>
      </c>
      <c r="I606" s="309">
        <v>0.66104315683007231</v>
      </c>
      <c r="J606" s="310">
        <v>0.22921117904203689</v>
      </c>
      <c r="K606" s="310">
        <v>0</v>
      </c>
      <c r="L606" s="309">
        <v>0</v>
      </c>
      <c r="M606" s="309">
        <v>1</v>
      </c>
      <c r="N606" s="309">
        <v>0</v>
      </c>
      <c r="O606" s="310">
        <v>1</v>
      </c>
      <c r="P606" s="310">
        <v>0</v>
      </c>
      <c r="Q606" s="309">
        <v>0</v>
      </c>
      <c r="R606" s="310">
        <v>0</v>
      </c>
      <c r="S606" s="310">
        <v>0.22921143053282036</v>
      </c>
      <c r="T606" s="310"/>
      <c r="U606" s="310"/>
      <c r="V606" s="316"/>
    </row>
    <row r="607" spans="1:22">
      <c r="A607" s="311" t="s">
        <v>830</v>
      </c>
      <c r="B607" s="312"/>
      <c r="C607" s="313">
        <v>0.14330086470952533</v>
      </c>
      <c r="D607" s="314">
        <v>0.21925574453727406</v>
      </c>
      <c r="E607" s="314">
        <v>0.40620381123619254</v>
      </c>
      <c r="F607" s="314">
        <v>0.31957689549540386</v>
      </c>
      <c r="G607" s="314">
        <v>0.48833602171089413</v>
      </c>
      <c r="H607" s="314">
        <v>0.13614202499102501</v>
      </c>
      <c r="I607" s="314">
        <v>0.66447951263760896</v>
      </c>
      <c r="J607" s="315">
        <v>0.23839368292324492</v>
      </c>
      <c r="K607" s="315">
        <v>0</v>
      </c>
      <c r="L607" s="314">
        <v>0</v>
      </c>
      <c r="M607" s="314">
        <v>0</v>
      </c>
      <c r="N607" s="314">
        <v>0</v>
      </c>
      <c r="O607" s="315">
        <v>0</v>
      </c>
      <c r="P607" s="315">
        <v>0</v>
      </c>
      <c r="Q607" s="314">
        <v>0</v>
      </c>
      <c r="R607" s="315">
        <v>0</v>
      </c>
      <c r="S607" s="315">
        <v>0.23839368292324492</v>
      </c>
      <c r="T607" s="315"/>
      <c r="U607" s="315"/>
      <c r="V607" s="316"/>
    </row>
    <row r="608" spans="1:22">
      <c r="A608" s="311" t="s">
        <v>831</v>
      </c>
      <c r="B608" s="317"/>
      <c r="C608" s="318">
        <v>0.54576047094274382</v>
      </c>
      <c r="D608" s="319">
        <v>1.4439636501376167</v>
      </c>
      <c r="E608" s="319">
        <v>2.1694529347881852</v>
      </c>
      <c r="F608" s="319">
        <v>4.049998365199686</v>
      </c>
      <c r="G608" s="319">
        <v>2.5950653476415955</v>
      </c>
      <c r="H608" s="319">
        <v>-21.522358058441291</v>
      </c>
      <c r="I608" s="319">
        <v>0.34363558075366507</v>
      </c>
      <c r="J608" s="320">
        <v>0.91825038812080317</v>
      </c>
      <c r="K608" s="320">
        <v>0</v>
      </c>
      <c r="L608" s="319">
        <v>0</v>
      </c>
      <c r="M608" s="319">
        <v>-100</v>
      </c>
      <c r="N608" s="319">
        <v>0</v>
      </c>
      <c r="O608" s="320">
        <v>-100</v>
      </c>
      <c r="P608" s="320">
        <v>0</v>
      </c>
      <c r="Q608" s="319">
        <v>0</v>
      </c>
      <c r="R608" s="320">
        <v>0</v>
      </c>
      <c r="S608" s="320">
        <v>0.91822523904245557</v>
      </c>
      <c r="T608" s="320"/>
      <c r="U608" s="320"/>
      <c r="V608" s="316"/>
    </row>
    <row r="609" spans="1:22">
      <c r="A609" s="311" t="s">
        <v>832</v>
      </c>
      <c r="B609" s="291"/>
      <c r="C609" s="308">
        <v>6.326131267960034E-3</v>
      </c>
      <c r="D609" s="309">
        <v>2.2679291543142993E-3</v>
      </c>
      <c r="E609" s="309">
        <v>9.288955828622757E-3</v>
      </c>
      <c r="F609" s="309">
        <v>5.3018086166411252E-3</v>
      </c>
      <c r="G609" s="309">
        <v>2.4223586529322612E-2</v>
      </c>
      <c r="H609" s="309">
        <v>2.3733283104162744E-3</v>
      </c>
      <c r="I609" s="309">
        <v>7.7494560827772883E-4</v>
      </c>
      <c r="J609" s="310">
        <v>6.6835504273470812E-3</v>
      </c>
      <c r="K609" s="310">
        <v>0</v>
      </c>
      <c r="L609" s="309">
        <v>0</v>
      </c>
      <c r="M609" s="309">
        <v>0</v>
      </c>
      <c r="N609" s="309">
        <v>0</v>
      </c>
      <c r="O609" s="310">
        <v>0</v>
      </c>
      <c r="P609" s="310">
        <v>0</v>
      </c>
      <c r="Q609" s="309">
        <v>0</v>
      </c>
      <c r="R609" s="310">
        <v>0</v>
      </c>
      <c r="S609" s="310">
        <v>6.6835482466572633E-3</v>
      </c>
      <c r="T609" s="310"/>
      <c r="U609" s="310"/>
      <c r="V609" s="316"/>
    </row>
    <row r="610" spans="1:22">
      <c r="A610" s="311" t="s">
        <v>833</v>
      </c>
      <c r="B610" s="312"/>
      <c r="C610" s="313">
        <v>8.5985895211032979E-3</v>
      </c>
      <c r="D610" s="314">
        <v>2.7380686758018973E-3</v>
      </c>
      <c r="E610" s="314">
        <v>5.8830194354561631E-3</v>
      </c>
      <c r="F610" s="314">
        <v>3.6040805995035102E-3</v>
      </c>
      <c r="G610" s="314">
        <v>2.0846112700523608E-2</v>
      </c>
      <c r="H610" s="314">
        <v>0</v>
      </c>
      <c r="I610" s="314">
        <v>7.9415221603763928E-4</v>
      </c>
      <c r="J610" s="315">
        <v>6.9893752414946332E-3</v>
      </c>
      <c r="K610" s="315">
        <v>0</v>
      </c>
      <c r="L610" s="314">
        <v>0</v>
      </c>
      <c r="M610" s="314">
        <v>0</v>
      </c>
      <c r="N610" s="314">
        <v>0</v>
      </c>
      <c r="O610" s="315">
        <v>0</v>
      </c>
      <c r="P610" s="315">
        <v>0</v>
      </c>
      <c r="Q610" s="314">
        <v>0</v>
      </c>
      <c r="R610" s="315">
        <v>0</v>
      </c>
      <c r="S610" s="315">
        <v>6.9893752414946332E-3</v>
      </c>
      <c r="T610" s="315"/>
      <c r="U610" s="315"/>
      <c r="V610" s="316"/>
    </row>
    <row r="611" spans="1:22">
      <c r="A611" s="311" t="s">
        <v>834</v>
      </c>
      <c r="B611" s="317"/>
      <c r="C611" s="318">
        <v>0.22724582531432638</v>
      </c>
      <c r="D611" s="319">
        <v>4.7013952148759794E-2</v>
      </c>
      <c r="E611" s="319">
        <v>-0.34059363931665937</v>
      </c>
      <c r="F611" s="319">
        <v>-0.1697728017137615</v>
      </c>
      <c r="G611" s="319">
        <v>-0.33774738287990042</v>
      </c>
      <c r="H611" s="319">
        <v>-0.23733283104162745</v>
      </c>
      <c r="I611" s="319">
        <v>1.9206607759910451E-3</v>
      </c>
      <c r="J611" s="320">
        <v>3.0582481414755201E-2</v>
      </c>
      <c r="K611" s="320">
        <v>0</v>
      </c>
      <c r="L611" s="319">
        <v>0</v>
      </c>
      <c r="M611" s="319">
        <v>0</v>
      </c>
      <c r="N611" s="319">
        <v>0</v>
      </c>
      <c r="O611" s="320">
        <v>0</v>
      </c>
      <c r="P611" s="320">
        <v>0</v>
      </c>
      <c r="Q611" s="319">
        <v>0</v>
      </c>
      <c r="R611" s="320">
        <v>0</v>
      </c>
      <c r="S611" s="320">
        <v>3.0582699483736996E-2</v>
      </c>
      <c r="T611" s="320"/>
      <c r="U611" s="320"/>
      <c r="V611" s="316"/>
    </row>
    <row r="612" spans="1:22">
      <c r="A612" s="311" t="s">
        <v>835</v>
      </c>
      <c r="B612" s="291"/>
      <c r="C612" s="308">
        <v>3.7985318666686244E-3</v>
      </c>
      <c r="D612" s="309">
        <v>2.3657030447533415E-3</v>
      </c>
      <c r="E612" s="309">
        <v>7.1814117972230449E-3</v>
      </c>
      <c r="F612" s="309">
        <v>6.1085668643194688E-4</v>
      </c>
      <c r="G612" s="309">
        <v>4.161422076087236E-3</v>
      </c>
      <c r="H612" s="309">
        <v>0</v>
      </c>
      <c r="I612" s="309">
        <v>0</v>
      </c>
      <c r="J612" s="310">
        <v>4.0640008074274625E-3</v>
      </c>
      <c r="K612" s="310">
        <v>0</v>
      </c>
      <c r="L612" s="309">
        <v>0</v>
      </c>
      <c r="M612" s="309">
        <v>0</v>
      </c>
      <c r="N612" s="309">
        <v>0</v>
      </c>
      <c r="O612" s="310">
        <v>0</v>
      </c>
      <c r="P612" s="310">
        <v>0</v>
      </c>
      <c r="Q612" s="309">
        <v>0</v>
      </c>
      <c r="R612" s="310">
        <v>0</v>
      </c>
      <c r="S612" s="310">
        <v>4.0639994814368422E-3</v>
      </c>
      <c r="T612" s="310"/>
      <c r="U612" s="310"/>
      <c r="V612" s="316"/>
    </row>
    <row r="613" spans="1:22">
      <c r="A613" s="311" t="s">
        <v>836</v>
      </c>
      <c r="B613" s="312"/>
      <c r="C613" s="313">
        <v>4.4619707785184684E-3</v>
      </c>
      <c r="D613" s="314">
        <v>2.0812014803074483E-3</v>
      </c>
      <c r="E613" s="314">
        <v>7.3454431158240527E-3</v>
      </c>
      <c r="F613" s="314">
        <v>1.6038777925625586E-3</v>
      </c>
      <c r="G613" s="314">
        <v>4.2447946059211202E-3</v>
      </c>
      <c r="H613" s="314">
        <v>5.5587080636008849E-4</v>
      </c>
      <c r="I613" s="314">
        <v>0</v>
      </c>
      <c r="J613" s="315">
        <v>4.4286445571303954E-3</v>
      </c>
      <c r="K613" s="315">
        <v>0</v>
      </c>
      <c r="L613" s="314">
        <v>0</v>
      </c>
      <c r="M613" s="314">
        <v>0</v>
      </c>
      <c r="N613" s="314">
        <v>0</v>
      </c>
      <c r="O613" s="315">
        <v>0</v>
      </c>
      <c r="P613" s="315">
        <v>0</v>
      </c>
      <c r="Q613" s="314">
        <v>0</v>
      </c>
      <c r="R613" s="315">
        <v>0</v>
      </c>
      <c r="S613" s="315">
        <v>4.4286445571303954E-3</v>
      </c>
      <c r="T613" s="315"/>
      <c r="U613" s="315"/>
      <c r="V613" s="316"/>
    </row>
    <row r="614" spans="1:22">
      <c r="A614" s="311" t="s">
        <v>837</v>
      </c>
      <c r="B614" s="317"/>
      <c r="C614" s="318">
        <v>6.6343891184984405E-2</v>
      </c>
      <c r="D614" s="319">
        <v>-2.8450156444589318E-2</v>
      </c>
      <c r="E614" s="319">
        <v>1.640313186010078E-2</v>
      </c>
      <c r="F614" s="319">
        <v>9.9302110613061184E-2</v>
      </c>
      <c r="G614" s="319">
        <v>8.3372529833884192E-3</v>
      </c>
      <c r="H614" s="319">
        <v>0</v>
      </c>
      <c r="I614" s="319">
        <v>0</v>
      </c>
      <c r="J614" s="320">
        <v>3.6464374970293298E-2</v>
      </c>
      <c r="K614" s="320">
        <v>0</v>
      </c>
      <c r="L614" s="319">
        <v>0</v>
      </c>
      <c r="M614" s="319">
        <v>0</v>
      </c>
      <c r="N614" s="319">
        <v>0</v>
      </c>
      <c r="O614" s="320">
        <v>0</v>
      </c>
      <c r="P614" s="320">
        <v>0</v>
      </c>
      <c r="Q614" s="319">
        <v>0</v>
      </c>
      <c r="R614" s="320">
        <v>0</v>
      </c>
      <c r="S614" s="320">
        <v>3.646450756935532E-2</v>
      </c>
      <c r="T614" s="320"/>
      <c r="U614" s="320"/>
      <c r="V614" s="316"/>
    </row>
    <row r="615" spans="1:22">
      <c r="A615" s="311" t="s">
        <v>838</v>
      </c>
      <c r="B615" s="291"/>
      <c r="C615" s="308">
        <v>1.5091629828709618E-3</v>
      </c>
      <c r="D615" s="309">
        <v>3.8036168900144694E-3</v>
      </c>
      <c r="E615" s="309">
        <v>1.4953647759581546E-3</v>
      </c>
      <c r="F615" s="309">
        <v>2.7426218574495576E-4</v>
      </c>
      <c r="G615" s="309">
        <v>1.5412674355878651E-5</v>
      </c>
      <c r="H615" s="309">
        <v>0</v>
      </c>
      <c r="I615" s="309">
        <v>0</v>
      </c>
      <c r="J615" s="310">
        <v>1.5845111398670138E-3</v>
      </c>
      <c r="K615" s="310">
        <v>0</v>
      </c>
      <c r="L615" s="309">
        <v>0</v>
      </c>
      <c r="M615" s="309">
        <v>0</v>
      </c>
      <c r="N615" s="309">
        <v>0</v>
      </c>
      <c r="O615" s="310">
        <v>0</v>
      </c>
      <c r="P615" s="310">
        <v>0</v>
      </c>
      <c r="Q615" s="309">
        <v>0</v>
      </c>
      <c r="R615" s="310">
        <v>0</v>
      </c>
      <c r="S615" s="310">
        <v>1.5845106228772271E-3</v>
      </c>
      <c r="T615" s="310"/>
      <c r="U615" s="310"/>
      <c r="V615" s="316"/>
    </row>
    <row r="616" spans="1:22">
      <c r="A616" s="311" t="s">
        <v>839</v>
      </c>
      <c r="B616" s="312"/>
      <c r="C616" s="313">
        <v>1.3640922798312369E-3</v>
      </c>
      <c r="D616" s="314">
        <v>3.1727743454409763E-3</v>
      </c>
      <c r="E616" s="314">
        <v>1.7039071150389412E-3</v>
      </c>
      <c r="F616" s="314">
        <v>1.3004414534291016E-4</v>
      </c>
      <c r="G616" s="314">
        <v>2.9443662006389275E-5</v>
      </c>
      <c r="H616" s="314">
        <v>0</v>
      </c>
      <c r="I616" s="314">
        <v>0</v>
      </c>
      <c r="J616" s="315">
        <v>1.4531209586568627E-3</v>
      </c>
      <c r="K616" s="315">
        <v>0</v>
      </c>
      <c r="L616" s="314">
        <v>0</v>
      </c>
      <c r="M616" s="314">
        <v>0</v>
      </c>
      <c r="N616" s="314">
        <v>0</v>
      </c>
      <c r="O616" s="315">
        <v>0</v>
      </c>
      <c r="P616" s="315">
        <v>0</v>
      </c>
      <c r="Q616" s="314">
        <v>0</v>
      </c>
      <c r="R616" s="315">
        <v>0</v>
      </c>
      <c r="S616" s="315">
        <v>1.4531209586568627E-3</v>
      </c>
      <c r="T616" s="315"/>
      <c r="U616" s="315"/>
      <c r="V616" s="316"/>
    </row>
    <row r="617" spans="1:22">
      <c r="A617" s="339" t="s">
        <v>840</v>
      </c>
      <c r="B617" s="317"/>
      <c r="C617" s="318">
        <v>-1.4507070303972493E-2</v>
      </c>
      <c r="D617" s="319">
        <v>-6.3084254457349304E-2</v>
      </c>
      <c r="E617" s="319">
        <v>2.0854233908078661E-2</v>
      </c>
      <c r="F617" s="319">
        <v>-1.442180404020456E-2</v>
      </c>
      <c r="G617" s="319">
        <v>1.4030987650510624E-3</v>
      </c>
      <c r="H617" s="319">
        <v>0</v>
      </c>
      <c r="I617" s="319">
        <v>0</v>
      </c>
      <c r="J617" s="320">
        <v>-1.3139018121015117E-2</v>
      </c>
      <c r="K617" s="320">
        <v>0</v>
      </c>
      <c r="L617" s="319">
        <v>0</v>
      </c>
      <c r="M617" s="319">
        <v>0</v>
      </c>
      <c r="N617" s="319">
        <v>0</v>
      </c>
      <c r="O617" s="320">
        <v>0</v>
      </c>
      <c r="P617" s="320">
        <v>0</v>
      </c>
      <c r="Q617" s="319">
        <v>0</v>
      </c>
      <c r="R617" s="320">
        <v>0</v>
      </c>
      <c r="S617" s="320">
        <v>-1.3138966422036446E-2</v>
      </c>
      <c r="T617" s="320"/>
      <c r="U617" s="320"/>
      <c r="V617" s="316"/>
    </row>
    <row r="621" spans="1:22">
      <c r="D621" s="289"/>
      <c r="E621" s="289"/>
      <c r="F621" s="289"/>
      <c r="G621" s="289"/>
      <c r="H621" s="289"/>
      <c r="I621" s="289"/>
      <c r="J621" s="289"/>
      <c r="K621" s="289"/>
      <c r="L621" s="289"/>
      <c r="M621" s="289"/>
      <c r="N621" s="289"/>
      <c r="O621" s="289"/>
      <c r="P621" s="289"/>
      <c r="Q621" s="289"/>
      <c r="R621" s="289"/>
      <c r="S621" s="289"/>
      <c r="T621" s="289"/>
      <c r="U621" s="289"/>
    </row>
    <row r="622" spans="1:22">
      <c r="D622" s="289"/>
      <c r="E622" s="289"/>
      <c r="F622" s="289"/>
      <c r="G622" s="289"/>
      <c r="H622" s="289"/>
      <c r="I622" s="289"/>
      <c r="J622" s="289"/>
      <c r="K622" s="289"/>
      <c r="L622" s="289"/>
      <c r="M622" s="289"/>
      <c r="N622" s="289"/>
      <c r="O622" s="289"/>
      <c r="P622" s="289"/>
      <c r="Q622" s="289"/>
      <c r="R622" s="289"/>
      <c r="S622" s="289"/>
      <c r="T622" s="289"/>
      <c r="U622" s="289"/>
    </row>
    <row r="623" spans="1:22">
      <c r="D623" s="289"/>
      <c r="E623" s="289"/>
      <c r="F623" s="289"/>
      <c r="G623" s="289"/>
      <c r="H623" s="289"/>
      <c r="I623" s="289"/>
      <c r="J623" s="289"/>
      <c r="K623" s="289"/>
      <c r="L623" s="289"/>
      <c r="M623" s="289"/>
      <c r="N623" s="289"/>
      <c r="O623" s="289"/>
      <c r="P623" s="289"/>
      <c r="Q623" s="289"/>
      <c r="R623" s="289"/>
      <c r="S623" s="289"/>
      <c r="T623" s="289"/>
      <c r="U623" s="289"/>
    </row>
    <row r="624" spans="1:22">
      <c r="D624" s="289"/>
      <c r="E624" s="289"/>
      <c r="F624" s="289"/>
      <c r="G624" s="289"/>
      <c r="H624" s="289"/>
      <c r="I624" s="289"/>
      <c r="J624" s="289"/>
      <c r="K624" s="289"/>
      <c r="L624" s="289"/>
      <c r="M624" s="289"/>
      <c r="N624" s="289"/>
      <c r="O624" s="289"/>
      <c r="P624" s="289"/>
      <c r="Q624" s="289"/>
      <c r="R624" s="289"/>
      <c r="S624" s="289"/>
      <c r="T624" s="289"/>
      <c r="U624" s="289"/>
    </row>
    <row r="625" spans="4:21">
      <c r="D625" s="289"/>
      <c r="E625" s="289"/>
      <c r="F625" s="289"/>
      <c r="G625" s="289"/>
      <c r="H625" s="289"/>
      <c r="I625" s="289"/>
      <c r="J625" s="289"/>
      <c r="K625" s="289"/>
      <c r="L625" s="289"/>
      <c r="M625" s="289"/>
      <c r="N625" s="289"/>
      <c r="O625" s="289"/>
      <c r="P625" s="289"/>
      <c r="Q625" s="289"/>
      <c r="R625" s="289"/>
      <c r="S625" s="289"/>
      <c r="T625" s="289"/>
      <c r="U625" s="289"/>
    </row>
    <row r="626" spans="4:21">
      <c r="D626" s="289"/>
      <c r="E626" s="289"/>
      <c r="F626" s="289"/>
      <c r="G626" s="289"/>
      <c r="H626" s="289"/>
      <c r="I626" s="289"/>
      <c r="J626" s="289"/>
      <c r="K626" s="289"/>
      <c r="L626" s="289"/>
      <c r="M626" s="289"/>
      <c r="N626" s="289"/>
      <c r="O626" s="289"/>
      <c r="P626" s="289"/>
      <c r="Q626" s="289"/>
      <c r="R626" s="289"/>
      <c r="S626" s="289"/>
      <c r="T626" s="289"/>
      <c r="U626" s="289"/>
    </row>
    <row r="627" spans="4:21">
      <c r="D627" s="289"/>
      <c r="E627" s="289"/>
      <c r="F627" s="289"/>
      <c r="G627" s="289"/>
      <c r="H627" s="289"/>
      <c r="I627" s="289"/>
      <c r="J627" s="289"/>
      <c r="K627" s="289"/>
      <c r="L627" s="289"/>
      <c r="M627" s="289"/>
      <c r="N627" s="289"/>
      <c r="O627" s="289"/>
      <c r="P627" s="289"/>
      <c r="Q627" s="289"/>
      <c r="R627" s="289"/>
      <c r="S627" s="289"/>
      <c r="T627" s="289"/>
      <c r="U627" s="289"/>
    </row>
    <row r="628" spans="4:21">
      <c r="D628" s="289"/>
      <c r="E628" s="289"/>
      <c r="F628" s="289"/>
      <c r="G628" s="289"/>
      <c r="H628" s="289"/>
      <c r="I628" s="289"/>
      <c r="J628" s="289"/>
      <c r="K628" s="289"/>
      <c r="L628" s="289"/>
      <c r="M628" s="289"/>
      <c r="N628" s="289"/>
      <c r="O628" s="289"/>
      <c r="P628" s="289"/>
      <c r="Q628" s="289"/>
      <c r="R628" s="289"/>
      <c r="S628" s="289"/>
      <c r="T628" s="289"/>
      <c r="U628" s="289"/>
    </row>
    <row r="629" spans="4:21">
      <c r="D629" s="289"/>
      <c r="E629" s="289"/>
      <c r="F629" s="289"/>
      <c r="G629" s="289"/>
      <c r="H629" s="289"/>
      <c r="I629" s="289"/>
      <c r="J629" s="289"/>
      <c r="K629" s="289"/>
      <c r="L629" s="289"/>
      <c r="M629" s="289"/>
      <c r="N629" s="289"/>
      <c r="O629" s="289"/>
      <c r="P629" s="289"/>
      <c r="Q629" s="289"/>
      <c r="R629" s="289"/>
      <c r="S629" s="289"/>
      <c r="T629" s="289"/>
      <c r="U629" s="289"/>
    </row>
    <row r="630" spans="4:21">
      <c r="D630" s="289"/>
      <c r="E630" s="289"/>
      <c r="F630" s="289"/>
      <c r="G630" s="289"/>
      <c r="H630" s="289"/>
      <c r="I630" s="289"/>
      <c r="J630" s="289"/>
      <c r="K630" s="289"/>
      <c r="L630" s="289"/>
      <c r="M630" s="289"/>
      <c r="N630" s="289"/>
      <c r="O630" s="289"/>
      <c r="P630" s="289"/>
      <c r="Q630" s="289"/>
      <c r="R630" s="289"/>
      <c r="S630" s="289"/>
      <c r="T630" s="289"/>
      <c r="U630" s="289"/>
    </row>
    <row r="631" spans="4:21">
      <c r="D631" s="289"/>
      <c r="E631" s="289"/>
      <c r="F631" s="289"/>
      <c r="G631" s="289"/>
      <c r="H631" s="289"/>
      <c r="I631" s="289"/>
      <c r="J631" s="289"/>
      <c r="K631" s="289"/>
      <c r="L631" s="289"/>
      <c r="M631" s="289"/>
      <c r="N631" s="289"/>
      <c r="O631" s="289"/>
      <c r="P631" s="289"/>
      <c r="Q631" s="289"/>
      <c r="R631" s="289"/>
      <c r="S631" s="289"/>
      <c r="T631" s="289"/>
      <c r="U631" s="289"/>
    </row>
    <row r="632" spans="4:21">
      <c r="D632" s="289"/>
      <c r="E632" s="289"/>
      <c r="F632" s="289"/>
      <c r="G632" s="289"/>
      <c r="H632" s="289"/>
      <c r="I632" s="289"/>
      <c r="J632" s="289"/>
      <c r="K632" s="289"/>
      <c r="L632" s="289"/>
      <c r="M632" s="289"/>
      <c r="N632" s="289"/>
      <c r="O632" s="289"/>
      <c r="P632" s="289"/>
      <c r="Q632" s="289"/>
      <c r="R632" s="289"/>
      <c r="S632" s="289"/>
      <c r="T632" s="289"/>
      <c r="U632" s="289"/>
    </row>
    <row r="633" spans="4:21">
      <c r="D633" s="289"/>
      <c r="E633" s="289"/>
      <c r="F633" s="289"/>
      <c r="G633" s="289"/>
      <c r="H633" s="289"/>
      <c r="I633" s="289"/>
      <c r="J633" s="289"/>
      <c r="K633" s="289"/>
      <c r="L633" s="289"/>
      <c r="M633" s="289"/>
      <c r="N633" s="289"/>
      <c r="O633" s="289"/>
      <c r="P633" s="289"/>
      <c r="Q633" s="289"/>
      <c r="R633" s="289"/>
      <c r="S633" s="289"/>
      <c r="T633" s="289"/>
      <c r="U633" s="289"/>
    </row>
    <row r="634" spans="4:21">
      <c r="D634" s="289"/>
      <c r="E634" s="289"/>
      <c r="F634" s="289"/>
      <c r="G634" s="289"/>
      <c r="H634" s="289"/>
      <c r="I634" s="289"/>
      <c r="J634" s="289"/>
      <c r="K634" s="289"/>
      <c r="L634" s="289"/>
      <c r="M634" s="289"/>
      <c r="N634" s="289"/>
      <c r="O634" s="289"/>
      <c r="P634" s="289"/>
      <c r="Q634" s="289"/>
      <c r="R634" s="289"/>
      <c r="S634" s="289"/>
      <c r="T634" s="289"/>
      <c r="U634" s="289"/>
    </row>
    <row r="635" spans="4:21">
      <c r="D635" s="289"/>
      <c r="E635" s="289"/>
      <c r="F635" s="289"/>
      <c r="G635" s="289"/>
      <c r="H635" s="289"/>
      <c r="I635" s="289"/>
      <c r="J635" s="289"/>
      <c r="K635" s="289"/>
      <c r="L635" s="289"/>
      <c r="M635" s="289"/>
      <c r="N635" s="289"/>
      <c r="O635" s="289"/>
      <c r="P635" s="289"/>
      <c r="Q635" s="289"/>
      <c r="R635" s="289"/>
      <c r="S635" s="289"/>
      <c r="T635" s="289"/>
      <c r="U635" s="289"/>
    </row>
    <row r="636" spans="4:21">
      <c r="D636" s="289"/>
      <c r="E636" s="289"/>
      <c r="F636" s="289"/>
      <c r="G636" s="289"/>
      <c r="H636" s="289"/>
      <c r="I636" s="289"/>
      <c r="J636" s="289"/>
      <c r="K636" s="289"/>
      <c r="L636" s="289"/>
      <c r="M636" s="289"/>
      <c r="N636" s="289"/>
      <c r="O636" s="289"/>
      <c r="P636" s="289"/>
      <c r="Q636" s="289"/>
      <c r="R636" s="289"/>
      <c r="S636" s="289"/>
      <c r="T636" s="289"/>
      <c r="U636" s="289"/>
    </row>
    <row r="637" spans="4:21">
      <c r="D637" s="289"/>
      <c r="E637" s="289"/>
      <c r="F637" s="289"/>
      <c r="G637" s="289"/>
      <c r="H637" s="289"/>
      <c r="I637" s="289"/>
      <c r="J637" s="289"/>
      <c r="K637" s="289"/>
      <c r="L637" s="289"/>
      <c r="M637" s="289"/>
      <c r="N637" s="289"/>
      <c r="O637" s="289"/>
      <c r="P637" s="289"/>
      <c r="Q637" s="289"/>
      <c r="R637" s="289"/>
      <c r="S637" s="289"/>
      <c r="T637" s="289"/>
      <c r="U637" s="289"/>
    </row>
    <row r="638" spans="4:21">
      <c r="D638" s="289"/>
      <c r="E638" s="289"/>
      <c r="F638" s="289"/>
      <c r="G638" s="289"/>
      <c r="H638" s="289"/>
      <c r="I638" s="289"/>
      <c r="J638" s="289"/>
      <c r="K638" s="289"/>
      <c r="L638" s="289"/>
      <c r="M638" s="289"/>
      <c r="N638" s="289"/>
      <c r="O638" s="289"/>
      <c r="P638" s="289"/>
      <c r="Q638" s="289"/>
      <c r="R638" s="289"/>
      <c r="S638" s="289"/>
      <c r="T638" s="289"/>
      <c r="U638" s="289"/>
    </row>
    <row r="639" spans="4:21">
      <c r="D639" s="289"/>
      <c r="E639" s="289"/>
      <c r="F639" s="289"/>
      <c r="G639" s="289"/>
      <c r="H639" s="289"/>
      <c r="I639" s="289"/>
      <c r="J639" s="289"/>
      <c r="K639" s="289"/>
      <c r="L639" s="289"/>
      <c r="M639" s="289"/>
      <c r="N639" s="289"/>
      <c r="O639" s="289"/>
      <c r="P639" s="289"/>
      <c r="Q639" s="289"/>
      <c r="R639" s="289"/>
      <c r="S639" s="289"/>
      <c r="T639" s="289"/>
      <c r="U639" s="289"/>
    </row>
    <row r="640" spans="4:21">
      <c r="D640" s="289"/>
      <c r="E640" s="289"/>
      <c r="F640" s="289"/>
      <c r="G640" s="289"/>
      <c r="H640" s="289"/>
      <c r="I640" s="289"/>
      <c r="J640" s="289"/>
      <c r="K640" s="289"/>
      <c r="L640" s="289"/>
      <c r="M640" s="289"/>
      <c r="N640" s="289"/>
      <c r="O640" s="289"/>
      <c r="P640" s="289"/>
      <c r="Q640" s="289"/>
      <c r="R640" s="289"/>
      <c r="S640" s="289"/>
      <c r="T640" s="289"/>
      <c r="U640" s="289"/>
    </row>
    <row r="641" spans="4:21">
      <c r="D641" s="289"/>
      <c r="E641" s="289"/>
      <c r="F641" s="289"/>
      <c r="G641" s="289"/>
      <c r="H641" s="289"/>
      <c r="I641" s="289"/>
      <c r="J641" s="289"/>
      <c r="K641" s="289"/>
      <c r="L641" s="289"/>
      <c r="M641" s="289"/>
      <c r="N641" s="289"/>
      <c r="O641" s="289"/>
      <c r="P641" s="289"/>
      <c r="Q641" s="289"/>
      <c r="R641" s="289"/>
      <c r="S641" s="289"/>
      <c r="T641" s="289"/>
      <c r="U641" s="289"/>
    </row>
    <row r="642" spans="4:21">
      <c r="D642" s="289"/>
      <c r="E642" s="289"/>
      <c r="F642" s="289"/>
      <c r="G642" s="289"/>
      <c r="H642" s="289"/>
      <c r="I642" s="289"/>
      <c r="J642" s="289"/>
      <c r="K642" s="289"/>
      <c r="L642" s="289"/>
      <c r="M642" s="289"/>
      <c r="N642" s="289"/>
      <c r="O642" s="289"/>
      <c r="P642" s="289"/>
      <c r="Q642" s="289"/>
      <c r="R642" s="289"/>
      <c r="S642" s="289"/>
      <c r="T642" s="289"/>
      <c r="U642" s="289"/>
    </row>
    <row r="643" spans="4:21">
      <c r="D643" s="289"/>
      <c r="E643" s="289"/>
      <c r="F643" s="289"/>
      <c r="G643" s="289"/>
      <c r="H643" s="289"/>
      <c r="I643" s="289"/>
      <c r="J643" s="289"/>
      <c r="K643" s="289"/>
      <c r="L643" s="289"/>
      <c r="M643" s="289"/>
      <c r="N643" s="289"/>
      <c r="O643" s="289"/>
      <c r="P643" s="289"/>
      <c r="Q643" s="289"/>
      <c r="R643" s="289"/>
      <c r="S643" s="289"/>
      <c r="T643" s="289"/>
      <c r="U643" s="289"/>
    </row>
    <row r="644" spans="4:21">
      <c r="D644" s="289"/>
      <c r="E644" s="289"/>
      <c r="F644" s="289"/>
      <c r="G644" s="289"/>
      <c r="H644" s="289"/>
      <c r="I644" s="289"/>
      <c r="J644" s="289"/>
      <c r="K644" s="289"/>
      <c r="L644" s="289"/>
      <c r="M644" s="289"/>
      <c r="N644" s="289"/>
      <c r="O644" s="289"/>
      <c r="P644" s="289"/>
      <c r="Q644" s="289"/>
      <c r="R644" s="289"/>
      <c r="S644" s="289"/>
      <c r="T644" s="289"/>
      <c r="U644" s="289"/>
    </row>
    <row r="645" spans="4:21">
      <c r="D645" s="289"/>
      <c r="E645" s="289"/>
      <c r="F645" s="289"/>
      <c r="G645" s="289"/>
      <c r="H645" s="289"/>
      <c r="I645" s="289"/>
      <c r="J645" s="289"/>
      <c r="K645" s="289"/>
      <c r="L645" s="289"/>
      <c r="M645" s="289"/>
      <c r="N645" s="289"/>
      <c r="O645" s="289"/>
      <c r="P645" s="289"/>
      <c r="Q645" s="289"/>
      <c r="R645" s="289"/>
      <c r="S645" s="289"/>
      <c r="T645" s="289"/>
      <c r="U645" s="289"/>
    </row>
    <row r="646" spans="4:21">
      <c r="D646" s="289"/>
      <c r="E646" s="289"/>
      <c r="F646" s="289"/>
      <c r="G646" s="289"/>
      <c r="H646" s="289"/>
      <c r="I646" s="289"/>
      <c r="J646" s="289"/>
      <c r="K646" s="289"/>
      <c r="L646" s="289"/>
      <c r="M646" s="289"/>
      <c r="N646" s="289"/>
      <c r="O646" s="289"/>
      <c r="P646" s="289"/>
      <c r="Q646" s="289"/>
      <c r="R646" s="289"/>
      <c r="S646" s="289"/>
      <c r="T646" s="289"/>
      <c r="U646" s="289"/>
    </row>
    <row r="647" spans="4:21">
      <c r="D647" s="289"/>
      <c r="E647" s="289"/>
      <c r="F647" s="289"/>
      <c r="G647" s="289"/>
      <c r="H647" s="289"/>
      <c r="I647" s="289"/>
      <c r="J647" s="289"/>
      <c r="K647" s="289"/>
      <c r="L647" s="289"/>
      <c r="M647" s="289"/>
      <c r="N647" s="289"/>
      <c r="O647" s="289"/>
      <c r="P647" s="289"/>
      <c r="Q647" s="289"/>
      <c r="R647" s="289"/>
      <c r="S647" s="289"/>
      <c r="T647" s="289"/>
      <c r="U647" s="289"/>
    </row>
    <row r="648" spans="4:21">
      <c r="D648" s="289"/>
      <c r="E648" s="289"/>
      <c r="F648" s="289"/>
      <c r="G648" s="289"/>
      <c r="H648" s="289"/>
      <c r="I648" s="289"/>
      <c r="J648" s="289"/>
      <c r="K648" s="289"/>
      <c r="L648" s="289"/>
      <c r="M648" s="289"/>
      <c r="N648" s="289"/>
      <c r="O648" s="289"/>
      <c r="P648" s="289"/>
      <c r="Q648" s="289"/>
      <c r="R648" s="289"/>
      <c r="S648" s="289"/>
      <c r="T648" s="289"/>
      <c r="U648" s="289"/>
    </row>
    <row r="649" spans="4:21">
      <c r="D649" s="289"/>
      <c r="E649" s="289"/>
      <c r="F649" s="289"/>
      <c r="G649" s="289"/>
      <c r="H649" s="289"/>
      <c r="I649" s="289"/>
      <c r="J649" s="289"/>
      <c r="K649" s="289"/>
      <c r="L649" s="289"/>
      <c r="M649" s="289"/>
      <c r="N649" s="289"/>
      <c r="O649" s="289"/>
      <c r="P649" s="289"/>
      <c r="Q649" s="289"/>
      <c r="R649" s="289"/>
      <c r="S649" s="289"/>
      <c r="T649" s="289"/>
      <c r="U649" s="289"/>
    </row>
    <row r="650" spans="4:21">
      <c r="D650" s="289"/>
      <c r="E650" s="289"/>
      <c r="F650" s="289"/>
      <c r="G650" s="289"/>
      <c r="H650" s="289"/>
      <c r="I650" s="289"/>
      <c r="J650" s="289"/>
      <c r="K650" s="289"/>
      <c r="L650" s="289"/>
      <c r="M650" s="289"/>
      <c r="N650" s="289"/>
      <c r="O650" s="289"/>
      <c r="P650" s="289"/>
      <c r="Q650" s="289"/>
      <c r="R650" s="289"/>
      <c r="S650" s="289"/>
      <c r="T650" s="289"/>
      <c r="U650" s="289"/>
    </row>
    <row r="651" spans="4:21">
      <c r="D651" s="289"/>
      <c r="E651" s="289"/>
      <c r="F651" s="289"/>
      <c r="G651" s="289"/>
      <c r="H651" s="289"/>
      <c r="I651" s="289"/>
      <c r="J651" s="289"/>
      <c r="K651" s="289"/>
      <c r="L651" s="289"/>
      <c r="M651" s="289"/>
      <c r="N651" s="289"/>
      <c r="O651" s="289"/>
      <c r="P651" s="289"/>
      <c r="Q651" s="289"/>
      <c r="R651" s="289"/>
      <c r="S651" s="289"/>
      <c r="T651" s="289"/>
      <c r="U651" s="289"/>
    </row>
    <row r="652" spans="4:21">
      <c r="D652" s="289"/>
      <c r="E652" s="289"/>
      <c r="F652" s="289"/>
      <c r="G652" s="289"/>
      <c r="H652" s="289"/>
      <c r="I652" s="289"/>
      <c r="J652" s="289"/>
      <c r="K652" s="289"/>
      <c r="L652" s="289"/>
      <c r="M652" s="289"/>
      <c r="N652" s="289"/>
      <c r="O652" s="289"/>
      <c r="P652" s="289"/>
      <c r="Q652" s="289"/>
      <c r="R652" s="289"/>
      <c r="S652" s="289"/>
      <c r="T652" s="289"/>
      <c r="U652" s="289"/>
    </row>
    <row r="653" spans="4:21">
      <c r="D653" s="289"/>
      <c r="E653" s="289"/>
      <c r="F653" s="289"/>
      <c r="G653" s="289"/>
      <c r="H653" s="289"/>
      <c r="I653" s="289"/>
      <c r="J653" s="289"/>
      <c r="K653" s="289"/>
      <c r="L653" s="289"/>
      <c r="M653" s="289"/>
      <c r="N653" s="289"/>
      <c r="O653" s="289"/>
      <c r="P653" s="289"/>
      <c r="Q653" s="289"/>
      <c r="R653" s="289"/>
      <c r="S653" s="289"/>
      <c r="T653" s="289"/>
      <c r="U653" s="289"/>
    </row>
    <row r="654" spans="4:21">
      <c r="D654" s="289"/>
      <c r="E654" s="289"/>
      <c r="F654" s="289"/>
      <c r="G654" s="289"/>
      <c r="H654" s="289"/>
      <c r="I654" s="289"/>
      <c r="J654" s="289"/>
      <c r="K654" s="289"/>
      <c r="L654" s="289"/>
      <c r="M654" s="289"/>
      <c r="N654" s="289"/>
      <c r="O654" s="289"/>
      <c r="P654" s="289"/>
      <c r="Q654" s="289"/>
      <c r="R654" s="289"/>
      <c r="S654" s="289"/>
      <c r="T654" s="289"/>
      <c r="U654" s="289"/>
    </row>
    <row r="655" spans="4:21">
      <c r="D655" s="289"/>
      <c r="E655" s="289"/>
      <c r="F655" s="289"/>
      <c r="G655" s="289"/>
      <c r="H655" s="289"/>
      <c r="I655" s="289"/>
      <c r="J655" s="289"/>
      <c r="K655" s="289"/>
      <c r="L655" s="289"/>
      <c r="M655" s="289"/>
      <c r="N655" s="289"/>
      <c r="O655" s="289"/>
      <c r="P655" s="289"/>
      <c r="Q655" s="289"/>
      <c r="R655" s="289"/>
      <c r="S655" s="289"/>
      <c r="T655" s="289"/>
      <c r="U655" s="289"/>
    </row>
    <row r="656" spans="4:21">
      <c r="D656" s="289"/>
      <c r="E656" s="289"/>
      <c r="F656" s="289"/>
      <c r="G656" s="289"/>
      <c r="H656" s="289"/>
      <c r="I656" s="289"/>
      <c r="J656" s="289"/>
      <c r="K656" s="289"/>
      <c r="L656" s="289"/>
      <c r="M656" s="289"/>
      <c r="N656" s="289"/>
      <c r="O656" s="289"/>
      <c r="P656" s="289"/>
      <c r="Q656" s="289"/>
      <c r="R656" s="289"/>
      <c r="S656" s="289"/>
      <c r="T656" s="289"/>
      <c r="U656" s="289"/>
    </row>
    <row r="657" spans="4:21">
      <c r="D657" s="289"/>
      <c r="E657" s="289"/>
      <c r="F657" s="289"/>
      <c r="G657" s="289"/>
      <c r="H657" s="289"/>
      <c r="I657" s="289"/>
      <c r="J657" s="289"/>
      <c r="K657" s="289"/>
      <c r="L657" s="289"/>
      <c r="M657" s="289"/>
      <c r="N657" s="289"/>
      <c r="O657" s="289"/>
      <c r="P657" s="289"/>
      <c r="Q657" s="289"/>
      <c r="R657" s="289"/>
      <c r="S657" s="289"/>
      <c r="T657" s="289"/>
      <c r="U657" s="289"/>
    </row>
    <row r="658" spans="4:21">
      <c r="D658" s="289"/>
      <c r="E658" s="289"/>
      <c r="F658" s="289"/>
      <c r="G658" s="289"/>
      <c r="H658" s="289"/>
      <c r="I658" s="289"/>
      <c r="J658" s="289"/>
      <c r="K658" s="289"/>
      <c r="L658" s="289"/>
      <c r="M658" s="289"/>
      <c r="N658" s="289"/>
      <c r="O658" s="289"/>
      <c r="P658" s="289"/>
      <c r="Q658" s="289"/>
      <c r="R658" s="289"/>
      <c r="S658" s="289"/>
      <c r="T658" s="289"/>
      <c r="U658" s="289"/>
    </row>
    <row r="659" spans="4:21">
      <c r="D659" s="289"/>
      <c r="E659" s="289"/>
      <c r="F659" s="289"/>
      <c r="G659" s="289"/>
      <c r="H659" s="289"/>
      <c r="I659" s="289"/>
      <c r="J659" s="289"/>
      <c r="K659" s="289"/>
      <c r="L659" s="289"/>
      <c r="M659" s="289"/>
      <c r="N659" s="289"/>
      <c r="O659" s="289"/>
      <c r="P659" s="289"/>
      <c r="Q659" s="289"/>
      <c r="R659" s="289"/>
      <c r="S659" s="289"/>
      <c r="T659" s="289"/>
      <c r="U659" s="289"/>
    </row>
    <row r="660" spans="4:21">
      <c r="D660" s="289"/>
      <c r="E660" s="289"/>
      <c r="F660" s="289"/>
      <c r="G660" s="289"/>
      <c r="H660" s="289"/>
      <c r="I660" s="289"/>
      <c r="J660" s="289"/>
      <c r="K660" s="289"/>
      <c r="L660" s="289"/>
      <c r="M660" s="289"/>
      <c r="N660" s="289"/>
      <c r="O660" s="289"/>
      <c r="P660" s="289"/>
      <c r="Q660" s="289"/>
      <c r="R660" s="289"/>
      <c r="S660" s="289"/>
      <c r="T660" s="289"/>
      <c r="U660" s="289"/>
    </row>
    <row r="661" spans="4:21">
      <c r="D661" s="289"/>
      <c r="E661" s="289"/>
      <c r="F661" s="289"/>
      <c r="G661" s="289"/>
      <c r="H661" s="289"/>
      <c r="I661" s="289"/>
      <c r="J661" s="289"/>
      <c r="K661" s="289"/>
      <c r="L661" s="289"/>
      <c r="M661" s="289"/>
      <c r="N661" s="289"/>
      <c r="O661" s="289"/>
      <c r="P661" s="289"/>
      <c r="Q661" s="289"/>
      <c r="R661" s="289"/>
      <c r="S661" s="289"/>
      <c r="T661" s="289"/>
      <c r="U661" s="289"/>
    </row>
    <row r="662" spans="4:21">
      <c r="D662" s="289"/>
      <c r="E662" s="289"/>
      <c r="F662" s="289"/>
      <c r="G662" s="289"/>
      <c r="H662" s="289"/>
      <c r="I662" s="289"/>
      <c r="J662" s="289"/>
      <c r="K662" s="289"/>
      <c r="L662" s="289"/>
      <c r="M662" s="289"/>
      <c r="N662" s="289"/>
      <c r="O662" s="289"/>
      <c r="P662" s="289"/>
      <c r="Q662" s="289"/>
      <c r="R662" s="289"/>
      <c r="S662" s="289"/>
      <c r="T662" s="289"/>
      <c r="U662" s="289"/>
    </row>
    <row r="663" spans="4:21">
      <c r="D663" s="289"/>
      <c r="E663" s="289"/>
      <c r="F663" s="289"/>
      <c r="G663" s="289"/>
      <c r="H663" s="289"/>
      <c r="I663" s="289"/>
      <c r="J663" s="289"/>
      <c r="K663" s="289"/>
      <c r="L663" s="289"/>
      <c r="M663" s="289"/>
      <c r="N663" s="289"/>
      <c r="O663" s="289"/>
      <c r="P663" s="289"/>
      <c r="Q663" s="289"/>
      <c r="R663" s="289"/>
      <c r="S663" s="289"/>
      <c r="T663" s="289"/>
      <c r="U663" s="289"/>
    </row>
    <row r="664" spans="4:21">
      <c r="D664" s="289"/>
      <c r="E664" s="289"/>
      <c r="F664" s="289"/>
      <c r="G664" s="289"/>
      <c r="H664" s="289"/>
      <c r="I664" s="289"/>
      <c r="J664" s="289"/>
      <c r="K664" s="289"/>
      <c r="L664" s="289"/>
      <c r="M664" s="289"/>
      <c r="N664" s="289"/>
      <c r="O664" s="289"/>
      <c r="P664" s="289"/>
      <c r="Q664" s="289"/>
      <c r="R664" s="289"/>
      <c r="S664" s="289"/>
      <c r="T664" s="289"/>
      <c r="U664" s="289"/>
    </row>
    <row r="665" spans="4:21">
      <c r="D665" s="289"/>
      <c r="E665" s="289"/>
      <c r="F665" s="289"/>
      <c r="G665" s="289"/>
      <c r="H665" s="289"/>
      <c r="I665" s="289"/>
      <c r="J665" s="289"/>
      <c r="K665" s="289"/>
      <c r="L665" s="289"/>
      <c r="M665" s="289"/>
      <c r="N665" s="289"/>
      <c r="O665" s="289"/>
      <c r="P665" s="289"/>
      <c r="Q665" s="289"/>
      <c r="R665" s="289"/>
      <c r="S665" s="289"/>
      <c r="T665" s="289"/>
      <c r="U665" s="289"/>
    </row>
    <row r="666" spans="4:21">
      <c r="D666" s="289"/>
      <c r="E666" s="289"/>
      <c r="F666" s="289"/>
      <c r="G666" s="289"/>
      <c r="H666" s="289"/>
      <c r="I666" s="289"/>
      <c r="J666" s="289"/>
      <c r="K666" s="289"/>
      <c r="L666" s="289"/>
      <c r="M666" s="289"/>
      <c r="N666" s="289"/>
      <c r="O666" s="289"/>
      <c r="P666" s="289"/>
      <c r="Q666" s="289"/>
      <c r="R666" s="289"/>
      <c r="S666" s="289"/>
      <c r="T666" s="289"/>
      <c r="U666" s="289"/>
    </row>
    <row r="667" spans="4:21">
      <c r="D667" s="289"/>
      <c r="E667" s="289"/>
      <c r="F667" s="289"/>
      <c r="G667" s="289"/>
      <c r="H667" s="289"/>
      <c r="I667" s="289"/>
      <c r="J667" s="289"/>
      <c r="K667" s="289"/>
      <c r="L667" s="289"/>
      <c r="M667" s="289"/>
      <c r="N667" s="289"/>
      <c r="O667" s="289"/>
      <c r="P667" s="289"/>
      <c r="Q667" s="289"/>
      <c r="R667" s="289"/>
      <c r="S667" s="289"/>
      <c r="T667" s="289"/>
      <c r="U667" s="289"/>
    </row>
    <row r="668" spans="4:21">
      <c r="D668" s="289"/>
      <c r="E668" s="289"/>
      <c r="F668" s="289"/>
      <c r="G668" s="289"/>
      <c r="H668" s="289"/>
      <c r="I668" s="289"/>
      <c r="J668" s="289"/>
      <c r="K668" s="289"/>
      <c r="L668" s="289"/>
      <c r="M668" s="289"/>
      <c r="N668" s="289"/>
      <c r="O668" s="289"/>
      <c r="P668" s="289"/>
      <c r="Q668" s="289"/>
      <c r="R668" s="289"/>
      <c r="S668" s="289"/>
      <c r="T668" s="289"/>
      <c r="U668" s="289"/>
    </row>
    <row r="669" spans="4:21">
      <c r="D669" s="289"/>
      <c r="E669" s="289"/>
      <c r="F669" s="289"/>
      <c r="G669" s="289"/>
      <c r="H669" s="289"/>
      <c r="I669" s="289"/>
      <c r="J669" s="289"/>
      <c r="K669" s="289"/>
      <c r="L669" s="289"/>
      <c r="M669" s="289"/>
      <c r="N669" s="289"/>
      <c r="O669" s="289"/>
      <c r="P669" s="289"/>
      <c r="Q669" s="289"/>
      <c r="R669" s="289"/>
      <c r="S669" s="289"/>
      <c r="T669" s="289"/>
      <c r="U669" s="289"/>
    </row>
    <row r="670" spans="4:21">
      <c r="D670" s="289"/>
      <c r="E670" s="289"/>
      <c r="F670" s="289"/>
      <c r="G670" s="289"/>
      <c r="H670" s="289"/>
      <c r="I670" s="289"/>
      <c r="J670" s="289"/>
      <c r="K670" s="289"/>
      <c r="L670" s="289"/>
      <c r="M670" s="289"/>
      <c r="N670" s="289"/>
      <c r="O670" s="289"/>
      <c r="P670" s="289"/>
      <c r="Q670" s="289"/>
      <c r="R670" s="289"/>
      <c r="S670" s="289"/>
      <c r="T670" s="289"/>
      <c r="U670" s="289"/>
    </row>
    <row r="671" spans="4:21">
      <c r="D671" s="289"/>
      <c r="E671" s="289"/>
      <c r="F671" s="289"/>
      <c r="G671" s="289"/>
      <c r="H671" s="289"/>
      <c r="I671" s="289"/>
      <c r="J671" s="289"/>
      <c r="K671" s="289"/>
      <c r="L671" s="289"/>
      <c r="M671" s="289"/>
      <c r="N671" s="289"/>
      <c r="O671" s="289"/>
      <c r="P671" s="289"/>
      <c r="Q671" s="289"/>
      <c r="R671" s="289"/>
      <c r="S671" s="289"/>
      <c r="T671" s="289"/>
      <c r="U671" s="289"/>
    </row>
    <row r="672" spans="4:21">
      <c r="D672" s="289"/>
      <c r="E672" s="289"/>
      <c r="F672" s="289"/>
      <c r="G672" s="289"/>
      <c r="H672" s="289"/>
      <c r="I672" s="289"/>
      <c r="J672" s="289"/>
      <c r="K672" s="289"/>
      <c r="L672" s="289"/>
      <c r="M672" s="289"/>
      <c r="N672" s="289"/>
      <c r="O672" s="289"/>
      <c r="P672" s="289"/>
      <c r="Q672" s="289"/>
      <c r="R672" s="289"/>
      <c r="S672" s="289"/>
      <c r="T672" s="289"/>
      <c r="U672" s="289"/>
    </row>
    <row r="673" spans="4:21">
      <c r="D673" s="289"/>
      <c r="E673" s="289"/>
      <c r="F673" s="289"/>
      <c r="G673" s="289"/>
      <c r="H673" s="289"/>
      <c r="I673" s="289"/>
      <c r="J673" s="289"/>
      <c r="K673" s="289"/>
      <c r="L673" s="289"/>
      <c r="M673" s="289"/>
      <c r="N673" s="289"/>
      <c r="O673" s="289"/>
      <c r="P673" s="289"/>
      <c r="Q673" s="289"/>
      <c r="R673" s="289"/>
      <c r="S673" s="289"/>
      <c r="T673" s="289"/>
      <c r="U673" s="289"/>
    </row>
    <row r="674" spans="4:21">
      <c r="D674" s="289"/>
      <c r="E674" s="289"/>
      <c r="F674" s="289"/>
      <c r="G674" s="289"/>
      <c r="H674" s="289"/>
      <c r="I674" s="289"/>
      <c r="J674" s="289"/>
      <c r="K674" s="289"/>
      <c r="L674" s="289"/>
      <c r="M674" s="289"/>
      <c r="N674" s="289"/>
      <c r="O674" s="289"/>
      <c r="P674" s="289"/>
      <c r="Q674" s="289"/>
      <c r="R674" s="289"/>
      <c r="S674" s="289"/>
      <c r="T674" s="289"/>
      <c r="U674" s="289"/>
    </row>
    <row r="675" spans="4:21">
      <c r="D675" s="289"/>
      <c r="E675" s="289"/>
      <c r="F675" s="289"/>
      <c r="G675" s="289"/>
      <c r="H675" s="289"/>
      <c r="I675" s="289"/>
      <c r="J675" s="289"/>
      <c r="K675" s="289"/>
      <c r="L675" s="289"/>
      <c r="M675" s="289"/>
      <c r="N675" s="289"/>
      <c r="O675" s="289"/>
      <c r="P675" s="289"/>
      <c r="Q675" s="289"/>
      <c r="R675" s="289"/>
      <c r="S675" s="289"/>
      <c r="T675" s="289"/>
      <c r="U675" s="289"/>
    </row>
    <row r="676" spans="4:21">
      <c r="D676" s="289"/>
      <c r="E676" s="289"/>
      <c r="F676" s="289"/>
      <c r="G676" s="289"/>
      <c r="H676" s="289"/>
      <c r="I676" s="289"/>
      <c r="J676" s="289"/>
      <c r="K676" s="289"/>
      <c r="L676" s="289"/>
      <c r="M676" s="289"/>
      <c r="N676" s="289"/>
      <c r="O676" s="289"/>
      <c r="P676" s="289"/>
      <c r="Q676" s="289"/>
      <c r="R676" s="289"/>
      <c r="S676" s="289"/>
      <c r="T676" s="289"/>
      <c r="U676" s="289"/>
    </row>
    <row r="677" spans="4:21">
      <c r="D677" s="289"/>
      <c r="E677" s="289"/>
      <c r="F677" s="289"/>
      <c r="G677" s="289"/>
      <c r="H677" s="289"/>
      <c r="I677" s="289"/>
      <c r="J677" s="289"/>
      <c r="K677" s="289"/>
      <c r="L677" s="289"/>
      <c r="M677" s="289"/>
      <c r="N677" s="289"/>
      <c r="O677" s="289"/>
      <c r="P677" s="289"/>
      <c r="Q677" s="289"/>
      <c r="R677" s="289"/>
      <c r="S677" s="289"/>
      <c r="T677" s="289"/>
      <c r="U677" s="289"/>
    </row>
    <row r="678" spans="4:21">
      <c r="D678" s="289"/>
      <c r="E678" s="289"/>
      <c r="F678" s="289"/>
      <c r="G678" s="289"/>
      <c r="H678" s="289"/>
      <c r="I678" s="289"/>
      <c r="J678" s="289"/>
      <c r="K678" s="289"/>
      <c r="L678" s="289"/>
      <c r="M678" s="289"/>
      <c r="N678" s="289"/>
      <c r="O678" s="289"/>
      <c r="P678" s="289"/>
      <c r="Q678" s="289"/>
      <c r="R678" s="289"/>
      <c r="S678" s="289"/>
      <c r="T678" s="289"/>
      <c r="U678" s="289"/>
    </row>
    <row r="679" spans="4:21">
      <c r="D679" s="289"/>
      <c r="E679" s="289"/>
      <c r="F679" s="289"/>
      <c r="G679" s="289"/>
      <c r="H679" s="289"/>
      <c r="I679" s="289"/>
      <c r="J679" s="289"/>
      <c r="K679" s="289"/>
      <c r="L679" s="289"/>
      <c r="M679" s="289"/>
      <c r="N679" s="289"/>
      <c r="O679" s="289"/>
      <c r="P679" s="289"/>
      <c r="Q679" s="289"/>
      <c r="R679" s="289"/>
      <c r="S679" s="289"/>
      <c r="T679" s="289"/>
      <c r="U679" s="289"/>
    </row>
    <row r="680" spans="4:21">
      <c r="D680" s="289"/>
      <c r="E680" s="289"/>
      <c r="F680" s="289"/>
      <c r="G680" s="289"/>
      <c r="H680" s="289"/>
      <c r="I680" s="289"/>
      <c r="J680" s="289"/>
      <c r="K680" s="289"/>
      <c r="L680" s="289"/>
      <c r="M680" s="289"/>
      <c r="N680" s="289"/>
      <c r="O680" s="289"/>
      <c r="P680" s="289"/>
      <c r="Q680" s="289"/>
      <c r="R680" s="289"/>
      <c r="S680" s="289"/>
      <c r="T680" s="289"/>
      <c r="U680" s="289"/>
    </row>
    <row r="681" spans="4:21">
      <c r="D681" s="289"/>
      <c r="E681" s="289"/>
      <c r="F681" s="289"/>
      <c r="G681" s="289"/>
      <c r="H681" s="289"/>
      <c r="I681" s="289"/>
      <c r="J681" s="289"/>
      <c r="K681" s="289"/>
      <c r="L681" s="289"/>
      <c r="M681" s="289"/>
      <c r="N681" s="289"/>
      <c r="O681" s="289"/>
      <c r="P681" s="289"/>
      <c r="Q681" s="289"/>
      <c r="R681" s="289"/>
      <c r="S681" s="289"/>
      <c r="T681" s="289"/>
      <c r="U681" s="289"/>
    </row>
    <row r="682" spans="4:21">
      <c r="D682" s="289"/>
      <c r="E682" s="289"/>
      <c r="F682" s="289"/>
      <c r="G682" s="289"/>
      <c r="H682" s="289"/>
      <c r="I682" s="289"/>
      <c r="J682" s="289"/>
      <c r="K682" s="289"/>
      <c r="L682" s="289"/>
      <c r="M682" s="289"/>
      <c r="N682" s="289"/>
      <c r="O682" s="289"/>
      <c r="P682" s="289"/>
      <c r="Q682" s="289"/>
      <c r="R682" s="289"/>
      <c r="S682" s="289"/>
      <c r="T682" s="289"/>
      <c r="U682" s="289"/>
    </row>
    <row r="683" spans="4:21">
      <c r="D683" s="289"/>
      <c r="E683" s="289"/>
      <c r="F683" s="289"/>
      <c r="G683" s="289"/>
      <c r="H683" s="289"/>
      <c r="I683" s="289"/>
      <c r="J683" s="289"/>
      <c r="K683" s="289"/>
      <c r="L683" s="289"/>
      <c r="M683" s="289"/>
      <c r="N683" s="289"/>
      <c r="O683" s="289"/>
      <c r="P683" s="289"/>
      <c r="Q683" s="289"/>
      <c r="R683" s="289"/>
      <c r="S683" s="289"/>
      <c r="T683" s="289"/>
      <c r="U683" s="289"/>
    </row>
    <row r="684" spans="4:21">
      <c r="D684" s="289"/>
      <c r="E684" s="289"/>
      <c r="F684" s="289"/>
      <c r="G684" s="289"/>
      <c r="H684" s="289"/>
      <c r="I684" s="289"/>
      <c r="J684" s="289"/>
      <c r="K684" s="289"/>
      <c r="L684" s="289"/>
      <c r="M684" s="289"/>
      <c r="N684" s="289"/>
      <c r="O684" s="289"/>
      <c r="P684" s="289"/>
      <c r="Q684" s="289"/>
      <c r="R684" s="289"/>
      <c r="S684" s="289"/>
      <c r="T684" s="289"/>
      <c r="U684" s="289"/>
    </row>
    <row r="685" spans="4:21">
      <c r="D685" s="289"/>
      <c r="E685" s="289"/>
      <c r="F685" s="289"/>
      <c r="G685" s="289"/>
      <c r="H685" s="289"/>
      <c r="I685" s="289"/>
      <c r="J685" s="289"/>
      <c r="K685" s="289"/>
      <c r="L685" s="289"/>
      <c r="M685" s="289"/>
      <c r="N685" s="289"/>
      <c r="O685" s="289"/>
      <c r="P685" s="289"/>
      <c r="Q685" s="289"/>
      <c r="R685" s="289"/>
      <c r="S685" s="289"/>
      <c r="T685" s="289"/>
      <c r="U685" s="289"/>
    </row>
    <row r="686" spans="4:21">
      <c r="D686" s="289"/>
      <c r="E686" s="289"/>
      <c r="F686" s="289"/>
      <c r="G686" s="289"/>
      <c r="H686" s="289"/>
      <c r="I686" s="289"/>
      <c r="J686" s="289"/>
      <c r="K686" s="289"/>
      <c r="L686" s="289"/>
      <c r="M686" s="289"/>
      <c r="N686" s="289"/>
      <c r="O686" s="289"/>
      <c r="P686" s="289"/>
      <c r="Q686" s="289"/>
      <c r="R686" s="289"/>
      <c r="S686" s="289"/>
      <c r="T686" s="289"/>
      <c r="U686" s="289"/>
    </row>
    <row r="687" spans="4:21">
      <c r="D687" s="289"/>
      <c r="E687" s="289"/>
      <c r="F687" s="289"/>
      <c r="G687" s="289"/>
      <c r="H687" s="289"/>
      <c r="I687" s="289"/>
      <c r="J687" s="289"/>
      <c r="K687" s="289"/>
      <c r="L687" s="289"/>
      <c r="M687" s="289"/>
      <c r="N687" s="289"/>
      <c r="O687" s="289"/>
      <c r="P687" s="289"/>
      <c r="Q687" s="289"/>
      <c r="R687" s="289"/>
      <c r="S687" s="289"/>
      <c r="T687" s="289"/>
      <c r="U687" s="289"/>
    </row>
    <row r="688" spans="4:21">
      <c r="D688" s="289"/>
      <c r="E688" s="289"/>
      <c r="F688" s="289"/>
      <c r="G688" s="289"/>
      <c r="H688" s="289"/>
      <c r="I688" s="289"/>
      <c r="J688" s="289"/>
      <c r="K688" s="289"/>
      <c r="L688" s="289"/>
      <c r="M688" s="289"/>
      <c r="N688" s="289"/>
      <c r="O688" s="289"/>
      <c r="P688" s="289"/>
      <c r="Q688" s="289"/>
      <c r="R688" s="289"/>
      <c r="S688" s="289"/>
      <c r="T688" s="289"/>
      <c r="U688" s="289"/>
    </row>
    <row r="689" spans="4:21">
      <c r="D689" s="289"/>
      <c r="E689" s="289"/>
      <c r="F689" s="289"/>
      <c r="G689" s="289"/>
      <c r="H689" s="289"/>
      <c r="I689" s="289"/>
      <c r="J689" s="289"/>
      <c r="K689" s="289"/>
      <c r="L689" s="289"/>
      <c r="M689" s="289"/>
      <c r="N689" s="289"/>
      <c r="O689" s="289"/>
      <c r="P689" s="289"/>
      <c r="Q689" s="289"/>
      <c r="R689" s="289"/>
      <c r="S689" s="289"/>
      <c r="T689" s="289"/>
      <c r="U689" s="289"/>
    </row>
    <row r="690" spans="4:21">
      <c r="D690" s="289"/>
      <c r="E690" s="289"/>
      <c r="F690" s="289"/>
      <c r="G690" s="289"/>
      <c r="H690" s="289"/>
      <c r="I690" s="289"/>
      <c r="J690" s="289"/>
      <c r="K690" s="289"/>
      <c r="L690" s="289"/>
      <c r="M690" s="289"/>
      <c r="N690" s="289"/>
      <c r="O690" s="289"/>
      <c r="P690" s="289"/>
      <c r="Q690" s="289"/>
      <c r="R690" s="289"/>
      <c r="S690" s="289"/>
      <c r="T690" s="289"/>
      <c r="U690" s="289"/>
    </row>
    <row r="691" spans="4:21">
      <c r="D691" s="289"/>
      <c r="E691" s="289"/>
      <c r="F691" s="289"/>
      <c r="G691" s="289"/>
      <c r="H691" s="289"/>
      <c r="I691" s="289"/>
      <c r="J691" s="289"/>
      <c r="K691" s="289"/>
      <c r="L691" s="289"/>
      <c r="M691" s="289"/>
      <c r="N691" s="289"/>
      <c r="O691" s="289"/>
      <c r="P691" s="289"/>
      <c r="Q691" s="289"/>
      <c r="R691" s="289"/>
      <c r="S691" s="289"/>
      <c r="T691" s="289"/>
      <c r="U691" s="289"/>
    </row>
    <row r="692" spans="4:21">
      <c r="D692" s="289"/>
      <c r="E692" s="289"/>
      <c r="F692" s="289"/>
      <c r="G692" s="289"/>
      <c r="H692" s="289"/>
      <c r="I692" s="289"/>
      <c r="J692" s="289"/>
      <c r="K692" s="289"/>
      <c r="L692" s="289"/>
      <c r="M692" s="289"/>
      <c r="N692" s="289"/>
      <c r="O692" s="289"/>
      <c r="P692" s="289"/>
      <c r="Q692" s="289"/>
      <c r="R692" s="289"/>
      <c r="S692" s="289"/>
      <c r="T692" s="289"/>
      <c r="U692" s="289"/>
    </row>
    <row r="693" spans="4:21">
      <c r="D693" s="289"/>
      <c r="E693" s="289"/>
      <c r="F693" s="289"/>
      <c r="G693" s="289"/>
      <c r="H693" s="289"/>
      <c r="I693" s="289"/>
      <c r="J693" s="289"/>
      <c r="K693" s="289"/>
      <c r="L693" s="289"/>
      <c r="M693" s="289"/>
      <c r="N693" s="289"/>
      <c r="O693" s="289"/>
      <c r="P693" s="289"/>
      <c r="Q693" s="289"/>
      <c r="R693" s="289"/>
      <c r="S693" s="289"/>
      <c r="T693" s="289"/>
      <c r="U693" s="289"/>
    </row>
    <row r="694" spans="4:21">
      <c r="D694" s="289"/>
      <c r="E694" s="289"/>
      <c r="F694" s="289"/>
      <c r="G694" s="289"/>
      <c r="H694" s="289"/>
      <c r="I694" s="289"/>
      <c r="J694" s="289"/>
      <c r="K694" s="289"/>
      <c r="L694" s="289"/>
      <c r="M694" s="289"/>
      <c r="N694" s="289"/>
      <c r="O694" s="289"/>
      <c r="P694" s="289"/>
      <c r="Q694" s="289"/>
      <c r="R694" s="289"/>
      <c r="S694" s="289"/>
      <c r="T694" s="289"/>
      <c r="U694" s="289"/>
    </row>
    <row r="695" spans="4:21">
      <c r="D695" s="289"/>
      <c r="E695" s="289"/>
      <c r="F695" s="289"/>
      <c r="G695" s="289"/>
      <c r="H695" s="289"/>
      <c r="I695" s="289"/>
      <c r="J695" s="289"/>
      <c r="K695" s="289"/>
      <c r="L695" s="289"/>
      <c r="M695" s="289"/>
      <c r="N695" s="289"/>
      <c r="O695" s="289"/>
      <c r="P695" s="289"/>
      <c r="Q695" s="289"/>
      <c r="R695" s="289"/>
      <c r="S695" s="289"/>
      <c r="T695" s="289"/>
      <c r="U695" s="289"/>
    </row>
    <row r="696" spans="4:21">
      <c r="D696" s="289"/>
      <c r="E696" s="289"/>
      <c r="F696" s="289"/>
      <c r="G696" s="289"/>
      <c r="H696" s="289"/>
      <c r="I696" s="289"/>
      <c r="J696" s="289"/>
      <c r="K696" s="289"/>
      <c r="L696" s="289"/>
      <c r="M696" s="289"/>
      <c r="N696" s="289"/>
      <c r="O696" s="289"/>
      <c r="P696" s="289"/>
      <c r="Q696" s="289"/>
      <c r="R696" s="289"/>
      <c r="S696" s="289"/>
      <c r="T696" s="289"/>
      <c r="U696" s="289"/>
    </row>
    <row r="697" spans="4:21">
      <c r="D697" s="289"/>
      <c r="E697" s="289"/>
      <c r="F697" s="289"/>
      <c r="G697" s="289"/>
      <c r="H697" s="289"/>
      <c r="I697" s="289"/>
      <c r="J697" s="289"/>
      <c r="K697" s="289"/>
      <c r="L697" s="289"/>
      <c r="M697" s="289"/>
      <c r="N697" s="289"/>
      <c r="O697" s="289"/>
      <c r="P697" s="289"/>
      <c r="Q697" s="289"/>
      <c r="R697" s="289"/>
      <c r="S697" s="289"/>
      <c r="T697" s="289"/>
      <c r="U697" s="289"/>
    </row>
    <row r="698" spans="4:21">
      <c r="D698" s="289"/>
      <c r="E698" s="289"/>
      <c r="F698" s="289"/>
      <c r="G698" s="289"/>
      <c r="H698" s="289"/>
      <c r="I698" s="289"/>
      <c r="J698" s="289"/>
      <c r="K698" s="289"/>
      <c r="L698" s="289"/>
      <c r="M698" s="289"/>
      <c r="N698" s="289"/>
      <c r="O698" s="289"/>
      <c r="P698" s="289"/>
      <c r="Q698" s="289"/>
      <c r="R698" s="289"/>
      <c r="S698" s="289"/>
      <c r="T698" s="289"/>
      <c r="U698" s="289"/>
    </row>
    <row r="699" spans="4:21">
      <c r="D699" s="289"/>
      <c r="E699" s="289"/>
      <c r="F699" s="289"/>
      <c r="G699" s="289"/>
      <c r="H699" s="289"/>
      <c r="I699" s="289"/>
      <c r="J699" s="289"/>
      <c r="K699" s="289"/>
      <c r="L699" s="289"/>
      <c r="M699" s="289"/>
      <c r="N699" s="289"/>
      <c r="O699" s="289"/>
      <c r="P699" s="289"/>
      <c r="Q699" s="289"/>
      <c r="R699" s="289"/>
      <c r="S699" s="289"/>
      <c r="T699" s="289"/>
      <c r="U699" s="289"/>
    </row>
    <row r="700" spans="4:21">
      <c r="D700" s="289"/>
      <c r="E700" s="289"/>
      <c r="F700" s="289"/>
      <c r="G700" s="289"/>
      <c r="H700" s="289"/>
      <c r="I700" s="289"/>
      <c r="J700" s="289"/>
      <c r="K700" s="289"/>
      <c r="L700" s="289"/>
      <c r="M700" s="289"/>
      <c r="N700" s="289"/>
      <c r="O700" s="289"/>
      <c r="P700" s="289"/>
      <c r="Q700" s="289"/>
      <c r="R700" s="289"/>
      <c r="S700" s="289"/>
      <c r="T700" s="289"/>
      <c r="U700" s="289"/>
    </row>
    <row r="701" spans="4:21">
      <c r="D701" s="289"/>
      <c r="E701" s="289"/>
      <c r="F701" s="289"/>
      <c r="G701" s="289"/>
      <c r="H701" s="289"/>
      <c r="I701" s="289"/>
      <c r="J701" s="289"/>
      <c r="K701" s="289"/>
      <c r="L701" s="289"/>
      <c r="M701" s="289"/>
      <c r="N701" s="289"/>
      <c r="O701" s="289"/>
      <c r="P701" s="289"/>
      <c r="Q701" s="289"/>
      <c r="R701" s="289"/>
      <c r="S701" s="289"/>
      <c r="T701" s="289"/>
      <c r="U701" s="289"/>
    </row>
    <row r="702" spans="4:21">
      <c r="D702" s="289"/>
      <c r="E702" s="289"/>
      <c r="F702" s="289"/>
      <c r="G702" s="289"/>
      <c r="H702" s="289"/>
      <c r="I702" s="289"/>
      <c r="J702" s="289"/>
      <c r="K702" s="289"/>
      <c r="L702" s="289"/>
      <c r="M702" s="289"/>
      <c r="N702" s="289"/>
      <c r="O702" s="289"/>
      <c r="P702" s="289"/>
      <c r="Q702" s="289"/>
      <c r="R702" s="289"/>
      <c r="S702" s="289"/>
      <c r="T702" s="289"/>
      <c r="U702" s="289"/>
    </row>
    <row r="703" spans="4:21">
      <c r="D703" s="289"/>
      <c r="E703" s="289"/>
      <c r="F703" s="289"/>
      <c r="G703" s="289"/>
      <c r="H703" s="289"/>
      <c r="I703" s="289"/>
      <c r="J703" s="289"/>
      <c r="K703" s="289"/>
      <c r="L703" s="289"/>
      <c r="M703" s="289"/>
      <c r="N703" s="289"/>
      <c r="O703" s="289"/>
      <c r="P703" s="289"/>
      <c r="Q703" s="289"/>
      <c r="R703" s="289"/>
      <c r="S703" s="289"/>
      <c r="T703" s="289"/>
      <c r="U703" s="289"/>
    </row>
    <row r="704" spans="4:21">
      <c r="D704" s="289"/>
      <c r="E704" s="289"/>
      <c r="F704" s="289"/>
      <c r="G704" s="289"/>
      <c r="H704" s="289"/>
      <c r="I704" s="289"/>
      <c r="J704" s="289"/>
      <c r="K704" s="289"/>
      <c r="L704" s="289"/>
      <c r="M704" s="289"/>
      <c r="N704" s="289"/>
      <c r="O704" s="289"/>
      <c r="P704" s="289"/>
      <c r="Q704" s="289"/>
      <c r="R704" s="289"/>
      <c r="S704" s="289"/>
      <c r="T704" s="289"/>
      <c r="U704" s="289"/>
    </row>
    <row r="705" spans="4:21">
      <c r="D705" s="289"/>
      <c r="E705" s="289"/>
      <c r="F705" s="289"/>
      <c r="G705" s="289"/>
      <c r="H705" s="289"/>
      <c r="I705" s="289"/>
      <c r="J705" s="289"/>
      <c r="K705" s="289"/>
      <c r="L705" s="289"/>
      <c r="M705" s="289"/>
      <c r="N705" s="289"/>
      <c r="O705" s="289"/>
      <c r="P705" s="289"/>
      <c r="Q705" s="289"/>
      <c r="R705" s="289"/>
      <c r="S705" s="289"/>
      <c r="T705" s="289"/>
      <c r="U705" s="289"/>
    </row>
    <row r="706" spans="4:21">
      <c r="D706" s="289"/>
      <c r="E706" s="289"/>
      <c r="F706" s="289"/>
      <c r="G706" s="289"/>
      <c r="H706" s="289"/>
      <c r="I706" s="289"/>
      <c r="J706" s="289"/>
      <c r="K706" s="289"/>
      <c r="L706" s="289"/>
      <c r="M706" s="289"/>
      <c r="N706" s="289"/>
      <c r="O706" s="289"/>
      <c r="P706" s="289"/>
      <c r="Q706" s="289"/>
      <c r="R706" s="289"/>
      <c r="S706" s="289"/>
      <c r="T706" s="289"/>
      <c r="U706" s="289"/>
    </row>
    <row r="707" spans="4:21">
      <c r="D707" s="289"/>
      <c r="E707" s="289"/>
      <c r="F707" s="289"/>
      <c r="G707" s="289"/>
      <c r="H707" s="289"/>
      <c r="I707" s="289"/>
      <c r="J707" s="289"/>
      <c r="K707" s="289"/>
      <c r="L707" s="289"/>
      <c r="M707" s="289"/>
      <c r="N707" s="289"/>
      <c r="O707" s="289"/>
      <c r="P707" s="289"/>
      <c r="Q707" s="289"/>
      <c r="R707" s="289"/>
      <c r="S707" s="289"/>
      <c r="T707" s="289"/>
      <c r="U707" s="289"/>
    </row>
    <row r="708" spans="4:21">
      <c r="D708" s="289"/>
      <c r="E708" s="289"/>
      <c r="F708" s="289"/>
      <c r="G708" s="289"/>
      <c r="H708" s="289"/>
      <c r="I708" s="289"/>
      <c r="J708" s="289"/>
      <c r="K708" s="289"/>
      <c r="L708" s="289"/>
      <c r="M708" s="289"/>
      <c r="N708" s="289"/>
      <c r="O708" s="289"/>
      <c r="P708" s="289"/>
      <c r="Q708" s="289"/>
      <c r="R708" s="289"/>
      <c r="S708" s="289"/>
      <c r="T708" s="289"/>
      <c r="U708" s="289"/>
    </row>
    <row r="709" spans="4:21">
      <c r="D709" s="289"/>
      <c r="E709" s="289"/>
      <c r="F709" s="289"/>
      <c r="G709" s="289"/>
      <c r="H709" s="289"/>
      <c r="I709" s="289"/>
      <c r="J709" s="289"/>
      <c r="K709" s="289"/>
      <c r="L709" s="289"/>
      <c r="M709" s="289"/>
      <c r="N709" s="289"/>
      <c r="O709" s="289"/>
      <c r="P709" s="289"/>
      <c r="Q709" s="289"/>
      <c r="R709" s="289"/>
      <c r="S709" s="289"/>
      <c r="T709" s="289"/>
      <c r="U709" s="289"/>
    </row>
    <row r="710" spans="4:21">
      <c r="D710" s="289"/>
      <c r="E710" s="289"/>
      <c r="F710" s="289"/>
      <c r="G710" s="289"/>
      <c r="H710" s="289"/>
      <c r="I710" s="289"/>
      <c r="J710" s="289"/>
      <c r="K710" s="289"/>
      <c r="L710" s="289"/>
      <c r="M710" s="289"/>
      <c r="N710" s="289"/>
      <c r="O710" s="289"/>
      <c r="P710" s="289"/>
      <c r="Q710" s="289"/>
      <c r="R710" s="289"/>
      <c r="S710" s="289"/>
      <c r="T710" s="289"/>
      <c r="U710" s="289"/>
    </row>
    <row r="711" spans="4:21">
      <c r="D711" s="289"/>
      <c r="E711" s="289"/>
      <c r="F711" s="289"/>
      <c r="G711" s="289"/>
      <c r="H711" s="289"/>
      <c r="I711" s="289"/>
      <c r="J711" s="289"/>
      <c r="K711" s="289"/>
      <c r="L711" s="289"/>
      <c r="M711" s="289"/>
      <c r="N711" s="289"/>
      <c r="O711" s="289"/>
      <c r="P711" s="289"/>
      <c r="Q711" s="289"/>
      <c r="R711" s="289"/>
      <c r="S711" s="289"/>
      <c r="T711" s="289"/>
      <c r="U711" s="289"/>
    </row>
    <row r="712" spans="4:21">
      <c r="D712" s="289"/>
      <c r="E712" s="289"/>
      <c r="F712" s="289"/>
      <c r="G712" s="289"/>
      <c r="H712" s="289"/>
      <c r="I712" s="289"/>
      <c r="J712" s="289"/>
      <c r="K712" s="289"/>
      <c r="L712" s="289"/>
      <c r="M712" s="289"/>
      <c r="N712" s="289"/>
      <c r="O712" s="289"/>
      <c r="P712" s="289"/>
      <c r="Q712" s="289"/>
      <c r="R712" s="289"/>
      <c r="S712" s="289"/>
      <c r="T712" s="289"/>
      <c r="U712" s="289"/>
    </row>
    <row r="713" spans="4:21">
      <c r="D713" s="289"/>
      <c r="E713" s="289"/>
      <c r="F713" s="289"/>
      <c r="G713" s="289"/>
      <c r="H713" s="289"/>
      <c r="I713" s="289"/>
      <c r="J713" s="289"/>
      <c r="K713" s="289"/>
      <c r="L713" s="289"/>
      <c r="M713" s="289"/>
      <c r="N713" s="289"/>
      <c r="O713" s="289"/>
      <c r="P713" s="289"/>
      <c r="Q713" s="289"/>
      <c r="R713" s="289"/>
      <c r="S713" s="289"/>
      <c r="T713" s="289"/>
      <c r="U713" s="289"/>
    </row>
    <row r="714" spans="4:21">
      <c r="D714" s="289"/>
      <c r="E714" s="289"/>
      <c r="F714" s="289"/>
      <c r="G714" s="289"/>
      <c r="H714" s="289"/>
      <c r="I714" s="289"/>
      <c r="J714" s="289"/>
      <c r="K714" s="289"/>
      <c r="L714" s="289"/>
      <c r="M714" s="289"/>
      <c r="N714" s="289"/>
      <c r="O714" s="289"/>
      <c r="P714" s="289"/>
      <c r="Q714" s="289"/>
      <c r="R714" s="289"/>
      <c r="S714" s="289"/>
      <c r="T714" s="289"/>
      <c r="U714" s="289"/>
    </row>
    <row r="715" spans="4:21">
      <c r="D715" s="289"/>
      <c r="E715" s="289"/>
      <c r="F715" s="289"/>
      <c r="G715" s="289"/>
      <c r="H715" s="289"/>
      <c r="I715" s="289"/>
      <c r="J715" s="289"/>
      <c r="K715" s="289"/>
      <c r="L715" s="289"/>
      <c r="M715" s="289"/>
      <c r="N715" s="289"/>
      <c r="O715" s="289"/>
      <c r="P715" s="289"/>
      <c r="Q715" s="289"/>
      <c r="R715" s="289"/>
      <c r="S715" s="289"/>
      <c r="T715" s="289"/>
      <c r="U715" s="289"/>
    </row>
    <row r="716" spans="4:21">
      <c r="D716" s="289"/>
      <c r="E716" s="289"/>
      <c r="F716" s="289"/>
      <c r="G716" s="289"/>
      <c r="H716" s="289"/>
      <c r="I716" s="289"/>
      <c r="J716" s="289"/>
      <c r="K716" s="289"/>
      <c r="L716" s="289"/>
      <c r="M716" s="289"/>
      <c r="N716" s="289"/>
      <c r="O716" s="289"/>
      <c r="P716" s="289"/>
      <c r="Q716" s="289"/>
      <c r="R716" s="289"/>
      <c r="S716" s="289"/>
      <c r="T716" s="289"/>
      <c r="U716" s="289"/>
    </row>
    <row r="717" spans="4:21">
      <c r="D717" s="289"/>
      <c r="E717" s="289"/>
      <c r="F717" s="289"/>
      <c r="G717" s="289"/>
      <c r="H717" s="289"/>
      <c r="I717" s="289"/>
      <c r="J717" s="289"/>
      <c r="K717" s="289"/>
      <c r="L717" s="289"/>
      <c r="M717" s="289"/>
      <c r="N717" s="289"/>
      <c r="O717" s="289"/>
      <c r="P717" s="289"/>
      <c r="Q717" s="289"/>
      <c r="R717" s="289"/>
      <c r="S717" s="289"/>
      <c r="T717" s="289"/>
      <c r="U717" s="289"/>
    </row>
    <row r="718" spans="4:21">
      <c r="D718" s="289"/>
      <c r="E718" s="289"/>
      <c r="F718" s="289"/>
      <c r="G718" s="289"/>
      <c r="H718" s="289"/>
      <c r="I718" s="289"/>
      <c r="J718" s="289"/>
      <c r="K718" s="289"/>
      <c r="L718" s="289"/>
      <c r="M718" s="289"/>
      <c r="N718" s="289"/>
      <c r="O718" s="289"/>
      <c r="P718" s="289"/>
      <c r="Q718" s="289"/>
      <c r="R718" s="289"/>
      <c r="S718" s="289"/>
      <c r="T718" s="289"/>
      <c r="U718" s="289"/>
    </row>
    <row r="719" spans="4:21">
      <c r="D719" s="289"/>
      <c r="E719" s="289"/>
      <c r="F719" s="289"/>
      <c r="G719" s="289"/>
      <c r="H719" s="289"/>
      <c r="I719" s="289"/>
      <c r="J719" s="289"/>
      <c r="K719" s="289"/>
      <c r="L719" s="289"/>
      <c r="M719" s="289"/>
      <c r="N719" s="289"/>
      <c r="O719" s="289"/>
      <c r="P719" s="289"/>
      <c r="Q719" s="289"/>
      <c r="R719" s="289"/>
      <c r="S719" s="289"/>
      <c r="T719" s="289"/>
      <c r="U719" s="289"/>
    </row>
    <row r="720" spans="4:21">
      <c r="D720" s="289"/>
      <c r="E720" s="289"/>
      <c r="F720" s="289"/>
      <c r="G720" s="289"/>
      <c r="H720" s="289"/>
      <c r="I720" s="289"/>
      <c r="J720" s="289"/>
      <c r="K720" s="289"/>
      <c r="L720" s="289"/>
      <c r="M720" s="289"/>
      <c r="N720" s="289"/>
      <c r="O720" s="289"/>
      <c r="P720" s="289"/>
      <c r="Q720" s="289"/>
      <c r="R720" s="289"/>
      <c r="S720" s="289"/>
      <c r="T720" s="289"/>
      <c r="U720" s="289"/>
    </row>
    <row r="721" spans="4:21">
      <c r="D721" s="289"/>
      <c r="E721" s="289"/>
      <c r="F721" s="289"/>
      <c r="G721" s="289"/>
      <c r="H721" s="289"/>
      <c r="I721" s="289"/>
      <c r="J721" s="289"/>
      <c r="K721" s="289"/>
      <c r="L721" s="289"/>
      <c r="M721" s="289"/>
      <c r="N721" s="289"/>
      <c r="O721" s="289"/>
      <c r="P721" s="289"/>
      <c r="Q721" s="289"/>
      <c r="R721" s="289"/>
      <c r="S721" s="289"/>
      <c r="T721" s="289"/>
      <c r="U721" s="289"/>
    </row>
    <row r="722" spans="4:21">
      <c r="D722" s="289"/>
      <c r="E722" s="289"/>
      <c r="F722" s="289"/>
      <c r="G722" s="289"/>
      <c r="H722" s="289"/>
      <c r="I722" s="289"/>
      <c r="J722" s="289"/>
      <c r="K722" s="289"/>
      <c r="L722" s="289"/>
      <c r="M722" s="289"/>
      <c r="N722" s="289"/>
      <c r="O722" s="289"/>
      <c r="P722" s="289"/>
      <c r="Q722" s="289"/>
      <c r="R722" s="289"/>
      <c r="S722" s="289"/>
      <c r="T722" s="289"/>
      <c r="U722" s="289"/>
    </row>
    <row r="723" spans="4:21">
      <c r="D723" s="289"/>
      <c r="E723" s="289"/>
      <c r="F723" s="289"/>
      <c r="G723" s="289"/>
      <c r="H723" s="289"/>
      <c r="I723" s="289"/>
      <c r="J723" s="289"/>
      <c r="K723" s="289"/>
      <c r="L723" s="289"/>
      <c r="M723" s="289"/>
      <c r="N723" s="289"/>
      <c r="O723" s="289"/>
      <c r="P723" s="289"/>
      <c r="Q723" s="289"/>
      <c r="R723" s="289"/>
      <c r="S723" s="289"/>
      <c r="T723" s="289"/>
      <c r="U723" s="289"/>
    </row>
    <row r="724" spans="4:21">
      <c r="D724" s="289"/>
      <c r="E724" s="289"/>
      <c r="F724" s="289"/>
      <c r="G724" s="289"/>
      <c r="H724" s="289"/>
      <c r="I724" s="289"/>
      <c r="J724" s="289"/>
      <c r="K724" s="289"/>
      <c r="L724" s="289"/>
      <c r="M724" s="289"/>
      <c r="N724" s="289"/>
      <c r="O724" s="289"/>
      <c r="P724" s="289"/>
      <c r="Q724" s="289"/>
      <c r="R724" s="289"/>
      <c r="S724" s="289"/>
      <c r="T724" s="289"/>
      <c r="U724" s="289"/>
    </row>
    <row r="725" spans="4:21">
      <c r="D725" s="289"/>
      <c r="E725" s="289"/>
      <c r="F725" s="289"/>
      <c r="G725" s="289"/>
      <c r="H725" s="289"/>
      <c r="I725" s="289"/>
      <c r="J725" s="289"/>
      <c r="K725" s="289"/>
      <c r="L725" s="289"/>
      <c r="M725" s="289"/>
      <c r="N725" s="289"/>
      <c r="O725" s="289"/>
      <c r="P725" s="289"/>
      <c r="Q725" s="289"/>
      <c r="R725" s="289"/>
      <c r="S725" s="289"/>
      <c r="T725" s="289"/>
      <c r="U725" s="28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8772-A3A9-45CE-9A84-E25FC99066B8}">
  <sheetPr>
    <tabColor rgb="FFFFFF00"/>
  </sheetPr>
  <dimension ref="A3:W725"/>
  <sheetViews>
    <sheetView workbookViewId="0">
      <selection sqref="A1:XFD1048576"/>
    </sheetView>
  </sheetViews>
  <sheetFormatPr defaultRowHeight="15"/>
  <cols>
    <col min="1" max="1" width="6" style="289" customWidth="1"/>
    <col min="2" max="2" width="21.7109375" style="289" customWidth="1"/>
    <col min="3" max="3" width="12.85546875" style="289" customWidth="1"/>
    <col min="4" max="9" width="12.85546875" style="290" customWidth="1"/>
    <col min="10" max="10" width="16" style="290" customWidth="1"/>
    <col min="11" max="14" width="11.140625" style="290" customWidth="1"/>
    <col min="15" max="15" width="14.28515625" style="290" customWidth="1"/>
    <col min="16" max="17" width="11.28515625" style="290" customWidth="1"/>
    <col min="18" max="18" width="14.5703125" style="290" customWidth="1"/>
    <col min="19" max="21" width="11.42578125" style="290" customWidth="1"/>
    <col min="22" max="22" width="9.140625" style="289" customWidth="1"/>
    <col min="23" max="16384" width="9.140625" style="289"/>
  </cols>
  <sheetData>
    <row r="3" spans="1:22">
      <c r="A3" s="291"/>
      <c r="B3" s="292"/>
      <c r="C3" s="291"/>
      <c r="D3" s="293"/>
      <c r="E3" s="293"/>
      <c r="F3" s="294"/>
      <c r="G3" s="294"/>
      <c r="H3" s="294"/>
      <c r="I3" s="294"/>
      <c r="J3" s="294"/>
      <c r="K3" s="294"/>
      <c r="L3" s="294"/>
      <c r="M3" s="294"/>
      <c r="N3" s="294"/>
      <c r="O3" s="294"/>
      <c r="P3" s="294"/>
      <c r="Q3" s="294"/>
      <c r="R3" s="294"/>
      <c r="S3" s="295"/>
      <c r="T3" s="295"/>
      <c r="U3" s="294"/>
      <c r="V3" s="316"/>
    </row>
    <row r="4" spans="1:22">
      <c r="A4" s="296"/>
      <c r="B4" s="297"/>
      <c r="C4" s="296"/>
      <c r="D4" s="298"/>
      <c r="E4" s="297"/>
      <c r="F4" s="297"/>
      <c r="G4" s="297"/>
      <c r="H4" s="297"/>
      <c r="I4" s="297"/>
      <c r="J4" s="291"/>
      <c r="K4" s="299"/>
      <c r="L4" s="298"/>
      <c r="M4" s="297"/>
      <c r="N4" s="297"/>
      <c r="O4" s="291"/>
      <c r="P4" s="291"/>
      <c r="Q4" s="292"/>
      <c r="R4" s="291"/>
      <c r="S4" s="300"/>
      <c r="T4" s="300"/>
      <c r="U4" s="301"/>
      <c r="V4" s="316"/>
    </row>
    <row r="5" spans="1:22">
      <c r="A5" s="291"/>
      <c r="B5" s="291"/>
      <c r="C5" s="291"/>
      <c r="D5" s="302"/>
      <c r="E5" s="302"/>
      <c r="F5" s="302"/>
      <c r="G5" s="302"/>
      <c r="H5" s="302"/>
      <c r="I5" s="302"/>
      <c r="J5" s="303"/>
      <c r="K5" s="304"/>
      <c r="L5" s="302"/>
      <c r="M5" s="302"/>
      <c r="N5" s="302"/>
      <c r="O5" s="303"/>
      <c r="P5" s="340"/>
      <c r="R5" s="303"/>
      <c r="S5" s="305"/>
      <c r="T5" s="305"/>
      <c r="U5" s="306"/>
      <c r="V5" s="316"/>
    </row>
    <row r="6" spans="1:22">
      <c r="A6" s="307"/>
      <c r="B6" s="291"/>
      <c r="C6" s="308"/>
      <c r="D6" s="309"/>
      <c r="E6" s="309"/>
      <c r="F6" s="309"/>
      <c r="G6" s="309"/>
      <c r="H6" s="309"/>
      <c r="I6" s="309"/>
      <c r="J6" s="310"/>
      <c r="K6" s="310"/>
      <c r="L6" s="309"/>
      <c r="M6" s="309"/>
      <c r="N6" s="309"/>
      <c r="O6" s="310"/>
      <c r="P6" s="310"/>
      <c r="Q6" s="309"/>
      <c r="R6" s="310"/>
      <c r="S6" s="310"/>
      <c r="T6" s="310"/>
      <c r="U6" s="310"/>
      <c r="V6" s="316"/>
    </row>
    <row r="7" spans="1:22">
      <c r="A7" s="311"/>
      <c r="B7" s="312"/>
      <c r="C7" s="313"/>
      <c r="D7" s="314"/>
      <c r="E7" s="314"/>
      <c r="F7" s="314"/>
      <c r="G7" s="314"/>
      <c r="H7" s="314"/>
      <c r="I7" s="314"/>
      <c r="J7" s="315"/>
      <c r="K7" s="315"/>
      <c r="L7" s="314"/>
      <c r="M7" s="314"/>
      <c r="N7" s="314"/>
      <c r="O7" s="315"/>
      <c r="P7" s="315"/>
      <c r="Q7" s="314"/>
      <c r="R7" s="315"/>
      <c r="S7" s="315"/>
      <c r="T7" s="315"/>
      <c r="U7" s="315"/>
      <c r="V7" s="316"/>
    </row>
    <row r="8" spans="1:22">
      <c r="A8" s="311"/>
      <c r="B8" s="317"/>
      <c r="C8" s="318"/>
      <c r="D8" s="319"/>
      <c r="E8" s="319"/>
      <c r="F8" s="319"/>
      <c r="G8" s="319"/>
      <c r="H8" s="319"/>
      <c r="I8" s="319"/>
      <c r="J8" s="320"/>
      <c r="K8" s="320"/>
      <c r="L8" s="319"/>
      <c r="M8" s="319"/>
      <c r="N8" s="319"/>
      <c r="O8" s="320"/>
      <c r="P8" s="320"/>
      <c r="Q8" s="321"/>
      <c r="R8" s="320"/>
      <c r="S8" s="320"/>
      <c r="T8" s="320"/>
      <c r="U8" s="320"/>
      <c r="V8" s="316"/>
    </row>
    <row r="9" spans="1:22">
      <c r="A9" s="311"/>
      <c r="B9" s="291"/>
      <c r="C9" s="308"/>
      <c r="D9" s="309"/>
      <c r="E9" s="309"/>
      <c r="F9" s="309"/>
      <c r="G9" s="309"/>
      <c r="H9" s="309"/>
      <c r="I9" s="309"/>
      <c r="J9" s="310"/>
      <c r="K9" s="310"/>
      <c r="L9" s="309"/>
      <c r="M9" s="309"/>
      <c r="N9" s="309"/>
      <c r="O9" s="310"/>
      <c r="P9" s="310"/>
      <c r="Q9" s="309"/>
      <c r="R9" s="310"/>
      <c r="S9" s="310"/>
      <c r="T9" s="310"/>
      <c r="U9" s="310"/>
      <c r="V9" s="316"/>
    </row>
    <row r="10" spans="1:22">
      <c r="A10" s="311"/>
      <c r="B10" s="312"/>
      <c r="C10" s="313"/>
      <c r="D10" s="314"/>
      <c r="E10" s="314"/>
      <c r="F10" s="314"/>
      <c r="G10" s="314"/>
      <c r="H10" s="314"/>
      <c r="I10" s="314"/>
      <c r="J10" s="315"/>
      <c r="K10" s="315"/>
      <c r="L10" s="314"/>
      <c r="M10" s="314"/>
      <c r="N10" s="314"/>
      <c r="O10" s="315"/>
      <c r="P10" s="315"/>
      <c r="Q10" s="314"/>
      <c r="R10" s="315"/>
      <c r="S10" s="315"/>
      <c r="T10" s="315"/>
      <c r="U10" s="315"/>
      <c r="V10" s="316"/>
    </row>
    <row r="11" spans="1:22">
      <c r="A11" s="311"/>
      <c r="B11" s="317"/>
      <c r="C11" s="318"/>
      <c r="D11" s="319"/>
      <c r="E11" s="319"/>
      <c r="F11" s="319"/>
      <c r="G11" s="319"/>
      <c r="H11" s="319"/>
      <c r="I11" s="319"/>
      <c r="J11" s="320"/>
      <c r="K11" s="320"/>
      <c r="L11" s="319"/>
      <c r="M11" s="319"/>
      <c r="N11" s="319"/>
      <c r="O11" s="320"/>
      <c r="P11" s="320"/>
      <c r="Q11" s="319"/>
      <c r="R11" s="320"/>
      <c r="S11" s="320"/>
      <c r="T11" s="320"/>
      <c r="U11" s="320"/>
      <c r="V11" s="316"/>
    </row>
    <row r="12" spans="1:22">
      <c r="A12" s="311"/>
      <c r="B12" s="291"/>
      <c r="C12" s="308"/>
      <c r="D12" s="309"/>
      <c r="E12" s="309"/>
      <c r="F12" s="309"/>
      <c r="G12" s="309"/>
      <c r="H12" s="309"/>
      <c r="I12" s="309"/>
      <c r="J12" s="310"/>
      <c r="K12" s="310"/>
      <c r="L12" s="309"/>
      <c r="M12" s="309"/>
      <c r="N12" s="309"/>
      <c r="O12" s="310"/>
      <c r="P12" s="310"/>
      <c r="Q12" s="309"/>
      <c r="R12" s="310"/>
      <c r="S12" s="310"/>
      <c r="T12" s="310"/>
      <c r="U12" s="310"/>
      <c r="V12" s="316"/>
    </row>
    <row r="13" spans="1:22">
      <c r="A13" s="311"/>
      <c r="B13" s="312"/>
      <c r="C13" s="313"/>
      <c r="D13" s="314"/>
      <c r="E13" s="314"/>
      <c r="F13" s="314"/>
      <c r="G13" s="314"/>
      <c r="H13" s="314"/>
      <c r="I13" s="314"/>
      <c r="J13" s="315"/>
      <c r="K13" s="315"/>
      <c r="L13" s="314"/>
      <c r="M13" s="314"/>
      <c r="N13" s="314"/>
      <c r="O13" s="315"/>
      <c r="P13" s="315"/>
      <c r="Q13" s="322"/>
      <c r="R13" s="315"/>
      <c r="S13" s="315"/>
      <c r="T13" s="315"/>
      <c r="U13" s="315"/>
      <c r="V13" s="316"/>
    </row>
    <row r="14" spans="1:22" s="323" customFormat="1">
      <c r="A14" s="311"/>
      <c r="B14" s="317"/>
      <c r="C14" s="318"/>
      <c r="D14" s="319"/>
      <c r="E14" s="319"/>
      <c r="F14" s="319"/>
      <c r="G14" s="319"/>
      <c r="H14" s="319"/>
      <c r="I14" s="319"/>
      <c r="J14" s="320"/>
      <c r="K14" s="320"/>
      <c r="L14" s="319"/>
      <c r="M14" s="319"/>
      <c r="N14" s="319"/>
      <c r="O14" s="320"/>
      <c r="P14" s="320"/>
      <c r="Q14" s="321"/>
      <c r="R14" s="320"/>
      <c r="S14" s="320"/>
      <c r="T14" s="320"/>
      <c r="U14" s="320"/>
      <c r="V14" s="316"/>
    </row>
    <row r="15" spans="1:22">
      <c r="A15" s="311"/>
      <c r="B15" s="291"/>
      <c r="C15" s="308"/>
      <c r="D15" s="309"/>
      <c r="E15" s="309"/>
      <c r="F15" s="309"/>
      <c r="G15" s="309"/>
      <c r="H15" s="309"/>
      <c r="I15" s="309"/>
      <c r="J15" s="310"/>
      <c r="K15" s="310"/>
      <c r="L15" s="309"/>
      <c r="M15" s="309"/>
      <c r="N15" s="309"/>
      <c r="O15" s="310"/>
      <c r="P15" s="310"/>
      <c r="Q15" s="309"/>
      <c r="R15" s="310"/>
      <c r="S15" s="310"/>
      <c r="T15" s="310"/>
      <c r="U15" s="310"/>
      <c r="V15" s="316"/>
    </row>
    <row r="16" spans="1:22">
      <c r="A16" s="311"/>
      <c r="B16" s="312"/>
      <c r="C16" s="324"/>
      <c r="D16" s="314"/>
      <c r="E16" s="314"/>
      <c r="F16" s="314"/>
      <c r="G16" s="314"/>
      <c r="H16" s="314"/>
      <c r="I16" s="314"/>
      <c r="J16" s="315"/>
      <c r="K16" s="315"/>
      <c r="L16" s="314"/>
      <c r="M16" s="314"/>
      <c r="N16" s="314"/>
      <c r="O16" s="315"/>
      <c r="P16" s="315"/>
      <c r="Q16" s="314"/>
      <c r="R16" s="315"/>
      <c r="S16" s="315"/>
      <c r="T16" s="315"/>
      <c r="U16" s="315"/>
      <c r="V16" s="316"/>
    </row>
    <row r="17" spans="1:22">
      <c r="A17" s="311"/>
      <c r="B17" s="317"/>
      <c r="C17" s="318"/>
      <c r="D17" s="319"/>
      <c r="E17" s="319"/>
      <c r="F17" s="319"/>
      <c r="G17" s="319"/>
      <c r="H17" s="319"/>
      <c r="I17" s="319"/>
      <c r="J17" s="320"/>
      <c r="K17" s="320"/>
      <c r="L17" s="319"/>
      <c r="M17" s="319"/>
      <c r="N17" s="319"/>
      <c r="O17" s="320"/>
      <c r="P17" s="320"/>
      <c r="Q17" s="319"/>
      <c r="R17" s="320"/>
      <c r="S17" s="320"/>
      <c r="T17" s="320"/>
      <c r="U17" s="320"/>
      <c r="V17" s="316"/>
    </row>
    <row r="18" spans="1:22">
      <c r="A18" s="311"/>
      <c r="B18" s="291"/>
      <c r="C18" s="308"/>
      <c r="D18" s="309"/>
      <c r="E18" s="309"/>
      <c r="F18" s="309"/>
      <c r="G18" s="309"/>
      <c r="H18" s="309"/>
      <c r="I18" s="309"/>
      <c r="J18" s="310"/>
      <c r="K18" s="310"/>
      <c r="L18" s="309"/>
      <c r="M18" s="309"/>
      <c r="N18" s="309"/>
      <c r="O18" s="310"/>
      <c r="P18" s="310"/>
      <c r="Q18" s="309"/>
      <c r="R18" s="310"/>
      <c r="S18" s="310"/>
      <c r="T18" s="310"/>
      <c r="U18" s="310"/>
      <c r="V18" s="316"/>
    </row>
    <row r="19" spans="1:22">
      <c r="A19" s="311"/>
      <c r="B19" s="312"/>
      <c r="C19" s="313"/>
      <c r="D19" s="314"/>
      <c r="E19" s="314"/>
      <c r="F19" s="314"/>
      <c r="G19" s="314"/>
      <c r="H19" s="314"/>
      <c r="I19" s="314"/>
      <c r="J19" s="315"/>
      <c r="K19" s="315"/>
      <c r="L19" s="314"/>
      <c r="M19" s="314"/>
      <c r="N19" s="322"/>
      <c r="O19" s="315"/>
      <c r="P19" s="315"/>
      <c r="Q19" s="314"/>
      <c r="R19" s="315"/>
      <c r="S19" s="315"/>
      <c r="T19" s="315"/>
      <c r="U19" s="315"/>
      <c r="V19" s="316"/>
    </row>
    <row r="20" spans="1:22">
      <c r="A20" s="311"/>
      <c r="B20" s="317"/>
      <c r="C20" s="318"/>
      <c r="D20" s="319"/>
      <c r="E20" s="319"/>
      <c r="F20" s="319"/>
      <c r="G20" s="319"/>
      <c r="H20" s="319"/>
      <c r="I20" s="319"/>
      <c r="J20" s="320"/>
      <c r="K20" s="320"/>
      <c r="L20" s="319"/>
      <c r="M20" s="319"/>
      <c r="N20" s="319"/>
      <c r="O20" s="320"/>
      <c r="P20" s="320"/>
      <c r="Q20" s="319"/>
      <c r="R20" s="320"/>
      <c r="S20" s="320"/>
      <c r="T20" s="320"/>
      <c r="U20" s="320"/>
      <c r="V20" s="316"/>
    </row>
    <row r="21" spans="1:22">
      <c r="A21" s="311"/>
      <c r="B21" s="291"/>
      <c r="C21" s="308"/>
      <c r="D21" s="309"/>
      <c r="E21" s="309"/>
      <c r="F21" s="309"/>
      <c r="G21" s="309"/>
      <c r="H21" s="309"/>
      <c r="I21" s="309"/>
      <c r="J21" s="310"/>
      <c r="K21" s="310"/>
      <c r="L21" s="309"/>
      <c r="M21" s="309"/>
      <c r="N21" s="309"/>
      <c r="O21" s="310"/>
      <c r="P21" s="310"/>
      <c r="Q21" s="309"/>
      <c r="R21" s="310"/>
      <c r="S21" s="310"/>
      <c r="T21" s="310"/>
      <c r="U21" s="310"/>
      <c r="V21" s="316"/>
    </row>
    <row r="22" spans="1:22">
      <c r="A22" s="311"/>
      <c r="B22" s="312"/>
      <c r="C22" s="313"/>
      <c r="D22" s="314"/>
      <c r="E22" s="314"/>
      <c r="F22" s="314"/>
      <c r="G22" s="314"/>
      <c r="H22" s="314"/>
      <c r="I22" s="314"/>
      <c r="J22" s="315"/>
      <c r="K22" s="315"/>
      <c r="L22" s="314"/>
      <c r="M22" s="314"/>
      <c r="N22" s="314"/>
      <c r="O22" s="315"/>
      <c r="P22" s="315"/>
      <c r="Q22" s="314"/>
      <c r="R22" s="315"/>
      <c r="S22" s="315"/>
      <c r="T22" s="315"/>
      <c r="U22" s="315"/>
      <c r="V22" s="316"/>
    </row>
    <row r="23" spans="1:22" ht="15.75" thickBot="1">
      <c r="A23" s="311"/>
      <c r="B23" s="325"/>
      <c r="C23" s="326"/>
      <c r="D23" s="327"/>
      <c r="E23" s="327"/>
      <c r="F23" s="327"/>
      <c r="G23" s="327"/>
      <c r="H23" s="327"/>
      <c r="I23" s="327"/>
      <c r="J23" s="328"/>
      <c r="K23" s="328"/>
      <c r="L23" s="327"/>
      <c r="M23" s="327"/>
      <c r="N23" s="327"/>
      <c r="O23" s="328"/>
      <c r="P23" s="328"/>
      <c r="Q23" s="327"/>
      <c r="R23" s="328"/>
      <c r="S23" s="328"/>
      <c r="T23" s="328"/>
      <c r="U23" s="328"/>
      <c r="V23" s="316"/>
    </row>
    <row r="24" spans="1:22" ht="15.75" thickTop="1">
      <c r="A24" s="311"/>
      <c r="B24" s="312"/>
      <c r="C24" s="313"/>
      <c r="D24" s="314"/>
      <c r="E24" s="314"/>
      <c r="F24" s="314"/>
      <c r="G24" s="314"/>
      <c r="H24" s="314"/>
      <c r="I24" s="314"/>
      <c r="J24" s="315"/>
      <c r="K24" s="315"/>
      <c r="L24" s="314"/>
      <c r="M24" s="314"/>
      <c r="N24" s="314"/>
      <c r="O24" s="315"/>
      <c r="P24" s="315"/>
      <c r="Q24" s="314"/>
      <c r="R24" s="315"/>
      <c r="S24" s="315"/>
      <c r="T24" s="315"/>
      <c r="U24" s="315"/>
      <c r="V24" s="316"/>
    </row>
    <row r="25" spans="1:22">
      <c r="A25" s="311"/>
      <c r="B25" s="312"/>
      <c r="C25" s="313"/>
      <c r="D25" s="314"/>
      <c r="E25" s="314"/>
      <c r="F25" s="314"/>
      <c r="G25" s="314"/>
      <c r="H25" s="314"/>
      <c r="I25" s="314"/>
      <c r="J25" s="315"/>
      <c r="K25" s="315"/>
      <c r="L25" s="314"/>
      <c r="M25" s="314"/>
      <c r="N25" s="314"/>
      <c r="O25" s="315"/>
      <c r="P25" s="315"/>
      <c r="Q25" s="314"/>
      <c r="R25" s="315"/>
      <c r="S25" s="315"/>
      <c r="T25" s="315"/>
      <c r="U25" s="315"/>
      <c r="V25" s="316"/>
    </row>
    <row r="26" spans="1:22">
      <c r="A26" s="311"/>
      <c r="B26" s="317"/>
      <c r="C26" s="318"/>
      <c r="D26" s="319"/>
      <c r="E26" s="319"/>
      <c r="F26" s="319"/>
      <c r="G26" s="319"/>
      <c r="H26" s="319"/>
      <c r="I26" s="319"/>
      <c r="J26" s="320"/>
      <c r="K26" s="320"/>
      <c r="L26" s="319"/>
      <c r="M26" s="319"/>
      <c r="N26" s="319"/>
      <c r="O26" s="320"/>
      <c r="P26" s="320"/>
      <c r="Q26" s="319"/>
      <c r="R26" s="320"/>
      <c r="S26" s="320"/>
      <c r="T26" s="320"/>
      <c r="U26" s="320"/>
      <c r="V26" s="316"/>
    </row>
    <row r="27" spans="1:22">
      <c r="A27" s="311"/>
      <c r="B27" s="291"/>
      <c r="C27" s="308"/>
      <c r="D27" s="309"/>
      <c r="E27" s="309"/>
      <c r="F27" s="309"/>
      <c r="G27" s="309"/>
      <c r="H27" s="309"/>
      <c r="I27" s="309"/>
      <c r="J27" s="310"/>
      <c r="K27" s="310"/>
      <c r="L27" s="309"/>
      <c r="M27" s="309"/>
      <c r="N27" s="309"/>
      <c r="O27" s="310"/>
      <c r="P27" s="310"/>
      <c r="Q27" s="309"/>
      <c r="R27" s="310"/>
      <c r="S27" s="310"/>
      <c r="T27" s="310"/>
      <c r="U27" s="310"/>
      <c r="V27" s="316"/>
    </row>
    <row r="28" spans="1:22">
      <c r="A28" s="311"/>
      <c r="B28" s="312"/>
      <c r="C28" s="313"/>
      <c r="D28" s="314"/>
      <c r="E28" s="314"/>
      <c r="F28" s="322"/>
      <c r="G28" s="322"/>
      <c r="H28" s="314"/>
      <c r="I28" s="314"/>
      <c r="J28" s="315"/>
      <c r="K28" s="315"/>
      <c r="L28" s="314"/>
      <c r="M28" s="314"/>
      <c r="N28" s="314"/>
      <c r="O28" s="315"/>
      <c r="P28" s="315"/>
      <c r="Q28" s="314"/>
      <c r="R28" s="315"/>
      <c r="S28" s="315"/>
      <c r="T28" s="315"/>
      <c r="U28" s="315"/>
      <c r="V28" s="316"/>
    </row>
    <row r="29" spans="1:22">
      <c r="A29" s="311"/>
      <c r="B29" s="317"/>
      <c r="C29" s="318"/>
      <c r="D29" s="319"/>
      <c r="E29" s="319"/>
      <c r="F29" s="321"/>
      <c r="G29" s="321"/>
      <c r="H29" s="319"/>
      <c r="I29" s="319"/>
      <c r="J29" s="320"/>
      <c r="K29" s="320"/>
      <c r="L29" s="319"/>
      <c r="M29" s="319"/>
      <c r="N29" s="319"/>
      <c r="O29" s="320"/>
      <c r="P29" s="320"/>
      <c r="Q29" s="319"/>
      <c r="R29" s="320"/>
      <c r="S29" s="320"/>
      <c r="T29" s="320"/>
      <c r="U29" s="320"/>
      <c r="V29" s="316"/>
    </row>
    <row r="30" spans="1:22">
      <c r="A30" s="311"/>
      <c r="B30" s="291"/>
      <c r="C30" s="308"/>
      <c r="D30" s="309"/>
      <c r="E30" s="309"/>
      <c r="F30" s="309"/>
      <c r="G30" s="309"/>
      <c r="H30" s="309"/>
      <c r="I30" s="309"/>
      <c r="J30" s="310"/>
      <c r="K30" s="310"/>
      <c r="L30" s="309"/>
      <c r="M30" s="309"/>
      <c r="N30" s="309"/>
      <c r="O30" s="310"/>
      <c r="P30" s="310"/>
      <c r="Q30" s="309"/>
      <c r="R30" s="310"/>
      <c r="S30" s="310"/>
      <c r="T30" s="310"/>
      <c r="U30" s="310"/>
      <c r="V30" s="316"/>
    </row>
    <row r="31" spans="1:22">
      <c r="A31" s="311"/>
      <c r="B31" s="312"/>
      <c r="C31" s="313"/>
      <c r="D31" s="314"/>
      <c r="E31" s="314"/>
      <c r="F31" s="314"/>
      <c r="G31" s="314"/>
      <c r="H31" s="314"/>
      <c r="I31" s="314"/>
      <c r="J31" s="315"/>
      <c r="K31" s="315"/>
      <c r="L31" s="314"/>
      <c r="M31" s="314"/>
      <c r="N31" s="314"/>
      <c r="O31" s="315"/>
      <c r="P31" s="315"/>
      <c r="Q31" s="314"/>
      <c r="R31" s="315"/>
      <c r="S31" s="315"/>
      <c r="T31" s="315"/>
      <c r="U31" s="315"/>
      <c r="V31" s="316"/>
    </row>
    <row r="32" spans="1:22">
      <c r="A32" s="311"/>
      <c r="B32" s="317"/>
      <c r="C32" s="318"/>
      <c r="D32" s="319"/>
      <c r="E32" s="319"/>
      <c r="F32" s="319"/>
      <c r="G32" s="319"/>
      <c r="H32" s="319"/>
      <c r="I32" s="319"/>
      <c r="J32" s="320"/>
      <c r="K32" s="320"/>
      <c r="L32" s="319"/>
      <c r="M32" s="319"/>
      <c r="N32" s="319"/>
      <c r="O32" s="320"/>
      <c r="P32" s="320"/>
      <c r="Q32" s="319"/>
      <c r="R32" s="320"/>
      <c r="S32" s="320"/>
      <c r="T32" s="320"/>
      <c r="U32" s="320"/>
      <c r="V32" s="316"/>
    </row>
    <row r="33" spans="1:22">
      <c r="A33" s="311"/>
      <c r="B33" s="291"/>
      <c r="C33" s="308"/>
      <c r="D33" s="309"/>
      <c r="E33" s="309"/>
      <c r="F33" s="309"/>
      <c r="G33" s="309"/>
      <c r="H33" s="309"/>
      <c r="I33" s="309"/>
      <c r="J33" s="310"/>
      <c r="K33" s="310"/>
      <c r="L33" s="309"/>
      <c r="M33" s="309"/>
      <c r="N33" s="309"/>
      <c r="O33" s="310"/>
      <c r="P33" s="310"/>
      <c r="Q33" s="309"/>
      <c r="R33" s="310"/>
      <c r="S33" s="310"/>
      <c r="T33" s="310"/>
      <c r="U33" s="310"/>
      <c r="V33" s="316"/>
    </row>
    <row r="34" spans="1:22">
      <c r="A34" s="311"/>
      <c r="B34" s="312"/>
      <c r="C34" s="313"/>
      <c r="D34" s="314"/>
      <c r="E34" s="314"/>
      <c r="F34" s="314"/>
      <c r="G34" s="314"/>
      <c r="H34" s="314"/>
      <c r="I34" s="314"/>
      <c r="J34" s="315"/>
      <c r="K34" s="315"/>
      <c r="L34" s="314"/>
      <c r="M34" s="314"/>
      <c r="N34" s="314"/>
      <c r="O34" s="315"/>
      <c r="P34" s="315"/>
      <c r="Q34" s="314"/>
      <c r="R34" s="315"/>
      <c r="S34" s="315"/>
      <c r="T34" s="315"/>
      <c r="U34" s="315"/>
      <c r="V34" s="316"/>
    </row>
    <row r="35" spans="1:22">
      <c r="A35" s="311"/>
      <c r="B35" s="317"/>
      <c r="C35" s="318"/>
      <c r="D35" s="319"/>
      <c r="E35" s="319"/>
      <c r="F35" s="319"/>
      <c r="G35" s="319"/>
      <c r="H35" s="319"/>
      <c r="I35" s="319"/>
      <c r="J35" s="320"/>
      <c r="K35" s="320"/>
      <c r="L35" s="319"/>
      <c r="M35" s="319"/>
      <c r="N35" s="319"/>
      <c r="O35" s="320"/>
      <c r="P35" s="320"/>
      <c r="Q35" s="319"/>
      <c r="R35" s="320"/>
      <c r="S35" s="320"/>
      <c r="T35" s="320"/>
      <c r="U35" s="320"/>
      <c r="V35" s="316"/>
    </row>
    <row r="36" spans="1:22">
      <c r="A36" s="311"/>
      <c r="B36" s="291"/>
      <c r="C36" s="308"/>
      <c r="D36" s="309"/>
      <c r="E36" s="309"/>
      <c r="F36" s="309"/>
      <c r="G36" s="309"/>
      <c r="H36" s="309"/>
      <c r="I36" s="309"/>
      <c r="J36" s="310"/>
      <c r="K36" s="310"/>
      <c r="L36" s="309"/>
      <c r="M36" s="309"/>
      <c r="N36" s="309"/>
      <c r="O36" s="310"/>
      <c r="P36" s="310"/>
      <c r="Q36" s="309"/>
      <c r="R36" s="310"/>
      <c r="S36" s="310"/>
      <c r="T36" s="310"/>
      <c r="U36" s="310"/>
      <c r="V36" s="316"/>
    </row>
    <row r="37" spans="1:22">
      <c r="A37" s="311"/>
      <c r="B37" s="312"/>
      <c r="C37" s="313"/>
      <c r="D37" s="314"/>
      <c r="E37" s="314"/>
      <c r="F37" s="314"/>
      <c r="G37" s="314"/>
      <c r="H37" s="314"/>
      <c r="I37" s="314"/>
      <c r="J37" s="315"/>
      <c r="K37" s="315"/>
      <c r="L37" s="314"/>
      <c r="M37" s="314"/>
      <c r="N37" s="314"/>
      <c r="O37" s="315"/>
      <c r="P37" s="315"/>
      <c r="Q37" s="314"/>
      <c r="R37" s="315"/>
      <c r="S37" s="315"/>
      <c r="T37" s="315"/>
      <c r="U37" s="315"/>
      <c r="V37" s="316"/>
    </row>
    <row r="38" spans="1:22">
      <c r="A38" s="311"/>
      <c r="B38" s="317"/>
      <c r="C38" s="318"/>
      <c r="D38" s="319"/>
      <c r="E38" s="319"/>
      <c r="F38" s="319"/>
      <c r="G38" s="319"/>
      <c r="H38" s="319"/>
      <c r="I38" s="319"/>
      <c r="J38" s="320"/>
      <c r="K38" s="320"/>
      <c r="L38" s="319"/>
      <c r="M38" s="319"/>
      <c r="N38" s="319"/>
      <c r="O38" s="320"/>
      <c r="P38" s="320"/>
      <c r="Q38" s="319"/>
      <c r="R38" s="320"/>
      <c r="S38" s="320"/>
      <c r="T38" s="320"/>
      <c r="U38" s="320"/>
      <c r="V38" s="316"/>
    </row>
    <row r="39" spans="1:22">
      <c r="A39" s="311"/>
      <c r="B39" s="291"/>
      <c r="C39" s="308"/>
      <c r="D39" s="309"/>
      <c r="E39" s="309"/>
      <c r="F39" s="309"/>
      <c r="G39" s="309"/>
      <c r="H39" s="309"/>
      <c r="I39" s="309"/>
      <c r="J39" s="310"/>
      <c r="K39" s="310"/>
      <c r="L39" s="309"/>
      <c r="M39" s="309"/>
      <c r="N39" s="309"/>
      <c r="O39" s="310"/>
      <c r="P39" s="310"/>
      <c r="Q39" s="309"/>
      <c r="R39" s="310"/>
      <c r="S39" s="310"/>
      <c r="T39" s="310"/>
      <c r="U39" s="310"/>
      <c r="V39" s="316"/>
    </row>
    <row r="40" spans="1:22">
      <c r="A40" s="311"/>
      <c r="B40" s="312"/>
      <c r="C40" s="313"/>
      <c r="D40" s="314"/>
      <c r="E40" s="314"/>
      <c r="F40" s="314"/>
      <c r="G40" s="314"/>
      <c r="H40" s="314"/>
      <c r="I40" s="314"/>
      <c r="J40" s="315"/>
      <c r="K40" s="315"/>
      <c r="L40" s="314"/>
      <c r="M40" s="314"/>
      <c r="N40" s="314"/>
      <c r="O40" s="315"/>
      <c r="P40" s="315"/>
      <c r="Q40" s="314"/>
      <c r="R40" s="315"/>
      <c r="S40" s="315"/>
      <c r="T40" s="315"/>
      <c r="U40" s="315"/>
      <c r="V40" s="316"/>
    </row>
    <row r="41" spans="1:22" ht="15.75" thickBot="1">
      <c r="A41" s="329"/>
      <c r="B41" s="330"/>
      <c r="C41" s="331"/>
      <c r="D41" s="332"/>
      <c r="E41" s="332"/>
      <c r="F41" s="332"/>
      <c r="G41" s="332"/>
      <c r="H41" s="332"/>
      <c r="I41" s="332"/>
      <c r="J41" s="333"/>
      <c r="K41" s="333"/>
      <c r="L41" s="332"/>
      <c r="M41" s="332"/>
      <c r="N41" s="332"/>
      <c r="O41" s="333"/>
      <c r="P41" s="333"/>
      <c r="Q41" s="332"/>
      <c r="R41" s="333"/>
      <c r="S41" s="333"/>
      <c r="T41" s="333"/>
      <c r="U41" s="333"/>
      <c r="V41" s="316"/>
    </row>
    <row r="42" spans="1:22">
      <c r="A42" s="334"/>
      <c r="B42" s="312"/>
      <c r="C42" s="313"/>
      <c r="D42" s="314"/>
      <c r="E42" s="314"/>
      <c r="F42" s="314"/>
      <c r="G42" s="314"/>
      <c r="H42" s="314"/>
      <c r="I42" s="314"/>
      <c r="J42" s="315"/>
      <c r="K42" s="315"/>
      <c r="L42" s="314"/>
      <c r="M42" s="314"/>
      <c r="N42" s="314"/>
      <c r="O42" s="315"/>
      <c r="P42" s="315"/>
      <c r="Q42" s="314"/>
      <c r="R42" s="315"/>
      <c r="S42" s="315"/>
      <c r="T42" s="315"/>
      <c r="U42" s="315"/>
      <c r="V42" s="316"/>
    </row>
    <row r="43" spans="1:22">
      <c r="A43" s="311"/>
      <c r="B43" s="312"/>
      <c r="C43" s="313"/>
      <c r="D43" s="314"/>
      <c r="E43" s="314"/>
      <c r="F43" s="314"/>
      <c r="G43" s="314"/>
      <c r="H43" s="314"/>
      <c r="I43" s="314"/>
      <c r="J43" s="315"/>
      <c r="K43" s="315"/>
      <c r="L43" s="314"/>
      <c r="M43" s="314"/>
      <c r="N43" s="314"/>
      <c r="O43" s="315"/>
      <c r="P43" s="315"/>
      <c r="Q43" s="314"/>
      <c r="R43" s="315"/>
      <c r="S43" s="315"/>
      <c r="T43" s="315"/>
      <c r="U43" s="315"/>
      <c r="V43" s="316"/>
    </row>
    <row r="44" spans="1:22">
      <c r="A44" s="311"/>
      <c r="B44" s="317"/>
      <c r="C44" s="318"/>
      <c r="D44" s="319"/>
      <c r="E44" s="319"/>
      <c r="F44" s="319"/>
      <c r="G44" s="319"/>
      <c r="H44" s="319"/>
      <c r="I44" s="319"/>
      <c r="J44" s="320"/>
      <c r="K44" s="320"/>
      <c r="L44" s="319"/>
      <c r="M44" s="321"/>
      <c r="N44" s="319"/>
      <c r="O44" s="320"/>
      <c r="P44" s="320"/>
      <c r="Q44" s="319"/>
      <c r="R44" s="320"/>
      <c r="S44" s="320"/>
      <c r="T44" s="320"/>
      <c r="U44" s="320"/>
      <c r="V44" s="316"/>
    </row>
    <row r="45" spans="1:22">
      <c r="A45" s="311"/>
      <c r="B45" s="291"/>
      <c r="C45" s="308"/>
      <c r="D45" s="309"/>
      <c r="E45" s="309"/>
      <c r="F45" s="309"/>
      <c r="G45" s="309"/>
      <c r="H45" s="309"/>
      <c r="I45" s="309"/>
      <c r="J45" s="310"/>
      <c r="K45" s="310"/>
      <c r="L45" s="309"/>
      <c r="M45" s="309"/>
      <c r="N45" s="309"/>
      <c r="O45" s="310"/>
      <c r="P45" s="310"/>
      <c r="Q45" s="309"/>
      <c r="R45" s="310"/>
      <c r="S45" s="310"/>
      <c r="T45" s="310"/>
      <c r="U45" s="310"/>
      <c r="V45" s="316"/>
    </row>
    <row r="46" spans="1:22">
      <c r="A46" s="311"/>
      <c r="B46" s="312"/>
      <c r="C46" s="313"/>
      <c r="D46" s="314"/>
      <c r="E46" s="314"/>
      <c r="F46" s="314"/>
      <c r="G46" s="314"/>
      <c r="H46" s="314"/>
      <c r="I46" s="314"/>
      <c r="J46" s="315"/>
      <c r="K46" s="315"/>
      <c r="L46" s="314"/>
      <c r="M46" s="314"/>
      <c r="N46" s="314"/>
      <c r="O46" s="315"/>
      <c r="P46" s="315"/>
      <c r="Q46" s="314"/>
      <c r="R46" s="315"/>
      <c r="S46" s="315"/>
      <c r="T46" s="315"/>
      <c r="U46" s="315"/>
      <c r="V46" s="316"/>
    </row>
    <row r="47" spans="1:22">
      <c r="A47" s="311"/>
      <c r="B47" s="317"/>
      <c r="C47" s="318"/>
      <c r="D47" s="319"/>
      <c r="E47" s="319"/>
      <c r="F47" s="319"/>
      <c r="G47" s="319"/>
      <c r="H47" s="319"/>
      <c r="I47" s="319"/>
      <c r="J47" s="320"/>
      <c r="K47" s="320"/>
      <c r="L47" s="319"/>
      <c r="M47" s="319"/>
      <c r="N47" s="319"/>
      <c r="O47" s="320"/>
      <c r="P47" s="320"/>
      <c r="Q47" s="319"/>
      <c r="R47" s="320"/>
      <c r="S47" s="320"/>
      <c r="T47" s="320"/>
      <c r="U47" s="320"/>
      <c r="V47" s="316"/>
    </row>
    <row r="48" spans="1:22">
      <c r="A48" s="311"/>
      <c r="B48" s="291"/>
      <c r="C48" s="308"/>
      <c r="D48" s="309"/>
      <c r="E48" s="309"/>
      <c r="F48" s="309"/>
      <c r="G48" s="309"/>
      <c r="H48" s="309"/>
      <c r="I48" s="309"/>
      <c r="J48" s="310"/>
      <c r="K48" s="310"/>
      <c r="L48" s="309"/>
      <c r="M48" s="309"/>
      <c r="N48" s="309"/>
      <c r="O48" s="310"/>
      <c r="P48" s="310"/>
      <c r="Q48" s="309"/>
      <c r="R48" s="310"/>
      <c r="S48" s="310"/>
      <c r="T48" s="310"/>
      <c r="U48" s="310"/>
      <c r="V48" s="316"/>
    </row>
    <row r="49" spans="1:22">
      <c r="A49" s="311"/>
      <c r="B49" s="312"/>
      <c r="C49" s="313"/>
      <c r="D49" s="314"/>
      <c r="E49" s="314"/>
      <c r="F49" s="314"/>
      <c r="G49" s="314"/>
      <c r="H49" s="314"/>
      <c r="I49" s="314"/>
      <c r="J49" s="315"/>
      <c r="K49" s="315"/>
      <c r="L49" s="314"/>
      <c r="M49" s="314"/>
      <c r="N49" s="314"/>
      <c r="O49" s="315"/>
      <c r="P49" s="315"/>
      <c r="Q49" s="314"/>
      <c r="R49" s="315"/>
      <c r="S49" s="315"/>
      <c r="T49" s="315"/>
      <c r="U49" s="315"/>
      <c r="V49" s="316"/>
    </row>
    <row r="50" spans="1:22">
      <c r="A50" s="311"/>
      <c r="B50" s="317"/>
      <c r="C50" s="318"/>
      <c r="D50" s="319"/>
      <c r="E50" s="319"/>
      <c r="F50" s="319"/>
      <c r="G50" s="319"/>
      <c r="H50" s="319"/>
      <c r="I50" s="319"/>
      <c r="J50" s="320"/>
      <c r="K50" s="320"/>
      <c r="L50" s="319"/>
      <c r="M50" s="319"/>
      <c r="N50" s="319"/>
      <c r="O50" s="320"/>
      <c r="P50" s="320"/>
      <c r="Q50" s="319"/>
      <c r="R50" s="320"/>
      <c r="S50" s="320"/>
      <c r="T50" s="320"/>
      <c r="U50" s="320"/>
      <c r="V50" s="316"/>
    </row>
    <row r="51" spans="1:22">
      <c r="A51" s="311"/>
      <c r="B51" s="291"/>
      <c r="C51" s="308"/>
      <c r="D51" s="309"/>
      <c r="E51" s="309"/>
      <c r="F51" s="309"/>
      <c r="G51" s="309"/>
      <c r="H51" s="309"/>
      <c r="I51" s="309"/>
      <c r="J51" s="310"/>
      <c r="K51" s="310"/>
      <c r="L51" s="309"/>
      <c r="M51" s="309"/>
      <c r="N51" s="309"/>
      <c r="O51" s="310"/>
      <c r="P51" s="310"/>
      <c r="Q51" s="309"/>
      <c r="R51" s="310"/>
      <c r="S51" s="310"/>
      <c r="T51" s="310"/>
      <c r="U51" s="310"/>
      <c r="V51" s="316"/>
    </row>
    <row r="52" spans="1:22">
      <c r="A52" s="311"/>
      <c r="B52" s="312"/>
      <c r="C52" s="313"/>
      <c r="D52" s="314"/>
      <c r="E52" s="314"/>
      <c r="F52" s="314"/>
      <c r="G52" s="322"/>
      <c r="H52" s="322"/>
      <c r="I52" s="314"/>
      <c r="J52" s="315"/>
      <c r="K52" s="315"/>
      <c r="L52" s="314"/>
      <c r="M52" s="314"/>
      <c r="N52" s="314"/>
      <c r="O52" s="315"/>
      <c r="P52" s="315"/>
      <c r="Q52" s="314"/>
      <c r="R52" s="315"/>
      <c r="S52" s="315"/>
      <c r="T52" s="315"/>
      <c r="U52" s="315"/>
      <c r="V52" s="316"/>
    </row>
    <row r="53" spans="1:22">
      <c r="A53" s="311"/>
      <c r="B53" s="317"/>
      <c r="C53" s="318"/>
      <c r="D53" s="319"/>
      <c r="E53" s="319"/>
      <c r="F53" s="319"/>
      <c r="G53" s="321"/>
      <c r="H53" s="321"/>
      <c r="I53" s="319"/>
      <c r="J53" s="320"/>
      <c r="K53" s="320"/>
      <c r="L53" s="319"/>
      <c r="M53" s="319"/>
      <c r="N53" s="319"/>
      <c r="O53" s="320"/>
      <c r="P53" s="320"/>
      <c r="Q53" s="319"/>
      <c r="R53" s="320"/>
      <c r="S53" s="320"/>
      <c r="T53" s="320"/>
      <c r="U53" s="320"/>
      <c r="V53" s="316"/>
    </row>
    <row r="54" spans="1:22">
      <c r="A54" s="311"/>
      <c r="B54" s="291"/>
      <c r="C54" s="308"/>
      <c r="D54" s="309"/>
      <c r="E54" s="309"/>
      <c r="F54" s="309"/>
      <c r="G54" s="309"/>
      <c r="H54" s="309"/>
      <c r="I54" s="309"/>
      <c r="J54" s="310"/>
      <c r="K54" s="310"/>
      <c r="L54" s="309"/>
      <c r="M54" s="309"/>
      <c r="N54" s="309"/>
      <c r="O54" s="310"/>
      <c r="P54" s="310"/>
      <c r="Q54" s="309"/>
      <c r="R54" s="310"/>
      <c r="S54" s="310"/>
      <c r="T54" s="310"/>
      <c r="U54" s="310"/>
      <c r="V54" s="316"/>
    </row>
    <row r="55" spans="1:22">
      <c r="A55" s="311"/>
      <c r="B55" s="312"/>
      <c r="C55" s="313"/>
      <c r="D55" s="314"/>
      <c r="E55" s="314"/>
      <c r="F55" s="314"/>
      <c r="G55" s="314"/>
      <c r="H55" s="314"/>
      <c r="I55" s="314"/>
      <c r="J55" s="315"/>
      <c r="K55" s="315"/>
      <c r="L55" s="314"/>
      <c r="M55" s="314"/>
      <c r="N55" s="314"/>
      <c r="O55" s="315"/>
      <c r="P55" s="315"/>
      <c r="Q55" s="314"/>
      <c r="R55" s="315"/>
      <c r="S55" s="315"/>
      <c r="T55" s="315"/>
      <c r="U55" s="315"/>
      <c r="V55" s="316"/>
    </row>
    <row r="56" spans="1:22">
      <c r="A56" s="311"/>
      <c r="B56" s="317"/>
      <c r="C56" s="318"/>
      <c r="D56" s="319"/>
      <c r="E56" s="319"/>
      <c r="F56" s="319"/>
      <c r="G56" s="319"/>
      <c r="H56" s="319"/>
      <c r="I56" s="319"/>
      <c r="J56" s="320"/>
      <c r="K56" s="320"/>
      <c r="L56" s="319"/>
      <c r="M56" s="319"/>
      <c r="N56" s="319"/>
      <c r="O56" s="320"/>
      <c r="P56" s="320"/>
      <c r="Q56" s="319"/>
      <c r="R56" s="320"/>
      <c r="S56" s="320"/>
      <c r="T56" s="320"/>
      <c r="U56" s="320"/>
      <c r="V56" s="316"/>
    </row>
    <row r="57" spans="1:22">
      <c r="A57" s="311"/>
      <c r="B57" s="291"/>
      <c r="C57" s="308"/>
      <c r="D57" s="309"/>
      <c r="E57" s="309"/>
      <c r="F57" s="309"/>
      <c r="G57" s="309"/>
      <c r="H57" s="309"/>
      <c r="I57" s="309"/>
      <c r="J57" s="310"/>
      <c r="K57" s="310"/>
      <c r="L57" s="309"/>
      <c r="M57" s="309"/>
      <c r="N57" s="309"/>
      <c r="O57" s="310"/>
      <c r="P57" s="310"/>
      <c r="Q57" s="309"/>
      <c r="R57" s="310"/>
      <c r="S57" s="310"/>
      <c r="T57" s="310"/>
      <c r="U57" s="310"/>
      <c r="V57" s="316"/>
    </row>
    <row r="58" spans="1:22">
      <c r="A58" s="311"/>
      <c r="B58" s="312"/>
      <c r="C58" s="313"/>
      <c r="D58" s="314"/>
      <c r="E58" s="314"/>
      <c r="F58" s="314"/>
      <c r="G58" s="314"/>
      <c r="H58" s="314"/>
      <c r="I58" s="314"/>
      <c r="J58" s="315"/>
      <c r="K58" s="315"/>
      <c r="L58" s="314"/>
      <c r="M58" s="314"/>
      <c r="N58" s="314"/>
      <c r="O58" s="315"/>
      <c r="P58" s="315"/>
      <c r="Q58" s="314"/>
      <c r="R58" s="315"/>
      <c r="S58" s="315"/>
      <c r="T58" s="315"/>
      <c r="U58" s="315"/>
      <c r="V58" s="316"/>
    </row>
    <row r="59" spans="1:22" ht="15.75" thickBot="1">
      <c r="A59" s="311"/>
      <c r="B59" s="325"/>
      <c r="C59" s="326"/>
      <c r="D59" s="327"/>
      <c r="E59" s="327"/>
      <c r="F59" s="327"/>
      <c r="G59" s="327"/>
      <c r="H59" s="327"/>
      <c r="I59" s="327"/>
      <c r="J59" s="328"/>
      <c r="K59" s="328"/>
      <c r="L59" s="327"/>
      <c r="M59" s="327"/>
      <c r="N59" s="327"/>
      <c r="O59" s="328"/>
      <c r="P59" s="328"/>
      <c r="Q59" s="327"/>
      <c r="R59" s="328"/>
      <c r="S59" s="328"/>
      <c r="T59" s="328"/>
      <c r="U59" s="328"/>
      <c r="V59" s="316"/>
    </row>
    <row r="60" spans="1:22" ht="15.75" thickTop="1">
      <c r="A60" s="311"/>
      <c r="B60" s="312"/>
      <c r="C60" s="313"/>
      <c r="D60" s="314"/>
      <c r="E60" s="314"/>
      <c r="F60" s="314"/>
      <c r="G60" s="314"/>
      <c r="H60" s="314"/>
      <c r="I60" s="314"/>
      <c r="J60" s="315"/>
      <c r="K60" s="315"/>
      <c r="L60" s="314"/>
      <c r="M60" s="314"/>
      <c r="N60" s="314"/>
      <c r="O60" s="315"/>
      <c r="P60" s="315"/>
      <c r="Q60" s="314"/>
      <c r="R60" s="315"/>
      <c r="S60" s="315"/>
      <c r="T60" s="315"/>
      <c r="U60" s="315"/>
      <c r="V60" s="316"/>
    </row>
    <row r="61" spans="1:22">
      <c r="A61" s="311"/>
      <c r="B61" s="312"/>
      <c r="C61" s="313"/>
      <c r="D61" s="314"/>
      <c r="E61" s="314"/>
      <c r="F61" s="314"/>
      <c r="G61" s="314"/>
      <c r="H61" s="314"/>
      <c r="I61" s="314"/>
      <c r="J61" s="315"/>
      <c r="K61" s="315"/>
      <c r="L61" s="314"/>
      <c r="M61" s="314"/>
      <c r="N61" s="314"/>
      <c r="O61" s="315"/>
      <c r="P61" s="315"/>
      <c r="Q61" s="314"/>
      <c r="R61" s="315"/>
      <c r="S61" s="315"/>
      <c r="T61" s="315"/>
      <c r="U61" s="315"/>
      <c r="V61" s="316"/>
    </row>
    <row r="62" spans="1:22">
      <c r="A62" s="311"/>
      <c r="B62" s="317"/>
      <c r="C62" s="318"/>
      <c r="D62" s="319"/>
      <c r="E62" s="319"/>
      <c r="F62" s="319"/>
      <c r="G62" s="319"/>
      <c r="H62" s="319"/>
      <c r="I62" s="319"/>
      <c r="J62" s="320"/>
      <c r="K62" s="320"/>
      <c r="L62" s="319"/>
      <c r="M62" s="319"/>
      <c r="N62" s="319"/>
      <c r="O62" s="320"/>
      <c r="P62" s="320"/>
      <c r="Q62" s="319"/>
      <c r="R62" s="320"/>
      <c r="S62" s="320"/>
      <c r="T62" s="320"/>
      <c r="U62" s="320"/>
      <c r="V62" s="316"/>
    </row>
    <row r="63" spans="1:22">
      <c r="A63" s="311"/>
      <c r="B63" s="291"/>
      <c r="C63" s="308"/>
      <c r="D63" s="309"/>
      <c r="E63" s="309"/>
      <c r="F63" s="309"/>
      <c r="G63" s="309"/>
      <c r="H63" s="309"/>
      <c r="I63" s="309"/>
      <c r="J63" s="310"/>
      <c r="K63" s="310"/>
      <c r="L63" s="309"/>
      <c r="M63" s="309"/>
      <c r="N63" s="309"/>
      <c r="O63" s="310"/>
      <c r="P63" s="310"/>
      <c r="Q63" s="309"/>
      <c r="R63" s="310"/>
      <c r="S63" s="310"/>
      <c r="T63" s="310"/>
      <c r="U63" s="310"/>
      <c r="V63" s="316"/>
    </row>
    <row r="64" spans="1:22">
      <c r="A64" s="311"/>
      <c r="B64" s="312"/>
      <c r="C64" s="313"/>
      <c r="D64" s="314"/>
      <c r="E64" s="314"/>
      <c r="F64" s="314"/>
      <c r="G64" s="314"/>
      <c r="H64" s="314"/>
      <c r="I64" s="314"/>
      <c r="J64" s="315"/>
      <c r="K64" s="315"/>
      <c r="L64" s="314"/>
      <c r="M64" s="314"/>
      <c r="N64" s="314"/>
      <c r="O64" s="315"/>
      <c r="P64" s="315"/>
      <c r="Q64" s="314"/>
      <c r="R64" s="315"/>
      <c r="S64" s="315"/>
      <c r="T64" s="315"/>
      <c r="U64" s="315"/>
      <c r="V64" s="316"/>
    </row>
    <row r="65" spans="1:23">
      <c r="A65" s="311"/>
      <c r="B65" s="317"/>
      <c r="C65" s="318"/>
      <c r="D65" s="319"/>
      <c r="E65" s="319"/>
      <c r="F65" s="321"/>
      <c r="G65" s="319"/>
      <c r="H65" s="319"/>
      <c r="I65" s="319"/>
      <c r="J65" s="320"/>
      <c r="K65" s="320"/>
      <c r="L65" s="319"/>
      <c r="M65" s="319"/>
      <c r="N65" s="319"/>
      <c r="O65" s="320"/>
      <c r="P65" s="320"/>
      <c r="Q65" s="319"/>
      <c r="R65" s="320"/>
      <c r="S65" s="320"/>
      <c r="T65" s="320"/>
      <c r="U65" s="320"/>
      <c r="V65" s="316"/>
    </row>
    <row r="66" spans="1:23">
      <c r="A66" s="311"/>
      <c r="B66" s="291"/>
      <c r="C66" s="308"/>
      <c r="D66" s="309"/>
      <c r="E66" s="309"/>
      <c r="F66" s="309"/>
      <c r="G66" s="309"/>
      <c r="H66" s="309"/>
      <c r="I66" s="309"/>
      <c r="J66" s="310"/>
      <c r="K66" s="310"/>
      <c r="L66" s="309"/>
      <c r="M66" s="309"/>
      <c r="N66" s="309"/>
      <c r="O66" s="310"/>
      <c r="P66" s="310"/>
      <c r="Q66" s="309"/>
      <c r="R66" s="310"/>
      <c r="S66" s="310"/>
      <c r="T66" s="310"/>
      <c r="U66" s="310"/>
      <c r="V66" s="316"/>
    </row>
    <row r="67" spans="1:23">
      <c r="A67" s="311"/>
      <c r="B67" s="312"/>
      <c r="C67" s="313"/>
      <c r="D67" s="314"/>
      <c r="E67" s="314"/>
      <c r="F67" s="314"/>
      <c r="G67" s="314"/>
      <c r="H67" s="314"/>
      <c r="I67" s="314"/>
      <c r="J67" s="315"/>
      <c r="K67" s="315"/>
      <c r="L67" s="314"/>
      <c r="M67" s="314"/>
      <c r="N67" s="314"/>
      <c r="O67" s="315"/>
      <c r="P67" s="315"/>
      <c r="Q67" s="314"/>
      <c r="R67" s="315"/>
      <c r="S67" s="315"/>
      <c r="T67" s="315"/>
      <c r="U67" s="315"/>
      <c r="V67" s="316"/>
    </row>
    <row r="68" spans="1:23">
      <c r="A68" s="311"/>
      <c r="B68" s="317"/>
      <c r="C68" s="318"/>
      <c r="D68" s="319"/>
      <c r="E68" s="319"/>
      <c r="F68" s="321"/>
      <c r="G68" s="319"/>
      <c r="H68" s="319"/>
      <c r="I68" s="319"/>
      <c r="J68" s="320"/>
      <c r="K68" s="320"/>
      <c r="L68" s="319"/>
      <c r="M68" s="319"/>
      <c r="N68" s="319"/>
      <c r="O68" s="320"/>
      <c r="P68" s="320"/>
      <c r="Q68" s="319"/>
      <c r="R68" s="320"/>
      <c r="S68" s="320"/>
      <c r="T68" s="320"/>
      <c r="U68" s="320"/>
      <c r="V68" s="316"/>
    </row>
    <row r="69" spans="1:23">
      <c r="A69" s="311"/>
      <c r="B69" s="291"/>
      <c r="C69" s="308"/>
      <c r="D69" s="309"/>
      <c r="E69" s="309"/>
      <c r="F69" s="309"/>
      <c r="G69" s="309"/>
      <c r="H69" s="309"/>
      <c r="I69" s="309"/>
      <c r="J69" s="310"/>
      <c r="K69" s="310"/>
      <c r="L69" s="309"/>
      <c r="M69" s="309"/>
      <c r="N69" s="309"/>
      <c r="O69" s="310"/>
      <c r="P69" s="310"/>
      <c r="Q69" s="309"/>
      <c r="R69" s="310"/>
      <c r="S69" s="310"/>
      <c r="T69" s="310"/>
      <c r="U69" s="310"/>
      <c r="V69" s="316"/>
    </row>
    <row r="70" spans="1:23">
      <c r="A70" s="311"/>
      <c r="B70" s="312"/>
      <c r="C70" s="313"/>
      <c r="D70" s="314"/>
      <c r="E70" s="314"/>
      <c r="F70" s="322"/>
      <c r="G70" s="314"/>
      <c r="H70" s="314"/>
      <c r="I70" s="314"/>
      <c r="J70" s="315"/>
      <c r="K70" s="315"/>
      <c r="L70" s="314"/>
      <c r="M70" s="314"/>
      <c r="N70" s="314"/>
      <c r="O70" s="315"/>
      <c r="P70" s="315"/>
      <c r="Q70" s="314"/>
      <c r="R70" s="315"/>
      <c r="S70" s="315"/>
      <c r="T70" s="315"/>
      <c r="U70" s="315"/>
      <c r="V70" s="316"/>
    </row>
    <row r="71" spans="1:23">
      <c r="A71" s="311"/>
      <c r="B71" s="317"/>
      <c r="C71" s="318"/>
      <c r="D71" s="319"/>
      <c r="E71" s="319"/>
      <c r="F71" s="319"/>
      <c r="G71" s="319"/>
      <c r="H71" s="319"/>
      <c r="I71" s="319"/>
      <c r="J71" s="320"/>
      <c r="K71" s="320"/>
      <c r="L71" s="319"/>
      <c r="M71" s="319"/>
      <c r="N71" s="319"/>
      <c r="O71" s="320"/>
      <c r="P71" s="320"/>
      <c r="Q71" s="319"/>
      <c r="R71" s="320"/>
      <c r="S71" s="320"/>
      <c r="T71" s="320"/>
      <c r="U71" s="320"/>
      <c r="V71" s="316"/>
    </row>
    <row r="72" spans="1:23">
      <c r="A72" s="311"/>
      <c r="B72" s="291"/>
      <c r="C72" s="308"/>
      <c r="D72" s="309"/>
      <c r="E72" s="309"/>
      <c r="F72" s="309"/>
      <c r="G72" s="309"/>
      <c r="H72" s="309"/>
      <c r="I72" s="309"/>
      <c r="J72" s="310"/>
      <c r="K72" s="310"/>
      <c r="L72" s="309"/>
      <c r="M72" s="309"/>
      <c r="N72" s="309"/>
      <c r="O72" s="310"/>
      <c r="P72" s="310"/>
      <c r="Q72" s="309"/>
      <c r="R72" s="310"/>
      <c r="S72" s="310"/>
      <c r="T72" s="310"/>
      <c r="U72" s="310"/>
      <c r="V72" s="316"/>
    </row>
    <row r="73" spans="1:23">
      <c r="A73" s="311"/>
      <c r="B73" s="312"/>
      <c r="C73" s="313"/>
      <c r="D73" s="314"/>
      <c r="E73" s="314"/>
      <c r="F73" s="314"/>
      <c r="G73" s="314"/>
      <c r="H73" s="314"/>
      <c r="I73" s="314"/>
      <c r="J73" s="315"/>
      <c r="K73" s="315"/>
      <c r="L73" s="314"/>
      <c r="M73" s="314"/>
      <c r="N73" s="314"/>
      <c r="O73" s="315"/>
      <c r="P73" s="315"/>
      <c r="Q73" s="314"/>
      <c r="R73" s="315"/>
      <c r="S73" s="315"/>
      <c r="T73" s="315"/>
      <c r="U73" s="315"/>
      <c r="V73" s="316"/>
    </row>
    <row r="74" spans="1:23">
      <c r="A74" s="311"/>
      <c r="B74" s="317"/>
      <c r="C74" s="318"/>
      <c r="D74" s="319"/>
      <c r="E74" s="319"/>
      <c r="F74" s="319"/>
      <c r="G74" s="319"/>
      <c r="H74" s="319"/>
      <c r="I74" s="319"/>
      <c r="J74" s="320"/>
      <c r="K74" s="320"/>
      <c r="L74" s="319"/>
      <c r="M74" s="319"/>
      <c r="N74" s="319"/>
      <c r="O74" s="320"/>
      <c r="P74" s="320"/>
      <c r="Q74" s="319"/>
      <c r="R74" s="320"/>
      <c r="S74" s="320"/>
      <c r="T74" s="320"/>
      <c r="U74" s="320"/>
      <c r="V74" s="316"/>
    </row>
    <row r="75" spans="1:23">
      <c r="A75" s="311"/>
      <c r="B75" s="291"/>
      <c r="C75" s="308"/>
      <c r="D75" s="309"/>
      <c r="E75" s="309"/>
      <c r="F75" s="309"/>
      <c r="G75" s="309"/>
      <c r="H75" s="309"/>
      <c r="I75" s="309"/>
      <c r="J75" s="310"/>
      <c r="K75" s="310"/>
      <c r="L75" s="309"/>
      <c r="M75" s="309"/>
      <c r="N75" s="309"/>
      <c r="O75" s="310"/>
      <c r="P75" s="310"/>
      <c r="Q75" s="309"/>
      <c r="R75" s="310"/>
      <c r="S75" s="310"/>
      <c r="T75" s="310"/>
      <c r="U75" s="310"/>
      <c r="V75" s="316"/>
    </row>
    <row r="76" spans="1:23">
      <c r="A76" s="311"/>
      <c r="B76" s="312"/>
      <c r="C76" s="313"/>
      <c r="D76" s="314"/>
      <c r="E76" s="314"/>
      <c r="F76" s="314"/>
      <c r="G76" s="314"/>
      <c r="H76" s="314"/>
      <c r="I76" s="314"/>
      <c r="J76" s="315"/>
      <c r="K76" s="315"/>
      <c r="L76" s="314"/>
      <c r="M76" s="314"/>
      <c r="N76" s="314"/>
      <c r="O76" s="315"/>
      <c r="P76" s="315"/>
      <c r="Q76" s="314"/>
      <c r="R76" s="315"/>
      <c r="S76" s="315"/>
      <c r="T76" s="315"/>
      <c r="U76" s="315"/>
      <c r="V76" s="316"/>
      <c r="W76" s="335"/>
    </row>
    <row r="77" spans="1:23" ht="15.75" thickBot="1">
      <c r="A77" s="329"/>
      <c r="B77" s="330"/>
      <c r="C77" s="331"/>
      <c r="D77" s="332"/>
      <c r="E77" s="332"/>
      <c r="F77" s="332"/>
      <c r="G77" s="332"/>
      <c r="H77" s="332"/>
      <c r="I77" s="332"/>
      <c r="J77" s="333"/>
      <c r="K77" s="333"/>
      <c r="L77" s="332"/>
      <c r="M77" s="332"/>
      <c r="N77" s="332"/>
      <c r="O77" s="333"/>
      <c r="P77" s="333"/>
      <c r="Q77" s="332"/>
      <c r="R77" s="333"/>
      <c r="S77" s="333"/>
      <c r="T77" s="333"/>
      <c r="U77" s="333"/>
      <c r="V77" s="316"/>
    </row>
    <row r="78" spans="1:23">
      <c r="A78" s="307"/>
      <c r="B78" s="291"/>
      <c r="C78" s="308"/>
      <c r="D78" s="309"/>
      <c r="E78" s="309"/>
      <c r="F78" s="309"/>
      <c r="G78" s="309"/>
      <c r="H78" s="309"/>
      <c r="I78" s="309"/>
      <c r="J78" s="310"/>
      <c r="K78" s="310"/>
      <c r="L78" s="309"/>
      <c r="M78" s="309"/>
      <c r="N78" s="309"/>
      <c r="O78" s="310"/>
      <c r="P78" s="310"/>
      <c r="Q78" s="309"/>
      <c r="R78" s="310"/>
      <c r="S78" s="310"/>
      <c r="T78" s="310"/>
      <c r="U78" s="310"/>
      <c r="V78" s="316"/>
    </row>
    <row r="79" spans="1:23">
      <c r="A79" s="311"/>
      <c r="B79" s="312"/>
      <c r="C79" s="313"/>
      <c r="D79" s="314"/>
      <c r="E79" s="314"/>
      <c r="F79" s="314"/>
      <c r="G79" s="314"/>
      <c r="H79" s="314"/>
      <c r="I79" s="314"/>
      <c r="J79" s="315"/>
      <c r="K79" s="315"/>
      <c r="L79" s="314"/>
      <c r="M79" s="314"/>
      <c r="N79" s="314"/>
      <c r="O79" s="315"/>
      <c r="P79" s="315"/>
      <c r="Q79" s="314"/>
      <c r="R79" s="315"/>
      <c r="S79" s="315"/>
      <c r="T79" s="315"/>
      <c r="U79" s="315"/>
      <c r="V79" s="316"/>
    </row>
    <row r="80" spans="1:23">
      <c r="A80" s="311"/>
      <c r="B80" s="317"/>
      <c r="C80" s="318"/>
      <c r="D80" s="319"/>
      <c r="E80" s="319"/>
      <c r="F80" s="319"/>
      <c r="G80" s="319"/>
      <c r="H80" s="319"/>
      <c r="I80" s="319"/>
      <c r="J80" s="320"/>
      <c r="K80" s="320"/>
      <c r="L80" s="319"/>
      <c r="M80" s="319"/>
      <c r="N80" s="319"/>
      <c r="O80" s="320"/>
      <c r="P80" s="320"/>
      <c r="Q80" s="319"/>
      <c r="R80" s="320"/>
      <c r="S80" s="320"/>
      <c r="T80" s="320"/>
      <c r="U80" s="320"/>
      <c r="V80" s="316"/>
    </row>
    <row r="81" spans="1:22">
      <c r="A81" s="311"/>
      <c r="B81" s="291"/>
      <c r="C81" s="308"/>
      <c r="D81" s="309"/>
      <c r="E81" s="309"/>
      <c r="F81" s="309"/>
      <c r="G81" s="309"/>
      <c r="H81" s="309"/>
      <c r="I81" s="309"/>
      <c r="J81" s="310"/>
      <c r="K81" s="310"/>
      <c r="L81" s="309"/>
      <c r="M81" s="309"/>
      <c r="N81" s="309"/>
      <c r="O81" s="310"/>
      <c r="P81" s="310"/>
      <c r="Q81" s="309"/>
      <c r="R81" s="310"/>
      <c r="S81" s="310"/>
      <c r="T81" s="310"/>
      <c r="U81" s="310"/>
      <c r="V81" s="316"/>
    </row>
    <row r="82" spans="1:22">
      <c r="A82" s="311"/>
      <c r="B82" s="312"/>
      <c r="C82" s="313"/>
      <c r="D82" s="314"/>
      <c r="E82" s="314"/>
      <c r="F82" s="314"/>
      <c r="G82" s="314"/>
      <c r="H82" s="314"/>
      <c r="I82" s="314"/>
      <c r="J82" s="315"/>
      <c r="K82" s="315"/>
      <c r="L82" s="314"/>
      <c r="M82" s="314"/>
      <c r="N82" s="314"/>
      <c r="O82" s="315"/>
      <c r="P82" s="315"/>
      <c r="Q82" s="314"/>
      <c r="R82" s="315"/>
      <c r="S82" s="315"/>
      <c r="T82" s="315"/>
      <c r="U82" s="315"/>
      <c r="V82" s="316"/>
    </row>
    <row r="83" spans="1:22">
      <c r="A83" s="311"/>
      <c r="B83" s="317"/>
      <c r="C83" s="318"/>
      <c r="D83" s="319"/>
      <c r="E83" s="319"/>
      <c r="F83" s="319"/>
      <c r="G83" s="319"/>
      <c r="H83" s="319"/>
      <c r="I83" s="319"/>
      <c r="J83" s="320"/>
      <c r="K83" s="320"/>
      <c r="L83" s="319"/>
      <c r="M83" s="319"/>
      <c r="N83" s="319"/>
      <c r="O83" s="320"/>
      <c r="P83" s="320"/>
      <c r="Q83" s="319"/>
      <c r="R83" s="320"/>
      <c r="S83" s="320"/>
      <c r="T83" s="320"/>
      <c r="U83" s="320"/>
      <c r="V83" s="316"/>
    </row>
    <row r="84" spans="1:22">
      <c r="A84" s="311"/>
      <c r="B84" s="291"/>
      <c r="C84" s="308"/>
      <c r="D84" s="309"/>
      <c r="E84" s="309"/>
      <c r="F84" s="309"/>
      <c r="G84" s="309"/>
      <c r="H84" s="309"/>
      <c r="I84" s="309"/>
      <c r="J84" s="310"/>
      <c r="K84" s="310"/>
      <c r="L84" s="309"/>
      <c r="M84" s="309"/>
      <c r="N84" s="309"/>
      <c r="O84" s="310"/>
      <c r="P84" s="310"/>
      <c r="Q84" s="309"/>
      <c r="R84" s="310"/>
      <c r="S84" s="310"/>
      <c r="T84" s="310"/>
      <c r="U84" s="310"/>
      <c r="V84" s="316"/>
    </row>
    <row r="85" spans="1:22">
      <c r="A85" s="311"/>
      <c r="B85" s="312"/>
      <c r="C85" s="313"/>
      <c r="D85" s="314"/>
      <c r="E85" s="314"/>
      <c r="F85" s="314"/>
      <c r="G85" s="314"/>
      <c r="H85" s="314"/>
      <c r="I85" s="314"/>
      <c r="J85" s="315"/>
      <c r="K85" s="315"/>
      <c r="L85" s="314"/>
      <c r="M85" s="314"/>
      <c r="N85" s="314"/>
      <c r="O85" s="315"/>
      <c r="P85" s="315"/>
      <c r="Q85" s="314"/>
      <c r="R85" s="315"/>
      <c r="S85" s="315"/>
      <c r="T85" s="315"/>
      <c r="U85" s="315"/>
      <c r="V85" s="316"/>
    </row>
    <row r="86" spans="1:22">
      <c r="A86" s="311"/>
      <c r="B86" s="317"/>
      <c r="C86" s="318"/>
      <c r="D86" s="319"/>
      <c r="E86" s="319"/>
      <c r="F86" s="319"/>
      <c r="G86" s="319"/>
      <c r="H86" s="319"/>
      <c r="I86" s="319"/>
      <c r="J86" s="320"/>
      <c r="K86" s="320"/>
      <c r="L86" s="319"/>
      <c r="M86" s="319"/>
      <c r="N86" s="319"/>
      <c r="O86" s="320"/>
      <c r="P86" s="320"/>
      <c r="Q86" s="319"/>
      <c r="R86" s="320"/>
      <c r="S86" s="320"/>
      <c r="T86" s="320"/>
      <c r="U86" s="320"/>
      <c r="V86" s="316"/>
    </row>
    <row r="87" spans="1:22">
      <c r="A87" s="311"/>
      <c r="B87" s="291"/>
      <c r="C87" s="308"/>
      <c r="D87" s="309"/>
      <c r="E87" s="309"/>
      <c r="F87" s="309"/>
      <c r="G87" s="309"/>
      <c r="H87" s="309"/>
      <c r="I87" s="309"/>
      <c r="J87" s="310"/>
      <c r="K87" s="310"/>
      <c r="L87" s="309"/>
      <c r="M87" s="309"/>
      <c r="N87" s="309"/>
      <c r="O87" s="310"/>
      <c r="P87" s="310"/>
      <c r="Q87" s="309"/>
      <c r="R87" s="310"/>
      <c r="S87" s="310"/>
      <c r="T87" s="310"/>
      <c r="U87" s="310"/>
      <c r="V87" s="316"/>
    </row>
    <row r="88" spans="1:22">
      <c r="A88" s="311"/>
      <c r="B88" s="312"/>
      <c r="C88" s="313"/>
      <c r="D88" s="314"/>
      <c r="E88" s="314"/>
      <c r="F88" s="314"/>
      <c r="G88" s="314"/>
      <c r="H88" s="314"/>
      <c r="I88" s="314"/>
      <c r="J88" s="315"/>
      <c r="K88" s="315"/>
      <c r="L88" s="314"/>
      <c r="M88" s="314"/>
      <c r="N88" s="314"/>
      <c r="O88" s="315"/>
      <c r="P88" s="315"/>
      <c r="Q88" s="314"/>
      <c r="R88" s="315"/>
      <c r="S88" s="315"/>
      <c r="T88" s="315"/>
      <c r="U88" s="315"/>
      <c r="V88" s="316"/>
    </row>
    <row r="89" spans="1:22">
      <c r="A89" s="311"/>
      <c r="B89" s="317"/>
      <c r="C89" s="318"/>
      <c r="D89" s="319"/>
      <c r="E89" s="319"/>
      <c r="F89" s="319"/>
      <c r="G89" s="319"/>
      <c r="H89" s="319"/>
      <c r="I89" s="319"/>
      <c r="J89" s="320"/>
      <c r="K89" s="320"/>
      <c r="L89" s="319"/>
      <c r="M89" s="319"/>
      <c r="N89" s="319"/>
      <c r="O89" s="320"/>
      <c r="P89" s="320"/>
      <c r="Q89" s="319"/>
      <c r="R89" s="320"/>
      <c r="S89" s="320"/>
      <c r="T89" s="320"/>
      <c r="U89" s="320"/>
      <c r="V89" s="316"/>
    </row>
    <row r="90" spans="1:22">
      <c r="A90" s="311"/>
      <c r="B90" s="291"/>
      <c r="C90" s="308"/>
      <c r="D90" s="309"/>
      <c r="E90" s="309"/>
      <c r="F90" s="309"/>
      <c r="G90" s="309"/>
      <c r="H90" s="309"/>
      <c r="I90" s="309"/>
      <c r="J90" s="310"/>
      <c r="K90" s="310"/>
      <c r="L90" s="309"/>
      <c r="M90" s="309"/>
      <c r="N90" s="309"/>
      <c r="O90" s="310"/>
      <c r="P90" s="310"/>
      <c r="Q90" s="309"/>
      <c r="R90" s="310"/>
      <c r="S90" s="310"/>
      <c r="T90" s="310"/>
      <c r="U90" s="310"/>
      <c r="V90" s="316"/>
    </row>
    <row r="91" spans="1:22">
      <c r="A91" s="311"/>
      <c r="B91" s="312"/>
      <c r="C91" s="313"/>
      <c r="D91" s="314"/>
      <c r="E91" s="314"/>
      <c r="F91" s="314"/>
      <c r="G91" s="314"/>
      <c r="H91" s="314"/>
      <c r="I91" s="314"/>
      <c r="J91" s="315"/>
      <c r="K91" s="315"/>
      <c r="L91" s="314"/>
      <c r="M91" s="314"/>
      <c r="N91" s="314"/>
      <c r="O91" s="315"/>
      <c r="P91" s="315"/>
      <c r="Q91" s="314"/>
      <c r="R91" s="315"/>
      <c r="S91" s="315"/>
      <c r="T91" s="315"/>
      <c r="U91" s="315"/>
      <c r="V91" s="316"/>
    </row>
    <row r="92" spans="1:22">
      <c r="A92" s="311"/>
      <c r="B92" s="317"/>
      <c r="C92" s="318"/>
      <c r="D92" s="319"/>
      <c r="E92" s="319"/>
      <c r="F92" s="319"/>
      <c r="G92" s="319"/>
      <c r="H92" s="319"/>
      <c r="I92" s="319"/>
      <c r="J92" s="320"/>
      <c r="K92" s="320"/>
      <c r="L92" s="319"/>
      <c r="M92" s="319"/>
      <c r="N92" s="319"/>
      <c r="O92" s="320"/>
      <c r="P92" s="320"/>
      <c r="Q92" s="319"/>
      <c r="R92" s="320"/>
      <c r="S92" s="320"/>
      <c r="T92" s="320"/>
      <c r="U92" s="320"/>
      <c r="V92" s="316"/>
    </row>
    <row r="93" spans="1:22">
      <c r="A93" s="311"/>
      <c r="B93" s="291"/>
      <c r="C93" s="308"/>
      <c r="D93" s="309"/>
      <c r="E93" s="309"/>
      <c r="F93" s="309"/>
      <c r="G93" s="309"/>
      <c r="H93" s="309"/>
      <c r="I93" s="309"/>
      <c r="J93" s="310"/>
      <c r="K93" s="310"/>
      <c r="L93" s="309"/>
      <c r="M93" s="309"/>
      <c r="N93" s="309"/>
      <c r="O93" s="310"/>
      <c r="P93" s="310"/>
      <c r="Q93" s="309"/>
      <c r="R93" s="310"/>
      <c r="S93" s="310"/>
      <c r="T93" s="310"/>
      <c r="U93" s="310"/>
      <c r="V93" s="316"/>
    </row>
    <row r="94" spans="1:22">
      <c r="A94" s="311"/>
      <c r="B94" s="312"/>
      <c r="C94" s="313"/>
      <c r="D94" s="314"/>
      <c r="E94" s="314"/>
      <c r="F94" s="314"/>
      <c r="G94" s="314"/>
      <c r="H94" s="314"/>
      <c r="I94" s="314"/>
      <c r="J94" s="315"/>
      <c r="K94" s="315"/>
      <c r="L94" s="314"/>
      <c r="M94" s="314"/>
      <c r="N94" s="314"/>
      <c r="O94" s="315"/>
      <c r="P94" s="315"/>
      <c r="Q94" s="314"/>
      <c r="R94" s="315"/>
      <c r="S94" s="315"/>
      <c r="T94" s="315"/>
      <c r="U94" s="315"/>
      <c r="V94" s="316"/>
    </row>
    <row r="95" spans="1:22" ht="15.75" thickBot="1">
      <c r="A95" s="311"/>
      <c r="B95" s="325"/>
      <c r="C95" s="326"/>
      <c r="D95" s="327"/>
      <c r="E95" s="327"/>
      <c r="F95" s="327"/>
      <c r="G95" s="327"/>
      <c r="H95" s="327"/>
      <c r="I95" s="327"/>
      <c r="J95" s="328"/>
      <c r="K95" s="328"/>
      <c r="L95" s="327"/>
      <c r="M95" s="327"/>
      <c r="N95" s="327"/>
      <c r="O95" s="328"/>
      <c r="P95" s="328"/>
      <c r="Q95" s="327"/>
      <c r="R95" s="328"/>
      <c r="S95" s="328"/>
      <c r="T95" s="328"/>
      <c r="U95" s="328"/>
      <c r="V95" s="316"/>
    </row>
    <row r="96" spans="1:22" ht="15.75" thickTop="1">
      <c r="A96" s="311"/>
      <c r="B96" s="312"/>
      <c r="C96" s="313"/>
      <c r="D96" s="314"/>
      <c r="E96" s="314"/>
      <c r="F96" s="314"/>
      <c r="G96" s="314"/>
      <c r="H96" s="314"/>
      <c r="I96" s="314"/>
      <c r="J96" s="315"/>
      <c r="K96" s="315"/>
      <c r="L96" s="314"/>
      <c r="M96" s="314"/>
      <c r="N96" s="314"/>
      <c r="O96" s="315"/>
      <c r="P96" s="315"/>
      <c r="Q96" s="314"/>
      <c r="R96" s="315"/>
      <c r="S96" s="315"/>
      <c r="T96" s="315"/>
      <c r="U96" s="315"/>
      <c r="V96" s="316"/>
    </row>
    <row r="97" spans="1:22">
      <c r="A97" s="311"/>
      <c r="B97" s="312"/>
      <c r="C97" s="313"/>
      <c r="D97" s="314"/>
      <c r="E97" s="314"/>
      <c r="F97" s="314"/>
      <c r="G97" s="314"/>
      <c r="H97" s="314"/>
      <c r="I97" s="314"/>
      <c r="J97" s="315"/>
      <c r="K97" s="315"/>
      <c r="L97" s="314"/>
      <c r="M97" s="314"/>
      <c r="N97" s="314"/>
      <c r="O97" s="315"/>
      <c r="P97" s="315"/>
      <c r="Q97" s="314"/>
      <c r="R97" s="315"/>
      <c r="S97" s="315"/>
      <c r="T97" s="315"/>
      <c r="U97" s="315"/>
      <c r="V97" s="316"/>
    </row>
    <row r="98" spans="1:22">
      <c r="A98" s="311"/>
      <c r="B98" s="317"/>
      <c r="C98" s="318"/>
      <c r="D98" s="319"/>
      <c r="E98" s="319"/>
      <c r="F98" s="319"/>
      <c r="G98" s="319"/>
      <c r="H98" s="319"/>
      <c r="I98" s="319"/>
      <c r="J98" s="320"/>
      <c r="K98" s="320"/>
      <c r="L98" s="319"/>
      <c r="M98" s="319"/>
      <c r="N98" s="319"/>
      <c r="O98" s="320"/>
      <c r="P98" s="320"/>
      <c r="Q98" s="319"/>
      <c r="R98" s="320"/>
      <c r="S98" s="320"/>
      <c r="T98" s="320"/>
      <c r="U98" s="320"/>
      <c r="V98" s="316"/>
    </row>
    <row r="99" spans="1:22">
      <c r="A99" s="311"/>
      <c r="B99" s="291"/>
      <c r="C99" s="308"/>
      <c r="D99" s="309"/>
      <c r="E99" s="309"/>
      <c r="F99" s="309"/>
      <c r="G99" s="309"/>
      <c r="H99" s="309"/>
      <c r="I99" s="309"/>
      <c r="J99" s="310"/>
      <c r="K99" s="310"/>
      <c r="L99" s="309"/>
      <c r="M99" s="309"/>
      <c r="N99" s="309"/>
      <c r="O99" s="310"/>
      <c r="P99" s="310"/>
      <c r="Q99" s="309"/>
      <c r="R99" s="310"/>
      <c r="S99" s="310"/>
      <c r="T99" s="310"/>
      <c r="U99" s="310"/>
      <c r="V99" s="316"/>
    </row>
    <row r="100" spans="1:22">
      <c r="A100" s="311"/>
      <c r="B100" s="312"/>
      <c r="C100" s="313"/>
      <c r="D100" s="314"/>
      <c r="E100" s="314"/>
      <c r="F100" s="314"/>
      <c r="G100" s="314"/>
      <c r="H100" s="314"/>
      <c r="I100" s="314"/>
      <c r="J100" s="315"/>
      <c r="K100" s="315"/>
      <c r="L100" s="314"/>
      <c r="M100" s="314"/>
      <c r="N100" s="314"/>
      <c r="O100" s="315"/>
      <c r="P100" s="315"/>
      <c r="Q100" s="314"/>
      <c r="R100" s="315"/>
      <c r="S100" s="315"/>
      <c r="T100" s="315"/>
      <c r="U100" s="315"/>
      <c r="V100" s="316"/>
    </row>
    <row r="101" spans="1:22">
      <c r="A101" s="311"/>
      <c r="B101" s="317"/>
      <c r="C101" s="318"/>
      <c r="D101" s="319"/>
      <c r="E101" s="319"/>
      <c r="F101" s="319"/>
      <c r="G101" s="319"/>
      <c r="H101" s="319"/>
      <c r="I101" s="319"/>
      <c r="J101" s="320"/>
      <c r="K101" s="320"/>
      <c r="L101" s="319"/>
      <c r="M101" s="319"/>
      <c r="N101" s="319"/>
      <c r="O101" s="320"/>
      <c r="P101" s="320"/>
      <c r="Q101" s="319"/>
      <c r="R101" s="320"/>
      <c r="S101" s="320"/>
      <c r="T101" s="320"/>
      <c r="U101" s="320"/>
      <c r="V101" s="316"/>
    </row>
    <row r="102" spans="1:22">
      <c r="A102" s="311"/>
      <c r="B102" s="291"/>
      <c r="C102" s="308"/>
      <c r="D102" s="309"/>
      <c r="E102" s="309"/>
      <c r="F102" s="309"/>
      <c r="G102" s="309"/>
      <c r="H102" s="309"/>
      <c r="I102" s="309"/>
      <c r="J102" s="310"/>
      <c r="K102" s="310"/>
      <c r="L102" s="309"/>
      <c r="M102" s="309"/>
      <c r="N102" s="309"/>
      <c r="O102" s="310"/>
      <c r="P102" s="310"/>
      <c r="Q102" s="309"/>
      <c r="R102" s="310"/>
      <c r="S102" s="310"/>
      <c r="T102" s="310"/>
      <c r="U102" s="310"/>
      <c r="V102" s="316"/>
    </row>
    <row r="103" spans="1:22">
      <c r="A103" s="311"/>
      <c r="B103" s="312"/>
      <c r="C103" s="313"/>
      <c r="D103" s="314"/>
      <c r="E103" s="314"/>
      <c r="F103" s="314"/>
      <c r="G103" s="314"/>
      <c r="H103" s="314"/>
      <c r="I103" s="314"/>
      <c r="J103" s="315"/>
      <c r="K103" s="315"/>
      <c r="L103" s="314"/>
      <c r="M103" s="314"/>
      <c r="N103" s="314"/>
      <c r="O103" s="315"/>
      <c r="P103" s="315"/>
      <c r="Q103" s="314"/>
      <c r="R103" s="315"/>
      <c r="S103" s="315"/>
      <c r="T103" s="315"/>
      <c r="U103" s="315"/>
      <c r="V103" s="316"/>
    </row>
    <row r="104" spans="1:22">
      <c r="A104" s="311"/>
      <c r="B104" s="317"/>
      <c r="C104" s="318"/>
      <c r="D104" s="319"/>
      <c r="E104" s="319"/>
      <c r="F104" s="319"/>
      <c r="G104" s="319"/>
      <c r="H104" s="319"/>
      <c r="I104" s="319"/>
      <c r="J104" s="320"/>
      <c r="K104" s="320"/>
      <c r="L104" s="319"/>
      <c r="M104" s="319"/>
      <c r="N104" s="319"/>
      <c r="O104" s="320"/>
      <c r="P104" s="320"/>
      <c r="Q104" s="319"/>
      <c r="R104" s="320"/>
      <c r="S104" s="320"/>
      <c r="T104" s="320"/>
      <c r="U104" s="320"/>
      <c r="V104" s="316"/>
    </row>
    <row r="105" spans="1:22">
      <c r="A105" s="311"/>
      <c r="B105" s="291"/>
      <c r="C105" s="308"/>
      <c r="D105" s="309"/>
      <c r="E105" s="309"/>
      <c r="F105" s="309"/>
      <c r="G105" s="309"/>
      <c r="H105" s="309"/>
      <c r="I105" s="309"/>
      <c r="J105" s="310"/>
      <c r="K105" s="310"/>
      <c r="L105" s="309"/>
      <c r="M105" s="309"/>
      <c r="N105" s="309"/>
      <c r="O105" s="310"/>
      <c r="P105" s="310"/>
      <c r="Q105" s="309"/>
      <c r="R105" s="310"/>
      <c r="S105" s="310"/>
      <c r="T105" s="310"/>
      <c r="U105" s="310"/>
      <c r="V105" s="316"/>
    </row>
    <row r="106" spans="1:22">
      <c r="A106" s="311"/>
      <c r="B106" s="312"/>
      <c r="C106" s="313"/>
      <c r="D106" s="314"/>
      <c r="E106" s="314"/>
      <c r="F106" s="314"/>
      <c r="G106" s="314"/>
      <c r="H106" s="314"/>
      <c r="I106" s="314"/>
      <c r="J106" s="315"/>
      <c r="K106" s="315"/>
      <c r="L106" s="314"/>
      <c r="M106" s="314"/>
      <c r="N106" s="314"/>
      <c r="O106" s="315"/>
      <c r="P106" s="315"/>
      <c r="Q106" s="314"/>
      <c r="R106" s="315"/>
      <c r="S106" s="315"/>
      <c r="T106" s="315"/>
      <c r="U106" s="315"/>
      <c r="V106" s="316"/>
    </row>
    <row r="107" spans="1:22">
      <c r="A107" s="311"/>
      <c r="B107" s="317"/>
      <c r="C107" s="318"/>
      <c r="D107" s="319"/>
      <c r="E107" s="319"/>
      <c r="F107" s="319"/>
      <c r="G107" s="319"/>
      <c r="H107" s="319"/>
      <c r="I107" s="319"/>
      <c r="J107" s="320"/>
      <c r="K107" s="320"/>
      <c r="L107" s="319"/>
      <c r="M107" s="319"/>
      <c r="N107" s="319"/>
      <c r="O107" s="320"/>
      <c r="P107" s="320"/>
      <c r="Q107" s="319"/>
      <c r="R107" s="320"/>
      <c r="S107" s="320"/>
      <c r="T107" s="320"/>
      <c r="U107" s="320"/>
      <c r="V107" s="316"/>
    </row>
    <row r="108" spans="1:22">
      <c r="A108" s="311"/>
      <c r="B108" s="291"/>
      <c r="C108" s="308"/>
      <c r="D108" s="309"/>
      <c r="E108" s="309"/>
      <c r="F108" s="309"/>
      <c r="G108" s="309"/>
      <c r="H108" s="309"/>
      <c r="I108" s="309"/>
      <c r="J108" s="310"/>
      <c r="K108" s="310"/>
      <c r="L108" s="309"/>
      <c r="M108" s="309"/>
      <c r="N108" s="309"/>
      <c r="O108" s="310"/>
      <c r="P108" s="310"/>
      <c r="Q108" s="309"/>
      <c r="R108" s="310"/>
      <c r="S108" s="310"/>
      <c r="T108" s="310"/>
      <c r="U108" s="310"/>
      <c r="V108" s="316"/>
    </row>
    <row r="109" spans="1:22">
      <c r="A109" s="311"/>
      <c r="B109" s="312"/>
      <c r="C109" s="313"/>
      <c r="D109" s="314"/>
      <c r="E109" s="314"/>
      <c r="F109" s="314"/>
      <c r="G109" s="314"/>
      <c r="H109" s="314"/>
      <c r="I109" s="314"/>
      <c r="J109" s="315"/>
      <c r="K109" s="315"/>
      <c r="L109" s="314"/>
      <c r="M109" s="314"/>
      <c r="N109" s="314"/>
      <c r="O109" s="315"/>
      <c r="P109" s="315"/>
      <c r="Q109" s="314"/>
      <c r="R109" s="315"/>
      <c r="S109" s="315"/>
      <c r="T109" s="315"/>
      <c r="U109" s="315"/>
      <c r="V109" s="316"/>
    </row>
    <row r="110" spans="1:22">
      <c r="A110" s="311"/>
      <c r="B110" s="317"/>
      <c r="C110" s="318"/>
      <c r="D110" s="319"/>
      <c r="E110" s="319"/>
      <c r="F110" s="319"/>
      <c r="G110" s="319"/>
      <c r="H110" s="319"/>
      <c r="I110" s="319"/>
      <c r="J110" s="320"/>
      <c r="K110" s="320"/>
      <c r="L110" s="319"/>
      <c r="M110" s="319"/>
      <c r="N110" s="319"/>
      <c r="O110" s="320"/>
      <c r="P110" s="320"/>
      <c r="Q110" s="319"/>
      <c r="R110" s="320"/>
      <c r="S110" s="320"/>
      <c r="T110" s="320"/>
      <c r="U110" s="320"/>
      <c r="V110" s="316"/>
    </row>
    <row r="111" spans="1:22">
      <c r="A111" s="311"/>
      <c r="B111" s="291"/>
      <c r="C111" s="308"/>
      <c r="D111" s="309"/>
      <c r="E111" s="309"/>
      <c r="F111" s="309"/>
      <c r="G111" s="309"/>
      <c r="H111" s="309"/>
      <c r="I111" s="309"/>
      <c r="J111" s="310"/>
      <c r="K111" s="310"/>
      <c r="L111" s="309"/>
      <c r="M111" s="309"/>
      <c r="N111" s="309"/>
      <c r="O111" s="310"/>
      <c r="P111" s="310"/>
      <c r="Q111" s="309"/>
      <c r="R111" s="310"/>
      <c r="S111" s="310"/>
      <c r="T111" s="310"/>
      <c r="U111" s="310"/>
      <c r="V111" s="316"/>
    </row>
    <row r="112" spans="1:22">
      <c r="A112" s="311"/>
      <c r="B112" s="312"/>
      <c r="C112" s="313"/>
      <c r="D112" s="314"/>
      <c r="E112" s="314"/>
      <c r="F112" s="314"/>
      <c r="G112" s="314"/>
      <c r="H112" s="314"/>
      <c r="I112" s="314"/>
      <c r="J112" s="315"/>
      <c r="K112" s="315"/>
      <c r="L112" s="314"/>
      <c r="M112" s="314"/>
      <c r="N112" s="314"/>
      <c r="O112" s="315"/>
      <c r="P112" s="315"/>
      <c r="Q112" s="314"/>
      <c r="R112" s="315"/>
      <c r="S112" s="315"/>
      <c r="T112" s="315"/>
      <c r="U112" s="315"/>
      <c r="V112" s="316"/>
    </row>
    <row r="113" spans="1:22" ht="15.75" thickBot="1">
      <c r="A113" s="329"/>
      <c r="B113" s="330"/>
      <c r="C113" s="331"/>
      <c r="D113" s="332"/>
      <c r="E113" s="332"/>
      <c r="F113" s="332"/>
      <c r="G113" s="332"/>
      <c r="H113" s="332"/>
      <c r="I113" s="332"/>
      <c r="J113" s="333"/>
      <c r="K113" s="333"/>
      <c r="L113" s="332"/>
      <c r="M113" s="332"/>
      <c r="N113" s="332"/>
      <c r="O113" s="333"/>
      <c r="P113" s="333"/>
      <c r="Q113" s="332"/>
      <c r="R113" s="333"/>
      <c r="S113" s="333"/>
      <c r="T113" s="333"/>
      <c r="U113" s="333"/>
      <c r="V113" s="316"/>
    </row>
    <row r="114" spans="1:22">
      <c r="A114" s="307"/>
      <c r="B114" s="291"/>
      <c r="C114" s="308"/>
      <c r="D114" s="309"/>
      <c r="E114" s="309"/>
      <c r="F114" s="309"/>
      <c r="G114" s="309"/>
      <c r="H114" s="309"/>
      <c r="I114" s="309"/>
      <c r="J114" s="310"/>
      <c r="K114" s="310"/>
      <c r="L114" s="309"/>
      <c r="M114" s="309"/>
      <c r="N114" s="309"/>
      <c r="O114" s="310"/>
      <c r="P114" s="310"/>
      <c r="Q114" s="309"/>
      <c r="R114" s="310"/>
      <c r="S114" s="310"/>
      <c r="T114" s="310"/>
      <c r="U114" s="310"/>
      <c r="V114" s="316"/>
    </row>
    <row r="115" spans="1:22">
      <c r="A115" s="311"/>
      <c r="B115" s="312"/>
      <c r="C115" s="313"/>
      <c r="D115" s="314"/>
      <c r="E115" s="314"/>
      <c r="F115" s="314"/>
      <c r="G115" s="314"/>
      <c r="H115" s="314"/>
      <c r="I115" s="314"/>
      <c r="J115" s="315"/>
      <c r="K115" s="315"/>
      <c r="L115" s="314"/>
      <c r="M115" s="314"/>
      <c r="N115" s="314"/>
      <c r="O115" s="315"/>
      <c r="P115" s="315"/>
      <c r="Q115" s="314"/>
      <c r="R115" s="315"/>
      <c r="S115" s="315"/>
      <c r="T115" s="315"/>
      <c r="U115" s="315"/>
      <c r="V115" s="316"/>
    </row>
    <row r="116" spans="1:22">
      <c r="A116" s="311"/>
      <c r="B116" s="317"/>
      <c r="C116" s="318"/>
      <c r="D116" s="319"/>
      <c r="E116" s="319"/>
      <c r="F116" s="319"/>
      <c r="G116" s="319"/>
      <c r="H116" s="319"/>
      <c r="I116" s="319"/>
      <c r="J116" s="320"/>
      <c r="K116" s="320"/>
      <c r="L116" s="319"/>
      <c r="M116" s="319"/>
      <c r="N116" s="319"/>
      <c r="O116" s="320"/>
      <c r="P116" s="320"/>
      <c r="Q116" s="319"/>
      <c r="R116" s="320"/>
      <c r="S116" s="320"/>
      <c r="T116" s="320"/>
      <c r="U116" s="320"/>
      <c r="V116" s="316"/>
    </row>
    <row r="117" spans="1:22">
      <c r="A117" s="311"/>
      <c r="B117" s="291"/>
      <c r="C117" s="308"/>
      <c r="D117" s="309"/>
      <c r="E117" s="309"/>
      <c r="F117" s="309"/>
      <c r="G117" s="309"/>
      <c r="H117" s="309"/>
      <c r="I117" s="309"/>
      <c r="J117" s="310"/>
      <c r="K117" s="310"/>
      <c r="L117" s="309"/>
      <c r="M117" s="309"/>
      <c r="N117" s="309"/>
      <c r="O117" s="310"/>
      <c r="P117" s="310"/>
      <c r="Q117" s="309"/>
      <c r="R117" s="310"/>
      <c r="S117" s="310"/>
      <c r="T117" s="310"/>
      <c r="U117" s="310"/>
      <c r="V117" s="316"/>
    </row>
    <row r="118" spans="1:22">
      <c r="A118" s="311"/>
      <c r="B118" s="312"/>
      <c r="C118" s="313"/>
      <c r="D118" s="314"/>
      <c r="E118" s="314"/>
      <c r="F118" s="322"/>
      <c r="G118" s="314"/>
      <c r="H118" s="314"/>
      <c r="I118" s="314"/>
      <c r="J118" s="315"/>
      <c r="K118" s="315"/>
      <c r="L118" s="314"/>
      <c r="M118" s="314"/>
      <c r="N118" s="314"/>
      <c r="O118" s="315"/>
      <c r="P118" s="315"/>
      <c r="Q118" s="314"/>
      <c r="R118" s="315"/>
      <c r="S118" s="315"/>
      <c r="T118" s="315"/>
      <c r="U118" s="315"/>
      <c r="V118" s="316"/>
    </row>
    <row r="119" spans="1:22">
      <c r="A119" s="311"/>
      <c r="B119" s="317"/>
      <c r="C119" s="318"/>
      <c r="D119" s="319"/>
      <c r="E119" s="319"/>
      <c r="F119" s="321"/>
      <c r="G119" s="319"/>
      <c r="H119" s="319"/>
      <c r="I119" s="319"/>
      <c r="J119" s="320"/>
      <c r="K119" s="320"/>
      <c r="L119" s="319"/>
      <c r="M119" s="319"/>
      <c r="N119" s="319"/>
      <c r="O119" s="320"/>
      <c r="P119" s="320"/>
      <c r="Q119" s="319"/>
      <c r="R119" s="320"/>
      <c r="S119" s="320"/>
      <c r="T119" s="320"/>
      <c r="U119" s="320"/>
      <c r="V119" s="316"/>
    </row>
    <row r="120" spans="1:22">
      <c r="A120" s="311"/>
      <c r="B120" s="291"/>
      <c r="C120" s="308"/>
      <c r="D120" s="309"/>
      <c r="E120" s="309"/>
      <c r="F120" s="309"/>
      <c r="G120" s="309"/>
      <c r="H120" s="309"/>
      <c r="I120" s="309"/>
      <c r="J120" s="310"/>
      <c r="K120" s="310"/>
      <c r="L120" s="309"/>
      <c r="M120" s="309"/>
      <c r="N120" s="309"/>
      <c r="O120" s="310"/>
      <c r="P120" s="310"/>
      <c r="Q120" s="309"/>
      <c r="R120" s="310"/>
      <c r="S120" s="310"/>
      <c r="T120" s="310"/>
      <c r="U120" s="310"/>
      <c r="V120" s="316"/>
    </row>
    <row r="121" spans="1:22">
      <c r="A121" s="311"/>
      <c r="B121" s="312"/>
      <c r="C121" s="313"/>
      <c r="D121" s="314"/>
      <c r="E121" s="314"/>
      <c r="F121" s="314"/>
      <c r="G121" s="314"/>
      <c r="H121" s="314"/>
      <c r="I121" s="314"/>
      <c r="J121" s="315"/>
      <c r="K121" s="315"/>
      <c r="L121" s="314"/>
      <c r="M121" s="314"/>
      <c r="N121" s="314"/>
      <c r="O121" s="315"/>
      <c r="P121" s="315"/>
      <c r="Q121" s="314"/>
      <c r="R121" s="315"/>
      <c r="S121" s="315"/>
      <c r="T121" s="315"/>
      <c r="U121" s="315"/>
      <c r="V121" s="316"/>
    </row>
    <row r="122" spans="1:22">
      <c r="A122" s="311"/>
      <c r="B122" s="317"/>
      <c r="C122" s="318"/>
      <c r="D122" s="319"/>
      <c r="E122" s="319"/>
      <c r="F122" s="321"/>
      <c r="G122" s="319"/>
      <c r="H122" s="319"/>
      <c r="I122" s="319"/>
      <c r="J122" s="320"/>
      <c r="K122" s="320"/>
      <c r="L122" s="319"/>
      <c r="M122" s="319"/>
      <c r="N122" s="319"/>
      <c r="O122" s="320"/>
      <c r="P122" s="320"/>
      <c r="Q122" s="319"/>
      <c r="R122" s="320"/>
      <c r="S122" s="320"/>
      <c r="T122" s="320"/>
      <c r="U122" s="320"/>
      <c r="V122" s="316"/>
    </row>
    <row r="123" spans="1:22">
      <c r="A123" s="311"/>
      <c r="B123" s="291"/>
      <c r="C123" s="308"/>
      <c r="D123" s="309"/>
      <c r="E123" s="309"/>
      <c r="F123" s="309"/>
      <c r="G123" s="309"/>
      <c r="H123" s="309"/>
      <c r="I123" s="309"/>
      <c r="J123" s="310"/>
      <c r="K123" s="310"/>
      <c r="L123" s="309"/>
      <c r="M123" s="309"/>
      <c r="N123" s="309"/>
      <c r="O123" s="310"/>
      <c r="P123" s="310"/>
      <c r="Q123" s="309"/>
      <c r="R123" s="310"/>
      <c r="S123" s="310"/>
      <c r="T123" s="310"/>
      <c r="U123" s="310"/>
      <c r="V123" s="316"/>
    </row>
    <row r="124" spans="1:22">
      <c r="A124" s="311"/>
      <c r="B124" s="312"/>
      <c r="C124" s="313"/>
      <c r="D124" s="314"/>
      <c r="E124" s="322"/>
      <c r="F124" s="314"/>
      <c r="G124" s="314"/>
      <c r="H124" s="314"/>
      <c r="I124" s="314"/>
      <c r="J124" s="315"/>
      <c r="K124" s="315"/>
      <c r="L124" s="314"/>
      <c r="M124" s="314"/>
      <c r="N124" s="314"/>
      <c r="O124" s="315"/>
      <c r="P124" s="315"/>
      <c r="Q124" s="314"/>
      <c r="R124" s="315"/>
      <c r="S124" s="315"/>
      <c r="T124" s="315"/>
      <c r="U124" s="315"/>
      <c r="V124" s="316"/>
    </row>
    <row r="125" spans="1:22">
      <c r="A125" s="311"/>
      <c r="B125" s="317"/>
      <c r="C125" s="318"/>
      <c r="D125" s="319"/>
      <c r="E125" s="321"/>
      <c r="F125" s="319"/>
      <c r="G125" s="319"/>
      <c r="H125" s="319"/>
      <c r="I125" s="319"/>
      <c r="J125" s="320"/>
      <c r="K125" s="320"/>
      <c r="L125" s="319"/>
      <c r="M125" s="319"/>
      <c r="N125" s="319"/>
      <c r="O125" s="320"/>
      <c r="P125" s="320"/>
      <c r="Q125" s="319"/>
      <c r="R125" s="320"/>
      <c r="S125" s="320"/>
      <c r="T125" s="320"/>
      <c r="U125" s="320"/>
      <c r="V125" s="316"/>
    </row>
    <row r="126" spans="1:22">
      <c r="A126" s="311"/>
      <c r="B126" s="291"/>
      <c r="C126" s="308"/>
      <c r="D126" s="309"/>
      <c r="E126" s="309"/>
      <c r="F126" s="309"/>
      <c r="G126" s="309"/>
      <c r="H126" s="309"/>
      <c r="I126" s="309"/>
      <c r="J126" s="310"/>
      <c r="K126" s="310"/>
      <c r="L126" s="309"/>
      <c r="M126" s="309"/>
      <c r="N126" s="309"/>
      <c r="O126" s="310"/>
      <c r="P126" s="310"/>
      <c r="Q126" s="309"/>
      <c r="R126" s="310"/>
      <c r="S126" s="310"/>
      <c r="T126" s="310"/>
      <c r="U126" s="310"/>
      <c r="V126" s="316"/>
    </row>
    <row r="127" spans="1:22">
      <c r="A127" s="311"/>
      <c r="B127" s="312"/>
      <c r="C127" s="313"/>
      <c r="D127" s="314"/>
      <c r="E127" s="314"/>
      <c r="F127" s="314"/>
      <c r="G127" s="314"/>
      <c r="H127" s="314"/>
      <c r="I127" s="314"/>
      <c r="J127" s="315"/>
      <c r="K127" s="315"/>
      <c r="L127" s="314"/>
      <c r="M127" s="314"/>
      <c r="N127" s="314"/>
      <c r="O127" s="315"/>
      <c r="P127" s="315"/>
      <c r="Q127" s="314"/>
      <c r="R127" s="315"/>
      <c r="S127" s="315"/>
      <c r="T127" s="315"/>
      <c r="U127" s="315"/>
      <c r="V127" s="316"/>
    </row>
    <row r="128" spans="1:22">
      <c r="A128" s="311"/>
      <c r="B128" s="317"/>
      <c r="C128" s="318"/>
      <c r="D128" s="319"/>
      <c r="E128" s="319"/>
      <c r="F128" s="319"/>
      <c r="G128" s="319"/>
      <c r="H128" s="319"/>
      <c r="I128" s="319"/>
      <c r="J128" s="320"/>
      <c r="K128" s="320"/>
      <c r="L128" s="319"/>
      <c r="M128" s="319"/>
      <c r="N128" s="319"/>
      <c r="O128" s="320"/>
      <c r="P128" s="320"/>
      <c r="Q128" s="319"/>
      <c r="R128" s="320"/>
      <c r="S128" s="320"/>
      <c r="T128" s="320"/>
      <c r="U128" s="320"/>
      <c r="V128" s="316"/>
    </row>
    <row r="129" spans="1:22">
      <c r="A129" s="311"/>
      <c r="B129" s="291"/>
      <c r="C129" s="308"/>
      <c r="D129" s="309"/>
      <c r="E129" s="309"/>
      <c r="F129" s="309"/>
      <c r="G129" s="309"/>
      <c r="H129" s="309"/>
      <c r="I129" s="309"/>
      <c r="J129" s="310"/>
      <c r="K129" s="310"/>
      <c r="L129" s="309"/>
      <c r="M129" s="309"/>
      <c r="N129" s="309"/>
      <c r="O129" s="310"/>
      <c r="P129" s="310"/>
      <c r="Q129" s="309"/>
      <c r="R129" s="310"/>
      <c r="S129" s="310"/>
      <c r="T129" s="310"/>
      <c r="U129" s="310"/>
      <c r="V129" s="316"/>
    </row>
    <row r="130" spans="1:22">
      <c r="A130" s="311"/>
      <c r="B130" s="312"/>
      <c r="C130" s="313"/>
      <c r="D130" s="314"/>
      <c r="E130" s="314"/>
      <c r="F130" s="314"/>
      <c r="G130" s="314"/>
      <c r="H130" s="314"/>
      <c r="I130" s="314"/>
      <c r="J130" s="315"/>
      <c r="K130" s="315"/>
      <c r="L130" s="314"/>
      <c r="M130" s="314"/>
      <c r="N130" s="314"/>
      <c r="O130" s="315"/>
      <c r="P130" s="315"/>
      <c r="Q130" s="314"/>
      <c r="R130" s="315"/>
      <c r="S130" s="315"/>
      <c r="T130" s="315"/>
      <c r="U130" s="315"/>
      <c r="V130" s="316"/>
    </row>
    <row r="131" spans="1:22" ht="15.75" thickBot="1">
      <c r="A131" s="311"/>
      <c r="B131" s="325"/>
      <c r="C131" s="326"/>
      <c r="D131" s="327"/>
      <c r="E131" s="327"/>
      <c r="F131" s="327"/>
      <c r="G131" s="327"/>
      <c r="H131" s="327"/>
      <c r="I131" s="327"/>
      <c r="J131" s="328"/>
      <c r="K131" s="328"/>
      <c r="L131" s="327"/>
      <c r="M131" s="327"/>
      <c r="N131" s="327"/>
      <c r="O131" s="328"/>
      <c r="P131" s="328"/>
      <c r="Q131" s="327"/>
      <c r="R131" s="328"/>
      <c r="S131" s="328"/>
      <c r="T131" s="328"/>
      <c r="U131" s="328"/>
      <c r="V131" s="316"/>
    </row>
    <row r="132" spans="1:22" ht="15.75" thickTop="1">
      <c r="A132" s="311"/>
      <c r="B132" s="312"/>
      <c r="C132" s="313"/>
      <c r="D132" s="314"/>
      <c r="E132" s="314"/>
      <c r="F132" s="314"/>
      <c r="G132" s="314"/>
      <c r="H132" s="314"/>
      <c r="I132" s="314"/>
      <c r="J132" s="315"/>
      <c r="K132" s="315"/>
      <c r="L132" s="314"/>
      <c r="M132" s="314"/>
      <c r="N132" s="314"/>
      <c r="O132" s="315"/>
      <c r="P132" s="315"/>
      <c r="Q132" s="314"/>
      <c r="R132" s="315"/>
      <c r="S132" s="315"/>
      <c r="T132" s="315"/>
      <c r="U132" s="315"/>
      <c r="V132" s="316"/>
    </row>
    <row r="133" spans="1:22">
      <c r="A133" s="311"/>
      <c r="B133" s="312"/>
      <c r="C133" s="313"/>
      <c r="D133" s="314"/>
      <c r="E133" s="314"/>
      <c r="F133" s="314"/>
      <c r="G133" s="314"/>
      <c r="H133" s="314"/>
      <c r="I133" s="314"/>
      <c r="J133" s="315"/>
      <c r="K133" s="315"/>
      <c r="L133" s="314"/>
      <c r="M133" s="314"/>
      <c r="N133" s="314"/>
      <c r="O133" s="315"/>
      <c r="P133" s="315"/>
      <c r="Q133" s="314"/>
      <c r="R133" s="315"/>
      <c r="S133" s="315"/>
      <c r="T133" s="315"/>
      <c r="U133" s="315"/>
      <c r="V133" s="316"/>
    </row>
    <row r="134" spans="1:22">
      <c r="A134" s="311"/>
      <c r="B134" s="317"/>
      <c r="C134" s="318"/>
      <c r="D134" s="319"/>
      <c r="E134" s="319"/>
      <c r="F134" s="321"/>
      <c r="G134" s="319"/>
      <c r="H134" s="319"/>
      <c r="I134" s="319"/>
      <c r="J134" s="320"/>
      <c r="K134" s="320"/>
      <c r="L134" s="319"/>
      <c r="M134" s="319"/>
      <c r="N134" s="319"/>
      <c r="O134" s="320"/>
      <c r="P134" s="320"/>
      <c r="Q134" s="319"/>
      <c r="R134" s="320"/>
      <c r="S134" s="320"/>
      <c r="T134" s="320"/>
      <c r="U134" s="320"/>
      <c r="V134" s="316"/>
    </row>
    <row r="135" spans="1:22">
      <c r="A135" s="311"/>
      <c r="B135" s="291"/>
      <c r="C135" s="308"/>
      <c r="D135" s="309"/>
      <c r="E135" s="309"/>
      <c r="F135" s="309"/>
      <c r="G135" s="309"/>
      <c r="H135" s="309"/>
      <c r="I135" s="309"/>
      <c r="J135" s="310"/>
      <c r="K135" s="310"/>
      <c r="L135" s="309"/>
      <c r="M135" s="309"/>
      <c r="N135" s="309"/>
      <c r="O135" s="310"/>
      <c r="P135" s="310"/>
      <c r="Q135" s="309"/>
      <c r="R135" s="310"/>
      <c r="S135" s="310"/>
      <c r="T135" s="310"/>
      <c r="U135" s="310"/>
      <c r="V135" s="316"/>
    </row>
    <row r="136" spans="1:22">
      <c r="A136" s="311"/>
      <c r="B136" s="312"/>
      <c r="C136" s="313"/>
      <c r="D136" s="314"/>
      <c r="E136" s="314"/>
      <c r="F136" s="314"/>
      <c r="G136" s="314"/>
      <c r="H136" s="314"/>
      <c r="I136" s="314"/>
      <c r="J136" s="315"/>
      <c r="K136" s="315"/>
      <c r="L136" s="314"/>
      <c r="M136" s="314"/>
      <c r="N136" s="314"/>
      <c r="O136" s="315"/>
      <c r="P136" s="315"/>
      <c r="Q136" s="314"/>
      <c r="R136" s="315"/>
      <c r="S136" s="315"/>
      <c r="T136" s="315"/>
      <c r="U136" s="315"/>
      <c r="V136" s="316"/>
    </row>
    <row r="137" spans="1:22">
      <c r="A137" s="311"/>
      <c r="B137" s="317"/>
      <c r="C137" s="318"/>
      <c r="D137" s="319"/>
      <c r="E137" s="319"/>
      <c r="F137" s="319"/>
      <c r="G137" s="319"/>
      <c r="H137" s="319"/>
      <c r="I137" s="319"/>
      <c r="J137" s="320"/>
      <c r="K137" s="320"/>
      <c r="L137" s="319"/>
      <c r="M137" s="319"/>
      <c r="N137" s="319"/>
      <c r="O137" s="320"/>
      <c r="P137" s="320"/>
      <c r="Q137" s="319"/>
      <c r="R137" s="320"/>
      <c r="S137" s="320"/>
      <c r="T137" s="320"/>
      <c r="U137" s="320"/>
      <c r="V137" s="316"/>
    </row>
    <row r="138" spans="1:22">
      <c r="A138" s="311"/>
      <c r="B138" s="291"/>
      <c r="C138" s="308"/>
      <c r="D138" s="309"/>
      <c r="E138" s="309"/>
      <c r="F138" s="309"/>
      <c r="G138" s="309"/>
      <c r="H138" s="309"/>
      <c r="I138" s="309"/>
      <c r="J138" s="310"/>
      <c r="K138" s="310"/>
      <c r="L138" s="309"/>
      <c r="M138" s="309"/>
      <c r="N138" s="309"/>
      <c r="O138" s="310"/>
      <c r="P138" s="310"/>
      <c r="Q138" s="309"/>
      <c r="R138" s="310"/>
      <c r="S138" s="310"/>
      <c r="T138" s="310"/>
      <c r="U138" s="310"/>
      <c r="V138" s="316"/>
    </row>
    <row r="139" spans="1:22">
      <c r="A139" s="311"/>
      <c r="B139" s="312"/>
      <c r="C139" s="313"/>
      <c r="D139" s="314"/>
      <c r="E139" s="314"/>
      <c r="F139" s="314"/>
      <c r="G139" s="314"/>
      <c r="H139" s="314"/>
      <c r="I139" s="314"/>
      <c r="J139" s="315"/>
      <c r="K139" s="315"/>
      <c r="L139" s="314"/>
      <c r="M139" s="314"/>
      <c r="N139" s="314"/>
      <c r="O139" s="315"/>
      <c r="P139" s="315"/>
      <c r="Q139" s="314"/>
      <c r="R139" s="315"/>
      <c r="S139" s="315"/>
      <c r="T139" s="315"/>
      <c r="U139" s="315"/>
      <c r="V139" s="316"/>
    </row>
    <row r="140" spans="1:22">
      <c r="A140" s="311"/>
      <c r="B140" s="317"/>
      <c r="C140" s="318"/>
      <c r="D140" s="319"/>
      <c r="E140" s="321"/>
      <c r="F140" s="321"/>
      <c r="G140" s="319"/>
      <c r="H140" s="319"/>
      <c r="I140" s="319"/>
      <c r="J140" s="320"/>
      <c r="K140" s="320"/>
      <c r="L140" s="319"/>
      <c r="M140" s="319"/>
      <c r="N140" s="319"/>
      <c r="O140" s="320"/>
      <c r="P140" s="320"/>
      <c r="Q140" s="319"/>
      <c r="R140" s="320"/>
      <c r="S140" s="320"/>
      <c r="T140" s="320"/>
      <c r="U140" s="320"/>
      <c r="V140" s="316"/>
    </row>
    <row r="141" spans="1:22">
      <c r="A141" s="311"/>
      <c r="B141" s="291"/>
      <c r="C141" s="308"/>
      <c r="D141" s="309"/>
      <c r="E141" s="309"/>
      <c r="F141" s="309"/>
      <c r="G141" s="309"/>
      <c r="H141" s="309"/>
      <c r="I141" s="309"/>
      <c r="J141" s="310"/>
      <c r="K141" s="310"/>
      <c r="L141" s="309"/>
      <c r="M141" s="309"/>
      <c r="N141" s="309"/>
      <c r="O141" s="310"/>
      <c r="P141" s="310"/>
      <c r="Q141" s="309"/>
      <c r="R141" s="310"/>
      <c r="S141" s="310"/>
      <c r="T141" s="310"/>
      <c r="U141" s="310"/>
      <c r="V141" s="316"/>
    </row>
    <row r="142" spans="1:22">
      <c r="A142" s="311"/>
      <c r="B142" s="312"/>
      <c r="C142" s="313"/>
      <c r="D142" s="314"/>
      <c r="E142" s="322"/>
      <c r="F142" s="314"/>
      <c r="G142" s="314"/>
      <c r="H142" s="314"/>
      <c r="I142" s="314"/>
      <c r="J142" s="315"/>
      <c r="K142" s="315"/>
      <c r="L142" s="314"/>
      <c r="M142" s="314"/>
      <c r="N142" s="314"/>
      <c r="O142" s="315"/>
      <c r="P142" s="315"/>
      <c r="Q142" s="314"/>
      <c r="R142" s="315"/>
      <c r="S142" s="315"/>
      <c r="T142" s="315"/>
      <c r="U142" s="315"/>
      <c r="V142" s="316"/>
    </row>
    <row r="143" spans="1:22">
      <c r="A143" s="311"/>
      <c r="B143" s="317"/>
      <c r="C143" s="318"/>
      <c r="D143" s="319"/>
      <c r="E143" s="321"/>
      <c r="F143" s="319"/>
      <c r="G143" s="319"/>
      <c r="H143" s="319"/>
      <c r="I143" s="319"/>
      <c r="J143" s="320"/>
      <c r="K143" s="320"/>
      <c r="L143" s="319"/>
      <c r="M143" s="319"/>
      <c r="N143" s="319"/>
      <c r="O143" s="320"/>
      <c r="P143" s="320"/>
      <c r="Q143" s="319"/>
      <c r="R143" s="320"/>
      <c r="S143" s="320"/>
      <c r="T143" s="320"/>
      <c r="U143" s="320"/>
      <c r="V143" s="316"/>
    </row>
    <row r="144" spans="1:22">
      <c r="A144" s="311"/>
      <c r="B144" s="291"/>
      <c r="C144" s="308"/>
      <c r="D144" s="309"/>
      <c r="E144" s="309"/>
      <c r="F144" s="309"/>
      <c r="G144" s="309"/>
      <c r="H144" s="309"/>
      <c r="I144" s="309"/>
      <c r="J144" s="310"/>
      <c r="K144" s="310"/>
      <c r="L144" s="309"/>
      <c r="M144" s="309"/>
      <c r="N144" s="309"/>
      <c r="O144" s="310"/>
      <c r="P144" s="310"/>
      <c r="Q144" s="309"/>
      <c r="R144" s="310"/>
      <c r="S144" s="310"/>
      <c r="T144" s="310"/>
      <c r="U144" s="310"/>
      <c r="V144" s="316"/>
    </row>
    <row r="145" spans="1:22">
      <c r="A145" s="311"/>
      <c r="B145" s="312"/>
      <c r="C145" s="313"/>
      <c r="D145" s="314"/>
      <c r="E145" s="314"/>
      <c r="F145" s="314"/>
      <c r="G145" s="314"/>
      <c r="H145" s="314"/>
      <c r="I145" s="314"/>
      <c r="J145" s="315"/>
      <c r="K145" s="315"/>
      <c r="L145" s="314"/>
      <c r="M145" s="314"/>
      <c r="N145" s="314"/>
      <c r="O145" s="315"/>
      <c r="P145" s="315"/>
      <c r="Q145" s="314"/>
      <c r="R145" s="315"/>
      <c r="S145" s="315"/>
      <c r="T145" s="315"/>
      <c r="U145" s="315"/>
      <c r="V145" s="316"/>
    </row>
    <row r="146" spans="1:22">
      <c r="A146" s="311"/>
      <c r="B146" s="317"/>
      <c r="C146" s="318"/>
      <c r="D146" s="319"/>
      <c r="E146" s="319"/>
      <c r="F146" s="319"/>
      <c r="G146" s="319"/>
      <c r="H146" s="319"/>
      <c r="I146" s="319"/>
      <c r="J146" s="320"/>
      <c r="K146" s="320"/>
      <c r="L146" s="319"/>
      <c r="M146" s="319"/>
      <c r="N146" s="319"/>
      <c r="O146" s="320"/>
      <c r="P146" s="320"/>
      <c r="Q146" s="319"/>
      <c r="R146" s="320"/>
      <c r="S146" s="320"/>
      <c r="T146" s="320"/>
      <c r="U146" s="320"/>
      <c r="V146" s="316"/>
    </row>
    <row r="147" spans="1:22">
      <c r="A147" s="311"/>
      <c r="B147" s="291"/>
      <c r="C147" s="308"/>
      <c r="D147" s="309"/>
      <c r="E147" s="309"/>
      <c r="F147" s="309"/>
      <c r="G147" s="309"/>
      <c r="H147" s="309"/>
      <c r="I147" s="309"/>
      <c r="J147" s="310"/>
      <c r="K147" s="310"/>
      <c r="L147" s="309"/>
      <c r="M147" s="309"/>
      <c r="N147" s="309"/>
      <c r="O147" s="310"/>
      <c r="P147" s="310"/>
      <c r="Q147" s="309"/>
      <c r="R147" s="310"/>
      <c r="S147" s="310"/>
      <c r="T147" s="310"/>
      <c r="U147" s="310"/>
      <c r="V147" s="316"/>
    </row>
    <row r="148" spans="1:22">
      <c r="A148" s="311"/>
      <c r="B148" s="312"/>
      <c r="C148" s="313"/>
      <c r="D148" s="314"/>
      <c r="E148" s="314"/>
      <c r="F148" s="314"/>
      <c r="G148" s="314"/>
      <c r="H148" s="314"/>
      <c r="I148" s="314"/>
      <c r="J148" s="315"/>
      <c r="K148" s="315"/>
      <c r="L148" s="314"/>
      <c r="M148" s="314"/>
      <c r="N148" s="314"/>
      <c r="O148" s="315"/>
      <c r="P148" s="315"/>
      <c r="Q148" s="314"/>
      <c r="R148" s="315"/>
      <c r="S148" s="315"/>
      <c r="T148" s="315"/>
      <c r="U148" s="315"/>
      <c r="V148" s="316"/>
    </row>
    <row r="149" spans="1:22" ht="15.75" thickBot="1">
      <c r="A149" s="329"/>
      <c r="B149" s="330"/>
      <c r="C149" s="331"/>
      <c r="D149" s="332"/>
      <c r="E149" s="332"/>
      <c r="F149" s="332"/>
      <c r="G149" s="332"/>
      <c r="H149" s="332"/>
      <c r="I149" s="332"/>
      <c r="J149" s="333"/>
      <c r="K149" s="333"/>
      <c r="L149" s="332"/>
      <c r="M149" s="332"/>
      <c r="N149" s="332"/>
      <c r="O149" s="333"/>
      <c r="P149" s="333"/>
      <c r="Q149" s="332"/>
      <c r="R149" s="333"/>
      <c r="S149" s="333"/>
      <c r="T149" s="333"/>
      <c r="U149" s="333"/>
      <c r="V149" s="316"/>
    </row>
    <row r="150" spans="1:22">
      <c r="A150" s="307"/>
      <c r="B150" s="291"/>
      <c r="C150" s="308"/>
      <c r="D150" s="309"/>
      <c r="E150" s="309"/>
      <c r="F150" s="309"/>
      <c r="G150" s="309"/>
      <c r="H150" s="309"/>
      <c r="I150" s="309"/>
      <c r="J150" s="310"/>
      <c r="K150" s="310"/>
      <c r="L150" s="309"/>
      <c r="M150" s="309"/>
      <c r="N150" s="309"/>
      <c r="O150" s="310"/>
      <c r="P150" s="310"/>
      <c r="Q150" s="309"/>
      <c r="R150" s="310"/>
      <c r="S150" s="310"/>
      <c r="T150" s="310"/>
      <c r="U150" s="310"/>
      <c r="V150" s="316"/>
    </row>
    <row r="151" spans="1:22">
      <c r="A151" s="311"/>
      <c r="B151" s="312"/>
      <c r="C151" s="313"/>
      <c r="D151" s="314"/>
      <c r="E151" s="314"/>
      <c r="F151" s="314"/>
      <c r="G151" s="314"/>
      <c r="H151" s="314"/>
      <c r="I151" s="314"/>
      <c r="J151" s="315"/>
      <c r="K151" s="315"/>
      <c r="L151" s="314"/>
      <c r="M151" s="314"/>
      <c r="N151" s="314"/>
      <c r="O151" s="315"/>
      <c r="P151" s="315"/>
      <c r="Q151" s="314"/>
      <c r="R151" s="315"/>
      <c r="S151" s="315"/>
      <c r="T151" s="315"/>
      <c r="U151" s="315"/>
      <c r="V151" s="316"/>
    </row>
    <row r="152" spans="1:22">
      <c r="A152" s="311"/>
      <c r="B152" s="317"/>
      <c r="C152" s="318"/>
      <c r="D152" s="319"/>
      <c r="E152" s="319"/>
      <c r="F152" s="319"/>
      <c r="G152" s="319"/>
      <c r="H152" s="319"/>
      <c r="I152" s="319"/>
      <c r="J152" s="320"/>
      <c r="K152" s="320"/>
      <c r="L152" s="319"/>
      <c r="M152" s="319"/>
      <c r="N152" s="319"/>
      <c r="O152" s="320"/>
      <c r="P152" s="320"/>
      <c r="Q152" s="319"/>
      <c r="R152" s="320"/>
      <c r="S152" s="320"/>
      <c r="T152" s="320"/>
      <c r="U152" s="320"/>
      <c r="V152" s="316"/>
    </row>
    <row r="153" spans="1:22">
      <c r="A153" s="311"/>
      <c r="B153" s="291"/>
      <c r="C153" s="308"/>
      <c r="D153" s="309"/>
      <c r="E153" s="309"/>
      <c r="F153" s="309"/>
      <c r="G153" s="309"/>
      <c r="H153" s="309"/>
      <c r="I153" s="309"/>
      <c r="J153" s="310"/>
      <c r="K153" s="310"/>
      <c r="L153" s="309"/>
      <c r="M153" s="309"/>
      <c r="N153" s="309"/>
      <c r="O153" s="310"/>
      <c r="P153" s="310"/>
      <c r="Q153" s="309"/>
      <c r="R153" s="310"/>
      <c r="S153" s="310"/>
      <c r="T153" s="310"/>
      <c r="U153" s="310"/>
      <c r="V153" s="316"/>
    </row>
    <row r="154" spans="1:22">
      <c r="A154" s="311"/>
      <c r="B154" s="312"/>
      <c r="C154" s="313"/>
      <c r="D154" s="314"/>
      <c r="E154" s="314"/>
      <c r="F154" s="314"/>
      <c r="G154" s="314"/>
      <c r="H154" s="314"/>
      <c r="I154" s="314"/>
      <c r="J154" s="315"/>
      <c r="K154" s="315"/>
      <c r="L154" s="314"/>
      <c r="M154" s="314"/>
      <c r="N154" s="314"/>
      <c r="O154" s="315"/>
      <c r="P154" s="315"/>
      <c r="Q154" s="314"/>
      <c r="R154" s="315"/>
      <c r="S154" s="315"/>
      <c r="T154" s="315"/>
      <c r="U154" s="315"/>
      <c r="V154" s="316"/>
    </row>
    <row r="155" spans="1:22">
      <c r="A155" s="311"/>
      <c r="B155" s="317"/>
      <c r="C155" s="318"/>
      <c r="D155" s="319"/>
      <c r="E155" s="319"/>
      <c r="F155" s="319"/>
      <c r="G155" s="319"/>
      <c r="H155" s="319"/>
      <c r="I155" s="319"/>
      <c r="J155" s="320"/>
      <c r="K155" s="320"/>
      <c r="L155" s="319"/>
      <c r="M155" s="319"/>
      <c r="N155" s="319"/>
      <c r="O155" s="320"/>
      <c r="P155" s="320"/>
      <c r="Q155" s="319"/>
      <c r="R155" s="320"/>
      <c r="S155" s="320"/>
      <c r="T155" s="320"/>
      <c r="U155" s="320"/>
      <c r="V155" s="316"/>
    </row>
    <row r="156" spans="1:22">
      <c r="A156" s="311"/>
      <c r="B156" s="291"/>
      <c r="C156" s="308"/>
      <c r="D156" s="309"/>
      <c r="E156" s="309"/>
      <c r="F156" s="309"/>
      <c r="G156" s="309"/>
      <c r="H156" s="309"/>
      <c r="I156" s="309"/>
      <c r="J156" s="310"/>
      <c r="K156" s="310"/>
      <c r="L156" s="309"/>
      <c r="M156" s="309"/>
      <c r="N156" s="309"/>
      <c r="O156" s="310"/>
      <c r="P156" s="310"/>
      <c r="Q156" s="309"/>
      <c r="R156" s="310"/>
      <c r="S156" s="310"/>
      <c r="T156" s="310"/>
      <c r="U156" s="310"/>
      <c r="V156" s="316"/>
    </row>
    <row r="157" spans="1:22">
      <c r="A157" s="311"/>
      <c r="B157" s="312"/>
      <c r="C157" s="313"/>
      <c r="D157" s="314"/>
      <c r="E157" s="314"/>
      <c r="F157" s="314"/>
      <c r="G157" s="314"/>
      <c r="H157" s="314"/>
      <c r="I157" s="314"/>
      <c r="J157" s="315"/>
      <c r="K157" s="315"/>
      <c r="L157" s="314"/>
      <c r="M157" s="314"/>
      <c r="N157" s="314"/>
      <c r="O157" s="315"/>
      <c r="P157" s="315"/>
      <c r="Q157" s="314"/>
      <c r="R157" s="315"/>
      <c r="S157" s="315"/>
      <c r="T157" s="315"/>
      <c r="U157" s="315"/>
      <c r="V157" s="316"/>
    </row>
    <row r="158" spans="1:22">
      <c r="A158" s="311"/>
      <c r="B158" s="317"/>
      <c r="C158" s="318"/>
      <c r="D158" s="319"/>
      <c r="E158" s="319"/>
      <c r="F158" s="319"/>
      <c r="G158" s="319"/>
      <c r="H158" s="319"/>
      <c r="I158" s="319"/>
      <c r="J158" s="320"/>
      <c r="K158" s="336"/>
      <c r="L158" s="321"/>
      <c r="M158" s="319"/>
      <c r="N158" s="319"/>
      <c r="O158" s="320"/>
      <c r="P158" s="320"/>
      <c r="Q158" s="319"/>
      <c r="R158" s="320"/>
      <c r="S158" s="320"/>
      <c r="T158" s="320"/>
      <c r="U158" s="320"/>
      <c r="V158" s="316"/>
    </row>
    <row r="159" spans="1:22">
      <c r="A159" s="311"/>
      <c r="B159" s="291"/>
      <c r="C159" s="308"/>
      <c r="D159" s="309"/>
      <c r="E159" s="309"/>
      <c r="F159" s="309"/>
      <c r="G159" s="309"/>
      <c r="H159" s="309"/>
      <c r="I159" s="309"/>
      <c r="J159" s="310"/>
      <c r="K159" s="310"/>
      <c r="L159" s="309"/>
      <c r="M159" s="309"/>
      <c r="N159" s="309"/>
      <c r="O159" s="310"/>
      <c r="P159" s="310"/>
      <c r="Q159" s="309"/>
      <c r="R159" s="310"/>
      <c r="S159" s="310"/>
      <c r="T159" s="310"/>
      <c r="U159" s="310"/>
      <c r="V159" s="316"/>
    </row>
    <row r="160" spans="1:22">
      <c r="A160" s="311"/>
      <c r="B160" s="312"/>
      <c r="C160" s="313"/>
      <c r="D160" s="314"/>
      <c r="E160" s="314"/>
      <c r="F160" s="314"/>
      <c r="G160" s="314"/>
      <c r="H160" s="322"/>
      <c r="I160" s="314"/>
      <c r="J160" s="315"/>
      <c r="K160" s="315"/>
      <c r="L160" s="314"/>
      <c r="M160" s="322"/>
      <c r="N160" s="314"/>
      <c r="O160" s="315"/>
      <c r="P160" s="315"/>
      <c r="Q160" s="314"/>
      <c r="R160" s="315"/>
      <c r="S160" s="315"/>
      <c r="T160" s="315"/>
      <c r="U160" s="315"/>
      <c r="V160" s="316"/>
    </row>
    <row r="161" spans="1:22">
      <c r="A161" s="311"/>
      <c r="B161" s="317"/>
      <c r="C161" s="318"/>
      <c r="D161" s="319"/>
      <c r="E161" s="319"/>
      <c r="F161" s="319"/>
      <c r="G161" s="319"/>
      <c r="H161" s="319"/>
      <c r="I161" s="319"/>
      <c r="J161" s="320"/>
      <c r="K161" s="320"/>
      <c r="L161" s="319"/>
      <c r="M161" s="321"/>
      <c r="N161" s="319"/>
      <c r="O161" s="320"/>
      <c r="P161" s="320"/>
      <c r="Q161" s="319"/>
      <c r="R161" s="320"/>
      <c r="S161" s="320"/>
      <c r="T161" s="320"/>
      <c r="U161" s="320"/>
      <c r="V161" s="316"/>
    </row>
    <row r="162" spans="1:22">
      <c r="A162" s="311"/>
      <c r="B162" s="291"/>
      <c r="C162" s="308"/>
      <c r="D162" s="309"/>
      <c r="E162" s="309"/>
      <c r="F162" s="309"/>
      <c r="G162" s="309"/>
      <c r="H162" s="309"/>
      <c r="I162" s="309"/>
      <c r="J162" s="310"/>
      <c r="K162" s="310"/>
      <c r="L162" s="309"/>
      <c r="M162" s="309"/>
      <c r="N162" s="309"/>
      <c r="O162" s="310"/>
      <c r="P162" s="310"/>
      <c r="Q162" s="309"/>
      <c r="R162" s="310"/>
      <c r="S162" s="310"/>
      <c r="T162" s="310"/>
      <c r="U162" s="310"/>
      <c r="V162" s="316"/>
    </row>
    <row r="163" spans="1:22">
      <c r="A163" s="311"/>
      <c r="B163" s="312"/>
      <c r="C163" s="313"/>
      <c r="D163" s="314"/>
      <c r="E163" s="314"/>
      <c r="F163" s="314"/>
      <c r="G163" s="314"/>
      <c r="H163" s="314"/>
      <c r="I163" s="314"/>
      <c r="J163" s="315"/>
      <c r="K163" s="315"/>
      <c r="L163" s="322"/>
      <c r="M163" s="314"/>
      <c r="N163" s="314"/>
      <c r="O163" s="315"/>
      <c r="P163" s="315"/>
      <c r="Q163" s="314"/>
      <c r="R163" s="315"/>
      <c r="S163" s="315"/>
      <c r="T163" s="315"/>
      <c r="U163" s="315"/>
      <c r="V163" s="316"/>
    </row>
    <row r="164" spans="1:22">
      <c r="A164" s="311"/>
      <c r="B164" s="317"/>
      <c r="C164" s="318"/>
      <c r="D164" s="319"/>
      <c r="E164" s="319"/>
      <c r="F164" s="319"/>
      <c r="G164" s="319"/>
      <c r="H164" s="319"/>
      <c r="I164" s="319"/>
      <c r="J164" s="320"/>
      <c r="K164" s="320"/>
      <c r="L164" s="321"/>
      <c r="M164" s="319"/>
      <c r="N164" s="319"/>
      <c r="O164" s="320"/>
      <c r="P164" s="320"/>
      <c r="Q164" s="319"/>
      <c r="R164" s="320"/>
      <c r="S164" s="320"/>
      <c r="T164" s="320"/>
      <c r="U164" s="320"/>
      <c r="V164" s="316"/>
    </row>
    <row r="165" spans="1:22">
      <c r="A165" s="311"/>
      <c r="B165" s="291"/>
      <c r="C165" s="308"/>
      <c r="D165" s="309"/>
      <c r="E165" s="309"/>
      <c r="F165" s="309"/>
      <c r="G165" s="309"/>
      <c r="H165" s="309"/>
      <c r="I165" s="309"/>
      <c r="J165" s="310"/>
      <c r="K165" s="310"/>
      <c r="L165" s="309"/>
      <c r="M165" s="309"/>
      <c r="N165" s="309"/>
      <c r="O165" s="310"/>
      <c r="P165" s="310"/>
      <c r="Q165" s="309"/>
      <c r="R165" s="310"/>
      <c r="S165" s="310"/>
      <c r="T165" s="310"/>
      <c r="U165" s="310"/>
      <c r="V165" s="316"/>
    </row>
    <row r="166" spans="1:22">
      <c r="A166" s="311"/>
      <c r="B166" s="312"/>
      <c r="C166" s="313"/>
      <c r="D166" s="314"/>
      <c r="E166" s="314"/>
      <c r="F166" s="314"/>
      <c r="G166" s="314"/>
      <c r="H166" s="314"/>
      <c r="I166" s="314"/>
      <c r="J166" s="315"/>
      <c r="K166" s="315"/>
      <c r="L166" s="314"/>
      <c r="M166" s="314"/>
      <c r="N166" s="314"/>
      <c r="O166" s="315"/>
      <c r="P166" s="315"/>
      <c r="Q166" s="314"/>
      <c r="R166" s="315"/>
      <c r="S166" s="315"/>
      <c r="T166" s="315"/>
      <c r="U166" s="315"/>
      <c r="V166" s="316"/>
    </row>
    <row r="167" spans="1:22" ht="15.75" thickBot="1">
      <c r="A167" s="311"/>
      <c r="B167" s="325"/>
      <c r="C167" s="326"/>
      <c r="D167" s="327"/>
      <c r="E167" s="327"/>
      <c r="F167" s="327"/>
      <c r="G167" s="327"/>
      <c r="H167" s="327"/>
      <c r="I167" s="327"/>
      <c r="J167" s="328"/>
      <c r="K167" s="328"/>
      <c r="L167" s="327"/>
      <c r="M167" s="327"/>
      <c r="N167" s="327"/>
      <c r="O167" s="328"/>
      <c r="P167" s="328"/>
      <c r="Q167" s="327"/>
      <c r="R167" s="328"/>
      <c r="S167" s="328"/>
      <c r="T167" s="328"/>
      <c r="U167" s="328"/>
      <c r="V167" s="316"/>
    </row>
    <row r="168" spans="1:22" ht="15.75" thickTop="1">
      <c r="A168" s="311"/>
      <c r="B168" s="312"/>
      <c r="C168" s="313"/>
      <c r="D168" s="314"/>
      <c r="E168" s="314"/>
      <c r="F168" s="314"/>
      <c r="G168" s="314"/>
      <c r="H168" s="314"/>
      <c r="I168" s="314"/>
      <c r="J168" s="315"/>
      <c r="K168" s="315"/>
      <c r="L168" s="314"/>
      <c r="M168" s="314"/>
      <c r="N168" s="314"/>
      <c r="O168" s="315"/>
      <c r="P168" s="315"/>
      <c r="Q168" s="314"/>
      <c r="R168" s="315"/>
      <c r="S168" s="315"/>
      <c r="T168" s="315"/>
      <c r="U168" s="315"/>
      <c r="V168" s="316"/>
    </row>
    <row r="169" spans="1:22">
      <c r="A169" s="311"/>
      <c r="B169" s="312"/>
      <c r="C169" s="313"/>
      <c r="D169" s="314"/>
      <c r="E169" s="314"/>
      <c r="F169" s="314"/>
      <c r="G169" s="314"/>
      <c r="H169" s="314"/>
      <c r="I169" s="314"/>
      <c r="J169" s="315"/>
      <c r="K169" s="315"/>
      <c r="L169" s="314"/>
      <c r="M169" s="314"/>
      <c r="N169" s="314"/>
      <c r="O169" s="315"/>
      <c r="P169" s="315"/>
      <c r="Q169" s="314"/>
      <c r="R169" s="315"/>
      <c r="S169" s="315"/>
      <c r="T169" s="315"/>
      <c r="U169" s="315"/>
      <c r="V169" s="316"/>
    </row>
    <row r="170" spans="1:22">
      <c r="A170" s="311"/>
      <c r="B170" s="317"/>
      <c r="C170" s="318"/>
      <c r="D170" s="321"/>
      <c r="E170" s="319"/>
      <c r="F170" s="319"/>
      <c r="G170" s="319"/>
      <c r="H170" s="319"/>
      <c r="I170" s="319"/>
      <c r="J170" s="320"/>
      <c r="K170" s="320"/>
      <c r="L170" s="319"/>
      <c r="M170" s="319"/>
      <c r="N170" s="319"/>
      <c r="O170" s="320"/>
      <c r="P170" s="320"/>
      <c r="Q170" s="319"/>
      <c r="R170" s="320"/>
      <c r="S170" s="320"/>
      <c r="T170" s="320"/>
      <c r="U170" s="320"/>
      <c r="V170" s="316"/>
    </row>
    <row r="171" spans="1:22">
      <c r="A171" s="311"/>
      <c r="B171" s="291"/>
      <c r="C171" s="308"/>
      <c r="D171" s="309"/>
      <c r="E171" s="309"/>
      <c r="F171" s="309"/>
      <c r="G171" s="309"/>
      <c r="H171" s="309"/>
      <c r="I171" s="309"/>
      <c r="J171" s="310"/>
      <c r="K171" s="310"/>
      <c r="L171" s="309"/>
      <c r="M171" s="309"/>
      <c r="N171" s="309"/>
      <c r="O171" s="310"/>
      <c r="P171" s="310"/>
      <c r="Q171" s="309"/>
      <c r="R171" s="310"/>
      <c r="S171" s="310"/>
      <c r="T171" s="310"/>
      <c r="U171" s="310"/>
      <c r="V171" s="316"/>
    </row>
    <row r="172" spans="1:22">
      <c r="A172" s="311"/>
      <c r="B172" s="312"/>
      <c r="C172" s="313"/>
      <c r="D172" s="314"/>
      <c r="E172" s="314"/>
      <c r="F172" s="314"/>
      <c r="G172" s="314"/>
      <c r="H172" s="314"/>
      <c r="I172" s="314"/>
      <c r="J172" s="315"/>
      <c r="K172" s="315"/>
      <c r="L172" s="314"/>
      <c r="M172" s="314"/>
      <c r="N172" s="314"/>
      <c r="O172" s="315"/>
      <c r="P172" s="315"/>
      <c r="Q172" s="314"/>
      <c r="R172" s="315"/>
      <c r="S172" s="315"/>
      <c r="T172" s="315"/>
      <c r="U172" s="315"/>
      <c r="V172" s="316"/>
    </row>
    <row r="173" spans="1:22">
      <c r="A173" s="311"/>
      <c r="B173" s="317"/>
      <c r="C173" s="318"/>
      <c r="D173" s="319"/>
      <c r="E173" s="319"/>
      <c r="F173" s="319"/>
      <c r="G173" s="321"/>
      <c r="H173" s="319"/>
      <c r="I173" s="319"/>
      <c r="J173" s="320"/>
      <c r="K173" s="320"/>
      <c r="L173" s="319"/>
      <c r="M173" s="319"/>
      <c r="N173" s="319"/>
      <c r="O173" s="320"/>
      <c r="P173" s="320"/>
      <c r="Q173" s="319"/>
      <c r="R173" s="320"/>
      <c r="S173" s="320"/>
      <c r="T173" s="320"/>
      <c r="U173" s="320"/>
      <c r="V173" s="316"/>
    </row>
    <row r="174" spans="1:22">
      <c r="A174" s="311"/>
      <c r="B174" s="291"/>
      <c r="C174" s="308"/>
      <c r="D174" s="309"/>
      <c r="E174" s="309"/>
      <c r="F174" s="309"/>
      <c r="G174" s="309"/>
      <c r="H174" s="309"/>
      <c r="I174" s="309"/>
      <c r="J174" s="310"/>
      <c r="K174" s="310"/>
      <c r="L174" s="309"/>
      <c r="M174" s="309"/>
      <c r="N174" s="309"/>
      <c r="O174" s="310"/>
      <c r="P174" s="310"/>
      <c r="Q174" s="309"/>
      <c r="R174" s="310"/>
      <c r="S174" s="310"/>
      <c r="T174" s="310"/>
      <c r="U174" s="310"/>
      <c r="V174" s="316"/>
    </row>
    <row r="175" spans="1:22">
      <c r="A175" s="311"/>
      <c r="B175" s="312"/>
      <c r="C175" s="313"/>
      <c r="D175" s="314"/>
      <c r="E175" s="314"/>
      <c r="F175" s="314"/>
      <c r="G175" s="314"/>
      <c r="H175" s="314"/>
      <c r="I175" s="314"/>
      <c r="J175" s="315"/>
      <c r="K175" s="315"/>
      <c r="L175" s="314"/>
      <c r="M175" s="314"/>
      <c r="N175" s="314"/>
      <c r="O175" s="315"/>
      <c r="P175" s="315"/>
      <c r="Q175" s="314"/>
      <c r="R175" s="315"/>
      <c r="S175" s="315"/>
      <c r="T175" s="315"/>
      <c r="U175" s="315"/>
      <c r="V175" s="316"/>
    </row>
    <row r="176" spans="1:22">
      <c r="A176" s="311"/>
      <c r="B176" s="317"/>
      <c r="C176" s="318"/>
      <c r="D176" s="321"/>
      <c r="E176" s="319"/>
      <c r="F176" s="319"/>
      <c r="G176" s="321"/>
      <c r="H176" s="319"/>
      <c r="I176" s="319"/>
      <c r="J176" s="320"/>
      <c r="K176" s="320"/>
      <c r="L176" s="319"/>
      <c r="M176" s="319"/>
      <c r="N176" s="319"/>
      <c r="O176" s="320"/>
      <c r="P176" s="320"/>
      <c r="Q176" s="319"/>
      <c r="R176" s="320"/>
      <c r="S176" s="320"/>
      <c r="T176" s="320"/>
      <c r="U176" s="320"/>
      <c r="V176" s="316"/>
    </row>
    <row r="177" spans="1:22">
      <c r="A177" s="311"/>
      <c r="B177" s="291"/>
      <c r="C177" s="308"/>
      <c r="D177" s="309"/>
      <c r="E177" s="309"/>
      <c r="F177" s="309"/>
      <c r="G177" s="309"/>
      <c r="H177" s="309"/>
      <c r="I177" s="309"/>
      <c r="J177" s="310"/>
      <c r="K177" s="310"/>
      <c r="L177" s="309"/>
      <c r="M177" s="309"/>
      <c r="N177" s="309"/>
      <c r="O177" s="310"/>
      <c r="P177" s="310"/>
      <c r="Q177" s="309"/>
      <c r="R177" s="310"/>
      <c r="S177" s="310"/>
      <c r="T177" s="310"/>
      <c r="U177" s="310"/>
      <c r="V177" s="316"/>
    </row>
    <row r="178" spans="1:22">
      <c r="A178" s="311"/>
      <c r="B178" s="312"/>
      <c r="C178" s="313"/>
      <c r="D178" s="314"/>
      <c r="E178" s="314"/>
      <c r="F178" s="314"/>
      <c r="G178" s="314"/>
      <c r="H178" s="314"/>
      <c r="I178" s="314"/>
      <c r="J178" s="315"/>
      <c r="K178" s="315"/>
      <c r="L178" s="314"/>
      <c r="M178" s="314"/>
      <c r="N178" s="314"/>
      <c r="O178" s="315"/>
      <c r="P178" s="315"/>
      <c r="Q178" s="314"/>
      <c r="R178" s="315"/>
      <c r="S178" s="315"/>
      <c r="T178" s="315"/>
      <c r="U178" s="315"/>
      <c r="V178" s="316"/>
    </row>
    <row r="179" spans="1:22">
      <c r="A179" s="311"/>
      <c r="B179" s="317"/>
      <c r="C179" s="318"/>
      <c r="D179" s="319"/>
      <c r="E179" s="319"/>
      <c r="F179" s="319"/>
      <c r="G179" s="319"/>
      <c r="H179" s="319"/>
      <c r="I179" s="319"/>
      <c r="J179" s="320"/>
      <c r="K179" s="320"/>
      <c r="L179" s="319"/>
      <c r="M179" s="319"/>
      <c r="N179" s="319"/>
      <c r="O179" s="320"/>
      <c r="P179" s="320"/>
      <c r="Q179" s="319"/>
      <c r="R179" s="320"/>
      <c r="S179" s="320"/>
      <c r="T179" s="320"/>
      <c r="U179" s="320"/>
      <c r="V179" s="316"/>
    </row>
    <row r="180" spans="1:22">
      <c r="A180" s="311"/>
      <c r="B180" s="291"/>
      <c r="C180" s="308"/>
      <c r="D180" s="309"/>
      <c r="E180" s="309"/>
      <c r="F180" s="309"/>
      <c r="G180" s="309"/>
      <c r="H180" s="309"/>
      <c r="I180" s="309"/>
      <c r="J180" s="310"/>
      <c r="K180" s="310"/>
      <c r="L180" s="309"/>
      <c r="M180" s="309"/>
      <c r="N180" s="309"/>
      <c r="O180" s="310"/>
      <c r="P180" s="310"/>
      <c r="Q180" s="309"/>
      <c r="R180" s="310"/>
      <c r="S180" s="310"/>
      <c r="T180" s="310"/>
      <c r="U180" s="310"/>
      <c r="V180" s="316"/>
    </row>
    <row r="181" spans="1:22">
      <c r="A181" s="311"/>
      <c r="B181" s="312"/>
      <c r="C181" s="313"/>
      <c r="D181" s="314"/>
      <c r="E181" s="314"/>
      <c r="F181" s="314"/>
      <c r="G181" s="314"/>
      <c r="H181" s="314"/>
      <c r="I181" s="314"/>
      <c r="J181" s="315"/>
      <c r="K181" s="315"/>
      <c r="L181" s="314"/>
      <c r="M181" s="314"/>
      <c r="N181" s="314"/>
      <c r="O181" s="315"/>
      <c r="P181" s="315"/>
      <c r="Q181" s="314"/>
      <c r="R181" s="315"/>
      <c r="S181" s="315"/>
      <c r="T181" s="315"/>
      <c r="U181" s="315"/>
      <c r="V181" s="316"/>
    </row>
    <row r="182" spans="1:22">
      <c r="A182" s="311"/>
      <c r="B182" s="317"/>
      <c r="C182" s="318"/>
      <c r="D182" s="319"/>
      <c r="E182" s="319"/>
      <c r="F182" s="319"/>
      <c r="G182" s="319"/>
      <c r="H182" s="319"/>
      <c r="I182" s="319"/>
      <c r="J182" s="320"/>
      <c r="K182" s="320"/>
      <c r="L182" s="319"/>
      <c r="M182" s="319"/>
      <c r="N182" s="319"/>
      <c r="O182" s="320"/>
      <c r="P182" s="320"/>
      <c r="Q182" s="319"/>
      <c r="R182" s="320"/>
      <c r="S182" s="320"/>
      <c r="T182" s="320"/>
      <c r="U182" s="320"/>
      <c r="V182" s="316"/>
    </row>
    <row r="183" spans="1:22">
      <c r="A183" s="311"/>
      <c r="B183" s="291"/>
      <c r="C183" s="308"/>
      <c r="D183" s="309"/>
      <c r="E183" s="309"/>
      <c r="F183" s="309"/>
      <c r="G183" s="309"/>
      <c r="H183" s="309"/>
      <c r="I183" s="309"/>
      <c r="J183" s="310"/>
      <c r="K183" s="310"/>
      <c r="L183" s="309"/>
      <c r="M183" s="309"/>
      <c r="N183" s="309"/>
      <c r="O183" s="310"/>
      <c r="P183" s="310"/>
      <c r="Q183" s="309"/>
      <c r="R183" s="310"/>
      <c r="S183" s="310"/>
      <c r="T183" s="310"/>
      <c r="U183" s="310"/>
      <c r="V183" s="316"/>
    </row>
    <row r="184" spans="1:22">
      <c r="A184" s="311"/>
      <c r="B184" s="312"/>
      <c r="C184" s="313"/>
      <c r="D184" s="314"/>
      <c r="E184" s="314"/>
      <c r="F184" s="314"/>
      <c r="G184" s="314"/>
      <c r="H184" s="314"/>
      <c r="I184" s="314"/>
      <c r="J184" s="315"/>
      <c r="K184" s="315"/>
      <c r="L184" s="314"/>
      <c r="M184" s="314"/>
      <c r="N184" s="314"/>
      <c r="O184" s="315"/>
      <c r="P184" s="315"/>
      <c r="Q184" s="314"/>
      <c r="R184" s="315"/>
      <c r="S184" s="315"/>
      <c r="T184" s="315"/>
      <c r="U184" s="315"/>
      <c r="V184" s="316"/>
    </row>
    <row r="185" spans="1:22" ht="15.75" thickBot="1">
      <c r="A185" s="329"/>
      <c r="B185" s="330"/>
      <c r="C185" s="331"/>
      <c r="D185" s="332"/>
      <c r="E185" s="332"/>
      <c r="F185" s="332"/>
      <c r="G185" s="332"/>
      <c r="H185" s="332"/>
      <c r="I185" s="332"/>
      <c r="J185" s="333"/>
      <c r="K185" s="333"/>
      <c r="L185" s="332"/>
      <c r="M185" s="332"/>
      <c r="N185" s="332"/>
      <c r="O185" s="333"/>
      <c r="P185" s="333"/>
      <c r="Q185" s="332"/>
      <c r="R185" s="333"/>
      <c r="S185" s="333"/>
      <c r="T185" s="333"/>
      <c r="U185" s="333"/>
      <c r="V185" s="316"/>
    </row>
    <row r="186" spans="1:22">
      <c r="A186" s="307"/>
      <c r="B186" s="291"/>
      <c r="C186" s="308"/>
      <c r="D186" s="309"/>
      <c r="E186" s="309"/>
      <c r="F186" s="309"/>
      <c r="G186" s="309"/>
      <c r="H186" s="309"/>
      <c r="I186" s="309"/>
      <c r="J186" s="310"/>
      <c r="K186" s="310"/>
      <c r="L186" s="309"/>
      <c r="M186" s="309"/>
      <c r="N186" s="309"/>
      <c r="O186" s="310"/>
      <c r="P186" s="310"/>
      <c r="Q186" s="309"/>
      <c r="R186" s="310"/>
      <c r="S186" s="310"/>
      <c r="T186" s="310"/>
      <c r="U186" s="310"/>
      <c r="V186" s="316"/>
    </row>
    <row r="187" spans="1:22">
      <c r="A187" s="311"/>
      <c r="B187" s="312"/>
      <c r="C187" s="313"/>
      <c r="D187" s="314"/>
      <c r="E187" s="314"/>
      <c r="F187" s="314"/>
      <c r="G187" s="314"/>
      <c r="H187" s="314"/>
      <c r="I187" s="314"/>
      <c r="J187" s="315"/>
      <c r="K187" s="315"/>
      <c r="L187" s="314"/>
      <c r="M187" s="314"/>
      <c r="N187" s="314"/>
      <c r="O187" s="315"/>
      <c r="P187" s="315"/>
      <c r="Q187" s="314"/>
      <c r="R187" s="315"/>
      <c r="S187" s="315"/>
      <c r="T187" s="315"/>
      <c r="U187" s="315"/>
      <c r="V187" s="316"/>
    </row>
    <row r="188" spans="1:22">
      <c r="A188" s="311"/>
      <c r="B188" s="317"/>
      <c r="C188" s="318"/>
      <c r="D188" s="319"/>
      <c r="E188" s="319"/>
      <c r="F188" s="319"/>
      <c r="G188" s="319"/>
      <c r="H188" s="319"/>
      <c r="I188" s="319"/>
      <c r="J188" s="320"/>
      <c r="K188" s="320"/>
      <c r="L188" s="321"/>
      <c r="M188" s="321"/>
      <c r="N188" s="321"/>
      <c r="O188" s="320"/>
      <c r="P188" s="336"/>
      <c r="Q188" s="319"/>
      <c r="R188" s="320"/>
      <c r="S188" s="320"/>
      <c r="T188" s="320"/>
      <c r="U188" s="320"/>
      <c r="V188" s="316"/>
    </row>
    <row r="189" spans="1:22">
      <c r="A189" s="311"/>
      <c r="B189" s="291"/>
      <c r="C189" s="308"/>
      <c r="D189" s="309"/>
      <c r="E189" s="309"/>
      <c r="F189" s="309"/>
      <c r="G189" s="309"/>
      <c r="H189" s="309"/>
      <c r="I189" s="309"/>
      <c r="J189" s="310"/>
      <c r="K189" s="310"/>
      <c r="L189" s="309"/>
      <c r="M189" s="309"/>
      <c r="N189" s="309"/>
      <c r="O189" s="310"/>
      <c r="P189" s="310"/>
      <c r="Q189" s="309"/>
      <c r="R189" s="310"/>
      <c r="S189" s="310"/>
      <c r="T189" s="310"/>
      <c r="U189" s="310"/>
      <c r="V189" s="316"/>
    </row>
    <row r="190" spans="1:22">
      <c r="A190" s="311"/>
      <c r="B190" s="312"/>
      <c r="C190" s="313"/>
      <c r="D190" s="314"/>
      <c r="E190" s="314"/>
      <c r="F190" s="314"/>
      <c r="G190" s="314"/>
      <c r="H190" s="314"/>
      <c r="I190" s="314"/>
      <c r="J190" s="315"/>
      <c r="K190" s="315"/>
      <c r="L190" s="314"/>
      <c r="M190" s="314"/>
      <c r="N190" s="314"/>
      <c r="O190" s="315"/>
      <c r="P190" s="315"/>
      <c r="Q190" s="314"/>
      <c r="R190" s="315"/>
      <c r="S190" s="315"/>
      <c r="T190" s="315"/>
      <c r="U190" s="315"/>
      <c r="V190" s="316"/>
    </row>
    <row r="191" spans="1:22">
      <c r="A191" s="311"/>
      <c r="B191" s="317"/>
      <c r="C191" s="318"/>
      <c r="D191" s="319"/>
      <c r="E191" s="319"/>
      <c r="F191" s="319"/>
      <c r="G191" s="319"/>
      <c r="H191" s="319"/>
      <c r="I191" s="319"/>
      <c r="J191" s="320"/>
      <c r="K191" s="320"/>
      <c r="L191" s="321"/>
      <c r="M191" s="321"/>
      <c r="N191" s="321"/>
      <c r="O191" s="320"/>
      <c r="P191" s="336"/>
      <c r="Q191" s="319"/>
      <c r="R191" s="320"/>
      <c r="S191" s="320"/>
      <c r="T191" s="320"/>
      <c r="U191" s="320"/>
      <c r="V191" s="316"/>
    </row>
    <row r="192" spans="1:22">
      <c r="A192" s="311"/>
      <c r="B192" s="291"/>
      <c r="C192" s="308"/>
      <c r="D192" s="309"/>
      <c r="E192" s="309"/>
      <c r="F192" s="309"/>
      <c r="G192" s="309"/>
      <c r="H192" s="309"/>
      <c r="I192" s="309"/>
      <c r="J192" s="310"/>
      <c r="K192" s="310"/>
      <c r="L192" s="309"/>
      <c r="M192" s="309"/>
      <c r="N192" s="309"/>
      <c r="O192" s="310"/>
      <c r="P192" s="310"/>
      <c r="Q192" s="309"/>
      <c r="R192" s="310"/>
      <c r="S192" s="310"/>
      <c r="T192" s="310"/>
      <c r="U192" s="310"/>
      <c r="V192" s="316"/>
    </row>
    <row r="193" spans="1:22">
      <c r="A193" s="311"/>
      <c r="B193" s="312"/>
      <c r="C193" s="313"/>
      <c r="D193" s="314"/>
      <c r="E193" s="314"/>
      <c r="F193" s="314"/>
      <c r="G193" s="314"/>
      <c r="H193" s="314"/>
      <c r="I193" s="314"/>
      <c r="J193" s="315"/>
      <c r="K193" s="315"/>
      <c r="L193" s="314"/>
      <c r="M193" s="314"/>
      <c r="N193" s="314"/>
      <c r="O193" s="315"/>
      <c r="P193" s="315"/>
      <c r="Q193" s="314"/>
      <c r="R193" s="315"/>
      <c r="S193" s="315"/>
      <c r="T193" s="315"/>
      <c r="U193" s="315"/>
      <c r="V193" s="316"/>
    </row>
    <row r="194" spans="1:22">
      <c r="A194" s="311"/>
      <c r="B194" s="317"/>
      <c r="C194" s="318"/>
      <c r="D194" s="319"/>
      <c r="E194" s="319"/>
      <c r="F194" s="319"/>
      <c r="G194" s="319"/>
      <c r="H194" s="319"/>
      <c r="I194" s="319"/>
      <c r="J194" s="320"/>
      <c r="K194" s="320"/>
      <c r="L194" s="321"/>
      <c r="M194" s="321"/>
      <c r="N194" s="321"/>
      <c r="O194" s="320"/>
      <c r="P194" s="336"/>
      <c r="Q194" s="319"/>
      <c r="R194" s="320"/>
      <c r="S194" s="320"/>
      <c r="T194" s="320"/>
      <c r="U194" s="320"/>
      <c r="V194" s="316"/>
    </row>
    <row r="195" spans="1:22">
      <c r="A195" s="311"/>
      <c r="B195" s="291"/>
      <c r="C195" s="308"/>
      <c r="D195" s="309"/>
      <c r="E195" s="309"/>
      <c r="F195" s="309"/>
      <c r="G195" s="309"/>
      <c r="H195" s="309"/>
      <c r="I195" s="309"/>
      <c r="J195" s="310"/>
      <c r="K195" s="310"/>
      <c r="L195" s="309"/>
      <c r="M195" s="309"/>
      <c r="N195" s="309"/>
      <c r="O195" s="310"/>
      <c r="P195" s="310"/>
      <c r="Q195" s="309"/>
      <c r="R195" s="310"/>
      <c r="S195" s="310"/>
      <c r="T195" s="310"/>
      <c r="U195" s="310"/>
      <c r="V195" s="316"/>
    </row>
    <row r="196" spans="1:22">
      <c r="A196" s="311"/>
      <c r="B196" s="312"/>
      <c r="C196" s="313"/>
      <c r="D196" s="314"/>
      <c r="E196" s="314"/>
      <c r="F196" s="314"/>
      <c r="G196" s="314"/>
      <c r="H196" s="314"/>
      <c r="I196" s="314"/>
      <c r="J196" s="315"/>
      <c r="K196" s="315"/>
      <c r="L196" s="314"/>
      <c r="M196" s="314"/>
      <c r="N196" s="314"/>
      <c r="O196" s="315"/>
      <c r="P196" s="315"/>
      <c r="Q196" s="314"/>
      <c r="R196" s="315"/>
      <c r="S196" s="315"/>
      <c r="T196" s="315"/>
      <c r="U196" s="315"/>
      <c r="V196" s="316"/>
    </row>
    <row r="197" spans="1:22">
      <c r="A197" s="311"/>
      <c r="B197" s="317"/>
      <c r="C197" s="318"/>
      <c r="D197" s="319"/>
      <c r="E197" s="319"/>
      <c r="F197" s="319"/>
      <c r="G197" s="319"/>
      <c r="H197" s="319"/>
      <c r="I197" s="319"/>
      <c r="J197" s="320"/>
      <c r="K197" s="320"/>
      <c r="L197" s="319"/>
      <c r="M197" s="319"/>
      <c r="N197" s="319"/>
      <c r="O197" s="320"/>
      <c r="P197" s="320"/>
      <c r="Q197" s="319"/>
      <c r="R197" s="320"/>
      <c r="S197" s="320"/>
      <c r="T197" s="320"/>
      <c r="U197" s="320"/>
      <c r="V197" s="316"/>
    </row>
    <row r="198" spans="1:22">
      <c r="A198" s="311"/>
      <c r="B198" s="291"/>
      <c r="C198" s="308"/>
      <c r="D198" s="309"/>
      <c r="E198" s="309"/>
      <c r="F198" s="309"/>
      <c r="G198" s="309"/>
      <c r="H198" s="309"/>
      <c r="I198" s="309"/>
      <c r="J198" s="310"/>
      <c r="K198" s="310"/>
      <c r="L198" s="309"/>
      <c r="M198" s="309"/>
      <c r="N198" s="309"/>
      <c r="O198" s="310"/>
      <c r="P198" s="310"/>
      <c r="Q198" s="309"/>
      <c r="R198" s="310"/>
      <c r="S198" s="310"/>
      <c r="T198" s="310"/>
      <c r="U198" s="310"/>
      <c r="V198" s="316"/>
    </row>
    <row r="199" spans="1:22">
      <c r="A199" s="311"/>
      <c r="B199" s="312"/>
      <c r="C199" s="313"/>
      <c r="D199" s="314"/>
      <c r="E199" s="314"/>
      <c r="F199" s="314"/>
      <c r="G199" s="314"/>
      <c r="H199" s="314"/>
      <c r="I199" s="314"/>
      <c r="J199" s="315"/>
      <c r="K199" s="315"/>
      <c r="L199" s="314"/>
      <c r="M199" s="314"/>
      <c r="N199" s="314"/>
      <c r="O199" s="315"/>
      <c r="P199" s="315"/>
      <c r="Q199" s="314"/>
      <c r="R199" s="315"/>
      <c r="S199" s="315"/>
      <c r="T199" s="315"/>
      <c r="U199" s="315"/>
      <c r="V199" s="316"/>
    </row>
    <row r="200" spans="1:22">
      <c r="A200" s="311"/>
      <c r="B200" s="317"/>
      <c r="C200" s="318"/>
      <c r="D200" s="319"/>
      <c r="E200" s="319"/>
      <c r="F200" s="319"/>
      <c r="G200" s="319"/>
      <c r="H200" s="319"/>
      <c r="I200" s="319"/>
      <c r="J200" s="320"/>
      <c r="K200" s="320"/>
      <c r="L200" s="319"/>
      <c r="M200" s="319"/>
      <c r="N200" s="319"/>
      <c r="O200" s="320"/>
      <c r="P200" s="320"/>
      <c r="Q200" s="319"/>
      <c r="R200" s="320"/>
      <c r="S200" s="320"/>
      <c r="T200" s="320"/>
      <c r="U200" s="320"/>
      <c r="V200" s="316"/>
    </row>
    <row r="201" spans="1:22">
      <c r="A201" s="311"/>
      <c r="B201" s="291"/>
      <c r="C201" s="308"/>
      <c r="D201" s="309"/>
      <c r="E201" s="309"/>
      <c r="F201" s="309"/>
      <c r="G201" s="309"/>
      <c r="H201" s="309"/>
      <c r="I201" s="309"/>
      <c r="J201" s="310"/>
      <c r="K201" s="310"/>
      <c r="L201" s="309"/>
      <c r="M201" s="309"/>
      <c r="N201" s="309"/>
      <c r="O201" s="310"/>
      <c r="P201" s="310"/>
      <c r="Q201" s="309"/>
      <c r="R201" s="310"/>
      <c r="S201" s="310"/>
      <c r="T201" s="310"/>
      <c r="U201" s="310"/>
      <c r="V201" s="316"/>
    </row>
    <row r="202" spans="1:22">
      <c r="A202" s="311"/>
      <c r="B202" s="312"/>
      <c r="C202" s="313"/>
      <c r="D202" s="314"/>
      <c r="E202" s="314"/>
      <c r="F202" s="314"/>
      <c r="G202" s="314"/>
      <c r="H202" s="314"/>
      <c r="I202" s="314"/>
      <c r="J202" s="315"/>
      <c r="K202" s="315"/>
      <c r="L202" s="314"/>
      <c r="M202" s="314"/>
      <c r="N202" s="314"/>
      <c r="O202" s="315"/>
      <c r="P202" s="315"/>
      <c r="Q202" s="314"/>
      <c r="R202" s="315"/>
      <c r="S202" s="315"/>
      <c r="T202" s="315"/>
      <c r="U202" s="315"/>
      <c r="V202" s="316"/>
    </row>
    <row r="203" spans="1:22" ht="15.75" thickBot="1">
      <c r="A203" s="311"/>
      <c r="B203" s="325"/>
      <c r="C203" s="326"/>
      <c r="D203" s="327"/>
      <c r="E203" s="327"/>
      <c r="F203" s="327"/>
      <c r="G203" s="327"/>
      <c r="H203" s="327"/>
      <c r="I203" s="327"/>
      <c r="J203" s="328"/>
      <c r="K203" s="328"/>
      <c r="L203" s="327"/>
      <c r="M203" s="327"/>
      <c r="N203" s="327"/>
      <c r="O203" s="328"/>
      <c r="P203" s="328"/>
      <c r="Q203" s="327"/>
      <c r="R203" s="328"/>
      <c r="S203" s="328"/>
      <c r="T203" s="328"/>
      <c r="U203" s="328"/>
      <c r="V203" s="316"/>
    </row>
    <row r="204" spans="1:22" ht="15.75" thickTop="1">
      <c r="A204" s="311"/>
      <c r="B204" s="312"/>
      <c r="C204" s="313"/>
      <c r="D204" s="314"/>
      <c r="E204" s="314"/>
      <c r="F204" s="314"/>
      <c r="G204" s="314"/>
      <c r="H204" s="314"/>
      <c r="I204" s="314"/>
      <c r="J204" s="315"/>
      <c r="K204" s="315"/>
      <c r="L204" s="314"/>
      <c r="M204" s="314"/>
      <c r="N204" s="314"/>
      <c r="O204" s="315"/>
      <c r="P204" s="315"/>
      <c r="Q204" s="314"/>
      <c r="R204" s="315"/>
      <c r="S204" s="315"/>
      <c r="T204" s="315"/>
      <c r="U204" s="315"/>
      <c r="V204" s="316"/>
    </row>
    <row r="205" spans="1:22">
      <c r="A205" s="311"/>
      <c r="B205" s="312"/>
      <c r="C205" s="313"/>
      <c r="D205" s="314"/>
      <c r="E205" s="314"/>
      <c r="F205" s="314"/>
      <c r="G205" s="314"/>
      <c r="H205" s="314"/>
      <c r="I205" s="314"/>
      <c r="J205" s="315"/>
      <c r="K205" s="315"/>
      <c r="L205" s="314"/>
      <c r="M205" s="314"/>
      <c r="N205" s="314"/>
      <c r="O205" s="315"/>
      <c r="P205" s="315"/>
      <c r="Q205" s="314"/>
      <c r="R205" s="315"/>
      <c r="S205" s="315"/>
      <c r="T205" s="315"/>
      <c r="U205" s="315"/>
      <c r="V205" s="316"/>
    </row>
    <row r="206" spans="1:22">
      <c r="A206" s="311"/>
      <c r="B206" s="317"/>
      <c r="C206" s="337"/>
      <c r="D206" s="319"/>
      <c r="E206" s="319"/>
      <c r="F206" s="321"/>
      <c r="G206" s="319"/>
      <c r="H206" s="319"/>
      <c r="I206" s="319"/>
      <c r="J206" s="320"/>
      <c r="K206" s="320"/>
      <c r="L206" s="319"/>
      <c r="M206" s="319"/>
      <c r="N206" s="319"/>
      <c r="O206" s="320"/>
      <c r="P206" s="320"/>
      <c r="Q206" s="319"/>
      <c r="R206" s="320"/>
      <c r="S206" s="320"/>
      <c r="T206" s="320"/>
      <c r="U206" s="320"/>
      <c r="V206" s="316"/>
    </row>
    <row r="207" spans="1:22">
      <c r="A207" s="311"/>
      <c r="B207" s="291"/>
      <c r="C207" s="308"/>
      <c r="D207" s="309"/>
      <c r="E207" s="309"/>
      <c r="F207" s="309"/>
      <c r="G207" s="309"/>
      <c r="H207" s="309"/>
      <c r="I207" s="309"/>
      <c r="J207" s="310"/>
      <c r="K207" s="310"/>
      <c r="L207" s="309"/>
      <c r="M207" s="309"/>
      <c r="N207" s="309"/>
      <c r="O207" s="310"/>
      <c r="P207" s="310"/>
      <c r="Q207" s="309"/>
      <c r="R207" s="310"/>
      <c r="S207" s="310"/>
      <c r="T207" s="310"/>
      <c r="U207" s="310"/>
      <c r="V207" s="316"/>
    </row>
    <row r="208" spans="1:22">
      <c r="A208" s="311"/>
      <c r="B208" s="312"/>
      <c r="C208" s="313"/>
      <c r="D208" s="314"/>
      <c r="E208" s="314"/>
      <c r="F208" s="314"/>
      <c r="G208" s="314"/>
      <c r="H208" s="314"/>
      <c r="I208" s="314"/>
      <c r="J208" s="315"/>
      <c r="K208" s="315"/>
      <c r="L208" s="314"/>
      <c r="M208" s="314"/>
      <c r="N208" s="314"/>
      <c r="O208" s="315"/>
      <c r="P208" s="315"/>
      <c r="Q208" s="314"/>
      <c r="R208" s="315"/>
      <c r="S208" s="315"/>
      <c r="T208" s="315"/>
      <c r="U208" s="315"/>
      <c r="V208" s="316"/>
    </row>
    <row r="209" spans="1:22">
      <c r="A209" s="311"/>
      <c r="B209" s="317"/>
      <c r="C209" s="318"/>
      <c r="D209" s="319"/>
      <c r="E209" s="319"/>
      <c r="F209" s="319"/>
      <c r="G209" s="319"/>
      <c r="H209" s="319"/>
      <c r="I209" s="319"/>
      <c r="J209" s="320"/>
      <c r="K209" s="320"/>
      <c r="L209" s="319"/>
      <c r="M209" s="319"/>
      <c r="N209" s="319"/>
      <c r="O209" s="320"/>
      <c r="P209" s="320"/>
      <c r="Q209" s="319"/>
      <c r="R209" s="320"/>
      <c r="S209" s="320"/>
      <c r="T209" s="320"/>
      <c r="U209" s="320"/>
      <c r="V209" s="316"/>
    </row>
    <row r="210" spans="1:22">
      <c r="A210" s="311"/>
      <c r="B210" s="291"/>
      <c r="C210" s="308"/>
      <c r="D210" s="309"/>
      <c r="E210" s="309"/>
      <c r="F210" s="309"/>
      <c r="G210" s="309"/>
      <c r="H210" s="309"/>
      <c r="I210" s="309"/>
      <c r="J210" s="310"/>
      <c r="K210" s="310"/>
      <c r="L210" s="309"/>
      <c r="M210" s="309"/>
      <c r="N210" s="309"/>
      <c r="O210" s="310"/>
      <c r="P210" s="310"/>
      <c r="Q210" s="309"/>
      <c r="R210" s="310"/>
      <c r="S210" s="310"/>
      <c r="T210" s="310"/>
      <c r="U210" s="310"/>
      <c r="V210" s="316"/>
    </row>
    <row r="211" spans="1:22">
      <c r="A211" s="311"/>
      <c r="B211" s="312"/>
      <c r="C211" s="313"/>
      <c r="D211" s="314"/>
      <c r="E211" s="314"/>
      <c r="F211" s="314"/>
      <c r="G211" s="314"/>
      <c r="H211" s="314"/>
      <c r="I211" s="314"/>
      <c r="J211" s="315"/>
      <c r="K211" s="315"/>
      <c r="L211" s="314"/>
      <c r="M211" s="314"/>
      <c r="N211" s="314"/>
      <c r="O211" s="315"/>
      <c r="P211" s="315"/>
      <c r="Q211" s="314"/>
      <c r="R211" s="315"/>
      <c r="S211" s="315"/>
      <c r="T211" s="315"/>
      <c r="U211" s="315"/>
      <c r="V211" s="316"/>
    </row>
    <row r="212" spans="1:22">
      <c r="A212" s="311"/>
      <c r="B212" s="317"/>
      <c r="C212" s="318"/>
      <c r="D212" s="319"/>
      <c r="E212" s="319"/>
      <c r="F212" s="321"/>
      <c r="G212" s="319"/>
      <c r="H212" s="319"/>
      <c r="I212" s="319"/>
      <c r="J212" s="320"/>
      <c r="K212" s="320"/>
      <c r="L212" s="319"/>
      <c r="M212" s="319"/>
      <c r="N212" s="319"/>
      <c r="O212" s="320"/>
      <c r="P212" s="320"/>
      <c r="Q212" s="319"/>
      <c r="R212" s="320"/>
      <c r="S212" s="320"/>
      <c r="T212" s="320"/>
      <c r="U212" s="320"/>
      <c r="V212" s="316"/>
    </row>
    <row r="213" spans="1:22">
      <c r="A213" s="311"/>
      <c r="B213" s="291"/>
      <c r="C213" s="308"/>
      <c r="D213" s="309"/>
      <c r="E213" s="309"/>
      <c r="F213" s="309"/>
      <c r="G213" s="309"/>
      <c r="H213" s="309"/>
      <c r="I213" s="309"/>
      <c r="J213" s="310"/>
      <c r="K213" s="310"/>
      <c r="L213" s="309"/>
      <c r="M213" s="309"/>
      <c r="N213" s="309"/>
      <c r="O213" s="310"/>
      <c r="P213" s="310"/>
      <c r="Q213" s="309"/>
      <c r="R213" s="310"/>
      <c r="S213" s="310"/>
      <c r="T213" s="310"/>
      <c r="U213" s="310"/>
      <c r="V213" s="316"/>
    </row>
    <row r="214" spans="1:22">
      <c r="A214" s="311"/>
      <c r="B214" s="312"/>
      <c r="C214" s="313"/>
      <c r="D214" s="314"/>
      <c r="E214" s="314"/>
      <c r="F214" s="314"/>
      <c r="G214" s="314"/>
      <c r="H214" s="314"/>
      <c r="I214" s="314"/>
      <c r="J214" s="315"/>
      <c r="K214" s="315"/>
      <c r="L214" s="314"/>
      <c r="M214" s="314"/>
      <c r="N214" s="314"/>
      <c r="O214" s="315"/>
      <c r="P214" s="315"/>
      <c r="Q214" s="314"/>
      <c r="R214" s="315"/>
      <c r="S214" s="315"/>
      <c r="T214" s="315"/>
      <c r="U214" s="315"/>
      <c r="V214" s="316"/>
    </row>
    <row r="215" spans="1:22">
      <c r="A215" s="311"/>
      <c r="B215" s="317"/>
      <c r="C215" s="318"/>
      <c r="D215" s="319"/>
      <c r="E215" s="319"/>
      <c r="F215" s="319"/>
      <c r="G215" s="319"/>
      <c r="H215" s="319"/>
      <c r="I215" s="319"/>
      <c r="J215" s="320"/>
      <c r="K215" s="320"/>
      <c r="L215" s="319"/>
      <c r="M215" s="319"/>
      <c r="N215" s="319"/>
      <c r="O215" s="320"/>
      <c r="P215" s="320"/>
      <c r="Q215" s="319"/>
      <c r="R215" s="320"/>
      <c r="S215" s="320"/>
      <c r="T215" s="320"/>
      <c r="U215" s="320"/>
      <c r="V215" s="316"/>
    </row>
    <row r="216" spans="1:22">
      <c r="A216" s="311"/>
      <c r="B216" s="291"/>
      <c r="C216" s="308"/>
      <c r="D216" s="309"/>
      <c r="E216" s="309"/>
      <c r="F216" s="309"/>
      <c r="G216" s="309"/>
      <c r="H216" s="309"/>
      <c r="I216" s="309"/>
      <c r="J216" s="310"/>
      <c r="K216" s="310"/>
      <c r="L216" s="309"/>
      <c r="M216" s="309"/>
      <c r="N216" s="309"/>
      <c r="O216" s="310"/>
      <c r="P216" s="310"/>
      <c r="Q216" s="309"/>
      <c r="R216" s="310"/>
      <c r="S216" s="310"/>
      <c r="T216" s="310"/>
      <c r="U216" s="310"/>
      <c r="V216" s="316"/>
    </row>
    <row r="217" spans="1:22">
      <c r="A217" s="311"/>
      <c r="B217" s="312"/>
      <c r="C217" s="313"/>
      <c r="D217" s="314"/>
      <c r="E217" s="314"/>
      <c r="F217" s="314"/>
      <c r="G217" s="314"/>
      <c r="H217" s="314"/>
      <c r="I217" s="314"/>
      <c r="J217" s="315"/>
      <c r="K217" s="315"/>
      <c r="L217" s="314"/>
      <c r="M217" s="314"/>
      <c r="N217" s="314"/>
      <c r="O217" s="315"/>
      <c r="P217" s="315"/>
      <c r="Q217" s="314"/>
      <c r="R217" s="315"/>
      <c r="S217" s="315"/>
      <c r="T217" s="315"/>
      <c r="U217" s="315"/>
      <c r="V217" s="316"/>
    </row>
    <row r="218" spans="1:22">
      <c r="A218" s="311"/>
      <c r="B218" s="317"/>
      <c r="C218" s="318"/>
      <c r="D218" s="319"/>
      <c r="E218" s="319"/>
      <c r="F218" s="319"/>
      <c r="G218" s="319"/>
      <c r="H218" s="319"/>
      <c r="I218" s="319"/>
      <c r="J218" s="320"/>
      <c r="K218" s="320"/>
      <c r="L218" s="319"/>
      <c r="M218" s="319"/>
      <c r="N218" s="319"/>
      <c r="O218" s="320"/>
      <c r="P218" s="320"/>
      <c r="Q218" s="319"/>
      <c r="R218" s="320"/>
      <c r="S218" s="320"/>
      <c r="T218" s="320"/>
      <c r="U218" s="320"/>
      <c r="V218" s="316"/>
    </row>
    <row r="219" spans="1:22">
      <c r="A219" s="311"/>
      <c r="B219" s="291"/>
      <c r="C219" s="308"/>
      <c r="D219" s="309"/>
      <c r="E219" s="309"/>
      <c r="F219" s="309"/>
      <c r="G219" s="309"/>
      <c r="H219" s="309"/>
      <c r="I219" s="309"/>
      <c r="J219" s="310"/>
      <c r="K219" s="310"/>
      <c r="L219" s="309"/>
      <c r="M219" s="309"/>
      <c r="N219" s="309"/>
      <c r="O219" s="310"/>
      <c r="P219" s="310"/>
      <c r="Q219" s="309"/>
      <c r="R219" s="310"/>
      <c r="S219" s="310"/>
      <c r="T219" s="310"/>
      <c r="U219" s="310"/>
      <c r="V219" s="316"/>
    </row>
    <row r="220" spans="1:22">
      <c r="A220" s="311"/>
      <c r="B220" s="312"/>
      <c r="C220" s="313"/>
      <c r="D220" s="314"/>
      <c r="E220" s="314"/>
      <c r="F220" s="314"/>
      <c r="G220" s="314"/>
      <c r="H220" s="314"/>
      <c r="I220" s="314"/>
      <c r="J220" s="315"/>
      <c r="K220" s="315"/>
      <c r="L220" s="314"/>
      <c r="M220" s="314"/>
      <c r="N220" s="314"/>
      <c r="O220" s="315"/>
      <c r="P220" s="315"/>
      <c r="Q220" s="314"/>
      <c r="R220" s="315"/>
      <c r="S220" s="315"/>
      <c r="T220" s="315"/>
      <c r="U220" s="315"/>
      <c r="V220" s="316"/>
    </row>
    <row r="221" spans="1:22" ht="15.75" thickBot="1">
      <c r="A221" s="329"/>
      <c r="B221" s="330"/>
      <c r="C221" s="331"/>
      <c r="D221" s="332"/>
      <c r="E221" s="332"/>
      <c r="F221" s="332"/>
      <c r="G221" s="332"/>
      <c r="H221" s="332"/>
      <c r="I221" s="332"/>
      <c r="J221" s="333"/>
      <c r="K221" s="333"/>
      <c r="L221" s="332"/>
      <c r="M221" s="332"/>
      <c r="N221" s="332"/>
      <c r="O221" s="333"/>
      <c r="P221" s="333"/>
      <c r="Q221" s="332"/>
      <c r="R221" s="333"/>
      <c r="S221" s="333"/>
      <c r="T221" s="333"/>
      <c r="U221" s="333"/>
      <c r="V221" s="316"/>
    </row>
    <row r="222" spans="1:22">
      <c r="A222" s="307"/>
      <c r="B222" s="291"/>
      <c r="C222" s="308"/>
      <c r="D222" s="309"/>
      <c r="E222" s="309"/>
      <c r="F222" s="309"/>
      <c r="G222" s="309"/>
      <c r="H222" s="309"/>
      <c r="I222" s="309"/>
      <c r="J222" s="310"/>
      <c r="K222" s="310"/>
      <c r="L222" s="309"/>
      <c r="M222" s="309"/>
      <c r="N222" s="309"/>
      <c r="O222" s="310"/>
      <c r="P222" s="310"/>
      <c r="Q222" s="309"/>
      <c r="R222" s="310"/>
      <c r="S222" s="310"/>
      <c r="T222" s="310"/>
      <c r="U222" s="310"/>
      <c r="V222" s="316"/>
    </row>
    <row r="223" spans="1:22">
      <c r="A223" s="311"/>
      <c r="B223" s="312"/>
      <c r="C223" s="313"/>
      <c r="D223" s="314"/>
      <c r="E223" s="314"/>
      <c r="F223" s="314"/>
      <c r="G223" s="314"/>
      <c r="H223" s="314"/>
      <c r="I223" s="314"/>
      <c r="J223" s="315"/>
      <c r="K223" s="315"/>
      <c r="L223" s="314"/>
      <c r="M223" s="314"/>
      <c r="N223" s="314"/>
      <c r="O223" s="315"/>
      <c r="P223" s="315"/>
      <c r="Q223" s="314"/>
      <c r="R223" s="315"/>
      <c r="S223" s="315"/>
      <c r="T223" s="315"/>
      <c r="U223" s="315"/>
      <c r="V223" s="316"/>
    </row>
    <row r="224" spans="1:22">
      <c r="A224" s="311"/>
      <c r="B224" s="317"/>
      <c r="C224" s="318"/>
      <c r="D224" s="319"/>
      <c r="E224" s="319"/>
      <c r="F224" s="319"/>
      <c r="G224" s="319"/>
      <c r="H224" s="319"/>
      <c r="I224" s="319"/>
      <c r="J224" s="320"/>
      <c r="K224" s="320"/>
      <c r="L224" s="319"/>
      <c r="M224" s="319"/>
      <c r="N224" s="319"/>
      <c r="O224" s="320"/>
      <c r="P224" s="320"/>
      <c r="Q224" s="319"/>
      <c r="R224" s="320"/>
      <c r="S224" s="320"/>
      <c r="T224" s="320"/>
      <c r="U224" s="320"/>
      <c r="V224" s="316"/>
    </row>
    <row r="225" spans="1:22">
      <c r="A225" s="311"/>
      <c r="B225" s="291"/>
      <c r="C225" s="308"/>
      <c r="D225" s="309"/>
      <c r="E225" s="309"/>
      <c r="F225" s="309"/>
      <c r="G225" s="309"/>
      <c r="H225" s="309"/>
      <c r="I225" s="309"/>
      <c r="J225" s="310"/>
      <c r="K225" s="310"/>
      <c r="L225" s="309"/>
      <c r="M225" s="309"/>
      <c r="N225" s="309"/>
      <c r="O225" s="310"/>
      <c r="P225" s="310"/>
      <c r="Q225" s="309"/>
      <c r="R225" s="310"/>
      <c r="S225" s="310"/>
      <c r="T225" s="310"/>
      <c r="U225" s="310"/>
      <c r="V225" s="316"/>
    </row>
    <row r="226" spans="1:22">
      <c r="A226" s="311"/>
      <c r="B226" s="312"/>
      <c r="C226" s="313"/>
      <c r="D226" s="314"/>
      <c r="E226" s="314"/>
      <c r="F226" s="314"/>
      <c r="G226" s="314"/>
      <c r="H226" s="314"/>
      <c r="I226" s="314"/>
      <c r="J226" s="315"/>
      <c r="K226" s="315"/>
      <c r="L226" s="314"/>
      <c r="M226" s="314"/>
      <c r="N226" s="314"/>
      <c r="O226" s="315"/>
      <c r="P226" s="315"/>
      <c r="Q226" s="314"/>
      <c r="R226" s="315"/>
      <c r="S226" s="315"/>
      <c r="T226" s="315"/>
      <c r="U226" s="315"/>
      <c r="V226" s="316"/>
    </row>
    <row r="227" spans="1:22">
      <c r="A227" s="311"/>
      <c r="B227" s="317"/>
      <c r="C227" s="318"/>
      <c r="D227" s="319"/>
      <c r="E227" s="319"/>
      <c r="F227" s="319"/>
      <c r="G227" s="319"/>
      <c r="H227" s="319"/>
      <c r="I227" s="319"/>
      <c r="J227" s="320"/>
      <c r="K227" s="320"/>
      <c r="L227" s="319"/>
      <c r="M227" s="319"/>
      <c r="N227" s="319"/>
      <c r="O227" s="320"/>
      <c r="P227" s="320"/>
      <c r="Q227" s="319"/>
      <c r="R227" s="320"/>
      <c r="S227" s="320"/>
      <c r="T227" s="320"/>
      <c r="U227" s="320"/>
      <c r="V227" s="316"/>
    </row>
    <row r="228" spans="1:22">
      <c r="A228" s="311"/>
      <c r="B228" s="291"/>
      <c r="C228" s="308"/>
      <c r="D228" s="309"/>
      <c r="E228" s="309"/>
      <c r="F228" s="309"/>
      <c r="G228" s="309"/>
      <c r="H228" s="309"/>
      <c r="I228" s="309"/>
      <c r="J228" s="310"/>
      <c r="K228" s="310"/>
      <c r="L228" s="309"/>
      <c r="M228" s="309"/>
      <c r="N228" s="309"/>
      <c r="O228" s="310"/>
      <c r="P228" s="310"/>
      <c r="Q228" s="309"/>
      <c r="R228" s="310"/>
      <c r="S228" s="310"/>
      <c r="T228" s="310"/>
      <c r="U228" s="310"/>
      <c r="V228" s="316"/>
    </row>
    <row r="229" spans="1:22">
      <c r="A229" s="311"/>
      <c r="B229" s="312"/>
      <c r="C229" s="313"/>
      <c r="D229" s="314"/>
      <c r="E229" s="314"/>
      <c r="F229" s="314"/>
      <c r="G229" s="314"/>
      <c r="H229" s="314"/>
      <c r="I229" s="314"/>
      <c r="J229" s="315"/>
      <c r="K229" s="315"/>
      <c r="L229" s="314"/>
      <c r="M229" s="314"/>
      <c r="N229" s="314"/>
      <c r="O229" s="315"/>
      <c r="P229" s="315"/>
      <c r="Q229" s="314"/>
      <c r="R229" s="315"/>
      <c r="S229" s="315"/>
      <c r="T229" s="315"/>
      <c r="U229" s="315"/>
      <c r="V229" s="316"/>
    </row>
    <row r="230" spans="1:22">
      <c r="A230" s="311"/>
      <c r="B230" s="317"/>
      <c r="C230" s="318"/>
      <c r="D230" s="319"/>
      <c r="E230" s="319"/>
      <c r="F230" s="319"/>
      <c r="G230" s="319"/>
      <c r="H230" s="319"/>
      <c r="I230" s="319"/>
      <c r="J230" s="320"/>
      <c r="K230" s="320"/>
      <c r="L230" s="319"/>
      <c r="M230" s="319"/>
      <c r="N230" s="319"/>
      <c r="O230" s="320"/>
      <c r="P230" s="320"/>
      <c r="Q230" s="319"/>
      <c r="R230" s="320"/>
      <c r="S230" s="320"/>
      <c r="T230" s="320"/>
      <c r="U230" s="320"/>
      <c r="V230" s="316"/>
    </row>
    <row r="231" spans="1:22">
      <c r="A231" s="311"/>
      <c r="B231" s="291"/>
      <c r="C231" s="308"/>
      <c r="D231" s="309"/>
      <c r="E231" s="309"/>
      <c r="F231" s="309"/>
      <c r="G231" s="309"/>
      <c r="H231" s="309"/>
      <c r="I231" s="309"/>
      <c r="J231" s="310"/>
      <c r="K231" s="310"/>
      <c r="L231" s="309"/>
      <c r="M231" s="309"/>
      <c r="N231" s="309"/>
      <c r="O231" s="310"/>
      <c r="P231" s="310"/>
      <c r="Q231" s="309"/>
      <c r="R231" s="310"/>
      <c r="S231" s="310"/>
      <c r="T231" s="310"/>
      <c r="U231" s="310"/>
      <c r="V231" s="316"/>
    </row>
    <row r="232" spans="1:22">
      <c r="A232" s="311"/>
      <c r="B232" s="312"/>
      <c r="C232" s="313"/>
      <c r="D232" s="314"/>
      <c r="E232" s="314"/>
      <c r="F232" s="314"/>
      <c r="G232" s="314"/>
      <c r="H232" s="314"/>
      <c r="I232" s="314"/>
      <c r="J232" s="315"/>
      <c r="K232" s="315"/>
      <c r="L232" s="314"/>
      <c r="M232" s="314"/>
      <c r="N232" s="314"/>
      <c r="O232" s="315"/>
      <c r="P232" s="315"/>
      <c r="Q232" s="314"/>
      <c r="R232" s="315"/>
      <c r="S232" s="315"/>
      <c r="T232" s="315"/>
      <c r="U232" s="315"/>
      <c r="V232" s="316"/>
    </row>
    <row r="233" spans="1:22">
      <c r="A233" s="311"/>
      <c r="B233" s="317"/>
      <c r="C233" s="318"/>
      <c r="D233" s="319"/>
      <c r="E233" s="319"/>
      <c r="F233" s="319"/>
      <c r="G233" s="319"/>
      <c r="H233" s="319"/>
      <c r="I233" s="319"/>
      <c r="J233" s="320"/>
      <c r="K233" s="320"/>
      <c r="L233" s="319"/>
      <c r="M233" s="319"/>
      <c r="N233" s="319"/>
      <c r="O233" s="320"/>
      <c r="P233" s="320"/>
      <c r="Q233" s="319"/>
      <c r="R233" s="320"/>
      <c r="S233" s="320"/>
      <c r="T233" s="320"/>
      <c r="U233" s="320"/>
      <c r="V233" s="316"/>
    </row>
    <row r="234" spans="1:22">
      <c r="A234" s="311"/>
      <c r="B234" s="291"/>
      <c r="C234" s="308"/>
      <c r="D234" s="309"/>
      <c r="E234" s="309"/>
      <c r="F234" s="309"/>
      <c r="G234" s="309"/>
      <c r="H234" s="309"/>
      <c r="I234" s="309"/>
      <c r="J234" s="310"/>
      <c r="K234" s="310"/>
      <c r="L234" s="309"/>
      <c r="M234" s="309"/>
      <c r="N234" s="309"/>
      <c r="O234" s="310"/>
      <c r="P234" s="310"/>
      <c r="Q234" s="309"/>
      <c r="R234" s="310"/>
      <c r="S234" s="310"/>
      <c r="T234" s="310"/>
      <c r="U234" s="310"/>
      <c r="V234" s="316"/>
    </row>
    <row r="235" spans="1:22">
      <c r="A235" s="311"/>
      <c r="B235" s="312"/>
      <c r="C235" s="313"/>
      <c r="D235" s="314"/>
      <c r="E235" s="314"/>
      <c r="F235" s="314"/>
      <c r="G235" s="314"/>
      <c r="H235" s="314"/>
      <c r="I235" s="314"/>
      <c r="J235" s="315"/>
      <c r="K235" s="315"/>
      <c r="L235" s="314"/>
      <c r="M235" s="314"/>
      <c r="N235" s="314"/>
      <c r="O235" s="315"/>
      <c r="P235" s="315"/>
      <c r="Q235" s="314"/>
      <c r="R235" s="315"/>
      <c r="S235" s="315"/>
      <c r="T235" s="315"/>
      <c r="U235" s="315"/>
      <c r="V235" s="316"/>
    </row>
    <row r="236" spans="1:22">
      <c r="A236" s="311"/>
      <c r="B236" s="317"/>
      <c r="C236" s="318"/>
      <c r="D236" s="319"/>
      <c r="E236" s="319"/>
      <c r="F236" s="319"/>
      <c r="G236" s="319"/>
      <c r="H236" s="319"/>
      <c r="I236" s="319"/>
      <c r="J236" s="320"/>
      <c r="K236" s="320"/>
      <c r="L236" s="319"/>
      <c r="M236" s="319"/>
      <c r="N236" s="319"/>
      <c r="O236" s="320"/>
      <c r="P236" s="320"/>
      <c r="Q236" s="319"/>
      <c r="R236" s="320"/>
      <c r="S236" s="320"/>
      <c r="T236" s="320"/>
      <c r="U236" s="320"/>
      <c r="V236" s="316"/>
    </row>
    <row r="237" spans="1:22">
      <c r="A237" s="311"/>
      <c r="B237" s="291"/>
      <c r="C237" s="308"/>
      <c r="D237" s="309"/>
      <c r="E237" s="309"/>
      <c r="F237" s="309"/>
      <c r="G237" s="309"/>
      <c r="H237" s="309"/>
      <c r="I237" s="309"/>
      <c r="J237" s="310"/>
      <c r="K237" s="310"/>
      <c r="L237" s="309"/>
      <c r="M237" s="309"/>
      <c r="N237" s="309"/>
      <c r="O237" s="310"/>
      <c r="P237" s="310"/>
      <c r="Q237" s="309"/>
      <c r="R237" s="310"/>
      <c r="S237" s="310"/>
      <c r="T237" s="310"/>
      <c r="U237" s="310"/>
      <c r="V237" s="316"/>
    </row>
    <row r="238" spans="1:22">
      <c r="A238" s="311"/>
      <c r="B238" s="312"/>
      <c r="C238" s="313"/>
      <c r="D238" s="314"/>
      <c r="E238" s="314"/>
      <c r="F238" s="314"/>
      <c r="G238" s="314"/>
      <c r="H238" s="314"/>
      <c r="I238" s="314"/>
      <c r="J238" s="315"/>
      <c r="K238" s="315"/>
      <c r="L238" s="314"/>
      <c r="M238" s="314"/>
      <c r="N238" s="314"/>
      <c r="O238" s="315"/>
      <c r="P238" s="315"/>
      <c r="Q238" s="314"/>
      <c r="R238" s="315"/>
      <c r="S238" s="315"/>
      <c r="T238" s="315"/>
      <c r="U238" s="315"/>
      <c r="V238" s="316"/>
    </row>
    <row r="239" spans="1:22" ht="15.75" thickBot="1">
      <c r="A239" s="311"/>
      <c r="B239" s="325"/>
      <c r="C239" s="326"/>
      <c r="D239" s="327"/>
      <c r="E239" s="327"/>
      <c r="F239" s="327"/>
      <c r="G239" s="327"/>
      <c r="H239" s="327"/>
      <c r="I239" s="327"/>
      <c r="J239" s="328"/>
      <c r="K239" s="328"/>
      <c r="L239" s="327"/>
      <c r="M239" s="327"/>
      <c r="N239" s="327"/>
      <c r="O239" s="328"/>
      <c r="P239" s="328"/>
      <c r="Q239" s="327"/>
      <c r="R239" s="328"/>
      <c r="S239" s="328"/>
      <c r="T239" s="328"/>
      <c r="U239" s="328"/>
      <c r="V239" s="316"/>
    </row>
    <row r="240" spans="1:22" ht="15.75" thickTop="1">
      <c r="A240" s="311"/>
      <c r="B240" s="312"/>
      <c r="C240" s="313"/>
      <c r="D240" s="314"/>
      <c r="E240" s="314"/>
      <c r="F240" s="314"/>
      <c r="G240" s="314"/>
      <c r="H240" s="314"/>
      <c r="I240" s="314"/>
      <c r="J240" s="315"/>
      <c r="K240" s="315"/>
      <c r="L240" s="314"/>
      <c r="M240" s="314"/>
      <c r="N240" s="314"/>
      <c r="O240" s="315"/>
      <c r="P240" s="315"/>
      <c r="Q240" s="314"/>
      <c r="R240" s="315"/>
      <c r="S240" s="315"/>
      <c r="T240" s="315"/>
      <c r="U240" s="315"/>
      <c r="V240" s="316"/>
    </row>
    <row r="241" spans="1:22">
      <c r="A241" s="311"/>
      <c r="B241" s="312"/>
      <c r="C241" s="313"/>
      <c r="D241" s="314"/>
      <c r="E241" s="314"/>
      <c r="F241" s="314"/>
      <c r="G241" s="314"/>
      <c r="H241" s="314"/>
      <c r="I241" s="314"/>
      <c r="J241" s="315"/>
      <c r="K241" s="315"/>
      <c r="L241" s="314"/>
      <c r="M241" s="314"/>
      <c r="N241" s="314"/>
      <c r="O241" s="315"/>
      <c r="P241" s="315"/>
      <c r="Q241" s="314"/>
      <c r="R241" s="315"/>
      <c r="S241" s="315"/>
      <c r="T241" s="315"/>
      <c r="U241" s="315"/>
      <c r="V241" s="316"/>
    </row>
    <row r="242" spans="1:22">
      <c r="A242" s="311"/>
      <c r="B242" s="317"/>
      <c r="C242" s="318"/>
      <c r="D242" s="319"/>
      <c r="E242" s="319"/>
      <c r="F242" s="319"/>
      <c r="G242" s="319"/>
      <c r="H242" s="319"/>
      <c r="I242" s="319"/>
      <c r="J242" s="320"/>
      <c r="K242" s="320"/>
      <c r="L242" s="319"/>
      <c r="M242" s="319"/>
      <c r="N242" s="319"/>
      <c r="O242" s="320"/>
      <c r="P242" s="320"/>
      <c r="Q242" s="319"/>
      <c r="R242" s="320"/>
      <c r="S242" s="320"/>
      <c r="T242" s="320"/>
      <c r="U242" s="320"/>
      <c r="V242" s="316"/>
    </row>
    <row r="243" spans="1:22">
      <c r="A243" s="311"/>
      <c r="B243" s="291"/>
      <c r="C243" s="308"/>
      <c r="D243" s="309"/>
      <c r="E243" s="309"/>
      <c r="F243" s="309"/>
      <c r="G243" s="309"/>
      <c r="H243" s="309"/>
      <c r="I243" s="309"/>
      <c r="J243" s="310"/>
      <c r="K243" s="310"/>
      <c r="L243" s="309"/>
      <c r="M243" s="309"/>
      <c r="N243" s="309"/>
      <c r="O243" s="310"/>
      <c r="P243" s="310"/>
      <c r="Q243" s="309"/>
      <c r="R243" s="310"/>
      <c r="S243" s="310"/>
      <c r="T243" s="310"/>
      <c r="U243" s="310"/>
      <c r="V243" s="316"/>
    </row>
    <row r="244" spans="1:22">
      <c r="A244" s="311"/>
      <c r="B244" s="312"/>
      <c r="C244" s="313"/>
      <c r="D244" s="314"/>
      <c r="E244" s="314"/>
      <c r="F244" s="314"/>
      <c r="G244" s="314"/>
      <c r="H244" s="314"/>
      <c r="I244" s="314"/>
      <c r="J244" s="315"/>
      <c r="K244" s="315"/>
      <c r="L244" s="314"/>
      <c r="M244" s="314"/>
      <c r="N244" s="314"/>
      <c r="O244" s="315"/>
      <c r="P244" s="315"/>
      <c r="Q244" s="314"/>
      <c r="R244" s="315"/>
      <c r="S244" s="315"/>
      <c r="T244" s="315"/>
      <c r="U244" s="315"/>
      <c r="V244" s="316"/>
    </row>
    <row r="245" spans="1:22">
      <c r="A245" s="311"/>
      <c r="B245" s="317"/>
      <c r="C245" s="318"/>
      <c r="D245" s="319"/>
      <c r="E245" s="319"/>
      <c r="F245" s="319"/>
      <c r="G245" s="319"/>
      <c r="H245" s="319"/>
      <c r="I245" s="319"/>
      <c r="J245" s="320"/>
      <c r="K245" s="320"/>
      <c r="L245" s="319"/>
      <c r="M245" s="319"/>
      <c r="N245" s="319"/>
      <c r="O245" s="320"/>
      <c r="P245" s="320"/>
      <c r="Q245" s="319"/>
      <c r="R245" s="320"/>
      <c r="S245" s="320"/>
      <c r="T245" s="320"/>
      <c r="U245" s="320"/>
      <c r="V245" s="316"/>
    </row>
    <row r="246" spans="1:22">
      <c r="A246" s="311"/>
      <c r="B246" s="291"/>
      <c r="C246" s="308"/>
      <c r="D246" s="309"/>
      <c r="E246" s="309"/>
      <c r="F246" s="309"/>
      <c r="G246" s="309"/>
      <c r="H246" s="309"/>
      <c r="I246" s="309"/>
      <c r="J246" s="310"/>
      <c r="K246" s="310"/>
      <c r="L246" s="309"/>
      <c r="M246" s="309"/>
      <c r="N246" s="309"/>
      <c r="O246" s="310"/>
      <c r="P246" s="310"/>
      <c r="Q246" s="309"/>
      <c r="R246" s="310"/>
      <c r="S246" s="310"/>
      <c r="T246" s="310"/>
      <c r="U246" s="310"/>
      <c r="V246" s="316"/>
    </row>
    <row r="247" spans="1:22">
      <c r="A247" s="311"/>
      <c r="B247" s="312"/>
      <c r="C247" s="313"/>
      <c r="D247" s="314"/>
      <c r="E247" s="314"/>
      <c r="F247" s="314"/>
      <c r="G247" s="314"/>
      <c r="H247" s="314"/>
      <c r="I247" s="314"/>
      <c r="J247" s="315"/>
      <c r="K247" s="315"/>
      <c r="L247" s="314"/>
      <c r="M247" s="314"/>
      <c r="N247" s="314"/>
      <c r="O247" s="315"/>
      <c r="P247" s="315"/>
      <c r="Q247" s="314"/>
      <c r="R247" s="315"/>
      <c r="S247" s="315"/>
      <c r="T247" s="315"/>
      <c r="U247" s="315"/>
      <c r="V247" s="316"/>
    </row>
    <row r="248" spans="1:22">
      <c r="A248" s="311"/>
      <c r="B248" s="317"/>
      <c r="C248" s="318"/>
      <c r="D248" s="319"/>
      <c r="E248" s="319"/>
      <c r="F248" s="319"/>
      <c r="G248" s="319"/>
      <c r="H248" s="319"/>
      <c r="I248" s="319"/>
      <c r="J248" s="320"/>
      <c r="K248" s="320"/>
      <c r="L248" s="319"/>
      <c r="M248" s="319"/>
      <c r="N248" s="319"/>
      <c r="O248" s="320"/>
      <c r="P248" s="320"/>
      <c r="Q248" s="319"/>
      <c r="R248" s="320"/>
      <c r="S248" s="320"/>
      <c r="T248" s="320"/>
      <c r="U248" s="320"/>
      <c r="V248" s="316"/>
    </row>
    <row r="249" spans="1:22">
      <c r="A249" s="311"/>
      <c r="B249" s="291"/>
      <c r="C249" s="308"/>
      <c r="D249" s="309"/>
      <c r="E249" s="309"/>
      <c r="F249" s="309"/>
      <c r="G249" s="309"/>
      <c r="H249" s="309"/>
      <c r="I249" s="309"/>
      <c r="J249" s="310"/>
      <c r="K249" s="310"/>
      <c r="L249" s="309"/>
      <c r="M249" s="309"/>
      <c r="N249" s="309"/>
      <c r="O249" s="310"/>
      <c r="P249" s="310"/>
      <c r="Q249" s="309"/>
      <c r="R249" s="310"/>
      <c r="S249" s="310"/>
      <c r="T249" s="310"/>
      <c r="U249" s="310"/>
      <c r="V249" s="316"/>
    </row>
    <row r="250" spans="1:22">
      <c r="A250" s="311"/>
      <c r="B250" s="312"/>
      <c r="C250" s="313"/>
      <c r="D250" s="314"/>
      <c r="E250" s="314"/>
      <c r="F250" s="314"/>
      <c r="G250" s="314"/>
      <c r="H250" s="314"/>
      <c r="I250" s="314"/>
      <c r="J250" s="315"/>
      <c r="K250" s="315"/>
      <c r="L250" s="314"/>
      <c r="M250" s="314"/>
      <c r="N250" s="314"/>
      <c r="O250" s="315"/>
      <c r="P250" s="315"/>
      <c r="Q250" s="314"/>
      <c r="R250" s="315"/>
      <c r="S250" s="315"/>
      <c r="T250" s="315"/>
      <c r="U250" s="315"/>
      <c r="V250" s="316"/>
    </row>
    <row r="251" spans="1:22">
      <c r="A251" s="311"/>
      <c r="B251" s="317"/>
      <c r="C251" s="318"/>
      <c r="D251" s="319"/>
      <c r="E251" s="319"/>
      <c r="F251" s="319"/>
      <c r="G251" s="319"/>
      <c r="H251" s="319"/>
      <c r="I251" s="319"/>
      <c r="J251" s="320"/>
      <c r="K251" s="320"/>
      <c r="L251" s="319"/>
      <c r="M251" s="319"/>
      <c r="N251" s="319"/>
      <c r="O251" s="320"/>
      <c r="P251" s="320"/>
      <c r="Q251" s="319"/>
      <c r="R251" s="320"/>
      <c r="S251" s="320"/>
      <c r="T251" s="320"/>
      <c r="U251" s="320"/>
      <c r="V251" s="316"/>
    </row>
    <row r="252" spans="1:22">
      <c r="A252" s="311"/>
      <c r="B252" s="291"/>
      <c r="C252" s="308"/>
      <c r="D252" s="309"/>
      <c r="E252" s="309"/>
      <c r="F252" s="309"/>
      <c r="G252" s="309"/>
      <c r="H252" s="309"/>
      <c r="I252" s="309"/>
      <c r="J252" s="310"/>
      <c r="K252" s="310"/>
      <c r="L252" s="309"/>
      <c r="M252" s="309"/>
      <c r="N252" s="309"/>
      <c r="O252" s="310"/>
      <c r="P252" s="310"/>
      <c r="Q252" s="309"/>
      <c r="R252" s="310"/>
      <c r="S252" s="310"/>
      <c r="T252" s="310"/>
      <c r="U252" s="310"/>
      <c r="V252" s="316"/>
    </row>
    <row r="253" spans="1:22">
      <c r="A253" s="311"/>
      <c r="B253" s="312"/>
      <c r="C253" s="313"/>
      <c r="D253" s="314"/>
      <c r="E253" s="314"/>
      <c r="F253" s="314"/>
      <c r="G253" s="314"/>
      <c r="H253" s="314"/>
      <c r="I253" s="314"/>
      <c r="J253" s="315"/>
      <c r="K253" s="315"/>
      <c r="L253" s="314"/>
      <c r="M253" s="314"/>
      <c r="N253" s="314"/>
      <c r="O253" s="315"/>
      <c r="P253" s="315"/>
      <c r="Q253" s="314"/>
      <c r="R253" s="315"/>
      <c r="S253" s="315"/>
      <c r="T253" s="315"/>
      <c r="U253" s="315"/>
      <c r="V253" s="316"/>
    </row>
    <row r="254" spans="1:22">
      <c r="A254" s="311"/>
      <c r="B254" s="317"/>
      <c r="C254" s="318"/>
      <c r="D254" s="319"/>
      <c r="E254" s="319"/>
      <c r="F254" s="319"/>
      <c r="G254" s="319"/>
      <c r="H254" s="319"/>
      <c r="I254" s="319"/>
      <c r="J254" s="320"/>
      <c r="K254" s="320"/>
      <c r="L254" s="319"/>
      <c r="M254" s="319"/>
      <c r="N254" s="319"/>
      <c r="O254" s="320"/>
      <c r="P254" s="320"/>
      <c r="Q254" s="319"/>
      <c r="R254" s="320"/>
      <c r="S254" s="320"/>
      <c r="T254" s="320"/>
      <c r="U254" s="320"/>
      <c r="V254" s="316"/>
    </row>
    <row r="255" spans="1:22">
      <c r="A255" s="311"/>
      <c r="B255" s="291"/>
      <c r="C255" s="308"/>
      <c r="D255" s="309"/>
      <c r="E255" s="309"/>
      <c r="F255" s="309"/>
      <c r="G255" s="309"/>
      <c r="H255" s="309"/>
      <c r="I255" s="309"/>
      <c r="J255" s="310"/>
      <c r="K255" s="310"/>
      <c r="L255" s="309"/>
      <c r="M255" s="309"/>
      <c r="N255" s="309"/>
      <c r="O255" s="310"/>
      <c r="P255" s="310"/>
      <c r="Q255" s="309"/>
      <c r="R255" s="310"/>
      <c r="S255" s="310"/>
      <c r="T255" s="310"/>
      <c r="U255" s="310"/>
      <c r="V255" s="316"/>
    </row>
    <row r="256" spans="1:22">
      <c r="A256" s="311"/>
      <c r="B256" s="312"/>
      <c r="C256" s="313"/>
      <c r="D256" s="314"/>
      <c r="E256" s="314"/>
      <c r="F256" s="314"/>
      <c r="G256" s="314"/>
      <c r="H256" s="314"/>
      <c r="I256" s="314"/>
      <c r="J256" s="315"/>
      <c r="K256" s="315"/>
      <c r="L256" s="314"/>
      <c r="M256" s="314"/>
      <c r="N256" s="314"/>
      <c r="O256" s="315"/>
      <c r="P256" s="315"/>
      <c r="Q256" s="314"/>
      <c r="R256" s="315"/>
      <c r="S256" s="315"/>
      <c r="T256" s="315"/>
      <c r="U256" s="315"/>
      <c r="V256" s="316"/>
    </row>
    <row r="257" spans="1:22" ht="15.75" thickBot="1">
      <c r="A257" s="329"/>
      <c r="B257" s="330"/>
      <c r="C257" s="331"/>
      <c r="D257" s="332"/>
      <c r="E257" s="332"/>
      <c r="F257" s="332"/>
      <c r="G257" s="332"/>
      <c r="H257" s="332"/>
      <c r="I257" s="332"/>
      <c r="J257" s="333"/>
      <c r="K257" s="333"/>
      <c r="L257" s="332"/>
      <c r="M257" s="332"/>
      <c r="N257" s="332"/>
      <c r="O257" s="333"/>
      <c r="P257" s="333"/>
      <c r="Q257" s="332"/>
      <c r="R257" s="333"/>
      <c r="S257" s="333"/>
      <c r="T257" s="333"/>
      <c r="U257" s="333"/>
      <c r="V257" s="316"/>
    </row>
    <row r="258" spans="1:22">
      <c r="A258" s="307"/>
      <c r="B258" s="291"/>
      <c r="C258" s="308"/>
      <c r="D258" s="309"/>
      <c r="E258" s="309"/>
      <c r="F258" s="309"/>
      <c r="G258" s="309"/>
      <c r="H258" s="309"/>
      <c r="I258" s="309"/>
      <c r="J258" s="310"/>
      <c r="K258" s="310"/>
      <c r="L258" s="309"/>
      <c r="M258" s="309"/>
      <c r="N258" s="309"/>
      <c r="O258" s="310"/>
      <c r="P258" s="310"/>
      <c r="Q258" s="309"/>
      <c r="R258" s="310"/>
      <c r="S258" s="310"/>
      <c r="T258" s="310"/>
      <c r="U258" s="310"/>
      <c r="V258" s="316"/>
    </row>
    <row r="259" spans="1:22">
      <c r="A259" s="311"/>
      <c r="B259" s="312"/>
      <c r="C259" s="313"/>
      <c r="D259" s="314"/>
      <c r="E259" s="314"/>
      <c r="F259" s="314"/>
      <c r="G259" s="314"/>
      <c r="H259" s="314"/>
      <c r="I259" s="314"/>
      <c r="J259" s="315"/>
      <c r="K259" s="315"/>
      <c r="L259" s="314"/>
      <c r="M259" s="314"/>
      <c r="N259" s="314"/>
      <c r="O259" s="315"/>
      <c r="P259" s="315"/>
      <c r="Q259" s="314"/>
      <c r="R259" s="315"/>
      <c r="S259" s="315"/>
      <c r="T259" s="315"/>
      <c r="U259" s="315"/>
      <c r="V259" s="316"/>
    </row>
    <row r="260" spans="1:22" s="338" customFormat="1">
      <c r="A260" s="311"/>
      <c r="B260" s="317"/>
      <c r="C260" s="318"/>
      <c r="D260" s="319"/>
      <c r="E260" s="319"/>
      <c r="F260" s="319"/>
      <c r="G260" s="319"/>
      <c r="H260" s="319"/>
      <c r="I260" s="319"/>
      <c r="J260" s="320"/>
      <c r="K260" s="320"/>
      <c r="L260" s="319"/>
      <c r="M260" s="319"/>
      <c r="N260" s="319"/>
      <c r="O260" s="320"/>
      <c r="P260" s="320"/>
      <c r="Q260" s="319"/>
      <c r="R260" s="320"/>
      <c r="S260" s="320"/>
      <c r="T260" s="320"/>
      <c r="U260" s="320"/>
      <c r="V260" s="316"/>
    </row>
    <row r="261" spans="1:22">
      <c r="A261" s="311"/>
      <c r="B261" s="291"/>
      <c r="C261" s="308"/>
      <c r="D261" s="309"/>
      <c r="E261" s="309"/>
      <c r="F261" s="309"/>
      <c r="G261" s="309"/>
      <c r="H261" s="309"/>
      <c r="I261" s="309"/>
      <c r="J261" s="310"/>
      <c r="K261" s="310"/>
      <c r="L261" s="309"/>
      <c r="M261" s="309"/>
      <c r="N261" s="309"/>
      <c r="O261" s="310"/>
      <c r="P261" s="310"/>
      <c r="Q261" s="309"/>
      <c r="R261" s="310"/>
      <c r="S261" s="310"/>
      <c r="T261" s="310"/>
      <c r="U261" s="310"/>
      <c r="V261" s="316"/>
    </row>
    <row r="262" spans="1:22">
      <c r="A262" s="311"/>
      <c r="B262" s="312"/>
      <c r="C262" s="313"/>
      <c r="D262" s="314"/>
      <c r="E262" s="314"/>
      <c r="F262" s="314"/>
      <c r="G262" s="314"/>
      <c r="H262" s="314"/>
      <c r="I262" s="314"/>
      <c r="J262" s="315"/>
      <c r="K262" s="315"/>
      <c r="L262" s="314"/>
      <c r="M262" s="314"/>
      <c r="N262" s="314"/>
      <c r="O262" s="315"/>
      <c r="P262" s="315"/>
      <c r="Q262" s="314"/>
      <c r="R262" s="315"/>
      <c r="S262" s="315"/>
      <c r="T262" s="315"/>
      <c r="U262" s="315"/>
      <c r="V262" s="316"/>
    </row>
    <row r="263" spans="1:22" s="338" customFormat="1">
      <c r="A263" s="311"/>
      <c r="B263" s="317"/>
      <c r="C263" s="318"/>
      <c r="D263" s="319"/>
      <c r="E263" s="319"/>
      <c r="F263" s="319"/>
      <c r="G263" s="319"/>
      <c r="H263" s="319"/>
      <c r="I263" s="319"/>
      <c r="J263" s="320"/>
      <c r="K263" s="320"/>
      <c r="L263" s="319"/>
      <c r="M263" s="319"/>
      <c r="N263" s="319"/>
      <c r="O263" s="320"/>
      <c r="P263" s="320"/>
      <c r="Q263" s="319"/>
      <c r="R263" s="320"/>
      <c r="S263" s="320"/>
      <c r="T263" s="320"/>
      <c r="U263" s="320"/>
      <c r="V263" s="316"/>
    </row>
    <row r="264" spans="1:22">
      <c r="A264" s="311"/>
      <c r="B264" s="291"/>
      <c r="C264" s="308"/>
      <c r="D264" s="309"/>
      <c r="E264" s="309"/>
      <c r="F264" s="309"/>
      <c r="G264" s="309"/>
      <c r="H264" s="309"/>
      <c r="I264" s="309"/>
      <c r="J264" s="310"/>
      <c r="K264" s="310"/>
      <c r="L264" s="309"/>
      <c r="M264" s="309"/>
      <c r="N264" s="309"/>
      <c r="O264" s="310"/>
      <c r="P264" s="310"/>
      <c r="Q264" s="309"/>
      <c r="R264" s="310"/>
      <c r="S264" s="310"/>
      <c r="T264" s="310"/>
      <c r="U264" s="310"/>
      <c r="V264" s="316"/>
    </row>
    <row r="265" spans="1:22">
      <c r="A265" s="311"/>
      <c r="B265" s="312"/>
      <c r="C265" s="313"/>
      <c r="D265" s="314"/>
      <c r="E265" s="314"/>
      <c r="F265" s="314"/>
      <c r="G265" s="314"/>
      <c r="H265" s="314"/>
      <c r="I265" s="314"/>
      <c r="J265" s="315"/>
      <c r="K265" s="315"/>
      <c r="L265" s="314"/>
      <c r="M265" s="314"/>
      <c r="N265" s="314"/>
      <c r="O265" s="315"/>
      <c r="P265" s="315"/>
      <c r="Q265" s="314"/>
      <c r="R265" s="315"/>
      <c r="S265" s="315"/>
      <c r="T265" s="315"/>
      <c r="U265" s="315"/>
      <c r="V265" s="316"/>
    </row>
    <row r="266" spans="1:22" s="338" customFormat="1">
      <c r="A266" s="311"/>
      <c r="B266" s="317"/>
      <c r="C266" s="318"/>
      <c r="D266" s="319"/>
      <c r="E266" s="319"/>
      <c r="F266" s="319"/>
      <c r="G266" s="319"/>
      <c r="H266" s="319"/>
      <c r="I266" s="319"/>
      <c r="J266" s="320"/>
      <c r="K266" s="320"/>
      <c r="L266" s="319"/>
      <c r="M266" s="319"/>
      <c r="N266" s="319"/>
      <c r="O266" s="320"/>
      <c r="P266" s="320"/>
      <c r="Q266" s="319"/>
      <c r="R266" s="320"/>
      <c r="S266" s="320"/>
      <c r="T266" s="320"/>
      <c r="U266" s="320"/>
      <c r="V266" s="316"/>
    </row>
    <row r="267" spans="1:22">
      <c r="A267" s="311"/>
      <c r="B267" s="291"/>
      <c r="C267" s="308"/>
      <c r="D267" s="309"/>
      <c r="E267" s="309"/>
      <c r="F267" s="309"/>
      <c r="G267" s="309"/>
      <c r="H267" s="309"/>
      <c r="I267" s="309"/>
      <c r="J267" s="310"/>
      <c r="K267" s="310"/>
      <c r="L267" s="309"/>
      <c r="M267" s="309"/>
      <c r="N267" s="309"/>
      <c r="O267" s="310"/>
      <c r="P267" s="310"/>
      <c r="Q267" s="309"/>
      <c r="R267" s="310"/>
      <c r="S267" s="310"/>
      <c r="T267" s="310"/>
      <c r="U267" s="310"/>
      <c r="V267" s="316"/>
    </row>
    <row r="268" spans="1:22">
      <c r="A268" s="311"/>
      <c r="B268" s="312"/>
      <c r="C268" s="313"/>
      <c r="D268" s="314"/>
      <c r="E268" s="314"/>
      <c r="F268" s="314"/>
      <c r="G268" s="314"/>
      <c r="H268" s="314"/>
      <c r="I268" s="314"/>
      <c r="J268" s="315"/>
      <c r="K268" s="315"/>
      <c r="L268" s="314"/>
      <c r="M268" s="314"/>
      <c r="N268" s="314"/>
      <c r="O268" s="315"/>
      <c r="P268" s="315"/>
      <c r="Q268" s="314"/>
      <c r="R268" s="315"/>
      <c r="S268" s="315"/>
      <c r="T268" s="315"/>
      <c r="U268" s="315"/>
      <c r="V268" s="316"/>
    </row>
    <row r="269" spans="1:22" s="338" customFormat="1">
      <c r="A269" s="311"/>
      <c r="B269" s="317"/>
      <c r="C269" s="318"/>
      <c r="D269" s="319"/>
      <c r="E269" s="319"/>
      <c r="F269" s="319"/>
      <c r="G269" s="319"/>
      <c r="H269" s="319"/>
      <c r="I269" s="319"/>
      <c r="J269" s="320"/>
      <c r="K269" s="320"/>
      <c r="L269" s="319"/>
      <c r="M269" s="319"/>
      <c r="N269" s="319"/>
      <c r="O269" s="320"/>
      <c r="P269" s="320"/>
      <c r="Q269" s="319"/>
      <c r="R269" s="320"/>
      <c r="S269" s="320"/>
      <c r="T269" s="320"/>
      <c r="U269" s="320"/>
      <c r="V269" s="316"/>
    </row>
    <row r="270" spans="1:22">
      <c r="A270" s="311"/>
      <c r="B270" s="291"/>
      <c r="C270" s="308"/>
      <c r="D270" s="309"/>
      <c r="E270" s="309"/>
      <c r="F270" s="309"/>
      <c r="G270" s="309"/>
      <c r="H270" s="309"/>
      <c r="I270" s="309"/>
      <c r="J270" s="310"/>
      <c r="K270" s="310"/>
      <c r="L270" s="309"/>
      <c r="M270" s="309"/>
      <c r="N270" s="309"/>
      <c r="O270" s="310"/>
      <c r="P270" s="310"/>
      <c r="Q270" s="309"/>
      <c r="R270" s="310"/>
      <c r="S270" s="310"/>
      <c r="T270" s="310"/>
      <c r="U270" s="310"/>
      <c r="V270" s="316"/>
    </row>
    <row r="271" spans="1:22">
      <c r="A271" s="311"/>
      <c r="B271" s="312"/>
      <c r="C271" s="313"/>
      <c r="D271" s="314"/>
      <c r="E271" s="314"/>
      <c r="F271" s="314"/>
      <c r="G271" s="314"/>
      <c r="H271" s="314"/>
      <c r="I271" s="314"/>
      <c r="J271" s="315"/>
      <c r="K271" s="315"/>
      <c r="L271" s="314"/>
      <c r="M271" s="314"/>
      <c r="N271" s="314"/>
      <c r="O271" s="315"/>
      <c r="P271" s="315"/>
      <c r="Q271" s="314"/>
      <c r="R271" s="315"/>
      <c r="S271" s="315"/>
      <c r="T271" s="315"/>
      <c r="U271" s="315"/>
      <c r="V271" s="316"/>
    </row>
    <row r="272" spans="1:22" s="338" customFormat="1">
      <c r="A272" s="311"/>
      <c r="B272" s="317"/>
      <c r="C272" s="318"/>
      <c r="D272" s="319"/>
      <c r="E272" s="319"/>
      <c r="F272" s="319"/>
      <c r="G272" s="319"/>
      <c r="H272" s="319"/>
      <c r="I272" s="319"/>
      <c r="J272" s="320"/>
      <c r="K272" s="320"/>
      <c r="L272" s="319"/>
      <c r="M272" s="319"/>
      <c r="N272" s="319"/>
      <c r="O272" s="320"/>
      <c r="P272" s="320"/>
      <c r="Q272" s="319"/>
      <c r="R272" s="320"/>
      <c r="S272" s="320"/>
      <c r="T272" s="320"/>
      <c r="U272" s="320"/>
      <c r="V272" s="316"/>
    </row>
    <row r="273" spans="1:22">
      <c r="A273" s="311"/>
      <c r="B273" s="291"/>
      <c r="C273" s="308"/>
      <c r="D273" s="309"/>
      <c r="E273" s="309"/>
      <c r="F273" s="309"/>
      <c r="G273" s="309"/>
      <c r="H273" s="309"/>
      <c r="I273" s="309"/>
      <c r="J273" s="310"/>
      <c r="K273" s="310"/>
      <c r="L273" s="309"/>
      <c r="M273" s="309"/>
      <c r="N273" s="309"/>
      <c r="O273" s="310"/>
      <c r="P273" s="310"/>
      <c r="Q273" s="309"/>
      <c r="R273" s="310"/>
      <c r="S273" s="310"/>
      <c r="T273" s="310"/>
      <c r="U273" s="310"/>
      <c r="V273" s="316"/>
    </row>
    <row r="274" spans="1:22">
      <c r="A274" s="311"/>
      <c r="B274" s="312"/>
      <c r="C274" s="313"/>
      <c r="D274" s="314"/>
      <c r="E274" s="314"/>
      <c r="F274" s="314"/>
      <c r="G274" s="314"/>
      <c r="H274" s="314"/>
      <c r="I274" s="314"/>
      <c r="J274" s="315"/>
      <c r="K274" s="315"/>
      <c r="L274" s="314"/>
      <c r="M274" s="314"/>
      <c r="N274" s="314"/>
      <c r="O274" s="315"/>
      <c r="P274" s="315"/>
      <c r="Q274" s="314"/>
      <c r="R274" s="315"/>
      <c r="S274" s="315"/>
      <c r="T274" s="315"/>
      <c r="U274" s="315"/>
      <c r="V274" s="316"/>
    </row>
    <row r="275" spans="1:22" s="338" customFormat="1" ht="15.75" thickBot="1">
      <c r="A275" s="311"/>
      <c r="B275" s="325"/>
      <c r="C275" s="326"/>
      <c r="D275" s="327"/>
      <c r="E275" s="327"/>
      <c r="F275" s="327"/>
      <c r="G275" s="327"/>
      <c r="H275" s="327"/>
      <c r="I275" s="327"/>
      <c r="J275" s="328"/>
      <c r="K275" s="328"/>
      <c r="L275" s="327"/>
      <c r="M275" s="327"/>
      <c r="N275" s="327"/>
      <c r="O275" s="328"/>
      <c r="P275" s="328"/>
      <c r="Q275" s="327"/>
      <c r="R275" s="328"/>
      <c r="S275" s="328"/>
      <c r="T275" s="328"/>
      <c r="U275" s="328"/>
      <c r="V275" s="316"/>
    </row>
    <row r="276" spans="1:22" ht="15.75" thickTop="1">
      <c r="A276" s="311"/>
      <c r="B276" s="312"/>
      <c r="C276" s="313"/>
      <c r="D276" s="314"/>
      <c r="E276" s="314"/>
      <c r="F276" s="314"/>
      <c r="G276" s="314"/>
      <c r="H276" s="314"/>
      <c r="I276" s="314"/>
      <c r="J276" s="315"/>
      <c r="K276" s="315"/>
      <c r="L276" s="314"/>
      <c r="M276" s="314"/>
      <c r="N276" s="314"/>
      <c r="O276" s="315"/>
      <c r="P276" s="315"/>
      <c r="Q276" s="314"/>
      <c r="R276" s="315"/>
      <c r="S276" s="315"/>
      <c r="T276" s="315"/>
      <c r="U276" s="315"/>
      <c r="V276" s="316"/>
    </row>
    <row r="277" spans="1:22">
      <c r="A277" s="311"/>
      <c r="B277" s="312"/>
      <c r="C277" s="313"/>
      <c r="D277" s="314"/>
      <c r="E277" s="314"/>
      <c r="F277" s="314"/>
      <c r="G277" s="314"/>
      <c r="H277" s="314"/>
      <c r="I277" s="314"/>
      <c r="J277" s="315"/>
      <c r="K277" s="315"/>
      <c r="L277" s="314"/>
      <c r="M277" s="314"/>
      <c r="N277" s="314"/>
      <c r="O277" s="315"/>
      <c r="P277" s="315"/>
      <c r="Q277" s="314"/>
      <c r="R277" s="315"/>
      <c r="S277" s="315"/>
      <c r="T277" s="315"/>
      <c r="U277" s="315"/>
      <c r="V277" s="316"/>
    </row>
    <row r="278" spans="1:22" s="338" customFormat="1">
      <c r="A278" s="311"/>
      <c r="B278" s="317"/>
      <c r="C278" s="318"/>
      <c r="D278" s="319"/>
      <c r="E278" s="319"/>
      <c r="F278" s="319"/>
      <c r="G278" s="319"/>
      <c r="H278" s="319"/>
      <c r="I278" s="319"/>
      <c r="J278" s="320"/>
      <c r="K278" s="320"/>
      <c r="L278" s="319"/>
      <c r="M278" s="319"/>
      <c r="N278" s="319"/>
      <c r="O278" s="320"/>
      <c r="P278" s="320"/>
      <c r="Q278" s="319"/>
      <c r="R278" s="320"/>
      <c r="S278" s="320"/>
      <c r="T278" s="320"/>
      <c r="U278" s="320"/>
      <c r="V278" s="316"/>
    </row>
    <row r="279" spans="1:22">
      <c r="A279" s="311"/>
      <c r="B279" s="291"/>
      <c r="C279" s="308"/>
      <c r="D279" s="309"/>
      <c r="E279" s="309"/>
      <c r="F279" s="309"/>
      <c r="G279" s="309"/>
      <c r="H279" s="309"/>
      <c r="I279" s="309"/>
      <c r="J279" s="310"/>
      <c r="K279" s="310"/>
      <c r="L279" s="309"/>
      <c r="M279" s="309"/>
      <c r="N279" s="309"/>
      <c r="O279" s="310"/>
      <c r="P279" s="310"/>
      <c r="Q279" s="309"/>
      <c r="R279" s="310"/>
      <c r="S279" s="310"/>
      <c r="T279" s="310"/>
      <c r="U279" s="310"/>
      <c r="V279" s="316"/>
    </row>
    <row r="280" spans="1:22">
      <c r="A280" s="311"/>
      <c r="B280" s="312"/>
      <c r="C280" s="313"/>
      <c r="D280" s="314"/>
      <c r="E280" s="314"/>
      <c r="F280" s="314"/>
      <c r="G280" s="314"/>
      <c r="H280" s="314"/>
      <c r="I280" s="314"/>
      <c r="J280" s="315"/>
      <c r="K280" s="315"/>
      <c r="L280" s="314"/>
      <c r="M280" s="314"/>
      <c r="N280" s="314"/>
      <c r="O280" s="315"/>
      <c r="P280" s="315"/>
      <c r="Q280" s="314"/>
      <c r="R280" s="315"/>
      <c r="S280" s="315"/>
      <c r="T280" s="315"/>
      <c r="U280" s="315"/>
      <c r="V280" s="316"/>
    </row>
    <row r="281" spans="1:22" s="338" customFormat="1">
      <c r="A281" s="311"/>
      <c r="B281" s="317"/>
      <c r="C281" s="318"/>
      <c r="D281" s="319"/>
      <c r="E281" s="319"/>
      <c r="F281" s="319"/>
      <c r="G281" s="319"/>
      <c r="H281" s="319"/>
      <c r="I281" s="319"/>
      <c r="J281" s="320"/>
      <c r="K281" s="320"/>
      <c r="L281" s="319"/>
      <c r="M281" s="319"/>
      <c r="N281" s="319"/>
      <c r="O281" s="320"/>
      <c r="P281" s="320"/>
      <c r="Q281" s="319"/>
      <c r="R281" s="320"/>
      <c r="S281" s="320"/>
      <c r="T281" s="320"/>
      <c r="U281" s="320"/>
      <c r="V281" s="316"/>
    </row>
    <row r="282" spans="1:22">
      <c r="A282" s="311"/>
      <c r="B282" s="291"/>
      <c r="C282" s="308"/>
      <c r="D282" s="309"/>
      <c r="E282" s="309"/>
      <c r="F282" s="309"/>
      <c r="G282" s="309"/>
      <c r="H282" s="309"/>
      <c r="I282" s="309"/>
      <c r="J282" s="310"/>
      <c r="K282" s="310"/>
      <c r="L282" s="309"/>
      <c r="M282" s="309"/>
      <c r="N282" s="309"/>
      <c r="O282" s="310"/>
      <c r="P282" s="310"/>
      <c r="Q282" s="309"/>
      <c r="R282" s="310"/>
      <c r="S282" s="310"/>
      <c r="T282" s="310"/>
      <c r="U282" s="310"/>
      <c r="V282" s="316"/>
    </row>
    <row r="283" spans="1:22">
      <c r="A283" s="311"/>
      <c r="B283" s="312"/>
      <c r="C283" s="313"/>
      <c r="D283" s="314"/>
      <c r="E283" s="314"/>
      <c r="F283" s="314"/>
      <c r="G283" s="314"/>
      <c r="H283" s="314"/>
      <c r="I283" s="314"/>
      <c r="J283" s="315"/>
      <c r="K283" s="315"/>
      <c r="L283" s="314"/>
      <c r="M283" s="314"/>
      <c r="N283" s="314"/>
      <c r="O283" s="315"/>
      <c r="P283" s="315"/>
      <c r="Q283" s="314"/>
      <c r="R283" s="315"/>
      <c r="S283" s="315"/>
      <c r="T283" s="315"/>
      <c r="U283" s="315"/>
      <c r="V283" s="316"/>
    </row>
    <row r="284" spans="1:22" s="338" customFormat="1">
      <c r="A284" s="311"/>
      <c r="B284" s="317"/>
      <c r="C284" s="318"/>
      <c r="D284" s="319"/>
      <c r="E284" s="321"/>
      <c r="F284" s="319"/>
      <c r="G284" s="319"/>
      <c r="H284" s="319"/>
      <c r="I284" s="319"/>
      <c r="J284" s="320"/>
      <c r="K284" s="320"/>
      <c r="L284" s="319"/>
      <c r="M284" s="319"/>
      <c r="N284" s="319"/>
      <c r="O284" s="320"/>
      <c r="P284" s="320"/>
      <c r="Q284" s="319"/>
      <c r="R284" s="320"/>
      <c r="S284" s="320"/>
      <c r="T284" s="320"/>
      <c r="U284" s="320"/>
      <c r="V284" s="316"/>
    </row>
    <row r="285" spans="1:22">
      <c r="A285" s="311"/>
      <c r="B285" s="291"/>
      <c r="C285" s="308"/>
      <c r="D285" s="309"/>
      <c r="E285" s="309"/>
      <c r="F285" s="309"/>
      <c r="G285" s="309"/>
      <c r="H285" s="309"/>
      <c r="I285" s="309"/>
      <c r="J285" s="310"/>
      <c r="K285" s="310"/>
      <c r="L285" s="309"/>
      <c r="M285" s="309"/>
      <c r="N285" s="309"/>
      <c r="O285" s="310"/>
      <c r="P285" s="310"/>
      <c r="Q285" s="309"/>
      <c r="R285" s="310"/>
      <c r="S285" s="310"/>
      <c r="T285" s="310"/>
      <c r="U285" s="310"/>
      <c r="V285" s="316"/>
    </row>
    <row r="286" spans="1:22">
      <c r="A286" s="311"/>
      <c r="B286" s="312"/>
      <c r="C286" s="313"/>
      <c r="D286" s="314"/>
      <c r="E286" s="314"/>
      <c r="F286" s="314"/>
      <c r="G286" s="314"/>
      <c r="H286" s="314"/>
      <c r="I286" s="314"/>
      <c r="J286" s="315"/>
      <c r="K286" s="315"/>
      <c r="L286" s="314"/>
      <c r="M286" s="314"/>
      <c r="N286" s="314"/>
      <c r="O286" s="315"/>
      <c r="P286" s="315"/>
      <c r="Q286" s="314"/>
      <c r="R286" s="315"/>
      <c r="S286" s="315"/>
      <c r="T286" s="315"/>
      <c r="U286" s="315"/>
      <c r="V286" s="316"/>
    </row>
    <row r="287" spans="1:22" s="338" customFormat="1">
      <c r="A287" s="311"/>
      <c r="B287" s="317"/>
      <c r="C287" s="318"/>
      <c r="D287" s="319"/>
      <c r="E287" s="319"/>
      <c r="F287" s="319"/>
      <c r="G287" s="319"/>
      <c r="H287" s="319"/>
      <c r="I287" s="319"/>
      <c r="J287" s="320"/>
      <c r="K287" s="320"/>
      <c r="L287" s="319"/>
      <c r="M287" s="319"/>
      <c r="N287" s="319"/>
      <c r="O287" s="320"/>
      <c r="P287" s="320"/>
      <c r="Q287" s="319"/>
      <c r="R287" s="320"/>
      <c r="S287" s="320"/>
      <c r="T287" s="320"/>
      <c r="U287" s="320"/>
      <c r="V287" s="316"/>
    </row>
    <row r="288" spans="1:22">
      <c r="A288" s="311"/>
      <c r="B288" s="291"/>
      <c r="C288" s="308"/>
      <c r="D288" s="309"/>
      <c r="E288" s="309"/>
      <c r="F288" s="309"/>
      <c r="G288" s="309"/>
      <c r="H288" s="309"/>
      <c r="I288" s="309"/>
      <c r="J288" s="310"/>
      <c r="K288" s="310"/>
      <c r="L288" s="309"/>
      <c r="M288" s="309"/>
      <c r="N288" s="309"/>
      <c r="O288" s="310"/>
      <c r="P288" s="310"/>
      <c r="Q288" s="309"/>
      <c r="R288" s="310"/>
      <c r="S288" s="310"/>
      <c r="T288" s="310"/>
      <c r="U288" s="310"/>
      <c r="V288" s="316"/>
    </row>
    <row r="289" spans="1:22">
      <c r="A289" s="311"/>
      <c r="B289" s="312"/>
      <c r="C289" s="313"/>
      <c r="D289" s="314"/>
      <c r="E289" s="314"/>
      <c r="F289" s="314"/>
      <c r="G289" s="314"/>
      <c r="H289" s="314"/>
      <c r="I289" s="314"/>
      <c r="J289" s="315"/>
      <c r="K289" s="315"/>
      <c r="L289" s="314"/>
      <c r="M289" s="314"/>
      <c r="N289" s="314"/>
      <c r="O289" s="315"/>
      <c r="P289" s="315"/>
      <c r="Q289" s="314"/>
      <c r="R289" s="315"/>
      <c r="S289" s="315"/>
      <c r="T289" s="315"/>
      <c r="U289" s="315"/>
      <c r="V289" s="316"/>
    </row>
    <row r="290" spans="1:22" s="338" customFormat="1">
      <c r="A290" s="311"/>
      <c r="B290" s="317"/>
      <c r="C290" s="318"/>
      <c r="D290" s="319"/>
      <c r="E290" s="319"/>
      <c r="F290" s="319"/>
      <c r="G290" s="319"/>
      <c r="H290" s="319"/>
      <c r="I290" s="319"/>
      <c r="J290" s="320"/>
      <c r="K290" s="320"/>
      <c r="L290" s="319"/>
      <c r="M290" s="319"/>
      <c r="N290" s="319"/>
      <c r="O290" s="320"/>
      <c r="P290" s="320"/>
      <c r="Q290" s="319"/>
      <c r="R290" s="320"/>
      <c r="S290" s="320"/>
      <c r="T290" s="320"/>
      <c r="U290" s="320"/>
      <c r="V290" s="316"/>
    </row>
    <row r="291" spans="1:22">
      <c r="A291" s="311"/>
      <c r="B291" s="291"/>
      <c r="C291" s="308"/>
      <c r="D291" s="309"/>
      <c r="E291" s="309"/>
      <c r="F291" s="309"/>
      <c r="G291" s="309"/>
      <c r="H291" s="309"/>
      <c r="I291" s="309"/>
      <c r="J291" s="310"/>
      <c r="K291" s="310"/>
      <c r="L291" s="309"/>
      <c r="M291" s="309"/>
      <c r="N291" s="309"/>
      <c r="O291" s="310"/>
      <c r="P291" s="310"/>
      <c r="Q291" s="309"/>
      <c r="R291" s="310"/>
      <c r="S291" s="310"/>
      <c r="T291" s="310"/>
      <c r="U291" s="310"/>
      <c r="V291" s="316"/>
    </row>
    <row r="292" spans="1:22">
      <c r="A292" s="311"/>
      <c r="B292" s="312"/>
      <c r="C292" s="313"/>
      <c r="D292" s="314"/>
      <c r="E292" s="314"/>
      <c r="F292" s="314"/>
      <c r="G292" s="314"/>
      <c r="H292" s="314"/>
      <c r="I292" s="314"/>
      <c r="J292" s="315"/>
      <c r="K292" s="315"/>
      <c r="L292" s="314"/>
      <c r="M292" s="314"/>
      <c r="N292" s="314"/>
      <c r="O292" s="315"/>
      <c r="P292" s="315"/>
      <c r="Q292" s="314"/>
      <c r="R292" s="315"/>
      <c r="S292" s="315"/>
      <c r="T292" s="315"/>
      <c r="U292" s="315"/>
      <c r="V292" s="316"/>
    </row>
    <row r="293" spans="1:22" s="338" customFormat="1" ht="15.75" thickBot="1">
      <c r="A293" s="329"/>
      <c r="B293" s="330"/>
      <c r="C293" s="331"/>
      <c r="D293" s="332"/>
      <c r="E293" s="332"/>
      <c r="F293" s="332"/>
      <c r="G293" s="332"/>
      <c r="H293" s="332"/>
      <c r="I293" s="332"/>
      <c r="J293" s="333"/>
      <c r="K293" s="333"/>
      <c r="L293" s="332"/>
      <c r="M293" s="332"/>
      <c r="N293" s="332"/>
      <c r="O293" s="333"/>
      <c r="P293" s="333"/>
      <c r="Q293" s="332"/>
      <c r="R293" s="333"/>
      <c r="S293" s="333"/>
      <c r="T293" s="333"/>
      <c r="U293" s="333"/>
      <c r="V293" s="316"/>
    </row>
    <row r="294" spans="1:22">
      <c r="A294" s="307"/>
      <c r="B294" s="291"/>
      <c r="C294" s="308"/>
      <c r="D294" s="309"/>
      <c r="E294" s="309"/>
      <c r="F294" s="309"/>
      <c r="G294" s="309"/>
      <c r="H294" s="309"/>
      <c r="I294" s="309"/>
      <c r="J294" s="310"/>
      <c r="K294" s="310"/>
      <c r="L294" s="309"/>
      <c r="M294" s="309"/>
      <c r="N294" s="309"/>
      <c r="O294" s="310"/>
      <c r="P294" s="310"/>
      <c r="Q294" s="309"/>
      <c r="R294" s="310"/>
      <c r="S294" s="310"/>
      <c r="T294" s="310"/>
      <c r="U294" s="310"/>
      <c r="V294" s="316"/>
    </row>
    <row r="295" spans="1:22">
      <c r="A295" s="311"/>
      <c r="B295" s="312"/>
      <c r="C295" s="313"/>
      <c r="D295" s="314"/>
      <c r="E295" s="314"/>
      <c r="F295" s="314"/>
      <c r="G295" s="314"/>
      <c r="H295" s="314"/>
      <c r="I295" s="314"/>
      <c r="J295" s="315"/>
      <c r="K295" s="315"/>
      <c r="L295" s="314"/>
      <c r="M295" s="314"/>
      <c r="N295" s="314"/>
      <c r="O295" s="315"/>
      <c r="P295" s="315"/>
      <c r="Q295" s="314"/>
      <c r="R295" s="315"/>
      <c r="S295" s="315"/>
      <c r="T295" s="315"/>
      <c r="U295" s="315"/>
      <c r="V295" s="316"/>
    </row>
    <row r="296" spans="1:22" s="338" customFormat="1">
      <c r="A296" s="311"/>
      <c r="B296" s="317"/>
      <c r="C296" s="318"/>
      <c r="D296" s="319"/>
      <c r="E296" s="319"/>
      <c r="F296" s="319"/>
      <c r="G296" s="319"/>
      <c r="H296" s="319"/>
      <c r="I296" s="319"/>
      <c r="J296" s="320"/>
      <c r="K296" s="320"/>
      <c r="L296" s="319"/>
      <c r="M296" s="319"/>
      <c r="N296" s="319"/>
      <c r="O296" s="320"/>
      <c r="P296" s="320"/>
      <c r="Q296" s="319"/>
      <c r="R296" s="320"/>
      <c r="S296" s="320"/>
      <c r="T296" s="320"/>
      <c r="U296" s="320"/>
      <c r="V296" s="316"/>
    </row>
    <row r="297" spans="1:22">
      <c r="A297" s="311"/>
      <c r="B297" s="291"/>
      <c r="C297" s="308"/>
      <c r="D297" s="309"/>
      <c r="E297" s="309"/>
      <c r="F297" s="309"/>
      <c r="G297" s="309"/>
      <c r="H297" s="309"/>
      <c r="I297" s="309"/>
      <c r="J297" s="310"/>
      <c r="K297" s="310"/>
      <c r="L297" s="309"/>
      <c r="M297" s="309"/>
      <c r="N297" s="309"/>
      <c r="O297" s="310"/>
      <c r="P297" s="310"/>
      <c r="Q297" s="309"/>
      <c r="R297" s="310"/>
      <c r="S297" s="310"/>
      <c r="T297" s="310"/>
      <c r="U297" s="310"/>
      <c r="V297" s="316"/>
    </row>
    <row r="298" spans="1:22">
      <c r="A298" s="311"/>
      <c r="B298" s="312"/>
      <c r="C298" s="313"/>
      <c r="D298" s="314"/>
      <c r="E298" s="314"/>
      <c r="F298" s="314"/>
      <c r="G298" s="314"/>
      <c r="H298" s="314"/>
      <c r="I298" s="314"/>
      <c r="J298" s="315"/>
      <c r="K298" s="315"/>
      <c r="L298" s="314"/>
      <c r="M298" s="314"/>
      <c r="N298" s="314"/>
      <c r="O298" s="315"/>
      <c r="P298" s="315"/>
      <c r="Q298" s="314"/>
      <c r="R298" s="315"/>
      <c r="S298" s="315"/>
      <c r="T298" s="315"/>
      <c r="U298" s="315"/>
      <c r="V298" s="316"/>
    </row>
    <row r="299" spans="1:22" s="338" customFormat="1">
      <c r="A299" s="311"/>
      <c r="B299" s="317"/>
      <c r="C299" s="318"/>
      <c r="D299" s="319"/>
      <c r="E299" s="319"/>
      <c r="F299" s="319"/>
      <c r="G299" s="319"/>
      <c r="H299" s="319"/>
      <c r="I299" s="319"/>
      <c r="J299" s="320"/>
      <c r="K299" s="320"/>
      <c r="L299" s="319"/>
      <c r="M299" s="319"/>
      <c r="N299" s="319"/>
      <c r="O299" s="320"/>
      <c r="P299" s="320"/>
      <c r="Q299" s="319"/>
      <c r="R299" s="320"/>
      <c r="S299" s="320"/>
      <c r="T299" s="320"/>
      <c r="U299" s="320"/>
      <c r="V299" s="316"/>
    </row>
    <row r="300" spans="1:22">
      <c r="A300" s="311"/>
      <c r="B300" s="291"/>
      <c r="C300" s="308"/>
      <c r="D300" s="309"/>
      <c r="E300" s="309"/>
      <c r="F300" s="309"/>
      <c r="G300" s="309"/>
      <c r="H300" s="309"/>
      <c r="I300" s="309"/>
      <c r="J300" s="310"/>
      <c r="K300" s="310"/>
      <c r="L300" s="309"/>
      <c r="M300" s="309"/>
      <c r="N300" s="309"/>
      <c r="O300" s="310"/>
      <c r="P300" s="310"/>
      <c r="Q300" s="309"/>
      <c r="R300" s="310"/>
      <c r="S300" s="310"/>
      <c r="T300" s="310"/>
      <c r="U300" s="310"/>
      <c r="V300" s="316"/>
    </row>
    <row r="301" spans="1:22">
      <c r="A301" s="311"/>
      <c r="B301" s="312"/>
      <c r="C301" s="313"/>
      <c r="D301" s="314"/>
      <c r="E301" s="314"/>
      <c r="F301" s="314"/>
      <c r="G301" s="314"/>
      <c r="H301" s="314"/>
      <c r="I301" s="314"/>
      <c r="J301" s="315"/>
      <c r="K301" s="315"/>
      <c r="L301" s="314"/>
      <c r="M301" s="314"/>
      <c r="N301" s="314"/>
      <c r="O301" s="315"/>
      <c r="P301" s="315"/>
      <c r="Q301" s="314"/>
      <c r="R301" s="315"/>
      <c r="S301" s="315"/>
      <c r="T301" s="315"/>
      <c r="U301" s="315"/>
      <c r="V301" s="316"/>
    </row>
    <row r="302" spans="1:22" s="338" customFormat="1">
      <c r="A302" s="311"/>
      <c r="B302" s="317"/>
      <c r="C302" s="318"/>
      <c r="D302" s="319"/>
      <c r="E302" s="319"/>
      <c r="F302" s="319"/>
      <c r="G302" s="319"/>
      <c r="H302" s="319"/>
      <c r="I302" s="319"/>
      <c r="J302" s="320"/>
      <c r="K302" s="320"/>
      <c r="L302" s="319"/>
      <c r="M302" s="319"/>
      <c r="N302" s="319"/>
      <c r="O302" s="320"/>
      <c r="P302" s="320"/>
      <c r="Q302" s="319"/>
      <c r="R302" s="320"/>
      <c r="S302" s="320"/>
      <c r="T302" s="320"/>
      <c r="U302" s="320"/>
      <c r="V302" s="316"/>
    </row>
    <row r="303" spans="1:22">
      <c r="A303" s="311"/>
      <c r="B303" s="291"/>
      <c r="C303" s="308"/>
      <c r="D303" s="309"/>
      <c r="E303" s="309"/>
      <c r="F303" s="309"/>
      <c r="G303" s="309"/>
      <c r="H303" s="309"/>
      <c r="I303" s="309"/>
      <c r="J303" s="310"/>
      <c r="K303" s="310"/>
      <c r="L303" s="309"/>
      <c r="M303" s="309"/>
      <c r="N303" s="309"/>
      <c r="O303" s="310"/>
      <c r="P303" s="310"/>
      <c r="Q303" s="309"/>
      <c r="R303" s="310"/>
      <c r="S303" s="310"/>
      <c r="T303" s="310"/>
      <c r="U303" s="310"/>
      <c r="V303" s="316"/>
    </row>
    <row r="304" spans="1:22">
      <c r="A304" s="311"/>
      <c r="B304" s="312"/>
      <c r="C304" s="313"/>
      <c r="D304" s="314"/>
      <c r="E304" s="314"/>
      <c r="F304" s="314"/>
      <c r="G304" s="314"/>
      <c r="H304" s="314"/>
      <c r="I304" s="314"/>
      <c r="J304" s="315"/>
      <c r="K304" s="315"/>
      <c r="L304" s="314"/>
      <c r="M304" s="314"/>
      <c r="N304" s="314"/>
      <c r="O304" s="315"/>
      <c r="P304" s="315"/>
      <c r="Q304" s="314"/>
      <c r="R304" s="315"/>
      <c r="S304" s="315"/>
      <c r="T304" s="315"/>
      <c r="U304" s="315"/>
      <c r="V304" s="316"/>
    </row>
    <row r="305" spans="1:22" s="338" customFormat="1">
      <c r="A305" s="311"/>
      <c r="B305" s="317"/>
      <c r="C305" s="318"/>
      <c r="D305" s="319"/>
      <c r="E305" s="319"/>
      <c r="F305" s="319"/>
      <c r="G305" s="319"/>
      <c r="H305" s="319"/>
      <c r="I305" s="319"/>
      <c r="J305" s="320"/>
      <c r="K305" s="320"/>
      <c r="L305" s="319"/>
      <c r="M305" s="319"/>
      <c r="N305" s="319"/>
      <c r="O305" s="320"/>
      <c r="P305" s="320"/>
      <c r="Q305" s="319"/>
      <c r="R305" s="320"/>
      <c r="S305" s="320"/>
      <c r="T305" s="320"/>
      <c r="U305" s="320"/>
      <c r="V305" s="316"/>
    </row>
    <row r="306" spans="1:22">
      <c r="A306" s="311"/>
      <c r="B306" s="291"/>
      <c r="C306" s="308"/>
      <c r="D306" s="309"/>
      <c r="E306" s="309"/>
      <c r="F306" s="309"/>
      <c r="G306" s="309"/>
      <c r="H306" s="309"/>
      <c r="I306" s="309"/>
      <c r="J306" s="310"/>
      <c r="K306" s="310"/>
      <c r="L306" s="309"/>
      <c r="M306" s="309"/>
      <c r="N306" s="309"/>
      <c r="O306" s="310"/>
      <c r="P306" s="310"/>
      <c r="Q306" s="309"/>
      <c r="R306" s="310"/>
      <c r="S306" s="310"/>
      <c r="T306" s="310"/>
      <c r="U306" s="310"/>
      <c r="V306" s="316"/>
    </row>
    <row r="307" spans="1:22">
      <c r="A307" s="311"/>
      <c r="B307" s="312"/>
      <c r="C307" s="313"/>
      <c r="D307" s="314"/>
      <c r="E307" s="314"/>
      <c r="F307" s="314"/>
      <c r="G307" s="314"/>
      <c r="H307" s="314"/>
      <c r="I307" s="314"/>
      <c r="J307" s="315"/>
      <c r="K307" s="315"/>
      <c r="L307" s="314"/>
      <c r="M307" s="314"/>
      <c r="N307" s="314"/>
      <c r="O307" s="315"/>
      <c r="P307" s="315"/>
      <c r="Q307" s="314"/>
      <c r="R307" s="315"/>
      <c r="S307" s="315"/>
      <c r="T307" s="315"/>
      <c r="U307" s="315"/>
      <c r="V307" s="316"/>
    </row>
    <row r="308" spans="1:22" s="338" customFormat="1">
      <c r="A308" s="311"/>
      <c r="B308" s="317"/>
      <c r="C308" s="318"/>
      <c r="D308" s="319"/>
      <c r="E308" s="319"/>
      <c r="F308" s="319"/>
      <c r="G308" s="319"/>
      <c r="H308" s="319"/>
      <c r="I308" s="319"/>
      <c r="J308" s="320"/>
      <c r="K308" s="320"/>
      <c r="L308" s="319"/>
      <c r="M308" s="319"/>
      <c r="N308" s="319"/>
      <c r="O308" s="320"/>
      <c r="P308" s="320"/>
      <c r="Q308" s="319"/>
      <c r="R308" s="320"/>
      <c r="S308" s="320"/>
      <c r="T308" s="320"/>
      <c r="U308" s="320"/>
      <c r="V308" s="316"/>
    </row>
    <row r="309" spans="1:22">
      <c r="A309" s="311"/>
      <c r="B309" s="291"/>
      <c r="C309" s="308"/>
      <c r="D309" s="309"/>
      <c r="E309" s="309"/>
      <c r="F309" s="309"/>
      <c r="G309" s="309"/>
      <c r="H309" s="309"/>
      <c r="I309" s="309"/>
      <c r="J309" s="310"/>
      <c r="K309" s="310"/>
      <c r="L309" s="309"/>
      <c r="M309" s="309"/>
      <c r="N309" s="309"/>
      <c r="O309" s="310"/>
      <c r="P309" s="310"/>
      <c r="Q309" s="309"/>
      <c r="R309" s="310"/>
      <c r="S309" s="310"/>
      <c r="T309" s="310"/>
      <c r="U309" s="310"/>
      <c r="V309" s="316"/>
    </row>
    <row r="310" spans="1:22">
      <c r="A310" s="311"/>
      <c r="B310" s="312"/>
      <c r="C310" s="313"/>
      <c r="D310" s="314"/>
      <c r="E310" s="314"/>
      <c r="F310" s="314"/>
      <c r="G310" s="314"/>
      <c r="H310" s="314"/>
      <c r="I310" s="314"/>
      <c r="J310" s="315"/>
      <c r="K310" s="315"/>
      <c r="L310" s="314"/>
      <c r="M310" s="314"/>
      <c r="N310" s="314"/>
      <c r="O310" s="315"/>
      <c r="P310" s="315"/>
      <c r="Q310" s="314"/>
      <c r="R310" s="315"/>
      <c r="S310" s="315"/>
      <c r="T310" s="315"/>
      <c r="U310" s="315"/>
      <c r="V310" s="316"/>
    </row>
    <row r="311" spans="1:22" s="338" customFormat="1" ht="15.75" thickBot="1">
      <c r="A311" s="311"/>
      <c r="B311" s="325"/>
      <c r="C311" s="326"/>
      <c r="D311" s="327"/>
      <c r="E311" s="327"/>
      <c r="F311" s="327"/>
      <c r="G311" s="327"/>
      <c r="H311" s="327"/>
      <c r="I311" s="327"/>
      <c r="J311" s="328"/>
      <c r="K311" s="328"/>
      <c r="L311" s="327"/>
      <c r="M311" s="327"/>
      <c r="N311" s="327"/>
      <c r="O311" s="328"/>
      <c r="P311" s="328"/>
      <c r="Q311" s="327"/>
      <c r="R311" s="328"/>
      <c r="S311" s="328"/>
      <c r="T311" s="328"/>
      <c r="U311" s="328"/>
      <c r="V311" s="316"/>
    </row>
    <row r="312" spans="1:22" ht="15.75" thickTop="1">
      <c r="A312" s="311"/>
      <c r="B312" s="312"/>
      <c r="C312" s="313"/>
      <c r="D312" s="314"/>
      <c r="E312" s="314"/>
      <c r="F312" s="314"/>
      <c r="G312" s="314"/>
      <c r="H312" s="314"/>
      <c r="I312" s="314"/>
      <c r="J312" s="315"/>
      <c r="K312" s="315"/>
      <c r="L312" s="314"/>
      <c r="M312" s="314"/>
      <c r="N312" s="314"/>
      <c r="O312" s="315"/>
      <c r="P312" s="315"/>
      <c r="Q312" s="314"/>
      <c r="R312" s="315"/>
      <c r="S312" s="315"/>
      <c r="T312" s="315"/>
      <c r="U312" s="315"/>
      <c r="V312" s="316"/>
    </row>
    <row r="313" spans="1:22">
      <c r="A313" s="311"/>
      <c r="B313" s="312"/>
      <c r="C313" s="313"/>
      <c r="D313" s="314"/>
      <c r="E313" s="314"/>
      <c r="F313" s="314"/>
      <c r="G313" s="314"/>
      <c r="H313" s="314"/>
      <c r="I313" s="314"/>
      <c r="J313" s="315"/>
      <c r="K313" s="315"/>
      <c r="L313" s="314"/>
      <c r="M313" s="314"/>
      <c r="N313" s="314"/>
      <c r="O313" s="315"/>
      <c r="P313" s="315"/>
      <c r="Q313" s="314"/>
      <c r="R313" s="315"/>
      <c r="S313" s="315"/>
      <c r="T313" s="315"/>
      <c r="U313" s="315"/>
      <c r="V313" s="316"/>
    </row>
    <row r="314" spans="1:22" s="338" customFormat="1">
      <c r="A314" s="311"/>
      <c r="B314" s="317"/>
      <c r="C314" s="318"/>
      <c r="D314" s="319"/>
      <c r="E314" s="319"/>
      <c r="F314" s="321"/>
      <c r="G314" s="321"/>
      <c r="H314" s="319"/>
      <c r="I314" s="319"/>
      <c r="J314" s="320"/>
      <c r="K314" s="320"/>
      <c r="L314" s="319"/>
      <c r="M314" s="319"/>
      <c r="N314" s="319"/>
      <c r="O314" s="320"/>
      <c r="P314" s="320"/>
      <c r="Q314" s="319"/>
      <c r="R314" s="320"/>
      <c r="S314" s="320"/>
      <c r="T314" s="320"/>
      <c r="U314" s="320"/>
      <c r="V314" s="316"/>
    </row>
    <row r="315" spans="1:22">
      <c r="A315" s="311"/>
      <c r="B315" s="291"/>
      <c r="C315" s="308"/>
      <c r="D315" s="309"/>
      <c r="E315" s="309"/>
      <c r="F315" s="309"/>
      <c r="G315" s="309"/>
      <c r="H315" s="309"/>
      <c r="I315" s="309"/>
      <c r="J315" s="310"/>
      <c r="K315" s="310"/>
      <c r="L315" s="309"/>
      <c r="M315" s="309"/>
      <c r="N315" s="309"/>
      <c r="O315" s="310"/>
      <c r="P315" s="310"/>
      <c r="Q315" s="309"/>
      <c r="R315" s="310"/>
      <c r="S315" s="310"/>
      <c r="T315" s="310"/>
      <c r="U315" s="310"/>
      <c r="V315" s="316"/>
    </row>
    <row r="316" spans="1:22">
      <c r="A316" s="311"/>
      <c r="B316" s="312"/>
      <c r="C316" s="313"/>
      <c r="D316" s="314"/>
      <c r="E316" s="314"/>
      <c r="F316" s="314"/>
      <c r="G316" s="314"/>
      <c r="H316" s="314"/>
      <c r="I316" s="314"/>
      <c r="J316" s="315"/>
      <c r="K316" s="315"/>
      <c r="L316" s="314"/>
      <c r="M316" s="314"/>
      <c r="N316" s="314"/>
      <c r="O316" s="315"/>
      <c r="P316" s="315"/>
      <c r="Q316" s="314"/>
      <c r="R316" s="315"/>
      <c r="S316" s="315"/>
      <c r="T316" s="315"/>
      <c r="U316" s="315"/>
      <c r="V316" s="316"/>
    </row>
    <row r="317" spans="1:22" s="338" customFormat="1">
      <c r="A317" s="311"/>
      <c r="B317" s="317"/>
      <c r="C317" s="318"/>
      <c r="D317" s="319"/>
      <c r="E317" s="319"/>
      <c r="F317" s="319"/>
      <c r="G317" s="319"/>
      <c r="H317" s="319"/>
      <c r="I317" s="319"/>
      <c r="J317" s="320"/>
      <c r="K317" s="320"/>
      <c r="L317" s="319"/>
      <c r="M317" s="319"/>
      <c r="N317" s="319"/>
      <c r="O317" s="320"/>
      <c r="P317" s="320"/>
      <c r="Q317" s="319"/>
      <c r="R317" s="320"/>
      <c r="S317" s="320"/>
      <c r="T317" s="320"/>
      <c r="U317" s="320"/>
      <c r="V317" s="316"/>
    </row>
    <row r="318" spans="1:22">
      <c r="A318" s="311"/>
      <c r="B318" s="291"/>
      <c r="C318" s="308"/>
      <c r="D318" s="309"/>
      <c r="E318" s="309"/>
      <c r="F318" s="309"/>
      <c r="G318" s="309"/>
      <c r="H318" s="309"/>
      <c r="I318" s="309"/>
      <c r="J318" s="310"/>
      <c r="K318" s="310"/>
      <c r="L318" s="309"/>
      <c r="M318" s="309"/>
      <c r="N318" s="309"/>
      <c r="O318" s="310"/>
      <c r="P318" s="310"/>
      <c r="Q318" s="309"/>
      <c r="R318" s="310"/>
      <c r="S318" s="310"/>
      <c r="T318" s="310"/>
      <c r="U318" s="310"/>
      <c r="V318" s="316"/>
    </row>
    <row r="319" spans="1:22">
      <c r="A319" s="311"/>
      <c r="B319" s="312"/>
      <c r="C319" s="313"/>
      <c r="D319" s="314"/>
      <c r="E319" s="314"/>
      <c r="F319" s="314"/>
      <c r="G319" s="314"/>
      <c r="H319" s="314"/>
      <c r="I319" s="314"/>
      <c r="J319" s="315"/>
      <c r="K319" s="315"/>
      <c r="L319" s="314"/>
      <c r="M319" s="314"/>
      <c r="N319" s="314"/>
      <c r="O319" s="315"/>
      <c r="P319" s="315"/>
      <c r="Q319" s="314"/>
      <c r="R319" s="315"/>
      <c r="S319" s="315"/>
      <c r="T319" s="315"/>
      <c r="U319" s="315"/>
      <c r="V319" s="316"/>
    </row>
    <row r="320" spans="1:22" s="338" customFormat="1">
      <c r="A320" s="311"/>
      <c r="B320" s="317"/>
      <c r="C320" s="318"/>
      <c r="D320" s="319"/>
      <c r="E320" s="319"/>
      <c r="F320" s="321"/>
      <c r="G320" s="319"/>
      <c r="H320" s="319"/>
      <c r="I320" s="319"/>
      <c r="J320" s="320"/>
      <c r="K320" s="320"/>
      <c r="L320" s="319"/>
      <c r="M320" s="319"/>
      <c r="N320" s="319"/>
      <c r="O320" s="320"/>
      <c r="P320" s="320"/>
      <c r="Q320" s="319"/>
      <c r="R320" s="320"/>
      <c r="S320" s="320"/>
      <c r="T320" s="320"/>
      <c r="U320" s="320"/>
      <c r="V320" s="316"/>
    </row>
    <row r="321" spans="1:22">
      <c r="A321" s="311"/>
      <c r="B321" s="291"/>
      <c r="C321" s="308"/>
      <c r="D321" s="309"/>
      <c r="E321" s="309"/>
      <c r="F321" s="309"/>
      <c r="G321" s="309"/>
      <c r="H321" s="309"/>
      <c r="I321" s="309"/>
      <c r="J321" s="310"/>
      <c r="K321" s="310"/>
      <c r="L321" s="309"/>
      <c r="M321" s="309"/>
      <c r="N321" s="309"/>
      <c r="O321" s="310"/>
      <c r="P321" s="310"/>
      <c r="Q321" s="309"/>
      <c r="R321" s="310"/>
      <c r="S321" s="310"/>
      <c r="T321" s="310"/>
      <c r="U321" s="310"/>
      <c r="V321" s="316"/>
    </row>
    <row r="322" spans="1:22">
      <c r="A322" s="311"/>
      <c r="B322" s="312"/>
      <c r="C322" s="313"/>
      <c r="D322" s="314"/>
      <c r="E322" s="314"/>
      <c r="F322" s="314"/>
      <c r="G322" s="314"/>
      <c r="H322" s="314"/>
      <c r="I322" s="314"/>
      <c r="J322" s="315"/>
      <c r="K322" s="315"/>
      <c r="L322" s="314"/>
      <c r="M322" s="314"/>
      <c r="N322" s="314"/>
      <c r="O322" s="315"/>
      <c r="P322" s="315"/>
      <c r="Q322" s="314"/>
      <c r="R322" s="315"/>
      <c r="S322" s="315"/>
      <c r="T322" s="315"/>
      <c r="U322" s="315"/>
      <c r="V322" s="316"/>
    </row>
    <row r="323" spans="1:22" s="338" customFormat="1">
      <c r="A323" s="311"/>
      <c r="B323" s="317"/>
      <c r="C323" s="318"/>
      <c r="D323" s="319"/>
      <c r="E323" s="319"/>
      <c r="F323" s="319"/>
      <c r="G323" s="319"/>
      <c r="H323" s="319"/>
      <c r="I323" s="319"/>
      <c r="J323" s="320"/>
      <c r="K323" s="320"/>
      <c r="L323" s="319"/>
      <c r="M323" s="319"/>
      <c r="N323" s="319"/>
      <c r="O323" s="320"/>
      <c r="P323" s="320"/>
      <c r="Q323" s="319"/>
      <c r="R323" s="320"/>
      <c r="S323" s="320"/>
      <c r="T323" s="320"/>
      <c r="U323" s="320"/>
      <c r="V323" s="316"/>
    </row>
    <row r="324" spans="1:22">
      <c r="A324" s="311"/>
      <c r="B324" s="291"/>
      <c r="C324" s="308"/>
      <c r="D324" s="309"/>
      <c r="E324" s="309"/>
      <c r="F324" s="309"/>
      <c r="G324" s="309"/>
      <c r="H324" s="309"/>
      <c r="I324" s="309"/>
      <c r="J324" s="310"/>
      <c r="K324" s="310"/>
      <c r="L324" s="309"/>
      <c r="M324" s="309"/>
      <c r="N324" s="309"/>
      <c r="O324" s="310"/>
      <c r="P324" s="310"/>
      <c r="Q324" s="309"/>
      <c r="R324" s="310"/>
      <c r="S324" s="310"/>
      <c r="T324" s="310"/>
      <c r="U324" s="310"/>
      <c r="V324" s="316"/>
    </row>
    <row r="325" spans="1:22">
      <c r="A325" s="311"/>
      <c r="B325" s="312"/>
      <c r="C325" s="313"/>
      <c r="D325" s="314"/>
      <c r="E325" s="314"/>
      <c r="F325" s="314"/>
      <c r="G325" s="314"/>
      <c r="H325" s="314"/>
      <c r="I325" s="314"/>
      <c r="J325" s="315"/>
      <c r="K325" s="315"/>
      <c r="L325" s="314"/>
      <c r="M325" s="314"/>
      <c r="N325" s="314"/>
      <c r="O325" s="315"/>
      <c r="P325" s="315"/>
      <c r="Q325" s="314"/>
      <c r="R325" s="315"/>
      <c r="S325" s="315"/>
      <c r="T325" s="315"/>
      <c r="U325" s="315"/>
      <c r="V325" s="316"/>
    </row>
    <row r="326" spans="1:22" s="338" customFormat="1">
      <c r="A326" s="311"/>
      <c r="B326" s="317"/>
      <c r="C326" s="318"/>
      <c r="D326" s="319"/>
      <c r="E326" s="319"/>
      <c r="F326" s="319"/>
      <c r="G326" s="319"/>
      <c r="H326" s="319"/>
      <c r="I326" s="319"/>
      <c r="J326" s="320"/>
      <c r="K326" s="320"/>
      <c r="L326" s="319"/>
      <c r="M326" s="319"/>
      <c r="N326" s="319"/>
      <c r="O326" s="320"/>
      <c r="P326" s="320"/>
      <c r="Q326" s="319"/>
      <c r="R326" s="320"/>
      <c r="S326" s="320"/>
      <c r="T326" s="320"/>
      <c r="U326" s="320"/>
      <c r="V326" s="316"/>
    </row>
    <row r="327" spans="1:22">
      <c r="A327" s="311"/>
      <c r="B327" s="291"/>
      <c r="C327" s="308"/>
      <c r="D327" s="309"/>
      <c r="E327" s="309"/>
      <c r="F327" s="309"/>
      <c r="G327" s="309"/>
      <c r="H327" s="309"/>
      <c r="I327" s="309"/>
      <c r="J327" s="310"/>
      <c r="K327" s="310"/>
      <c r="L327" s="309"/>
      <c r="M327" s="309"/>
      <c r="N327" s="309"/>
      <c r="O327" s="310"/>
      <c r="P327" s="310"/>
      <c r="Q327" s="309"/>
      <c r="R327" s="310"/>
      <c r="S327" s="310"/>
      <c r="T327" s="310"/>
      <c r="U327" s="310"/>
      <c r="V327" s="316"/>
    </row>
    <row r="328" spans="1:22">
      <c r="A328" s="311"/>
      <c r="B328" s="312"/>
      <c r="C328" s="324"/>
      <c r="D328" s="314"/>
      <c r="E328" s="314"/>
      <c r="F328" s="314"/>
      <c r="G328" s="314"/>
      <c r="H328" s="314"/>
      <c r="I328" s="314"/>
      <c r="J328" s="315"/>
      <c r="K328" s="315"/>
      <c r="L328" s="314"/>
      <c r="M328" s="314"/>
      <c r="N328" s="314"/>
      <c r="O328" s="315"/>
      <c r="P328" s="315"/>
      <c r="Q328" s="314"/>
      <c r="R328" s="315"/>
      <c r="S328" s="315"/>
      <c r="T328" s="315"/>
      <c r="U328" s="315"/>
      <c r="V328" s="316"/>
    </row>
    <row r="329" spans="1:22" s="338" customFormat="1" ht="15.75" thickBot="1">
      <c r="A329" s="329"/>
      <c r="B329" s="330"/>
      <c r="C329" s="331"/>
      <c r="D329" s="332"/>
      <c r="E329" s="332"/>
      <c r="F329" s="332"/>
      <c r="G329" s="332"/>
      <c r="H329" s="332"/>
      <c r="I329" s="332"/>
      <c r="J329" s="333"/>
      <c r="K329" s="333"/>
      <c r="L329" s="332"/>
      <c r="M329" s="332"/>
      <c r="N329" s="332"/>
      <c r="O329" s="333"/>
      <c r="P329" s="333"/>
      <c r="Q329" s="332"/>
      <c r="R329" s="333"/>
      <c r="S329" s="333"/>
      <c r="T329" s="333"/>
      <c r="U329" s="333"/>
      <c r="V329" s="316"/>
    </row>
    <row r="330" spans="1:22">
      <c r="A330" s="307"/>
      <c r="B330" s="291"/>
      <c r="C330" s="308"/>
      <c r="D330" s="309"/>
      <c r="E330" s="309"/>
      <c r="F330" s="309"/>
      <c r="G330" s="309"/>
      <c r="H330" s="309"/>
      <c r="I330" s="309"/>
      <c r="J330" s="310"/>
      <c r="K330" s="310"/>
      <c r="L330" s="309"/>
      <c r="M330" s="309"/>
      <c r="N330" s="309"/>
      <c r="O330" s="310"/>
      <c r="P330" s="310"/>
      <c r="Q330" s="309"/>
      <c r="R330" s="310"/>
      <c r="S330" s="310"/>
      <c r="T330" s="310"/>
      <c r="U330" s="310"/>
      <c r="V330" s="316"/>
    </row>
    <row r="331" spans="1:22">
      <c r="A331" s="311"/>
      <c r="B331" s="312"/>
      <c r="C331" s="313"/>
      <c r="D331" s="314"/>
      <c r="E331" s="314"/>
      <c r="F331" s="314"/>
      <c r="G331" s="314"/>
      <c r="H331" s="314"/>
      <c r="I331" s="314"/>
      <c r="J331" s="315"/>
      <c r="K331" s="315"/>
      <c r="L331" s="314"/>
      <c r="M331" s="314"/>
      <c r="N331" s="314"/>
      <c r="O331" s="315"/>
      <c r="P331" s="315"/>
      <c r="Q331" s="314"/>
      <c r="R331" s="315"/>
      <c r="S331" s="315"/>
      <c r="T331" s="315"/>
      <c r="U331" s="315"/>
      <c r="V331" s="316"/>
    </row>
    <row r="332" spans="1:22">
      <c r="A332" s="311"/>
      <c r="B332" s="317"/>
      <c r="C332" s="318"/>
      <c r="D332" s="319"/>
      <c r="E332" s="319"/>
      <c r="F332" s="321"/>
      <c r="G332" s="319"/>
      <c r="H332" s="319"/>
      <c r="I332" s="319"/>
      <c r="J332" s="320"/>
      <c r="K332" s="320"/>
      <c r="L332" s="321"/>
      <c r="M332" s="319"/>
      <c r="N332" s="319"/>
      <c r="O332" s="320"/>
      <c r="P332" s="320"/>
      <c r="Q332" s="319"/>
      <c r="R332" s="320"/>
      <c r="S332" s="320"/>
      <c r="T332" s="320"/>
      <c r="U332" s="320"/>
      <c r="V332" s="316"/>
    </row>
    <row r="333" spans="1:22">
      <c r="A333" s="311"/>
      <c r="B333" s="291"/>
      <c r="C333" s="308"/>
      <c r="D333" s="309"/>
      <c r="E333" s="309"/>
      <c r="F333" s="309"/>
      <c r="G333" s="309"/>
      <c r="H333" s="309"/>
      <c r="I333" s="309"/>
      <c r="J333" s="310"/>
      <c r="K333" s="310"/>
      <c r="L333" s="309"/>
      <c r="M333" s="309"/>
      <c r="N333" s="309"/>
      <c r="O333" s="310"/>
      <c r="P333" s="310"/>
      <c r="Q333" s="309"/>
      <c r="R333" s="310"/>
      <c r="S333" s="310"/>
      <c r="T333" s="310"/>
      <c r="U333" s="310"/>
      <c r="V333" s="316"/>
    </row>
    <row r="334" spans="1:22">
      <c r="A334" s="311"/>
      <c r="B334" s="312"/>
      <c r="C334" s="313"/>
      <c r="D334" s="314"/>
      <c r="E334" s="314"/>
      <c r="F334" s="314"/>
      <c r="G334" s="314"/>
      <c r="H334" s="314"/>
      <c r="I334" s="314"/>
      <c r="J334" s="315"/>
      <c r="K334" s="315"/>
      <c r="L334" s="314"/>
      <c r="M334" s="314"/>
      <c r="N334" s="314"/>
      <c r="O334" s="315"/>
      <c r="P334" s="315"/>
      <c r="Q334" s="314"/>
      <c r="R334" s="315"/>
      <c r="S334" s="315"/>
      <c r="T334" s="315"/>
      <c r="U334" s="315"/>
      <c r="V334" s="316"/>
    </row>
    <row r="335" spans="1:22">
      <c r="A335" s="311"/>
      <c r="B335" s="317"/>
      <c r="C335" s="318"/>
      <c r="D335" s="319"/>
      <c r="E335" s="319"/>
      <c r="F335" s="319"/>
      <c r="G335" s="319"/>
      <c r="H335" s="319"/>
      <c r="I335" s="319"/>
      <c r="J335" s="320"/>
      <c r="K335" s="320"/>
      <c r="L335" s="319"/>
      <c r="M335" s="319"/>
      <c r="N335" s="319"/>
      <c r="O335" s="320"/>
      <c r="P335" s="320"/>
      <c r="Q335" s="319"/>
      <c r="R335" s="320"/>
      <c r="S335" s="320"/>
      <c r="T335" s="320"/>
      <c r="U335" s="320"/>
      <c r="V335" s="316"/>
    </row>
    <row r="336" spans="1:22">
      <c r="A336" s="311"/>
      <c r="B336" s="291"/>
      <c r="C336" s="308"/>
      <c r="D336" s="309"/>
      <c r="E336" s="309"/>
      <c r="F336" s="309"/>
      <c r="G336" s="309"/>
      <c r="H336" s="309"/>
      <c r="I336" s="309"/>
      <c r="J336" s="310"/>
      <c r="K336" s="310"/>
      <c r="L336" s="309"/>
      <c r="M336" s="309"/>
      <c r="N336" s="309"/>
      <c r="O336" s="310"/>
      <c r="P336" s="310"/>
      <c r="Q336" s="309"/>
      <c r="R336" s="310"/>
      <c r="S336" s="310"/>
      <c r="T336" s="310"/>
      <c r="U336" s="310"/>
      <c r="V336" s="316"/>
    </row>
    <row r="337" spans="1:22">
      <c r="A337" s="311"/>
      <c r="B337" s="312"/>
      <c r="C337" s="313"/>
      <c r="D337" s="314"/>
      <c r="E337" s="314"/>
      <c r="F337" s="314"/>
      <c r="G337" s="314"/>
      <c r="H337" s="314"/>
      <c r="I337" s="314"/>
      <c r="J337" s="315"/>
      <c r="K337" s="315"/>
      <c r="L337" s="314"/>
      <c r="M337" s="314"/>
      <c r="N337" s="314"/>
      <c r="O337" s="315"/>
      <c r="P337" s="315"/>
      <c r="Q337" s="314"/>
      <c r="R337" s="315"/>
      <c r="S337" s="315"/>
      <c r="T337" s="315"/>
      <c r="U337" s="315"/>
      <c r="V337" s="316"/>
    </row>
    <row r="338" spans="1:22">
      <c r="A338" s="311"/>
      <c r="B338" s="317"/>
      <c r="C338" s="318"/>
      <c r="D338" s="319"/>
      <c r="E338" s="319"/>
      <c r="F338" s="321"/>
      <c r="G338" s="319"/>
      <c r="H338" s="319"/>
      <c r="I338" s="319"/>
      <c r="J338" s="320"/>
      <c r="K338" s="320"/>
      <c r="L338" s="321"/>
      <c r="M338" s="319"/>
      <c r="N338" s="319"/>
      <c r="O338" s="320"/>
      <c r="P338" s="320"/>
      <c r="Q338" s="319"/>
      <c r="R338" s="320"/>
      <c r="S338" s="320"/>
      <c r="T338" s="320"/>
      <c r="U338" s="320"/>
      <c r="V338" s="316"/>
    </row>
    <row r="339" spans="1:22">
      <c r="A339" s="311"/>
      <c r="B339" s="291"/>
      <c r="C339" s="308"/>
      <c r="D339" s="309"/>
      <c r="E339" s="309"/>
      <c r="F339" s="309"/>
      <c r="G339" s="309"/>
      <c r="H339" s="309"/>
      <c r="I339" s="309"/>
      <c r="J339" s="310"/>
      <c r="K339" s="310"/>
      <c r="L339" s="309"/>
      <c r="M339" s="309"/>
      <c r="N339" s="309"/>
      <c r="O339" s="310"/>
      <c r="P339" s="310"/>
      <c r="Q339" s="309"/>
      <c r="R339" s="310"/>
      <c r="S339" s="310"/>
      <c r="T339" s="310"/>
      <c r="U339" s="310"/>
      <c r="V339" s="316"/>
    </row>
    <row r="340" spans="1:22">
      <c r="A340" s="311"/>
      <c r="B340" s="312"/>
      <c r="C340" s="313"/>
      <c r="D340" s="314"/>
      <c r="E340" s="314"/>
      <c r="F340" s="314"/>
      <c r="G340" s="314"/>
      <c r="H340" s="314"/>
      <c r="I340" s="314"/>
      <c r="J340" s="315"/>
      <c r="K340" s="315"/>
      <c r="L340" s="314"/>
      <c r="M340" s="314"/>
      <c r="N340" s="314"/>
      <c r="O340" s="315"/>
      <c r="P340" s="315"/>
      <c r="Q340" s="314"/>
      <c r="R340" s="315"/>
      <c r="S340" s="315"/>
      <c r="T340" s="315"/>
      <c r="U340" s="315"/>
      <c r="V340" s="316"/>
    </row>
    <row r="341" spans="1:22">
      <c r="A341" s="311"/>
      <c r="B341" s="317"/>
      <c r="C341" s="318"/>
      <c r="D341" s="319"/>
      <c r="E341" s="319"/>
      <c r="F341" s="319"/>
      <c r="G341" s="319"/>
      <c r="H341" s="319"/>
      <c r="I341" s="319"/>
      <c r="J341" s="320"/>
      <c r="K341" s="320"/>
      <c r="L341" s="319"/>
      <c r="M341" s="319"/>
      <c r="N341" s="319"/>
      <c r="O341" s="320"/>
      <c r="P341" s="320"/>
      <c r="Q341" s="319"/>
      <c r="R341" s="320"/>
      <c r="S341" s="320"/>
      <c r="T341" s="320"/>
      <c r="U341" s="320"/>
      <c r="V341" s="316"/>
    </row>
    <row r="342" spans="1:22">
      <c r="A342" s="311"/>
      <c r="B342" s="291"/>
      <c r="C342" s="308"/>
      <c r="D342" s="309"/>
      <c r="E342" s="309"/>
      <c r="F342" s="309"/>
      <c r="G342" s="309"/>
      <c r="H342" s="309"/>
      <c r="I342" s="309"/>
      <c r="J342" s="310"/>
      <c r="K342" s="310"/>
      <c r="L342" s="309"/>
      <c r="M342" s="309"/>
      <c r="N342" s="309"/>
      <c r="O342" s="310"/>
      <c r="P342" s="310"/>
      <c r="Q342" s="309"/>
      <c r="R342" s="310"/>
      <c r="S342" s="310"/>
      <c r="T342" s="310"/>
      <c r="U342" s="310"/>
      <c r="V342" s="316"/>
    </row>
    <row r="343" spans="1:22">
      <c r="A343" s="311"/>
      <c r="B343" s="312"/>
      <c r="C343" s="313"/>
      <c r="D343" s="314"/>
      <c r="E343" s="314"/>
      <c r="F343" s="314"/>
      <c r="G343" s="314"/>
      <c r="H343" s="314"/>
      <c r="I343" s="314"/>
      <c r="J343" s="315"/>
      <c r="K343" s="315"/>
      <c r="L343" s="314"/>
      <c r="M343" s="314"/>
      <c r="N343" s="314"/>
      <c r="O343" s="315"/>
      <c r="P343" s="315"/>
      <c r="Q343" s="314"/>
      <c r="R343" s="315"/>
      <c r="S343" s="315"/>
      <c r="T343" s="315"/>
      <c r="U343" s="315"/>
      <c r="V343" s="316"/>
    </row>
    <row r="344" spans="1:22">
      <c r="A344" s="311"/>
      <c r="B344" s="317"/>
      <c r="C344" s="318"/>
      <c r="D344" s="319"/>
      <c r="E344" s="319"/>
      <c r="F344" s="319"/>
      <c r="G344" s="319"/>
      <c r="H344" s="319"/>
      <c r="I344" s="319"/>
      <c r="J344" s="320"/>
      <c r="K344" s="320"/>
      <c r="L344" s="319"/>
      <c r="M344" s="319"/>
      <c r="N344" s="319"/>
      <c r="O344" s="320"/>
      <c r="P344" s="320"/>
      <c r="Q344" s="319"/>
      <c r="R344" s="320"/>
      <c r="S344" s="320"/>
      <c r="T344" s="320"/>
      <c r="U344" s="320"/>
      <c r="V344" s="316"/>
    </row>
    <row r="345" spans="1:22">
      <c r="A345" s="311"/>
      <c r="B345" s="291"/>
      <c r="C345" s="308"/>
      <c r="D345" s="309"/>
      <c r="E345" s="309"/>
      <c r="F345" s="309"/>
      <c r="G345" s="309"/>
      <c r="H345" s="309"/>
      <c r="I345" s="309"/>
      <c r="J345" s="310"/>
      <c r="K345" s="310"/>
      <c r="L345" s="309"/>
      <c r="M345" s="309"/>
      <c r="N345" s="309"/>
      <c r="O345" s="310"/>
      <c r="P345" s="310"/>
      <c r="Q345" s="309"/>
      <c r="R345" s="310"/>
      <c r="S345" s="310"/>
      <c r="T345" s="310"/>
      <c r="U345" s="310"/>
      <c r="V345" s="316"/>
    </row>
    <row r="346" spans="1:22">
      <c r="A346" s="311"/>
      <c r="B346" s="312"/>
      <c r="C346" s="313"/>
      <c r="D346" s="314"/>
      <c r="E346" s="314"/>
      <c r="F346" s="314"/>
      <c r="G346" s="314"/>
      <c r="H346" s="314"/>
      <c r="I346" s="314"/>
      <c r="J346" s="315"/>
      <c r="K346" s="315"/>
      <c r="L346" s="314"/>
      <c r="M346" s="314"/>
      <c r="N346" s="314"/>
      <c r="O346" s="315"/>
      <c r="P346" s="315"/>
      <c r="Q346" s="314"/>
      <c r="R346" s="315"/>
      <c r="S346" s="315"/>
      <c r="T346" s="315"/>
      <c r="U346" s="315"/>
      <c r="V346" s="316"/>
    </row>
    <row r="347" spans="1:22" ht="15.75" thickBot="1">
      <c r="A347" s="311"/>
      <c r="B347" s="325"/>
      <c r="C347" s="326"/>
      <c r="D347" s="327"/>
      <c r="E347" s="327"/>
      <c r="F347" s="327"/>
      <c r="G347" s="327"/>
      <c r="H347" s="327"/>
      <c r="I347" s="327"/>
      <c r="J347" s="328"/>
      <c r="K347" s="328"/>
      <c r="L347" s="327"/>
      <c r="M347" s="327"/>
      <c r="N347" s="327"/>
      <c r="O347" s="328"/>
      <c r="P347" s="328"/>
      <c r="Q347" s="327"/>
      <c r="R347" s="328"/>
      <c r="S347" s="328"/>
      <c r="T347" s="328"/>
      <c r="U347" s="328"/>
      <c r="V347" s="316"/>
    </row>
    <row r="348" spans="1:22" ht="15.75" thickTop="1">
      <c r="A348" s="311"/>
      <c r="B348" s="312"/>
      <c r="C348" s="313"/>
      <c r="D348" s="314"/>
      <c r="E348" s="314"/>
      <c r="F348" s="314"/>
      <c r="G348" s="314"/>
      <c r="H348" s="314"/>
      <c r="I348" s="314"/>
      <c r="J348" s="315"/>
      <c r="K348" s="315"/>
      <c r="L348" s="314"/>
      <c r="M348" s="314"/>
      <c r="N348" s="314"/>
      <c r="O348" s="315"/>
      <c r="P348" s="315"/>
      <c r="Q348" s="314"/>
      <c r="R348" s="315"/>
      <c r="S348" s="315"/>
      <c r="T348" s="315"/>
      <c r="U348" s="315"/>
      <c r="V348" s="316"/>
    </row>
    <row r="349" spans="1:22">
      <c r="A349" s="311"/>
      <c r="B349" s="312"/>
      <c r="C349" s="313"/>
      <c r="D349" s="314"/>
      <c r="E349" s="314"/>
      <c r="F349" s="314"/>
      <c r="G349" s="314"/>
      <c r="H349" s="314"/>
      <c r="I349" s="314"/>
      <c r="J349" s="315"/>
      <c r="K349" s="315"/>
      <c r="L349" s="314"/>
      <c r="M349" s="314"/>
      <c r="N349" s="314"/>
      <c r="O349" s="315"/>
      <c r="P349" s="315"/>
      <c r="Q349" s="314"/>
      <c r="R349" s="315"/>
      <c r="S349" s="315"/>
      <c r="T349" s="315"/>
      <c r="U349" s="315"/>
      <c r="V349" s="316"/>
    </row>
    <row r="350" spans="1:22">
      <c r="A350" s="311"/>
      <c r="B350" s="317"/>
      <c r="C350" s="318"/>
      <c r="D350" s="319"/>
      <c r="E350" s="319"/>
      <c r="F350" s="319"/>
      <c r="G350" s="319"/>
      <c r="H350" s="319"/>
      <c r="I350" s="319"/>
      <c r="J350" s="320"/>
      <c r="K350" s="320"/>
      <c r="L350" s="319"/>
      <c r="M350" s="319"/>
      <c r="N350" s="319"/>
      <c r="O350" s="320"/>
      <c r="P350" s="320"/>
      <c r="Q350" s="319"/>
      <c r="R350" s="320"/>
      <c r="S350" s="320"/>
      <c r="T350" s="320"/>
      <c r="U350" s="320"/>
      <c r="V350" s="316"/>
    </row>
    <row r="351" spans="1:22">
      <c r="A351" s="311"/>
      <c r="B351" s="291"/>
      <c r="C351" s="308"/>
      <c r="D351" s="309"/>
      <c r="E351" s="309"/>
      <c r="F351" s="309"/>
      <c r="G351" s="309"/>
      <c r="H351" s="309"/>
      <c r="I351" s="309"/>
      <c r="J351" s="310"/>
      <c r="K351" s="310"/>
      <c r="L351" s="309"/>
      <c r="M351" s="309"/>
      <c r="N351" s="309"/>
      <c r="O351" s="310"/>
      <c r="P351" s="310"/>
      <c r="Q351" s="309"/>
      <c r="R351" s="310"/>
      <c r="S351" s="310"/>
      <c r="T351" s="310"/>
      <c r="U351" s="310"/>
      <c r="V351" s="316"/>
    </row>
    <row r="352" spans="1:22">
      <c r="A352" s="311"/>
      <c r="B352" s="312"/>
      <c r="C352" s="313"/>
      <c r="D352" s="314"/>
      <c r="E352" s="314"/>
      <c r="F352" s="314"/>
      <c r="G352" s="314"/>
      <c r="H352" s="314"/>
      <c r="I352" s="314"/>
      <c r="J352" s="315"/>
      <c r="K352" s="315"/>
      <c r="L352" s="314"/>
      <c r="M352" s="314"/>
      <c r="N352" s="314"/>
      <c r="O352" s="315"/>
      <c r="P352" s="315"/>
      <c r="Q352" s="314"/>
      <c r="R352" s="315"/>
      <c r="S352" s="315"/>
      <c r="T352" s="315"/>
      <c r="U352" s="315"/>
      <c r="V352" s="316"/>
    </row>
    <row r="353" spans="1:22">
      <c r="A353" s="311"/>
      <c r="B353" s="317"/>
      <c r="C353" s="318"/>
      <c r="D353" s="319"/>
      <c r="E353" s="319"/>
      <c r="F353" s="321"/>
      <c r="G353" s="319"/>
      <c r="H353" s="319"/>
      <c r="I353" s="319"/>
      <c r="J353" s="320"/>
      <c r="K353" s="320"/>
      <c r="L353" s="319"/>
      <c r="M353" s="319"/>
      <c r="N353" s="319"/>
      <c r="O353" s="320"/>
      <c r="P353" s="320"/>
      <c r="Q353" s="319"/>
      <c r="R353" s="320"/>
      <c r="S353" s="320"/>
      <c r="T353" s="320"/>
      <c r="U353" s="320"/>
      <c r="V353" s="316"/>
    </row>
    <row r="354" spans="1:22">
      <c r="A354" s="311"/>
      <c r="B354" s="291"/>
      <c r="C354" s="308"/>
      <c r="D354" s="309"/>
      <c r="E354" s="309"/>
      <c r="F354" s="309"/>
      <c r="G354" s="309"/>
      <c r="H354" s="309"/>
      <c r="I354" s="309"/>
      <c r="J354" s="310"/>
      <c r="K354" s="310"/>
      <c r="L354" s="309"/>
      <c r="M354" s="309"/>
      <c r="N354" s="309"/>
      <c r="O354" s="310"/>
      <c r="P354" s="310"/>
      <c r="Q354" s="309"/>
      <c r="R354" s="310"/>
      <c r="S354" s="310"/>
      <c r="T354" s="310"/>
      <c r="U354" s="310"/>
      <c r="V354" s="316"/>
    </row>
    <row r="355" spans="1:22">
      <c r="A355" s="311"/>
      <c r="B355" s="312"/>
      <c r="C355" s="313"/>
      <c r="D355" s="314"/>
      <c r="E355" s="314"/>
      <c r="F355" s="314"/>
      <c r="G355" s="314"/>
      <c r="H355" s="314"/>
      <c r="I355" s="314"/>
      <c r="J355" s="315"/>
      <c r="K355" s="315"/>
      <c r="L355" s="314"/>
      <c r="M355" s="314"/>
      <c r="N355" s="314"/>
      <c r="O355" s="315"/>
      <c r="P355" s="315"/>
      <c r="Q355" s="314"/>
      <c r="R355" s="315"/>
      <c r="S355" s="315"/>
      <c r="T355" s="315"/>
      <c r="U355" s="315"/>
      <c r="V355" s="316"/>
    </row>
    <row r="356" spans="1:22">
      <c r="A356" s="311"/>
      <c r="B356" s="317"/>
      <c r="C356" s="318"/>
      <c r="D356" s="319"/>
      <c r="E356" s="319"/>
      <c r="F356" s="321"/>
      <c r="G356" s="319"/>
      <c r="H356" s="319"/>
      <c r="I356" s="319"/>
      <c r="J356" s="320"/>
      <c r="K356" s="320"/>
      <c r="L356" s="319"/>
      <c r="M356" s="319"/>
      <c r="N356" s="319"/>
      <c r="O356" s="320"/>
      <c r="P356" s="320"/>
      <c r="Q356" s="319"/>
      <c r="R356" s="320"/>
      <c r="S356" s="320"/>
      <c r="T356" s="320"/>
      <c r="U356" s="320"/>
      <c r="V356" s="316"/>
    </row>
    <row r="357" spans="1:22">
      <c r="A357" s="311"/>
      <c r="B357" s="291"/>
      <c r="C357" s="308"/>
      <c r="D357" s="309"/>
      <c r="E357" s="309"/>
      <c r="F357" s="309"/>
      <c r="G357" s="309"/>
      <c r="H357" s="309"/>
      <c r="I357" s="309"/>
      <c r="J357" s="310"/>
      <c r="K357" s="310"/>
      <c r="L357" s="309"/>
      <c r="M357" s="309"/>
      <c r="N357" s="309"/>
      <c r="O357" s="310"/>
      <c r="P357" s="310"/>
      <c r="Q357" s="309"/>
      <c r="R357" s="310"/>
      <c r="S357" s="310"/>
      <c r="T357" s="310"/>
      <c r="U357" s="310"/>
      <c r="V357" s="316"/>
    </row>
    <row r="358" spans="1:22">
      <c r="A358" s="311"/>
      <c r="B358" s="312"/>
      <c r="C358" s="313"/>
      <c r="D358" s="314"/>
      <c r="E358" s="314"/>
      <c r="F358" s="314"/>
      <c r="G358" s="314"/>
      <c r="H358" s="314"/>
      <c r="I358" s="314"/>
      <c r="J358" s="315"/>
      <c r="K358" s="315"/>
      <c r="L358" s="314"/>
      <c r="M358" s="314"/>
      <c r="N358" s="314"/>
      <c r="O358" s="315"/>
      <c r="P358" s="315"/>
      <c r="Q358" s="314"/>
      <c r="R358" s="315"/>
      <c r="S358" s="315"/>
      <c r="T358" s="315"/>
      <c r="U358" s="315"/>
      <c r="V358" s="316"/>
    </row>
    <row r="359" spans="1:22">
      <c r="A359" s="311"/>
      <c r="B359" s="317"/>
      <c r="C359" s="318"/>
      <c r="D359" s="319"/>
      <c r="E359" s="319"/>
      <c r="F359" s="319"/>
      <c r="G359" s="319"/>
      <c r="H359" s="319"/>
      <c r="I359" s="319"/>
      <c r="J359" s="320"/>
      <c r="K359" s="320"/>
      <c r="L359" s="319"/>
      <c r="M359" s="319"/>
      <c r="N359" s="319"/>
      <c r="O359" s="320"/>
      <c r="P359" s="320"/>
      <c r="Q359" s="319"/>
      <c r="R359" s="320"/>
      <c r="S359" s="320"/>
      <c r="T359" s="320"/>
      <c r="U359" s="320"/>
      <c r="V359" s="316"/>
    </row>
    <row r="360" spans="1:22">
      <c r="A360" s="311"/>
      <c r="B360" s="291"/>
      <c r="C360" s="308"/>
      <c r="D360" s="309"/>
      <c r="E360" s="309"/>
      <c r="F360" s="309"/>
      <c r="G360" s="309"/>
      <c r="H360" s="309"/>
      <c r="I360" s="309"/>
      <c r="J360" s="310"/>
      <c r="K360" s="310"/>
      <c r="L360" s="309"/>
      <c r="M360" s="309"/>
      <c r="N360" s="309"/>
      <c r="O360" s="310"/>
      <c r="P360" s="310"/>
      <c r="Q360" s="309"/>
      <c r="R360" s="310"/>
      <c r="S360" s="310"/>
      <c r="T360" s="310"/>
      <c r="U360" s="310"/>
      <c r="V360" s="316"/>
    </row>
    <row r="361" spans="1:22">
      <c r="A361" s="311"/>
      <c r="B361" s="312"/>
      <c r="C361" s="313"/>
      <c r="D361" s="314"/>
      <c r="E361" s="314"/>
      <c r="F361" s="314"/>
      <c r="G361" s="314"/>
      <c r="H361" s="314"/>
      <c r="I361" s="314"/>
      <c r="J361" s="315"/>
      <c r="K361" s="315"/>
      <c r="L361" s="314"/>
      <c r="M361" s="314"/>
      <c r="N361" s="314"/>
      <c r="O361" s="315"/>
      <c r="P361" s="315"/>
      <c r="Q361" s="314"/>
      <c r="R361" s="315"/>
      <c r="S361" s="315"/>
      <c r="T361" s="315"/>
      <c r="U361" s="315"/>
      <c r="V361" s="316"/>
    </row>
    <row r="362" spans="1:22">
      <c r="A362" s="311"/>
      <c r="B362" s="317"/>
      <c r="C362" s="318"/>
      <c r="D362" s="319"/>
      <c r="E362" s="319"/>
      <c r="F362" s="319"/>
      <c r="G362" s="319"/>
      <c r="H362" s="319"/>
      <c r="I362" s="319"/>
      <c r="J362" s="320"/>
      <c r="K362" s="320"/>
      <c r="L362" s="319"/>
      <c r="M362" s="319"/>
      <c r="N362" s="319"/>
      <c r="O362" s="320"/>
      <c r="P362" s="320"/>
      <c r="Q362" s="319"/>
      <c r="R362" s="320"/>
      <c r="S362" s="320"/>
      <c r="T362" s="320"/>
      <c r="U362" s="320"/>
      <c r="V362" s="316"/>
    </row>
    <row r="363" spans="1:22">
      <c r="A363" s="311"/>
      <c r="B363" s="291"/>
      <c r="C363" s="308"/>
      <c r="D363" s="309"/>
      <c r="E363" s="309"/>
      <c r="F363" s="309"/>
      <c r="G363" s="309"/>
      <c r="H363" s="309"/>
      <c r="I363" s="309"/>
      <c r="J363" s="310"/>
      <c r="K363" s="310"/>
      <c r="L363" s="309"/>
      <c r="M363" s="309"/>
      <c r="N363" s="309"/>
      <c r="O363" s="310"/>
      <c r="P363" s="310"/>
      <c r="Q363" s="309"/>
      <c r="R363" s="310"/>
      <c r="S363" s="310"/>
      <c r="T363" s="310"/>
      <c r="U363" s="310"/>
      <c r="V363" s="316"/>
    </row>
    <row r="364" spans="1:22">
      <c r="A364" s="311"/>
      <c r="B364" s="312"/>
      <c r="C364" s="313"/>
      <c r="D364" s="314"/>
      <c r="E364" s="314"/>
      <c r="F364" s="314"/>
      <c r="G364" s="314"/>
      <c r="H364" s="314"/>
      <c r="I364" s="314"/>
      <c r="J364" s="315"/>
      <c r="K364" s="315"/>
      <c r="L364" s="314"/>
      <c r="M364" s="314"/>
      <c r="N364" s="314"/>
      <c r="O364" s="315"/>
      <c r="P364" s="315"/>
      <c r="Q364" s="314"/>
      <c r="R364" s="315"/>
      <c r="S364" s="315"/>
      <c r="T364" s="315"/>
      <c r="U364" s="315"/>
      <c r="V364" s="316"/>
    </row>
    <row r="365" spans="1:22" ht="15.75" thickBot="1">
      <c r="A365" s="329"/>
      <c r="B365" s="330"/>
      <c r="C365" s="331"/>
      <c r="D365" s="332"/>
      <c r="E365" s="332"/>
      <c r="F365" s="332"/>
      <c r="G365" s="332"/>
      <c r="H365" s="332"/>
      <c r="I365" s="332"/>
      <c r="J365" s="333"/>
      <c r="K365" s="333"/>
      <c r="L365" s="332"/>
      <c r="M365" s="332"/>
      <c r="N365" s="332"/>
      <c r="O365" s="333"/>
      <c r="P365" s="333"/>
      <c r="Q365" s="332"/>
      <c r="R365" s="333"/>
      <c r="S365" s="333"/>
      <c r="T365" s="333"/>
      <c r="U365" s="333"/>
      <c r="V365" s="316"/>
    </row>
    <row r="366" spans="1:22">
      <c r="A366" s="307"/>
      <c r="B366" s="291"/>
      <c r="C366" s="308"/>
      <c r="D366" s="309"/>
      <c r="E366" s="309"/>
      <c r="F366" s="309"/>
      <c r="G366" s="309"/>
      <c r="H366" s="309"/>
      <c r="I366" s="309"/>
      <c r="J366" s="310"/>
      <c r="K366" s="310"/>
      <c r="L366" s="309"/>
      <c r="M366" s="309"/>
      <c r="N366" s="309"/>
      <c r="O366" s="310"/>
      <c r="P366" s="310"/>
      <c r="Q366" s="309"/>
      <c r="R366" s="310"/>
      <c r="S366" s="310"/>
      <c r="T366" s="310"/>
      <c r="U366" s="310"/>
      <c r="V366" s="316"/>
    </row>
    <row r="367" spans="1:22">
      <c r="A367" s="311"/>
      <c r="B367" s="312"/>
      <c r="C367" s="313"/>
      <c r="D367" s="314"/>
      <c r="E367" s="314"/>
      <c r="F367" s="314"/>
      <c r="G367" s="314"/>
      <c r="H367" s="314"/>
      <c r="I367" s="314"/>
      <c r="J367" s="315"/>
      <c r="K367" s="315"/>
      <c r="L367" s="314"/>
      <c r="M367" s="314"/>
      <c r="N367" s="314"/>
      <c r="O367" s="315"/>
      <c r="P367" s="315"/>
      <c r="Q367" s="314"/>
      <c r="R367" s="315"/>
      <c r="S367" s="315"/>
      <c r="T367" s="315"/>
      <c r="U367" s="315"/>
      <c r="V367" s="316"/>
    </row>
    <row r="368" spans="1:22">
      <c r="A368" s="311"/>
      <c r="B368" s="317"/>
      <c r="C368" s="318"/>
      <c r="D368" s="319"/>
      <c r="E368" s="321"/>
      <c r="F368" s="319"/>
      <c r="G368" s="319"/>
      <c r="H368" s="319"/>
      <c r="I368" s="319"/>
      <c r="J368" s="320"/>
      <c r="K368" s="320"/>
      <c r="L368" s="319"/>
      <c r="M368" s="319"/>
      <c r="N368" s="319"/>
      <c r="O368" s="320"/>
      <c r="P368" s="320"/>
      <c r="Q368" s="319"/>
      <c r="R368" s="320"/>
      <c r="S368" s="320"/>
      <c r="T368" s="320"/>
      <c r="U368" s="320"/>
      <c r="V368" s="316"/>
    </row>
    <row r="369" spans="1:22">
      <c r="A369" s="311"/>
      <c r="B369" s="291"/>
      <c r="C369" s="308"/>
      <c r="D369" s="309"/>
      <c r="E369" s="309"/>
      <c r="F369" s="309"/>
      <c r="G369" s="309"/>
      <c r="H369" s="309"/>
      <c r="I369" s="309"/>
      <c r="J369" s="310"/>
      <c r="K369" s="310"/>
      <c r="L369" s="309"/>
      <c r="M369" s="309"/>
      <c r="N369" s="309"/>
      <c r="O369" s="310"/>
      <c r="P369" s="310"/>
      <c r="Q369" s="309"/>
      <c r="R369" s="310"/>
      <c r="S369" s="310"/>
      <c r="T369" s="310"/>
      <c r="U369" s="310"/>
      <c r="V369" s="316"/>
    </row>
    <row r="370" spans="1:22">
      <c r="A370" s="311"/>
      <c r="B370" s="312"/>
      <c r="C370" s="313"/>
      <c r="D370" s="314"/>
      <c r="E370" s="314"/>
      <c r="F370" s="314"/>
      <c r="G370" s="314"/>
      <c r="H370" s="314"/>
      <c r="I370" s="314"/>
      <c r="J370" s="315"/>
      <c r="K370" s="315"/>
      <c r="L370" s="314"/>
      <c r="M370" s="314"/>
      <c r="N370" s="314"/>
      <c r="O370" s="315"/>
      <c r="P370" s="315"/>
      <c r="Q370" s="314"/>
      <c r="R370" s="315"/>
      <c r="S370" s="315"/>
      <c r="T370" s="315"/>
      <c r="U370" s="315"/>
      <c r="V370" s="316"/>
    </row>
    <row r="371" spans="1:22">
      <c r="A371" s="311"/>
      <c r="B371" s="317"/>
      <c r="C371" s="318"/>
      <c r="D371" s="319"/>
      <c r="E371" s="321"/>
      <c r="F371" s="319"/>
      <c r="G371" s="319"/>
      <c r="H371" s="319"/>
      <c r="I371" s="319"/>
      <c r="J371" s="320"/>
      <c r="K371" s="320"/>
      <c r="L371" s="319"/>
      <c r="M371" s="319"/>
      <c r="N371" s="319"/>
      <c r="O371" s="320"/>
      <c r="P371" s="320"/>
      <c r="Q371" s="319"/>
      <c r="R371" s="320"/>
      <c r="S371" s="320"/>
      <c r="T371" s="320"/>
      <c r="U371" s="320"/>
      <c r="V371" s="316"/>
    </row>
    <row r="372" spans="1:22">
      <c r="A372" s="311"/>
      <c r="B372" s="291"/>
      <c r="C372" s="308"/>
      <c r="D372" s="309"/>
      <c r="E372" s="309"/>
      <c r="F372" s="309"/>
      <c r="G372" s="309"/>
      <c r="H372" s="309"/>
      <c r="I372" s="309"/>
      <c r="J372" s="310"/>
      <c r="K372" s="310"/>
      <c r="L372" s="309"/>
      <c r="M372" s="309"/>
      <c r="N372" s="309"/>
      <c r="O372" s="310"/>
      <c r="P372" s="310"/>
      <c r="Q372" s="309"/>
      <c r="R372" s="310"/>
      <c r="S372" s="310"/>
      <c r="T372" s="310"/>
      <c r="U372" s="310"/>
      <c r="V372" s="316"/>
    </row>
    <row r="373" spans="1:22">
      <c r="A373" s="311"/>
      <c r="B373" s="312"/>
      <c r="C373" s="313"/>
      <c r="D373" s="314"/>
      <c r="E373" s="314"/>
      <c r="F373" s="314"/>
      <c r="G373" s="314"/>
      <c r="H373" s="314"/>
      <c r="I373" s="314"/>
      <c r="J373" s="315"/>
      <c r="K373" s="315"/>
      <c r="L373" s="314"/>
      <c r="M373" s="314"/>
      <c r="N373" s="314"/>
      <c r="O373" s="315"/>
      <c r="P373" s="315"/>
      <c r="Q373" s="314"/>
      <c r="R373" s="315"/>
      <c r="S373" s="315"/>
      <c r="T373" s="315"/>
      <c r="U373" s="315"/>
      <c r="V373" s="316"/>
    </row>
    <row r="374" spans="1:22">
      <c r="A374" s="311"/>
      <c r="B374" s="317"/>
      <c r="C374" s="318"/>
      <c r="D374" s="319"/>
      <c r="E374" s="319"/>
      <c r="F374" s="319"/>
      <c r="G374" s="319"/>
      <c r="H374" s="319"/>
      <c r="I374" s="319"/>
      <c r="J374" s="320"/>
      <c r="K374" s="320"/>
      <c r="L374" s="319"/>
      <c r="M374" s="319"/>
      <c r="N374" s="319"/>
      <c r="O374" s="320"/>
      <c r="P374" s="320"/>
      <c r="Q374" s="319"/>
      <c r="R374" s="320"/>
      <c r="S374" s="320"/>
      <c r="T374" s="320"/>
      <c r="U374" s="320"/>
      <c r="V374" s="316"/>
    </row>
    <row r="375" spans="1:22">
      <c r="A375" s="311"/>
      <c r="B375" s="291"/>
      <c r="C375" s="308"/>
      <c r="D375" s="309"/>
      <c r="E375" s="309"/>
      <c r="F375" s="309"/>
      <c r="G375" s="309"/>
      <c r="H375" s="309"/>
      <c r="I375" s="309"/>
      <c r="J375" s="310"/>
      <c r="K375" s="310"/>
      <c r="L375" s="309"/>
      <c r="M375" s="309"/>
      <c r="N375" s="309"/>
      <c r="O375" s="310"/>
      <c r="P375" s="310"/>
      <c r="Q375" s="309"/>
      <c r="R375" s="310"/>
      <c r="S375" s="310"/>
      <c r="T375" s="310"/>
      <c r="U375" s="310"/>
      <c r="V375" s="316"/>
    </row>
    <row r="376" spans="1:22">
      <c r="A376" s="311"/>
      <c r="B376" s="312"/>
      <c r="C376" s="313"/>
      <c r="D376" s="314"/>
      <c r="E376" s="314"/>
      <c r="F376" s="314"/>
      <c r="G376" s="314"/>
      <c r="H376" s="314"/>
      <c r="I376" s="314"/>
      <c r="J376" s="315"/>
      <c r="K376" s="315"/>
      <c r="L376" s="314"/>
      <c r="M376" s="314"/>
      <c r="N376" s="314"/>
      <c r="O376" s="315"/>
      <c r="P376" s="315"/>
      <c r="Q376" s="314"/>
      <c r="R376" s="315"/>
      <c r="S376" s="315"/>
      <c r="T376" s="315"/>
      <c r="U376" s="315"/>
      <c r="V376" s="316"/>
    </row>
    <row r="377" spans="1:22">
      <c r="A377" s="311"/>
      <c r="B377" s="317"/>
      <c r="C377" s="318"/>
      <c r="D377" s="319"/>
      <c r="E377" s="319"/>
      <c r="F377" s="319"/>
      <c r="G377" s="319"/>
      <c r="H377" s="319"/>
      <c r="I377" s="319"/>
      <c r="J377" s="320"/>
      <c r="K377" s="320"/>
      <c r="L377" s="319"/>
      <c r="M377" s="319"/>
      <c r="N377" s="319"/>
      <c r="O377" s="320"/>
      <c r="P377" s="320"/>
      <c r="Q377" s="319"/>
      <c r="R377" s="320"/>
      <c r="S377" s="320"/>
      <c r="T377" s="320"/>
      <c r="U377" s="320"/>
      <c r="V377" s="316"/>
    </row>
    <row r="378" spans="1:22">
      <c r="A378" s="311"/>
      <c r="B378" s="291"/>
      <c r="C378" s="308"/>
      <c r="D378" s="309"/>
      <c r="E378" s="309"/>
      <c r="F378" s="309"/>
      <c r="G378" s="309"/>
      <c r="H378" s="309"/>
      <c r="I378" s="309"/>
      <c r="J378" s="310"/>
      <c r="K378" s="310"/>
      <c r="L378" s="309"/>
      <c r="M378" s="309"/>
      <c r="N378" s="309"/>
      <c r="O378" s="310"/>
      <c r="P378" s="310"/>
      <c r="Q378" s="309"/>
      <c r="R378" s="310"/>
      <c r="S378" s="310"/>
      <c r="T378" s="310"/>
      <c r="U378" s="310"/>
      <c r="V378" s="316"/>
    </row>
    <row r="379" spans="1:22">
      <c r="A379" s="311"/>
      <c r="B379" s="312"/>
      <c r="C379" s="313"/>
      <c r="D379" s="314"/>
      <c r="E379" s="314"/>
      <c r="F379" s="314"/>
      <c r="G379" s="314"/>
      <c r="H379" s="314"/>
      <c r="I379" s="314"/>
      <c r="J379" s="315"/>
      <c r="K379" s="315"/>
      <c r="L379" s="314"/>
      <c r="M379" s="314"/>
      <c r="N379" s="314"/>
      <c r="O379" s="315"/>
      <c r="P379" s="315"/>
      <c r="Q379" s="314"/>
      <c r="R379" s="315"/>
      <c r="S379" s="315"/>
      <c r="T379" s="315"/>
      <c r="U379" s="315"/>
      <c r="V379" s="316"/>
    </row>
    <row r="380" spans="1:22">
      <c r="A380" s="311"/>
      <c r="B380" s="317"/>
      <c r="C380" s="318"/>
      <c r="D380" s="319"/>
      <c r="E380" s="319"/>
      <c r="F380" s="319"/>
      <c r="G380" s="319"/>
      <c r="H380" s="319"/>
      <c r="I380" s="319"/>
      <c r="J380" s="320"/>
      <c r="K380" s="320"/>
      <c r="L380" s="319"/>
      <c r="M380" s="319"/>
      <c r="N380" s="319"/>
      <c r="O380" s="320"/>
      <c r="P380" s="320"/>
      <c r="Q380" s="319"/>
      <c r="R380" s="320"/>
      <c r="S380" s="320"/>
      <c r="T380" s="320"/>
      <c r="U380" s="320"/>
      <c r="V380" s="316"/>
    </row>
    <row r="381" spans="1:22">
      <c r="A381" s="311"/>
      <c r="B381" s="291"/>
      <c r="C381" s="308"/>
      <c r="D381" s="309"/>
      <c r="E381" s="309"/>
      <c r="F381" s="309"/>
      <c r="G381" s="309"/>
      <c r="H381" s="309"/>
      <c r="I381" s="309"/>
      <c r="J381" s="310"/>
      <c r="K381" s="310"/>
      <c r="L381" s="309"/>
      <c r="M381" s="309"/>
      <c r="N381" s="309"/>
      <c r="O381" s="310"/>
      <c r="P381" s="310"/>
      <c r="Q381" s="309"/>
      <c r="R381" s="310"/>
      <c r="S381" s="310"/>
      <c r="T381" s="310"/>
      <c r="U381" s="310"/>
      <c r="V381" s="316"/>
    </row>
    <row r="382" spans="1:22">
      <c r="A382" s="311"/>
      <c r="B382" s="312"/>
      <c r="C382" s="313"/>
      <c r="D382" s="314"/>
      <c r="E382" s="314"/>
      <c r="F382" s="314"/>
      <c r="G382" s="314"/>
      <c r="H382" s="314"/>
      <c r="I382" s="314"/>
      <c r="J382" s="315"/>
      <c r="K382" s="315"/>
      <c r="L382" s="314"/>
      <c r="M382" s="314"/>
      <c r="N382" s="314"/>
      <c r="O382" s="315"/>
      <c r="P382" s="315"/>
      <c r="Q382" s="314"/>
      <c r="R382" s="315"/>
      <c r="S382" s="315"/>
      <c r="T382" s="315"/>
      <c r="U382" s="315"/>
      <c r="V382" s="316"/>
    </row>
    <row r="383" spans="1:22" ht="15.75" thickBot="1">
      <c r="A383" s="311"/>
      <c r="B383" s="325"/>
      <c r="C383" s="326"/>
      <c r="D383" s="327"/>
      <c r="E383" s="327"/>
      <c r="F383" s="327"/>
      <c r="G383" s="327"/>
      <c r="H383" s="327"/>
      <c r="I383" s="327"/>
      <c r="J383" s="328"/>
      <c r="K383" s="328"/>
      <c r="L383" s="327"/>
      <c r="M383" s="327"/>
      <c r="N383" s="327"/>
      <c r="O383" s="328"/>
      <c r="P383" s="328"/>
      <c r="Q383" s="327"/>
      <c r="R383" s="328"/>
      <c r="S383" s="328"/>
      <c r="T383" s="328"/>
      <c r="U383" s="328"/>
      <c r="V383" s="316"/>
    </row>
    <row r="384" spans="1:22" ht="15.75" thickTop="1">
      <c r="A384" s="311"/>
      <c r="B384" s="312"/>
      <c r="C384" s="313"/>
      <c r="D384" s="314"/>
      <c r="E384" s="314"/>
      <c r="F384" s="314"/>
      <c r="G384" s="314"/>
      <c r="H384" s="314"/>
      <c r="I384" s="314"/>
      <c r="J384" s="315"/>
      <c r="K384" s="315"/>
      <c r="L384" s="314"/>
      <c r="M384" s="314"/>
      <c r="N384" s="314"/>
      <c r="O384" s="315"/>
      <c r="P384" s="315"/>
      <c r="Q384" s="314"/>
      <c r="R384" s="315"/>
      <c r="S384" s="315"/>
      <c r="T384" s="315"/>
      <c r="U384" s="315"/>
      <c r="V384" s="316"/>
    </row>
    <row r="385" spans="1:22">
      <c r="A385" s="311"/>
      <c r="B385" s="312"/>
      <c r="C385" s="313"/>
      <c r="D385" s="314"/>
      <c r="E385" s="314"/>
      <c r="F385" s="314"/>
      <c r="G385" s="314"/>
      <c r="H385" s="314"/>
      <c r="I385" s="314"/>
      <c r="J385" s="315"/>
      <c r="K385" s="315"/>
      <c r="L385" s="314"/>
      <c r="M385" s="314"/>
      <c r="N385" s="314"/>
      <c r="O385" s="315"/>
      <c r="P385" s="315"/>
      <c r="Q385" s="314"/>
      <c r="R385" s="315"/>
      <c r="S385" s="315"/>
      <c r="T385" s="315"/>
      <c r="U385" s="315"/>
      <c r="V385" s="316"/>
    </row>
    <row r="386" spans="1:22">
      <c r="A386" s="311"/>
      <c r="B386" s="317"/>
      <c r="C386" s="337"/>
      <c r="D386" s="319"/>
      <c r="E386" s="321"/>
      <c r="F386" s="321"/>
      <c r="G386" s="319"/>
      <c r="H386" s="319"/>
      <c r="I386" s="319"/>
      <c r="J386" s="320"/>
      <c r="K386" s="320"/>
      <c r="L386" s="319"/>
      <c r="M386" s="319"/>
      <c r="N386" s="319"/>
      <c r="O386" s="320"/>
      <c r="P386" s="320"/>
      <c r="Q386" s="319"/>
      <c r="R386" s="320"/>
      <c r="S386" s="320"/>
      <c r="T386" s="320"/>
      <c r="U386" s="320"/>
      <c r="V386" s="316"/>
    </row>
    <row r="387" spans="1:22">
      <c r="A387" s="311"/>
      <c r="B387" s="291"/>
      <c r="C387" s="308"/>
      <c r="D387" s="309"/>
      <c r="E387" s="309"/>
      <c r="F387" s="309"/>
      <c r="G387" s="309"/>
      <c r="H387" s="309"/>
      <c r="I387" s="309"/>
      <c r="J387" s="310"/>
      <c r="K387" s="310"/>
      <c r="L387" s="309"/>
      <c r="M387" s="309"/>
      <c r="N387" s="309"/>
      <c r="O387" s="310"/>
      <c r="P387" s="310"/>
      <c r="Q387" s="309"/>
      <c r="R387" s="310"/>
      <c r="S387" s="310"/>
      <c r="T387" s="310"/>
      <c r="U387" s="310"/>
      <c r="V387" s="316"/>
    </row>
    <row r="388" spans="1:22">
      <c r="A388" s="311"/>
      <c r="B388" s="312"/>
      <c r="C388" s="313"/>
      <c r="D388" s="314"/>
      <c r="E388" s="314"/>
      <c r="F388" s="314"/>
      <c r="G388" s="314"/>
      <c r="H388" s="314"/>
      <c r="I388" s="314"/>
      <c r="J388" s="315"/>
      <c r="K388" s="315"/>
      <c r="L388" s="314"/>
      <c r="M388" s="314"/>
      <c r="N388" s="314"/>
      <c r="O388" s="315"/>
      <c r="P388" s="315"/>
      <c r="Q388" s="314"/>
      <c r="R388" s="315"/>
      <c r="S388" s="315"/>
      <c r="T388" s="315"/>
      <c r="U388" s="315"/>
      <c r="V388" s="316"/>
    </row>
    <row r="389" spans="1:22">
      <c r="A389" s="311"/>
      <c r="B389" s="317"/>
      <c r="C389" s="337"/>
      <c r="D389" s="319"/>
      <c r="E389" s="321"/>
      <c r="F389" s="319"/>
      <c r="G389" s="319"/>
      <c r="H389" s="319"/>
      <c r="I389" s="319"/>
      <c r="J389" s="320"/>
      <c r="K389" s="320"/>
      <c r="L389" s="319"/>
      <c r="M389" s="319"/>
      <c r="N389" s="319"/>
      <c r="O389" s="320"/>
      <c r="P389" s="320"/>
      <c r="Q389" s="319"/>
      <c r="R389" s="320"/>
      <c r="S389" s="320"/>
      <c r="T389" s="320"/>
      <c r="U389" s="320"/>
      <c r="V389" s="316"/>
    </row>
    <row r="390" spans="1:22">
      <c r="A390" s="311"/>
      <c r="B390" s="291"/>
      <c r="C390" s="308"/>
      <c r="D390" s="309"/>
      <c r="E390" s="309"/>
      <c r="F390" s="309"/>
      <c r="G390" s="309"/>
      <c r="H390" s="309"/>
      <c r="I390" s="309"/>
      <c r="J390" s="310"/>
      <c r="K390" s="310"/>
      <c r="L390" s="309"/>
      <c r="M390" s="309"/>
      <c r="N390" s="309"/>
      <c r="O390" s="310"/>
      <c r="P390" s="310"/>
      <c r="Q390" s="309"/>
      <c r="R390" s="310"/>
      <c r="S390" s="310"/>
      <c r="T390" s="310"/>
      <c r="U390" s="310"/>
      <c r="V390" s="316"/>
    </row>
    <row r="391" spans="1:22">
      <c r="A391" s="311"/>
      <c r="B391" s="312"/>
      <c r="C391" s="313"/>
      <c r="D391" s="314"/>
      <c r="E391" s="314"/>
      <c r="F391" s="314"/>
      <c r="G391" s="314"/>
      <c r="H391" s="314"/>
      <c r="I391" s="314"/>
      <c r="J391" s="315"/>
      <c r="K391" s="315"/>
      <c r="L391" s="314"/>
      <c r="M391" s="314"/>
      <c r="N391" s="314"/>
      <c r="O391" s="315"/>
      <c r="P391" s="315"/>
      <c r="Q391" s="314"/>
      <c r="R391" s="315"/>
      <c r="S391" s="315"/>
      <c r="T391" s="315"/>
      <c r="U391" s="315"/>
      <c r="V391" s="316"/>
    </row>
    <row r="392" spans="1:22">
      <c r="A392" s="311"/>
      <c r="B392" s="317"/>
      <c r="C392" s="337"/>
      <c r="D392" s="319"/>
      <c r="E392" s="319"/>
      <c r="F392" s="321"/>
      <c r="G392" s="319"/>
      <c r="H392" s="319"/>
      <c r="I392" s="319"/>
      <c r="J392" s="320"/>
      <c r="K392" s="320"/>
      <c r="L392" s="319"/>
      <c r="M392" s="319"/>
      <c r="N392" s="319"/>
      <c r="O392" s="320"/>
      <c r="P392" s="320"/>
      <c r="Q392" s="319"/>
      <c r="R392" s="320"/>
      <c r="S392" s="320"/>
      <c r="T392" s="320"/>
      <c r="U392" s="320"/>
      <c r="V392" s="316"/>
    </row>
    <row r="393" spans="1:22">
      <c r="A393" s="311"/>
      <c r="B393" s="291"/>
      <c r="C393" s="308"/>
      <c r="D393" s="309"/>
      <c r="E393" s="309"/>
      <c r="F393" s="309"/>
      <c r="G393" s="309"/>
      <c r="H393" s="309"/>
      <c r="I393" s="309"/>
      <c r="J393" s="310"/>
      <c r="K393" s="310"/>
      <c r="L393" s="309"/>
      <c r="M393" s="309"/>
      <c r="N393" s="309"/>
      <c r="O393" s="310"/>
      <c r="P393" s="310"/>
      <c r="Q393" s="309"/>
      <c r="R393" s="310"/>
      <c r="S393" s="310"/>
      <c r="T393" s="310"/>
      <c r="U393" s="310"/>
      <c r="V393" s="316"/>
    </row>
    <row r="394" spans="1:22">
      <c r="A394" s="311"/>
      <c r="B394" s="312"/>
      <c r="C394" s="313"/>
      <c r="D394" s="314"/>
      <c r="E394" s="314"/>
      <c r="F394" s="314"/>
      <c r="G394" s="314"/>
      <c r="H394" s="314"/>
      <c r="I394" s="314"/>
      <c r="J394" s="315"/>
      <c r="K394" s="315"/>
      <c r="L394" s="314"/>
      <c r="M394" s="314"/>
      <c r="N394" s="314"/>
      <c r="O394" s="315"/>
      <c r="P394" s="315"/>
      <c r="Q394" s="314"/>
      <c r="R394" s="315"/>
      <c r="S394" s="315"/>
      <c r="T394" s="315"/>
      <c r="U394" s="315"/>
      <c r="V394" s="316"/>
    </row>
    <row r="395" spans="1:22">
      <c r="A395" s="311"/>
      <c r="B395" s="317"/>
      <c r="C395" s="318"/>
      <c r="D395" s="319"/>
      <c r="E395" s="319"/>
      <c r="F395" s="319"/>
      <c r="G395" s="319"/>
      <c r="H395" s="319"/>
      <c r="I395" s="319"/>
      <c r="J395" s="320"/>
      <c r="K395" s="320"/>
      <c r="L395" s="319"/>
      <c r="M395" s="319"/>
      <c r="N395" s="319"/>
      <c r="O395" s="320"/>
      <c r="P395" s="320"/>
      <c r="Q395" s="319"/>
      <c r="R395" s="320"/>
      <c r="S395" s="320"/>
      <c r="T395" s="320"/>
      <c r="U395" s="320"/>
      <c r="V395" s="316"/>
    </row>
    <row r="396" spans="1:22">
      <c r="A396" s="311"/>
      <c r="B396" s="291"/>
      <c r="C396" s="308"/>
      <c r="D396" s="309"/>
      <c r="E396" s="309"/>
      <c r="F396" s="309"/>
      <c r="G396" s="309"/>
      <c r="H396" s="309"/>
      <c r="I396" s="309"/>
      <c r="J396" s="310"/>
      <c r="K396" s="310"/>
      <c r="L396" s="309"/>
      <c r="M396" s="309"/>
      <c r="N396" s="309"/>
      <c r="O396" s="310"/>
      <c r="P396" s="310"/>
      <c r="Q396" s="309"/>
      <c r="R396" s="310"/>
      <c r="S396" s="310"/>
      <c r="T396" s="310"/>
      <c r="U396" s="310"/>
      <c r="V396" s="316"/>
    </row>
    <row r="397" spans="1:22">
      <c r="A397" s="311"/>
      <c r="B397" s="312"/>
      <c r="C397" s="313"/>
      <c r="D397" s="314"/>
      <c r="E397" s="314"/>
      <c r="F397" s="314"/>
      <c r="G397" s="314"/>
      <c r="H397" s="314"/>
      <c r="I397" s="314"/>
      <c r="J397" s="315"/>
      <c r="K397" s="315"/>
      <c r="L397" s="314"/>
      <c r="M397" s="314"/>
      <c r="N397" s="314"/>
      <c r="O397" s="315"/>
      <c r="P397" s="315"/>
      <c r="Q397" s="314"/>
      <c r="R397" s="315"/>
      <c r="S397" s="315"/>
      <c r="T397" s="315"/>
      <c r="U397" s="315"/>
      <c r="V397" s="316"/>
    </row>
    <row r="398" spans="1:22">
      <c r="A398" s="311"/>
      <c r="B398" s="317"/>
      <c r="C398" s="318"/>
      <c r="D398" s="319"/>
      <c r="E398" s="319"/>
      <c r="F398" s="319"/>
      <c r="G398" s="319"/>
      <c r="H398" s="319"/>
      <c r="I398" s="319"/>
      <c r="J398" s="320"/>
      <c r="K398" s="320"/>
      <c r="L398" s="319"/>
      <c r="M398" s="319"/>
      <c r="N398" s="319"/>
      <c r="O398" s="320"/>
      <c r="P398" s="320"/>
      <c r="Q398" s="319"/>
      <c r="R398" s="320"/>
      <c r="S398" s="320"/>
      <c r="T398" s="320"/>
      <c r="U398" s="320"/>
      <c r="V398" s="316"/>
    </row>
    <row r="399" spans="1:22">
      <c r="A399" s="311"/>
      <c r="B399" s="291"/>
      <c r="C399" s="308"/>
      <c r="D399" s="309"/>
      <c r="E399" s="309"/>
      <c r="F399" s="309"/>
      <c r="G399" s="309"/>
      <c r="H399" s="309"/>
      <c r="I399" s="309"/>
      <c r="J399" s="310"/>
      <c r="K399" s="310"/>
      <c r="L399" s="309"/>
      <c r="M399" s="309"/>
      <c r="N399" s="309"/>
      <c r="O399" s="310"/>
      <c r="P399" s="310"/>
      <c r="Q399" s="309"/>
      <c r="R399" s="310"/>
      <c r="S399" s="310"/>
      <c r="T399" s="310"/>
      <c r="U399" s="310"/>
      <c r="V399" s="316"/>
    </row>
    <row r="400" spans="1:22">
      <c r="A400" s="311"/>
      <c r="B400" s="312"/>
      <c r="C400" s="313"/>
      <c r="D400" s="314"/>
      <c r="E400" s="314"/>
      <c r="F400" s="314"/>
      <c r="G400" s="314"/>
      <c r="H400" s="314"/>
      <c r="I400" s="314"/>
      <c r="J400" s="315"/>
      <c r="K400" s="315"/>
      <c r="L400" s="314"/>
      <c r="M400" s="314"/>
      <c r="N400" s="314"/>
      <c r="O400" s="315"/>
      <c r="P400" s="315"/>
      <c r="Q400" s="314"/>
      <c r="R400" s="315"/>
      <c r="S400" s="315"/>
      <c r="T400" s="315"/>
      <c r="U400" s="315"/>
      <c r="V400" s="316"/>
    </row>
    <row r="401" spans="1:22" ht="15.75" thickBot="1">
      <c r="A401" s="329"/>
      <c r="B401" s="330"/>
      <c r="C401" s="331"/>
      <c r="D401" s="332"/>
      <c r="E401" s="332"/>
      <c r="F401" s="332"/>
      <c r="G401" s="332"/>
      <c r="H401" s="332"/>
      <c r="I401" s="332"/>
      <c r="J401" s="333"/>
      <c r="K401" s="333"/>
      <c r="L401" s="332"/>
      <c r="M401" s="332"/>
      <c r="N401" s="332"/>
      <c r="O401" s="333"/>
      <c r="P401" s="333"/>
      <c r="Q401" s="332"/>
      <c r="R401" s="333"/>
      <c r="S401" s="333"/>
      <c r="T401" s="333"/>
      <c r="U401" s="333"/>
      <c r="V401" s="316"/>
    </row>
    <row r="402" spans="1:22">
      <c r="A402" s="307"/>
      <c r="B402" s="291"/>
      <c r="C402" s="308"/>
      <c r="D402" s="309"/>
      <c r="E402" s="309"/>
      <c r="F402" s="309"/>
      <c r="G402" s="309"/>
      <c r="H402" s="309"/>
      <c r="I402" s="309"/>
      <c r="J402" s="310"/>
      <c r="K402" s="310"/>
      <c r="L402" s="309"/>
      <c r="M402" s="309"/>
      <c r="N402" s="309"/>
      <c r="O402" s="310"/>
      <c r="P402" s="310"/>
      <c r="Q402" s="309"/>
      <c r="R402" s="310"/>
      <c r="S402" s="310"/>
      <c r="T402" s="310"/>
      <c r="U402" s="310"/>
      <c r="V402" s="316"/>
    </row>
    <row r="403" spans="1:22">
      <c r="A403" s="311"/>
      <c r="B403" s="312"/>
      <c r="C403" s="313"/>
      <c r="D403" s="314"/>
      <c r="E403" s="314"/>
      <c r="F403" s="314"/>
      <c r="G403" s="314"/>
      <c r="H403" s="314"/>
      <c r="I403" s="314"/>
      <c r="J403" s="315"/>
      <c r="K403" s="315"/>
      <c r="L403" s="314"/>
      <c r="M403" s="314"/>
      <c r="N403" s="314"/>
      <c r="O403" s="315"/>
      <c r="P403" s="315"/>
      <c r="Q403" s="314"/>
      <c r="R403" s="315"/>
      <c r="S403" s="315"/>
      <c r="T403" s="315"/>
      <c r="U403" s="315"/>
      <c r="V403" s="316"/>
    </row>
    <row r="404" spans="1:22">
      <c r="A404" s="311"/>
      <c r="B404" s="317"/>
      <c r="C404" s="318"/>
      <c r="D404" s="319"/>
      <c r="E404" s="319"/>
      <c r="F404" s="319"/>
      <c r="G404" s="319"/>
      <c r="H404" s="319"/>
      <c r="I404" s="319"/>
      <c r="J404" s="320"/>
      <c r="K404" s="320"/>
      <c r="L404" s="319"/>
      <c r="M404" s="319"/>
      <c r="N404" s="321"/>
      <c r="O404" s="320"/>
      <c r="P404" s="320"/>
      <c r="Q404" s="319"/>
      <c r="R404" s="320"/>
      <c r="S404" s="320"/>
      <c r="T404" s="320"/>
      <c r="U404" s="320"/>
      <c r="V404" s="316"/>
    </row>
    <row r="405" spans="1:22">
      <c r="A405" s="311"/>
      <c r="B405" s="291"/>
      <c r="C405" s="308"/>
      <c r="D405" s="309"/>
      <c r="E405" s="309"/>
      <c r="F405" s="309"/>
      <c r="G405" s="309"/>
      <c r="H405" s="309"/>
      <c r="I405" s="309"/>
      <c r="J405" s="310"/>
      <c r="K405" s="310"/>
      <c r="L405" s="309"/>
      <c r="M405" s="309"/>
      <c r="N405" s="309"/>
      <c r="O405" s="310"/>
      <c r="P405" s="310"/>
      <c r="Q405" s="309"/>
      <c r="R405" s="310"/>
      <c r="S405" s="310"/>
      <c r="T405" s="310"/>
      <c r="U405" s="310"/>
      <c r="V405" s="316"/>
    </row>
    <row r="406" spans="1:22">
      <c r="A406" s="311"/>
      <c r="B406" s="312"/>
      <c r="C406" s="313"/>
      <c r="D406" s="314"/>
      <c r="E406" s="314"/>
      <c r="F406" s="314"/>
      <c r="G406" s="314"/>
      <c r="H406" s="314"/>
      <c r="I406" s="314"/>
      <c r="J406" s="315"/>
      <c r="K406" s="315"/>
      <c r="L406" s="314"/>
      <c r="M406" s="314"/>
      <c r="N406" s="314"/>
      <c r="O406" s="315"/>
      <c r="P406" s="315"/>
      <c r="Q406" s="314"/>
      <c r="R406" s="315"/>
      <c r="S406" s="315"/>
      <c r="T406" s="315"/>
      <c r="U406" s="315"/>
      <c r="V406" s="316"/>
    </row>
    <row r="407" spans="1:22">
      <c r="A407" s="311"/>
      <c r="B407" s="317"/>
      <c r="C407" s="318"/>
      <c r="D407" s="319"/>
      <c r="E407" s="319"/>
      <c r="F407" s="319"/>
      <c r="G407" s="319"/>
      <c r="H407" s="319"/>
      <c r="I407" s="319"/>
      <c r="J407" s="320"/>
      <c r="K407" s="320"/>
      <c r="L407" s="319"/>
      <c r="M407" s="319"/>
      <c r="N407" s="319"/>
      <c r="O407" s="320"/>
      <c r="P407" s="320"/>
      <c r="Q407" s="319"/>
      <c r="R407" s="320"/>
      <c r="S407" s="320"/>
      <c r="T407" s="320"/>
      <c r="U407" s="320"/>
      <c r="V407" s="316"/>
    </row>
    <row r="408" spans="1:22">
      <c r="A408" s="311"/>
      <c r="B408" s="291"/>
      <c r="C408" s="308"/>
      <c r="D408" s="309"/>
      <c r="E408" s="309"/>
      <c r="F408" s="309"/>
      <c r="G408" s="309"/>
      <c r="H408" s="309"/>
      <c r="I408" s="309"/>
      <c r="J408" s="310"/>
      <c r="K408" s="310"/>
      <c r="L408" s="309"/>
      <c r="M408" s="309"/>
      <c r="N408" s="309"/>
      <c r="O408" s="310"/>
      <c r="P408" s="310"/>
      <c r="Q408" s="309"/>
      <c r="R408" s="310"/>
      <c r="S408" s="310"/>
      <c r="T408" s="310"/>
      <c r="U408" s="310"/>
      <c r="V408" s="316"/>
    </row>
    <row r="409" spans="1:22">
      <c r="A409" s="311"/>
      <c r="B409" s="312"/>
      <c r="C409" s="313"/>
      <c r="D409" s="314"/>
      <c r="E409" s="314"/>
      <c r="F409" s="314"/>
      <c r="G409" s="314"/>
      <c r="H409" s="314"/>
      <c r="I409" s="314"/>
      <c r="J409" s="315"/>
      <c r="K409" s="315"/>
      <c r="L409" s="314"/>
      <c r="M409" s="314"/>
      <c r="N409" s="314"/>
      <c r="O409" s="315"/>
      <c r="P409" s="315"/>
      <c r="Q409" s="314"/>
      <c r="R409" s="315"/>
      <c r="S409" s="315"/>
      <c r="T409" s="315"/>
      <c r="U409" s="315"/>
      <c r="V409" s="316"/>
    </row>
    <row r="410" spans="1:22">
      <c r="A410" s="311"/>
      <c r="B410" s="317"/>
      <c r="C410" s="318"/>
      <c r="D410" s="319"/>
      <c r="E410" s="319"/>
      <c r="F410" s="319"/>
      <c r="G410" s="319"/>
      <c r="H410" s="319"/>
      <c r="I410" s="319"/>
      <c r="J410" s="320"/>
      <c r="K410" s="320"/>
      <c r="L410" s="319"/>
      <c r="M410" s="319"/>
      <c r="N410" s="321"/>
      <c r="O410" s="320"/>
      <c r="P410" s="320"/>
      <c r="Q410" s="319"/>
      <c r="R410" s="320"/>
      <c r="S410" s="320"/>
      <c r="T410" s="320"/>
      <c r="U410" s="320"/>
      <c r="V410" s="316"/>
    </row>
    <row r="411" spans="1:22">
      <c r="A411" s="311"/>
      <c r="B411" s="291"/>
      <c r="C411" s="308"/>
      <c r="D411" s="309"/>
      <c r="E411" s="309"/>
      <c r="F411" s="309"/>
      <c r="G411" s="309"/>
      <c r="H411" s="309"/>
      <c r="I411" s="309"/>
      <c r="J411" s="310"/>
      <c r="K411" s="310"/>
      <c r="L411" s="309"/>
      <c r="M411" s="309"/>
      <c r="N411" s="309"/>
      <c r="O411" s="310"/>
      <c r="P411" s="310"/>
      <c r="Q411" s="309"/>
      <c r="R411" s="310"/>
      <c r="S411" s="310"/>
      <c r="T411" s="310"/>
      <c r="U411" s="310"/>
      <c r="V411" s="316"/>
    </row>
    <row r="412" spans="1:22">
      <c r="A412" s="311"/>
      <c r="B412" s="312"/>
      <c r="C412" s="324"/>
      <c r="D412" s="314"/>
      <c r="E412" s="314"/>
      <c r="F412" s="314"/>
      <c r="G412" s="314"/>
      <c r="H412" s="322"/>
      <c r="I412" s="314"/>
      <c r="J412" s="315"/>
      <c r="K412" s="315"/>
      <c r="L412" s="314"/>
      <c r="M412" s="314"/>
      <c r="N412" s="314"/>
      <c r="O412" s="315"/>
      <c r="P412" s="315"/>
      <c r="Q412" s="314"/>
      <c r="R412" s="315"/>
      <c r="S412" s="315"/>
      <c r="T412" s="315"/>
      <c r="U412" s="315"/>
      <c r="V412" s="316"/>
    </row>
    <row r="413" spans="1:22">
      <c r="A413" s="311"/>
      <c r="B413" s="317"/>
      <c r="C413" s="337"/>
      <c r="D413" s="319"/>
      <c r="E413" s="319"/>
      <c r="F413" s="319"/>
      <c r="G413" s="319"/>
      <c r="H413" s="321"/>
      <c r="I413" s="319"/>
      <c r="J413" s="320"/>
      <c r="K413" s="320"/>
      <c r="L413" s="319"/>
      <c r="M413" s="319"/>
      <c r="N413" s="319"/>
      <c r="O413" s="320"/>
      <c r="P413" s="320"/>
      <c r="Q413" s="319"/>
      <c r="R413" s="320"/>
      <c r="S413" s="320"/>
      <c r="T413" s="320"/>
      <c r="U413" s="320"/>
      <c r="V413" s="316"/>
    </row>
    <row r="414" spans="1:22">
      <c r="A414" s="311"/>
      <c r="B414" s="291"/>
      <c r="C414" s="308"/>
      <c r="D414" s="309"/>
      <c r="E414" s="309"/>
      <c r="F414" s="309"/>
      <c r="G414" s="309"/>
      <c r="H414" s="309"/>
      <c r="I414" s="309"/>
      <c r="J414" s="310"/>
      <c r="K414" s="310"/>
      <c r="L414" s="309"/>
      <c r="M414" s="309"/>
      <c r="N414" s="309"/>
      <c r="O414" s="310"/>
      <c r="P414" s="310"/>
      <c r="Q414" s="309"/>
      <c r="R414" s="310"/>
      <c r="S414" s="310"/>
      <c r="T414" s="310"/>
      <c r="U414" s="310"/>
      <c r="V414" s="316"/>
    </row>
    <row r="415" spans="1:22">
      <c r="A415" s="311"/>
      <c r="B415" s="312"/>
      <c r="C415" s="324"/>
      <c r="D415" s="314"/>
      <c r="E415" s="314"/>
      <c r="F415" s="314"/>
      <c r="G415" s="314"/>
      <c r="H415" s="314"/>
      <c r="I415" s="314"/>
      <c r="J415" s="315"/>
      <c r="K415" s="315"/>
      <c r="L415" s="314"/>
      <c r="M415" s="314"/>
      <c r="N415" s="314"/>
      <c r="O415" s="315"/>
      <c r="P415" s="315"/>
      <c r="Q415" s="314"/>
      <c r="R415" s="315"/>
      <c r="S415" s="315"/>
      <c r="T415" s="315"/>
      <c r="U415" s="315"/>
      <c r="V415" s="316"/>
    </row>
    <row r="416" spans="1:22">
      <c r="A416" s="311"/>
      <c r="B416" s="317"/>
      <c r="C416" s="337"/>
      <c r="D416" s="319"/>
      <c r="E416" s="319"/>
      <c r="F416" s="319"/>
      <c r="G416" s="319"/>
      <c r="H416" s="319"/>
      <c r="I416" s="319"/>
      <c r="J416" s="320"/>
      <c r="K416" s="320"/>
      <c r="L416" s="319"/>
      <c r="M416" s="319"/>
      <c r="N416" s="319"/>
      <c r="O416" s="320"/>
      <c r="P416" s="320"/>
      <c r="Q416" s="319"/>
      <c r="R416" s="320"/>
      <c r="S416" s="320"/>
      <c r="T416" s="320"/>
      <c r="U416" s="320"/>
      <c r="V416" s="316"/>
    </row>
    <row r="417" spans="1:22">
      <c r="A417" s="311"/>
      <c r="B417" s="291"/>
      <c r="C417" s="308"/>
      <c r="D417" s="309"/>
      <c r="E417" s="309"/>
      <c r="F417" s="309"/>
      <c r="G417" s="309"/>
      <c r="H417" s="309"/>
      <c r="I417" s="309"/>
      <c r="J417" s="310"/>
      <c r="K417" s="310"/>
      <c r="L417" s="309"/>
      <c r="M417" s="309"/>
      <c r="N417" s="309"/>
      <c r="O417" s="310"/>
      <c r="P417" s="310"/>
      <c r="Q417" s="309"/>
      <c r="R417" s="310"/>
      <c r="S417" s="310"/>
      <c r="T417" s="310"/>
      <c r="U417" s="310"/>
      <c r="V417" s="316"/>
    </row>
    <row r="418" spans="1:22">
      <c r="A418" s="311"/>
      <c r="B418" s="312"/>
      <c r="C418" s="313"/>
      <c r="D418" s="314"/>
      <c r="E418" s="314"/>
      <c r="F418" s="314"/>
      <c r="G418" s="314"/>
      <c r="H418" s="314"/>
      <c r="I418" s="314"/>
      <c r="J418" s="315"/>
      <c r="K418" s="315"/>
      <c r="L418" s="314"/>
      <c r="M418" s="314"/>
      <c r="N418" s="314"/>
      <c r="O418" s="315"/>
      <c r="P418" s="315"/>
      <c r="Q418" s="314"/>
      <c r="R418" s="315"/>
      <c r="S418" s="315"/>
      <c r="T418" s="315"/>
      <c r="U418" s="315"/>
      <c r="V418" s="316"/>
    </row>
    <row r="419" spans="1:22" ht="15.75" thickBot="1">
      <c r="A419" s="311"/>
      <c r="B419" s="325"/>
      <c r="C419" s="326"/>
      <c r="D419" s="327"/>
      <c r="E419" s="327"/>
      <c r="F419" s="327"/>
      <c r="G419" s="327"/>
      <c r="H419" s="327"/>
      <c r="I419" s="327"/>
      <c r="J419" s="328"/>
      <c r="K419" s="328"/>
      <c r="L419" s="327"/>
      <c r="M419" s="327"/>
      <c r="N419" s="327"/>
      <c r="O419" s="328"/>
      <c r="P419" s="328"/>
      <c r="Q419" s="327"/>
      <c r="R419" s="328"/>
      <c r="S419" s="328"/>
      <c r="T419" s="328"/>
      <c r="U419" s="328"/>
      <c r="V419" s="316"/>
    </row>
    <row r="420" spans="1:22" ht="15.75" thickTop="1">
      <c r="A420" s="311"/>
      <c r="B420" s="312"/>
      <c r="C420" s="313"/>
      <c r="D420" s="314"/>
      <c r="E420" s="314"/>
      <c r="F420" s="314"/>
      <c r="G420" s="314"/>
      <c r="H420" s="314"/>
      <c r="I420" s="314"/>
      <c r="J420" s="315"/>
      <c r="K420" s="315"/>
      <c r="L420" s="314"/>
      <c r="M420" s="314"/>
      <c r="N420" s="314"/>
      <c r="O420" s="315"/>
      <c r="P420" s="315"/>
      <c r="Q420" s="314"/>
      <c r="R420" s="315"/>
      <c r="S420" s="315"/>
      <c r="T420" s="315"/>
      <c r="U420" s="315"/>
      <c r="V420" s="316"/>
    </row>
    <row r="421" spans="1:22">
      <c r="A421" s="311"/>
      <c r="B421" s="312"/>
      <c r="C421" s="313"/>
      <c r="D421" s="314"/>
      <c r="E421" s="314"/>
      <c r="F421" s="314"/>
      <c r="G421" s="314"/>
      <c r="H421" s="314"/>
      <c r="I421" s="314"/>
      <c r="J421" s="315"/>
      <c r="K421" s="315"/>
      <c r="L421" s="314"/>
      <c r="M421" s="314"/>
      <c r="N421" s="314"/>
      <c r="O421" s="315"/>
      <c r="P421" s="315"/>
      <c r="Q421" s="314"/>
      <c r="R421" s="315"/>
      <c r="S421" s="315"/>
      <c r="T421" s="315"/>
      <c r="U421" s="315"/>
      <c r="V421" s="316"/>
    </row>
    <row r="422" spans="1:22">
      <c r="A422" s="311"/>
      <c r="B422" s="317"/>
      <c r="C422" s="318"/>
      <c r="D422" s="319"/>
      <c r="E422" s="319"/>
      <c r="F422" s="319"/>
      <c r="G422" s="319"/>
      <c r="H422" s="321"/>
      <c r="I422" s="319"/>
      <c r="J422" s="320"/>
      <c r="K422" s="320"/>
      <c r="L422" s="319"/>
      <c r="M422" s="319"/>
      <c r="N422" s="319"/>
      <c r="O422" s="320"/>
      <c r="P422" s="320"/>
      <c r="Q422" s="319"/>
      <c r="R422" s="320"/>
      <c r="S422" s="320"/>
      <c r="T422" s="320"/>
      <c r="U422" s="320"/>
      <c r="V422" s="316"/>
    </row>
    <row r="423" spans="1:22">
      <c r="A423" s="311"/>
      <c r="B423" s="291"/>
      <c r="C423" s="308"/>
      <c r="D423" s="309"/>
      <c r="E423" s="309"/>
      <c r="F423" s="309"/>
      <c r="G423" s="309"/>
      <c r="H423" s="309"/>
      <c r="I423" s="309"/>
      <c r="J423" s="310"/>
      <c r="K423" s="310"/>
      <c r="L423" s="309"/>
      <c r="M423" s="309"/>
      <c r="N423" s="309"/>
      <c r="O423" s="310"/>
      <c r="P423" s="310"/>
      <c r="Q423" s="309"/>
      <c r="R423" s="310"/>
      <c r="S423" s="310"/>
      <c r="T423" s="310"/>
      <c r="U423" s="310"/>
      <c r="V423" s="316"/>
    </row>
    <row r="424" spans="1:22">
      <c r="A424" s="311"/>
      <c r="B424" s="312"/>
      <c r="C424" s="313"/>
      <c r="D424" s="314"/>
      <c r="E424" s="314"/>
      <c r="F424" s="314"/>
      <c r="G424" s="314"/>
      <c r="H424" s="314"/>
      <c r="I424" s="314"/>
      <c r="J424" s="315"/>
      <c r="K424" s="315"/>
      <c r="L424" s="314"/>
      <c r="M424" s="314"/>
      <c r="N424" s="314"/>
      <c r="O424" s="315"/>
      <c r="P424" s="315"/>
      <c r="Q424" s="314"/>
      <c r="R424" s="315"/>
      <c r="S424" s="315"/>
      <c r="T424" s="315"/>
      <c r="U424" s="315"/>
      <c r="V424" s="316"/>
    </row>
    <row r="425" spans="1:22">
      <c r="A425" s="311"/>
      <c r="B425" s="317"/>
      <c r="C425" s="318"/>
      <c r="D425" s="319"/>
      <c r="E425" s="319"/>
      <c r="F425" s="319"/>
      <c r="G425" s="319"/>
      <c r="H425" s="319"/>
      <c r="I425" s="319"/>
      <c r="J425" s="320"/>
      <c r="K425" s="320"/>
      <c r="L425" s="319"/>
      <c r="M425" s="319"/>
      <c r="N425" s="319"/>
      <c r="O425" s="320"/>
      <c r="P425" s="320"/>
      <c r="Q425" s="319"/>
      <c r="R425" s="320"/>
      <c r="S425" s="320"/>
      <c r="T425" s="320"/>
      <c r="U425" s="320"/>
      <c r="V425" s="316"/>
    </row>
    <row r="426" spans="1:22">
      <c r="A426" s="311"/>
      <c r="B426" s="291"/>
      <c r="C426" s="308"/>
      <c r="D426" s="309"/>
      <c r="E426" s="309"/>
      <c r="F426" s="309"/>
      <c r="G426" s="309"/>
      <c r="H426" s="309"/>
      <c r="I426" s="309"/>
      <c r="J426" s="310"/>
      <c r="K426" s="310"/>
      <c r="L426" s="309"/>
      <c r="M426" s="309"/>
      <c r="N426" s="309"/>
      <c r="O426" s="310"/>
      <c r="P426" s="310"/>
      <c r="Q426" s="309"/>
      <c r="R426" s="310"/>
      <c r="S426" s="310"/>
      <c r="T426" s="310"/>
      <c r="U426" s="310"/>
      <c r="V426" s="316"/>
    </row>
    <row r="427" spans="1:22">
      <c r="A427" s="311"/>
      <c r="B427" s="312"/>
      <c r="C427" s="313"/>
      <c r="D427" s="314"/>
      <c r="E427" s="314"/>
      <c r="F427" s="314"/>
      <c r="G427" s="314"/>
      <c r="H427" s="314"/>
      <c r="I427" s="314"/>
      <c r="J427" s="315"/>
      <c r="K427" s="315"/>
      <c r="L427" s="314"/>
      <c r="M427" s="314"/>
      <c r="N427" s="314"/>
      <c r="O427" s="315"/>
      <c r="P427" s="315"/>
      <c r="Q427" s="314"/>
      <c r="R427" s="315"/>
      <c r="S427" s="315"/>
      <c r="T427" s="315"/>
      <c r="U427" s="315"/>
      <c r="V427" s="316"/>
    </row>
    <row r="428" spans="1:22">
      <c r="A428" s="311"/>
      <c r="B428" s="317"/>
      <c r="C428" s="318"/>
      <c r="D428" s="319"/>
      <c r="E428" s="319"/>
      <c r="F428" s="319"/>
      <c r="G428" s="319"/>
      <c r="H428" s="321"/>
      <c r="I428" s="319"/>
      <c r="J428" s="320"/>
      <c r="K428" s="320"/>
      <c r="L428" s="319"/>
      <c r="M428" s="319"/>
      <c r="N428" s="319"/>
      <c r="O428" s="320"/>
      <c r="P428" s="320"/>
      <c r="Q428" s="319"/>
      <c r="R428" s="320"/>
      <c r="S428" s="320"/>
      <c r="T428" s="320"/>
      <c r="U428" s="320"/>
      <c r="V428" s="316"/>
    </row>
    <row r="429" spans="1:22">
      <c r="A429" s="311"/>
      <c r="B429" s="291"/>
      <c r="C429" s="308"/>
      <c r="D429" s="309"/>
      <c r="E429" s="309"/>
      <c r="F429" s="309"/>
      <c r="G429" s="309"/>
      <c r="H429" s="309"/>
      <c r="I429" s="309"/>
      <c r="J429" s="310"/>
      <c r="K429" s="310"/>
      <c r="L429" s="309"/>
      <c r="M429" s="309"/>
      <c r="N429" s="309"/>
      <c r="O429" s="310"/>
      <c r="P429" s="310"/>
      <c r="Q429" s="309"/>
      <c r="R429" s="310"/>
      <c r="S429" s="310"/>
      <c r="T429" s="310"/>
      <c r="U429" s="310"/>
      <c r="V429" s="316"/>
    </row>
    <row r="430" spans="1:22">
      <c r="A430" s="311"/>
      <c r="B430" s="312"/>
      <c r="C430" s="313"/>
      <c r="D430" s="314"/>
      <c r="E430" s="314"/>
      <c r="F430" s="314"/>
      <c r="G430" s="314"/>
      <c r="H430" s="322"/>
      <c r="I430" s="314"/>
      <c r="J430" s="315"/>
      <c r="K430" s="315"/>
      <c r="L430" s="314"/>
      <c r="M430" s="314"/>
      <c r="N430" s="314"/>
      <c r="O430" s="315"/>
      <c r="P430" s="315"/>
      <c r="Q430" s="314"/>
      <c r="R430" s="315"/>
      <c r="S430" s="315"/>
      <c r="T430" s="315"/>
      <c r="U430" s="315"/>
      <c r="V430" s="316"/>
    </row>
    <row r="431" spans="1:22">
      <c r="A431" s="311"/>
      <c r="B431" s="317"/>
      <c r="C431" s="318"/>
      <c r="D431" s="319"/>
      <c r="E431" s="319"/>
      <c r="F431" s="319"/>
      <c r="G431" s="319"/>
      <c r="H431" s="321"/>
      <c r="I431" s="319"/>
      <c r="J431" s="320"/>
      <c r="K431" s="320"/>
      <c r="L431" s="319"/>
      <c r="M431" s="319"/>
      <c r="N431" s="319"/>
      <c r="O431" s="320"/>
      <c r="P431" s="320"/>
      <c r="Q431" s="319"/>
      <c r="R431" s="320"/>
      <c r="S431" s="320"/>
      <c r="T431" s="320"/>
      <c r="U431" s="320"/>
      <c r="V431" s="316"/>
    </row>
    <row r="432" spans="1:22">
      <c r="A432" s="311"/>
      <c r="B432" s="291"/>
      <c r="C432" s="308"/>
      <c r="D432" s="309"/>
      <c r="E432" s="309"/>
      <c r="F432" s="309"/>
      <c r="G432" s="309"/>
      <c r="H432" s="309"/>
      <c r="I432" s="309"/>
      <c r="J432" s="310"/>
      <c r="K432" s="310"/>
      <c r="L432" s="309"/>
      <c r="M432" s="309"/>
      <c r="N432" s="309"/>
      <c r="O432" s="310"/>
      <c r="P432" s="310"/>
      <c r="Q432" s="309"/>
      <c r="R432" s="310"/>
      <c r="S432" s="310"/>
      <c r="T432" s="310"/>
      <c r="U432" s="310"/>
      <c r="V432" s="316"/>
    </row>
    <row r="433" spans="1:22">
      <c r="A433" s="311"/>
      <c r="B433" s="312"/>
      <c r="C433" s="313"/>
      <c r="D433" s="314"/>
      <c r="E433" s="314"/>
      <c r="F433" s="314"/>
      <c r="G433" s="314"/>
      <c r="H433" s="322"/>
      <c r="I433" s="314"/>
      <c r="J433" s="315"/>
      <c r="K433" s="315"/>
      <c r="L433" s="314"/>
      <c r="M433" s="314"/>
      <c r="N433" s="314"/>
      <c r="O433" s="315"/>
      <c r="P433" s="315"/>
      <c r="Q433" s="314"/>
      <c r="R433" s="315"/>
      <c r="S433" s="315"/>
      <c r="T433" s="315"/>
      <c r="U433" s="315"/>
      <c r="V433" s="316"/>
    </row>
    <row r="434" spans="1:22">
      <c r="A434" s="311"/>
      <c r="B434" s="317"/>
      <c r="C434" s="318"/>
      <c r="D434" s="319"/>
      <c r="E434" s="319"/>
      <c r="F434" s="319"/>
      <c r="G434" s="319"/>
      <c r="H434" s="319"/>
      <c r="I434" s="319"/>
      <c r="J434" s="320"/>
      <c r="K434" s="320"/>
      <c r="L434" s="319"/>
      <c r="M434" s="319"/>
      <c r="N434" s="319"/>
      <c r="O434" s="320"/>
      <c r="P434" s="320"/>
      <c r="Q434" s="319"/>
      <c r="R434" s="320"/>
      <c r="S434" s="320"/>
      <c r="T434" s="320"/>
      <c r="U434" s="320"/>
      <c r="V434" s="316"/>
    </row>
    <row r="435" spans="1:22">
      <c r="A435" s="311"/>
      <c r="B435" s="291"/>
      <c r="C435" s="308"/>
      <c r="D435" s="309"/>
      <c r="E435" s="309"/>
      <c r="F435" s="309"/>
      <c r="G435" s="309"/>
      <c r="H435" s="309"/>
      <c r="I435" s="309"/>
      <c r="J435" s="310"/>
      <c r="K435" s="310"/>
      <c r="L435" s="309"/>
      <c r="M435" s="309"/>
      <c r="N435" s="309"/>
      <c r="O435" s="310"/>
      <c r="P435" s="310"/>
      <c r="Q435" s="309"/>
      <c r="R435" s="310"/>
      <c r="S435" s="310"/>
      <c r="T435" s="310"/>
      <c r="U435" s="310"/>
      <c r="V435" s="316"/>
    </row>
    <row r="436" spans="1:22">
      <c r="A436" s="311"/>
      <c r="B436" s="312"/>
      <c r="C436" s="313"/>
      <c r="D436" s="314"/>
      <c r="E436" s="314"/>
      <c r="F436" s="314"/>
      <c r="G436" s="314"/>
      <c r="H436" s="314"/>
      <c r="I436" s="314"/>
      <c r="J436" s="315"/>
      <c r="K436" s="315"/>
      <c r="L436" s="314"/>
      <c r="M436" s="314"/>
      <c r="N436" s="314"/>
      <c r="O436" s="315"/>
      <c r="P436" s="315"/>
      <c r="Q436" s="314"/>
      <c r="R436" s="315"/>
      <c r="S436" s="315"/>
      <c r="T436" s="315"/>
      <c r="U436" s="315"/>
      <c r="V436" s="316"/>
    </row>
    <row r="437" spans="1:22" ht="15.75" thickBot="1">
      <c r="A437" s="329"/>
      <c r="B437" s="330"/>
      <c r="C437" s="331"/>
      <c r="D437" s="332"/>
      <c r="E437" s="332"/>
      <c r="F437" s="332"/>
      <c r="G437" s="332"/>
      <c r="H437" s="332"/>
      <c r="I437" s="332"/>
      <c r="J437" s="333"/>
      <c r="K437" s="333"/>
      <c r="L437" s="332"/>
      <c r="M437" s="332"/>
      <c r="N437" s="332"/>
      <c r="O437" s="333"/>
      <c r="P437" s="333"/>
      <c r="Q437" s="332"/>
      <c r="R437" s="333"/>
      <c r="S437" s="333"/>
      <c r="T437" s="333"/>
      <c r="U437" s="333"/>
      <c r="V437" s="316"/>
    </row>
    <row r="438" spans="1:22">
      <c r="A438" s="307"/>
      <c r="B438" s="291"/>
      <c r="C438" s="308"/>
      <c r="D438" s="309"/>
      <c r="E438" s="309"/>
      <c r="F438" s="309"/>
      <c r="G438" s="309"/>
      <c r="H438" s="309"/>
      <c r="I438" s="309"/>
      <c r="J438" s="310"/>
      <c r="K438" s="310"/>
      <c r="L438" s="309"/>
      <c r="M438" s="309"/>
      <c r="N438" s="309"/>
      <c r="O438" s="310"/>
      <c r="P438" s="310"/>
      <c r="Q438" s="309"/>
      <c r="R438" s="310"/>
      <c r="S438" s="310"/>
      <c r="T438" s="310"/>
      <c r="U438" s="310"/>
      <c r="V438" s="316"/>
    </row>
    <row r="439" spans="1:22">
      <c r="A439" s="311"/>
      <c r="B439" s="312"/>
      <c r="C439" s="313"/>
      <c r="D439" s="314"/>
      <c r="E439" s="314"/>
      <c r="F439" s="314"/>
      <c r="G439" s="314"/>
      <c r="H439" s="314"/>
      <c r="I439" s="314"/>
      <c r="J439" s="315"/>
      <c r="K439" s="315"/>
      <c r="L439" s="314"/>
      <c r="M439" s="314"/>
      <c r="N439" s="314"/>
      <c r="O439" s="315"/>
      <c r="P439" s="315"/>
      <c r="Q439" s="314"/>
      <c r="R439" s="315"/>
      <c r="S439" s="315"/>
      <c r="T439" s="315"/>
      <c r="U439" s="315"/>
      <c r="V439" s="316"/>
    </row>
    <row r="440" spans="1:22">
      <c r="A440" s="311"/>
      <c r="B440" s="317"/>
      <c r="C440" s="318"/>
      <c r="D440" s="319"/>
      <c r="E440" s="319"/>
      <c r="F440" s="319"/>
      <c r="G440" s="319"/>
      <c r="H440" s="319"/>
      <c r="I440" s="319"/>
      <c r="J440" s="320"/>
      <c r="K440" s="320"/>
      <c r="L440" s="319"/>
      <c r="M440" s="319"/>
      <c r="N440" s="319"/>
      <c r="O440" s="320"/>
      <c r="P440" s="320"/>
      <c r="Q440" s="319"/>
      <c r="R440" s="320"/>
      <c r="S440" s="320"/>
      <c r="T440" s="320"/>
      <c r="U440" s="320"/>
      <c r="V440" s="316"/>
    </row>
    <row r="441" spans="1:22">
      <c r="A441" s="311"/>
      <c r="B441" s="291"/>
      <c r="C441" s="308"/>
      <c r="D441" s="309"/>
      <c r="E441" s="309"/>
      <c r="F441" s="309"/>
      <c r="G441" s="309"/>
      <c r="H441" s="309"/>
      <c r="I441" s="309"/>
      <c r="J441" s="310"/>
      <c r="K441" s="310"/>
      <c r="L441" s="309"/>
      <c r="M441" s="309"/>
      <c r="N441" s="309"/>
      <c r="O441" s="310"/>
      <c r="P441" s="310"/>
      <c r="Q441" s="309"/>
      <c r="R441" s="310"/>
      <c r="S441" s="310"/>
      <c r="T441" s="310"/>
      <c r="U441" s="310"/>
      <c r="V441" s="316"/>
    </row>
    <row r="442" spans="1:22">
      <c r="A442" s="311"/>
      <c r="B442" s="312"/>
      <c r="C442" s="313"/>
      <c r="D442" s="314"/>
      <c r="E442" s="314"/>
      <c r="F442" s="314"/>
      <c r="G442" s="314"/>
      <c r="H442" s="314"/>
      <c r="I442" s="314"/>
      <c r="J442" s="315"/>
      <c r="K442" s="315"/>
      <c r="L442" s="314"/>
      <c r="M442" s="314"/>
      <c r="N442" s="314"/>
      <c r="O442" s="315"/>
      <c r="P442" s="315"/>
      <c r="Q442" s="314"/>
      <c r="R442" s="315"/>
      <c r="S442" s="315"/>
      <c r="T442" s="315"/>
      <c r="U442" s="315"/>
      <c r="V442" s="316"/>
    </row>
    <row r="443" spans="1:22">
      <c r="A443" s="311"/>
      <c r="B443" s="317"/>
      <c r="C443" s="318"/>
      <c r="D443" s="319"/>
      <c r="E443" s="319"/>
      <c r="F443" s="319"/>
      <c r="G443" s="319"/>
      <c r="H443" s="319"/>
      <c r="I443" s="319"/>
      <c r="J443" s="320"/>
      <c r="K443" s="320"/>
      <c r="L443" s="319"/>
      <c r="M443" s="319"/>
      <c r="N443" s="319"/>
      <c r="O443" s="320"/>
      <c r="P443" s="320"/>
      <c r="Q443" s="319"/>
      <c r="R443" s="320"/>
      <c r="S443" s="320"/>
      <c r="T443" s="320"/>
      <c r="U443" s="320"/>
      <c r="V443" s="316"/>
    </row>
    <row r="444" spans="1:22">
      <c r="A444" s="311"/>
      <c r="B444" s="291"/>
      <c r="C444" s="308"/>
      <c r="D444" s="309"/>
      <c r="E444" s="309"/>
      <c r="F444" s="309"/>
      <c r="G444" s="309"/>
      <c r="H444" s="309"/>
      <c r="I444" s="309"/>
      <c r="J444" s="310"/>
      <c r="K444" s="310"/>
      <c r="L444" s="309"/>
      <c r="M444" s="309"/>
      <c r="N444" s="309"/>
      <c r="O444" s="310"/>
      <c r="P444" s="310"/>
      <c r="Q444" s="309"/>
      <c r="R444" s="310"/>
      <c r="S444" s="310"/>
      <c r="T444" s="310"/>
      <c r="U444" s="310"/>
      <c r="V444" s="316"/>
    </row>
    <row r="445" spans="1:22">
      <c r="A445" s="311"/>
      <c r="B445" s="312"/>
      <c r="C445" s="313"/>
      <c r="D445" s="314"/>
      <c r="E445" s="314"/>
      <c r="F445" s="314"/>
      <c r="G445" s="314"/>
      <c r="H445" s="314"/>
      <c r="I445" s="314"/>
      <c r="J445" s="315"/>
      <c r="K445" s="315"/>
      <c r="L445" s="314"/>
      <c r="M445" s="314"/>
      <c r="N445" s="314"/>
      <c r="O445" s="315"/>
      <c r="P445" s="315"/>
      <c r="Q445" s="314"/>
      <c r="R445" s="315"/>
      <c r="S445" s="315"/>
      <c r="T445" s="315"/>
      <c r="U445" s="315"/>
      <c r="V445" s="316"/>
    </row>
    <row r="446" spans="1:22">
      <c r="A446" s="311"/>
      <c r="B446" s="317"/>
      <c r="C446" s="318"/>
      <c r="D446" s="319"/>
      <c r="E446" s="319"/>
      <c r="F446" s="319"/>
      <c r="G446" s="319"/>
      <c r="H446" s="319"/>
      <c r="I446" s="319"/>
      <c r="J446" s="320"/>
      <c r="K446" s="320"/>
      <c r="L446" s="319"/>
      <c r="M446" s="319"/>
      <c r="N446" s="319"/>
      <c r="O446" s="320"/>
      <c r="P446" s="320"/>
      <c r="Q446" s="319"/>
      <c r="R446" s="320"/>
      <c r="S446" s="320"/>
      <c r="T446" s="320"/>
      <c r="U446" s="320"/>
      <c r="V446" s="316"/>
    </row>
    <row r="447" spans="1:22">
      <c r="A447" s="311"/>
      <c r="B447" s="291"/>
      <c r="C447" s="308"/>
      <c r="D447" s="309"/>
      <c r="E447" s="309"/>
      <c r="F447" s="309"/>
      <c r="G447" s="309"/>
      <c r="H447" s="309"/>
      <c r="I447" s="309"/>
      <c r="J447" s="310"/>
      <c r="K447" s="310"/>
      <c r="L447" s="309"/>
      <c r="M447" s="309"/>
      <c r="N447" s="309"/>
      <c r="O447" s="310"/>
      <c r="P447" s="310"/>
      <c r="Q447" s="309"/>
      <c r="R447" s="310"/>
      <c r="S447" s="310"/>
      <c r="T447" s="310"/>
      <c r="U447" s="310"/>
      <c r="V447" s="316"/>
    </row>
    <row r="448" spans="1:22">
      <c r="A448" s="311"/>
      <c r="B448" s="312"/>
      <c r="C448" s="313"/>
      <c r="D448" s="314"/>
      <c r="E448" s="314"/>
      <c r="F448" s="314"/>
      <c r="G448" s="314"/>
      <c r="H448" s="314"/>
      <c r="I448" s="314"/>
      <c r="J448" s="315"/>
      <c r="K448" s="315"/>
      <c r="L448" s="314"/>
      <c r="M448" s="322"/>
      <c r="N448" s="314"/>
      <c r="O448" s="315"/>
      <c r="P448" s="315"/>
      <c r="Q448" s="314"/>
      <c r="R448" s="315"/>
      <c r="S448" s="315"/>
      <c r="T448" s="315"/>
      <c r="U448" s="315"/>
      <c r="V448" s="316"/>
    </row>
    <row r="449" spans="1:22">
      <c r="A449" s="311"/>
      <c r="B449" s="317"/>
      <c r="C449" s="318"/>
      <c r="D449" s="319"/>
      <c r="E449" s="319"/>
      <c r="F449" s="319"/>
      <c r="G449" s="319"/>
      <c r="H449" s="319"/>
      <c r="I449" s="319"/>
      <c r="J449" s="320"/>
      <c r="K449" s="320"/>
      <c r="L449" s="319"/>
      <c r="M449" s="321"/>
      <c r="N449" s="319"/>
      <c r="O449" s="320"/>
      <c r="P449" s="320"/>
      <c r="Q449" s="319"/>
      <c r="R449" s="320"/>
      <c r="S449" s="320"/>
      <c r="T449" s="320"/>
      <c r="U449" s="320"/>
      <c r="V449" s="316"/>
    </row>
    <row r="450" spans="1:22">
      <c r="A450" s="311"/>
      <c r="B450" s="291"/>
      <c r="C450" s="308"/>
      <c r="D450" s="309"/>
      <c r="E450" s="309"/>
      <c r="F450" s="309"/>
      <c r="G450" s="309"/>
      <c r="H450" s="309"/>
      <c r="I450" s="309"/>
      <c r="J450" s="310"/>
      <c r="K450" s="310"/>
      <c r="L450" s="309"/>
      <c r="M450" s="309"/>
      <c r="N450" s="309"/>
      <c r="O450" s="310"/>
      <c r="P450" s="310"/>
      <c r="Q450" s="309"/>
      <c r="R450" s="310"/>
      <c r="S450" s="310"/>
      <c r="T450" s="310"/>
      <c r="U450" s="310"/>
      <c r="V450" s="316"/>
    </row>
    <row r="451" spans="1:22">
      <c r="A451" s="311"/>
      <c r="B451" s="312"/>
      <c r="C451" s="313"/>
      <c r="D451" s="314"/>
      <c r="E451" s="314"/>
      <c r="F451" s="314"/>
      <c r="G451" s="314"/>
      <c r="H451" s="314"/>
      <c r="I451" s="314"/>
      <c r="J451" s="315"/>
      <c r="K451" s="315"/>
      <c r="L451" s="314"/>
      <c r="M451" s="314"/>
      <c r="N451" s="314"/>
      <c r="O451" s="315"/>
      <c r="P451" s="315"/>
      <c r="Q451" s="314"/>
      <c r="R451" s="315"/>
      <c r="S451" s="315"/>
      <c r="T451" s="315"/>
      <c r="U451" s="315"/>
      <c r="V451" s="316"/>
    </row>
    <row r="452" spans="1:22">
      <c r="A452" s="311"/>
      <c r="B452" s="317"/>
      <c r="C452" s="318"/>
      <c r="D452" s="319"/>
      <c r="E452" s="319"/>
      <c r="F452" s="319"/>
      <c r="G452" s="319"/>
      <c r="H452" s="319"/>
      <c r="I452" s="319"/>
      <c r="J452" s="320"/>
      <c r="K452" s="320"/>
      <c r="L452" s="319"/>
      <c r="M452" s="319"/>
      <c r="N452" s="319"/>
      <c r="O452" s="320"/>
      <c r="P452" s="320"/>
      <c r="Q452" s="319"/>
      <c r="R452" s="320"/>
      <c r="S452" s="320"/>
      <c r="T452" s="320"/>
      <c r="U452" s="320"/>
      <c r="V452" s="316"/>
    </row>
    <row r="453" spans="1:22">
      <c r="A453" s="311"/>
      <c r="B453" s="291"/>
      <c r="C453" s="308"/>
      <c r="D453" s="309"/>
      <c r="E453" s="309"/>
      <c r="F453" s="309"/>
      <c r="G453" s="309"/>
      <c r="H453" s="309"/>
      <c r="I453" s="309"/>
      <c r="J453" s="310"/>
      <c r="K453" s="310"/>
      <c r="L453" s="309"/>
      <c r="M453" s="309"/>
      <c r="N453" s="309"/>
      <c r="O453" s="310"/>
      <c r="P453" s="310"/>
      <c r="Q453" s="309"/>
      <c r="R453" s="310"/>
      <c r="S453" s="310"/>
      <c r="T453" s="310"/>
      <c r="U453" s="310"/>
      <c r="V453" s="316"/>
    </row>
    <row r="454" spans="1:22">
      <c r="A454" s="311"/>
      <c r="B454" s="312"/>
      <c r="C454" s="313"/>
      <c r="D454" s="314"/>
      <c r="E454" s="314"/>
      <c r="F454" s="314"/>
      <c r="G454" s="314"/>
      <c r="H454" s="314"/>
      <c r="I454" s="314"/>
      <c r="J454" s="315"/>
      <c r="K454" s="315"/>
      <c r="L454" s="314"/>
      <c r="M454" s="314"/>
      <c r="N454" s="314"/>
      <c r="O454" s="315"/>
      <c r="P454" s="315"/>
      <c r="Q454" s="314"/>
      <c r="R454" s="315"/>
      <c r="S454" s="315"/>
      <c r="T454" s="315"/>
      <c r="U454" s="315"/>
      <c r="V454" s="316"/>
    </row>
    <row r="455" spans="1:22" ht="15.75" thickBot="1">
      <c r="A455" s="311"/>
      <c r="B455" s="325"/>
      <c r="C455" s="326"/>
      <c r="D455" s="327"/>
      <c r="E455" s="327"/>
      <c r="F455" s="327"/>
      <c r="G455" s="327"/>
      <c r="H455" s="327"/>
      <c r="I455" s="327"/>
      <c r="J455" s="328"/>
      <c r="K455" s="328"/>
      <c r="L455" s="327"/>
      <c r="M455" s="327"/>
      <c r="N455" s="327"/>
      <c r="O455" s="328"/>
      <c r="P455" s="328"/>
      <c r="Q455" s="327"/>
      <c r="R455" s="328"/>
      <c r="S455" s="328"/>
      <c r="T455" s="328"/>
      <c r="U455" s="328"/>
      <c r="V455" s="316"/>
    </row>
    <row r="456" spans="1:22" ht="15.75" thickTop="1">
      <c r="A456" s="311"/>
      <c r="B456" s="312"/>
      <c r="C456" s="313"/>
      <c r="D456" s="314"/>
      <c r="E456" s="314"/>
      <c r="F456" s="314"/>
      <c r="G456" s="314"/>
      <c r="H456" s="314"/>
      <c r="I456" s="314"/>
      <c r="J456" s="315"/>
      <c r="K456" s="315"/>
      <c r="L456" s="314"/>
      <c r="M456" s="314"/>
      <c r="N456" s="314"/>
      <c r="O456" s="315"/>
      <c r="P456" s="315"/>
      <c r="Q456" s="314"/>
      <c r="R456" s="315"/>
      <c r="S456" s="315"/>
      <c r="T456" s="315"/>
      <c r="U456" s="315"/>
      <c r="V456" s="316"/>
    </row>
    <row r="457" spans="1:22">
      <c r="A457" s="311"/>
      <c r="B457" s="312"/>
      <c r="C457" s="313"/>
      <c r="D457" s="314"/>
      <c r="E457" s="314"/>
      <c r="F457" s="314"/>
      <c r="G457" s="314"/>
      <c r="H457" s="314"/>
      <c r="I457" s="314"/>
      <c r="J457" s="315"/>
      <c r="K457" s="315"/>
      <c r="L457" s="314"/>
      <c r="M457" s="314"/>
      <c r="N457" s="314"/>
      <c r="O457" s="315"/>
      <c r="P457" s="315"/>
      <c r="Q457" s="314"/>
      <c r="R457" s="315"/>
      <c r="S457" s="315"/>
      <c r="T457" s="315"/>
      <c r="U457" s="315"/>
      <c r="V457" s="316"/>
    </row>
    <row r="458" spans="1:22">
      <c r="A458" s="311"/>
      <c r="B458" s="317"/>
      <c r="C458" s="318"/>
      <c r="D458" s="319"/>
      <c r="E458" s="319"/>
      <c r="F458" s="319"/>
      <c r="G458" s="319"/>
      <c r="H458" s="319"/>
      <c r="I458" s="319"/>
      <c r="J458" s="320"/>
      <c r="K458" s="320"/>
      <c r="L458" s="319"/>
      <c r="M458" s="319"/>
      <c r="N458" s="319"/>
      <c r="O458" s="320"/>
      <c r="P458" s="320"/>
      <c r="Q458" s="319"/>
      <c r="R458" s="320"/>
      <c r="S458" s="320"/>
      <c r="T458" s="320"/>
      <c r="U458" s="320"/>
      <c r="V458" s="316"/>
    </row>
    <row r="459" spans="1:22">
      <c r="A459" s="311"/>
      <c r="B459" s="291"/>
      <c r="C459" s="308"/>
      <c r="D459" s="309"/>
      <c r="E459" s="309"/>
      <c r="F459" s="309"/>
      <c r="G459" s="309"/>
      <c r="H459" s="309"/>
      <c r="I459" s="309"/>
      <c r="J459" s="310"/>
      <c r="K459" s="310"/>
      <c r="L459" s="309"/>
      <c r="M459" s="309"/>
      <c r="N459" s="309"/>
      <c r="O459" s="310"/>
      <c r="P459" s="310"/>
      <c r="Q459" s="309"/>
      <c r="R459" s="310"/>
      <c r="S459" s="310"/>
      <c r="T459" s="310"/>
      <c r="U459" s="310"/>
      <c r="V459" s="316"/>
    </row>
    <row r="460" spans="1:22">
      <c r="A460" s="311"/>
      <c r="B460" s="312"/>
      <c r="C460" s="313"/>
      <c r="D460" s="314"/>
      <c r="E460" s="314"/>
      <c r="F460" s="314"/>
      <c r="G460" s="322"/>
      <c r="H460" s="314"/>
      <c r="I460" s="314"/>
      <c r="J460" s="315"/>
      <c r="K460" s="315"/>
      <c r="L460" s="314"/>
      <c r="M460" s="314"/>
      <c r="N460" s="314"/>
      <c r="O460" s="315"/>
      <c r="P460" s="315"/>
      <c r="Q460" s="314"/>
      <c r="R460" s="315"/>
      <c r="S460" s="315"/>
      <c r="T460" s="315"/>
      <c r="U460" s="315"/>
      <c r="V460" s="316"/>
    </row>
    <row r="461" spans="1:22">
      <c r="A461" s="311"/>
      <c r="B461" s="317"/>
      <c r="C461" s="318"/>
      <c r="D461" s="319"/>
      <c r="E461" s="319"/>
      <c r="F461" s="319"/>
      <c r="G461" s="319"/>
      <c r="H461" s="319"/>
      <c r="I461" s="319"/>
      <c r="J461" s="320"/>
      <c r="K461" s="320"/>
      <c r="L461" s="319"/>
      <c r="M461" s="319"/>
      <c r="N461" s="319"/>
      <c r="O461" s="320"/>
      <c r="P461" s="320"/>
      <c r="Q461" s="319"/>
      <c r="R461" s="320"/>
      <c r="S461" s="320"/>
      <c r="T461" s="320"/>
      <c r="U461" s="320"/>
      <c r="V461" s="316"/>
    </row>
    <row r="462" spans="1:22">
      <c r="A462" s="311"/>
      <c r="B462" s="291"/>
      <c r="C462" s="308"/>
      <c r="D462" s="309"/>
      <c r="E462" s="309"/>
      <c r="F462" s="309"/>
      <c r="G462" s="309"/>
      <c r="H462" s="309"/>
      <c r="I462" s="309"/>
      <c r="J462" s="310"/>
      <c r="K462" s="310"/>
      <c r="L462" s="309"/>
      <c r="M462" s="309"/>
      <c r="N462" s="309"/>
      <c r="O462" s="310"/>
      <c r="P462" s="310"/>
      <c r="Q462" s="309"/>
      <c r="R462" s="310"/>
      <c r="S462" s="310"/>
      <c r="T462" s="310"/>
      <c r="U462" s="310"/>
      <c r="V462" s="316"/>
    </row>
    <row r="463" spans="1:22">
      <c r="A463" s="311"/>
      <c r="B463" s="312"/>
      <c r="C463" s="313"/>
      <c r="D463" s="314"/>
      <c r="E463" s="314"/>
      <c r="F463" s="314"/>
      <c r="G463" s="314"/>
      <c r="H463" s="314"/>
      <c r="I463" s="314"/>
      <c r="J463" s="315"/>
      <c r="K463" s="315"/>
      <c r="L463" s="314"/>
      <c r="M463" s="314"/>
      <c r="N463" s="314"/>
      <c r="O463" s="315"/>
      <c r="P463" s="315"/>
      <c r="Q463" s="314"/>
      <c r="R463" s="315"/>
      <c r="S463" s="315"/>
      <c r="T463" s="315"/>
      <c r="U463" s="315"/>
      <c r="V463" s="316"/>
    </row>
    <row r="464" spans="1:22">
      <c r="A464" s="311"/>
      <c r="B464" s="317"/>
      <c r="C464" s="318"/>
      <c r="D464" s="319"/>
      <c r="E464" s="319"/>
      <c r="F464" s="319"/>
      <c r="G464" s="319"/>
      <c r="H464" s="319"/>
      <c r="I464" s="319"/>
      <c r="J464" s="320"/>
      <c r="K464" s="320"/>
      <c r="L464" s="319"/>
      <c r="M464" s="319"/>
      <c r="N464" s="319"/>
      <c r="O464" s="320"/>
      <c r="P464" s="320"/>
      <c r="Q464" s="319"/>
      <c r="R464" s="320"/>
      <c r="S464" s="320"/>
      <c r="T464" s="320"/>
      <c r="U464" s="320"/>
      <c r="V464" s="316"/>
    </row>
    <row r="465" spans="1:22">
      <c r="A465" s="311"/>
      <c r="B465" s="291"/>
      <c r="C465" s="308"/>
      <c r="D465" s="309"/>
      <c r="E465" s="309"/>
      <c r="F465" s="309"/>
      <c r="G465" s="309"/>
      <c r="H465" s="309"/>
      <c r="I465" s="309"/>
      <c r="J465" s="310"/>
      <c r="K465" s="310"/>
      <c r="L465" s="309"/>
      <c r="M465" s="309"/>
      <c r="N465" s="309"/>
      <c r="O465" s="310"/>
      <c r="P465" s="310"/>
      <c r="Q465" s="309"/>
      <c r="R465" s="310"/>
      <c r="S465" s="310"/>
      <c r="T465" s="310"/>
      <c r="U465" s="310"/>
      <c r="V465" s="316"/>
    </row>
    <row r="466" spans="1:22">
      <c r="A466" s="311"/>
      <c r="B466" s="312"/>
      <c r="C466" s="313"/>
      <c r="D466" s="314"/>
      <c r="E466" s="314"/>
      <c r="F466" s="314"/>
      <c r="G466" s="314"/>
      <c r="H466" s="314"/>
      <c r="I466" s="314"/>
      <c r="J466" s="315"/>
      <c r="K466" s="315"/>
      <c r="L466" s="314"/>
      <c r="M466" s="314"/>
      <c r="N466" s="314"/>
      <c r="O466" s="315"/>
      <c r="P466" s="315"/>
      <c r="Q466" s="314"/>
      <c r="R466" s="315"/>
      <c r="S466" s="315"/>
      <c r="T466" s="315"/>
      <c r="U466" s="315"/>
      <c r="V466" s="316"/>
    </row>
    <row r="467" spans="1:22">
      <c r="A467" s="311"/>
      <c r="B467" s="317"/>
      <c r="C467" s="318"/>
      <c r="D467" s="319"/>
      <c r="E467" s="319"/>
      <c r="F467" s="319"/>
      <c r="G467" s="319"/>
      <c r="H467" s="319"/>
      <c r="I467" s="319"/>
      <c r="J467" s="320"/>
      <c r="K467" s="320"/>
      <c r="L467" s="319"/>
      <c r="M467" s="319"/>
      <c r="N467" s="319"/>
      <c r="O467" s="320"/>
      <c r="P467" s="320"/>
      <c r="Q467" s="319"/>
      <c r="R467" s="320"/>
      <c r="S467" s="320"/>
      <c r="T467" s="320"/>
      <c r="U467" s="320"/>
      <c r="V467" s="316"/>
    </row>
    <row r="468" spans="1:22">
      <c r="A468" s="311"/>
      <c r="B468" s="291"/>
      <c r="C468" s="308"/>
      <c r="D468" s="309"/>
      <c r="E468" s="309"/>
      <c r="F468" s="309"/>
      <c r="G468" s="309"/>
      <c r="H468" s="309"/>
      <c r="I468" s="309"/>
      <c r="J468" s="310"/>
      <c r="K468" s="310"/>
      <c r="L468" s="309"/>
      <c r="M468" s="309"/>
      <c r="N468" s="309"/>
      <c r="O468" s="310"/>
      <c r="P468" s="310"/>
      <c r="Q468" s="309"/>
      <c r="R468" s="310"/>
      <c r="S468" s="310"/>
      <c r="T468" s="310"/>
      <c r="U468" s="310"/>
      <c r="V468" s="316"/>
    </row>
    <row r="469" spans="1:22">
      <c r="A469" s="311"/>
      <c r="B469" s="312"/>
      <c r="C469" s="313"/>
      <c r="D469" s="314"/>
      <c r="E469" s="314"/>
      <c r="F469" s="314"/>
      <c r="G469" s="314"/>
      <c r="H469" s="314"/>
      <c r="I469" s="314"/>
      <c r="J469" s="315"/>
      <c r="K469" s="315"/>
      <c r="L469" s="314"/>
      <c r="M469" s="314"/>
      <c r="N469" s="314"/>
      <c r="O469" s="315"/>
      <c r="P469" s="315"/>
      <c r="Q469" s="314"/>
      <c r="R469" s="315"/>
      <c r="S469" s="315"/>
      <c r="T469" s="315"/>
      <c r="U469" s="315"/>
      <c r="V469" s="316"/>
    </row>
    <row r="470" spans="1:22">
      <c r="A470" s="311"/>
      <c r="B470" s="317"/>
      <c r="C470" s="318"/>
      <c r="D470" s="319"/>
      <c r="E470" s="319"/>
      <c r="F470" s="319"/>
      <c r="G470" s="319"/>
      <c r="H470" s="319"/>
      <c r="I470" s="319"/>
      <c r="J470" s="320"/>
      <c r="K470" s="320"/>
      <c r="L470" s="319"/>
      <c r="M470" s="319"/>
      <c r="N470" s="319"/>
      <c r="O470" s="320"/>
      <c r="P470" s="320"/>
      <c r="Q470" s="319"/>
      <c r="R470" s="320"/>
      <c r="S470" s="320"/>
      <c r="T470" s="320"/>
      <c r="U470" s="320"/>
      <c r="V470" s="316"/>
    </row>
    <row r="471" spans="1:22">
      <c r="A471" s="311"/>
      <c r="B471" s="291"/>
      <c r="C471" s="308"/>
      <c r="D471" s="309"/>
      <c r="E471" s="309"/>
      <c r="F471" s="309"/>
      <c r="G471" s="309"/>
      <c r="H471" s="309"/>
      <c r="I471" s="309"/>
      <c r="J471" s="310"/>
      <c r="K471" s="310"/>
      <c r="L471" s="309"/>
      <c r="M471" s="309"/>
      <c r="N471" s="309"/>
      <c r="O471" s="310"/>
      <c r="P471" s="310"/>
      <c r="Q471" s="309"/>
      <c r="R471" s="310"/>
      <c r="S471" s="310"/>
      <c r="T471" s="310"/>
      <c r="U471" s="310"/>
      <c r="V471" s="316"/>
    </row>
    <row r="472" spans="1:22">
      <c r="A472" s="311"/>
      <c r="B472" s="312"/>
      <c r="C472" s="313"/>
      <c r="D472" s="314"/>
      <c r="E472" s="314"/>
      <c r="F472" s="314"/>
      <c r="G472" s="314"/>
      <c r="H472" s="314"/>
      <c r="I472" s="314"/>
      <c r="J472" s="315"/>
      <c r="K472" s="315"/>
      <c r="L472" s="314"/>
      <c r="M472" s="314"/>
      <c r="N472" s="314"/>
      <c r="O472" s="315"/>
      <c r="P472" s="315"/>
      <c r="Q472" s="314"/>
      <c r="R472" s="315"/>
      <c r="S472" s="315"/>
      <c r="T472" s="315"/>
      <c r="U472" s="315"/>
      <c r="V472" s="316"/>
    </row>
    <row r="473" spans="1:22" ht="15.75" thickBot="1">
      <c r="A473" s="329"/>
      <c r="B473" s="330"/>
      <c r="C473" s="331"/>
      <c r="D473" s="332"/>
      <c r="E473" s="332"/>
      <c r="F473" s="332"/>
      <c r="G473" s="332"/>
      <c r="H473" s="332"/>
      <c r="I473" s="332"/>
      <c r="J473" s="333"/>
      <c r="K473" s="333"/>
      <c r="L473" s="332"/>
      <c r="M473" s="332"/>
      <c r="N473" s="332"/>
      <c r="O473" s="333"/>
      <c r="P473" s="333"/>
      <c r="Q473" s="332"/>
      <c r="R473" s="333"/>
      <c r="S473" s="333"/>
      <c r="T473" s="333"/>
      <c r="U473" s="333"/>
      <c r="V473" s="316"/>
    </row>
    <row r="474" spans="1:22">
      <c r="A474" s="307"/>
      <c r="B474" s="291"/>
      <c r="C474" s="308"/>
      <c r="D474" s="309"/>
      <c r="E474" s="309"/>
      <c r="F474" s="309"/>
      <c r="G474" s="309"/>
      <c r="H474" s="309"/>
      <c r="I474" s="309"/>
      <c r="J474" s="310"/>
      <c r="K474" s="310"/>
      <c r="L474" s="309"/>
      <c r="M474" s="309"/>
      <c r="N474" s="309"/>
      <c r="O474" s="310"/>
      <c r="P474" s="310"/>
      <c r="Q474" s="309"/>
      <c r="R474" s="310"/>
      <c r="S474" s="310"/>
      <c r="T474" s="310"/>
      <c r="U474" s="310"/>
      <c r="V474" s="316"/>
    </row>
    <row r="475" spans="1:22">
      <c r="A475" s="311"/>
      <c r="B475" s="312"/>
      <c r="C475" s="313"/>
      <c r="D475" s="314"/>
      <c r="E475" s="314"/>
      <c r="F475" s="314"/>
      <c r="G475" s="314"/>
      <c r="H475" s="314"/>
      <c r="I475" s="314"/>
      <c r="J475" s="315"/>
      <c r="K475" s="315"/>
      <c r="L475" s="314"/>
      <c r="M475" s="314"/>
      <c r="N475" s="314"/>
      <c r="O475" s="315"/>
      <c r="P475" s="315"/>
      <c r="Q475" s="314"/>
      <c r="R475" s="315"/>
      <c r="S475" s="315"/>
      <c r="T475" s="315"/>
      <c r="U475" s="315"/>
      <c r="V475" s="316"/>
    </row>
    <row r="476" spans="1:22">
      <c r="A476" s="311"/>
      <c r="B476" s="317"/>
      <c r="C476" s="318"/>
      <c r="D476" s="319"/>
      <c r="E476" s="319"/>
      <c r="F476" s="321"/>
      <c r="G476" s="319"/>
      <c r="H476" s="319"/>
      <c r="I476" s="319"/>
      <c r="J476" s="320"/>
      <c r="K476" s="320"/>
      <c r="L476" s="319"/>
      <c r="M476" s="319"/>
      <c r="N476" s="319"/>
      <c r="O476" s="320"/>
      <c r="P476" s="320"/>
      <c r="Q476" s="319"/>
      <c r="R476" s="320"/>
      <c r="S476" s="320"/>
      <c r="T476" s="320"/>
      <c r="U476" s="320"/>
      <c r="V476" s="316"/>
    </row>
    <row r="477" spans="1:22">
      <c r="A477" s="311"/>
      <c r="B477" s="291"/>
      <c r="C477" s="308"/>
      <c r="D477" s="309"/>
      <c r="E477" s="309"/>
      <c r="F477" s="309"/>
      <c r="G477" s="309"/>
      <c r="H477" s="309"/>
      <c r="I477" s="309"/>
      <c r="J477" s="310"/>
      <c r="K477" s="310"/>
      <c r="L477" s="309"/>
      <c r="M477" s="309"/>
      <c r="N477" s="309"/>
      <c r="O477" s="310"/>
      <c r="P477" s="310"/>
      <c r="Q477" s="309"/>
      <c r="R477" s="310"/>
      <c r="S477" s="310"/>
      <c r="T477" s="310"/>
      <c r="U477" s="310"/>
      <c r="V477" s="316"/>
    </row>
    <row r="478" spans="1:22">
      <c r="A478" s="311"/>
      <c r="B478" s="312"/>
      <c r="C478" s="313"/>
      <c r="D478" s="314"/>
      <c r="E478" s="314"/>
      <c r="F478" s="314"/>
      <c r="G478" s="314"/>
      <c r="H478" s="314"/>
      <c r="I478" s="314"/>
      <c r="J478" s="315"/>
      <c r="K478" s="315"/>
      <c r="L478" s="314"/>
      <c r="M478" s="314"/>
      <c r="N478" s="314"/>
      <c r="O478" s="315"/>
      <c r="P478" s="315"/>
      <c r="Q478" s="314"/>
      <c r="R478" s="315"/>
      <c r="S478" s="315"/>
      <c r="T478" s="315"/>
      <c r="U478" s="315"/>
      <c r="V478" s="316"/>
    </row>
    <row r="479" spans="1:22">
      <c r="A479" s="311"/>
      <c r="B479" s="317"/>
      <c r="C479" s="318"/>
      <c r="D479" s="319"/>
      <c r="E479" s="319"/>
      <c r="F479" s="319"/>
      <c r="G479" s="319"/>
      <c r="H479" s="319"/>
      <c r="I479" s="319"/>
      <c r="J479" s="320"/>
      <c r="K479" s="320"/>
      <c r="L479" s="319"/>
      <c r="M479" s="319"/>
      <c r="N479" s="319"/>
      <c r="O479" s="320"/>
      <c r="P479" s="320"/>
      <c r="Q479" s="319"/>
      <c r="R479" s="320"/>
      <c r="S479" s="320"/>
      <c r="T479" s="320"/>
      <c r="U479" s="320"/>
      <c r="V479" s="316"/>
    </row>
    <row r="480" spans="1:22">
      <c r="A480" s="311"/>
      <c r="B480" s="291"/>
      <c r="C480" s="308"/>
      <c r="D480" s="309"/>
      <c r="E480" s="309"/>
      <c r="F480" s="309"/>
      <c r="G480" s="309"/>
      <c r="H480" s="309"/>
      <c r="I480" s="309"/>
      <c r="J480" s="310"/>
      <c r="K480" s="310"/>
      <c r="L480" s="309"/>
      <c r="M480" s="309"/>
      <c r="N480" s="309"/>
      <c r="O480" s="310"/>
      <c r="P480" s="310"/>
      <c r="Q480" s="309"/>
      <c r="R480" s="310"/>
      <c r="S480" s="310"/>
      <c r="T480" s="310"/>
      <c r="U480" s="310"/>
      <c r="V480" s="316"/>
    </row>
    <row r="481" spans="1:22">
      <c r="A481" s="311"/>
      <c r="B481" s="312"/>
      <c r="C481" s="313"/>
      <c r="D481" s="314"/>
      <c r="E481" s="314"/>
      <c r="F481" s="314"/>
      <c r="G481" s="314"/>
      <c r="H481" s="314"/>
      <c r="I481" s="314"/>
      <c r="J481" s="315"/>
      <c r="K481" s="315"/>
      <c r="L481" s="314"/>
      <c r="M481" s="314"/>
      <c r="N481" s="314"/>
      <c r="O481" s="315"/>
      <c r="P481" s="315"/>
      <c r="Q481" s="314"/>
      <c r="R481" s="315"/>
      <c r="S481" s="315"/>
      <c r="T481" s="315"/>
      <c r="U481" s="315"/>
      <c r="V481" s="316"/>
    </row>
    <row r="482" spans="1:22">
      <c r="A482" s="311"/>
      <c r="B482" s="317"/>
      <c r="C482" s="318"/>
      <c r="D482" s="319"/>
      <c r="E482" s="319"/>
      <c r="F482" s="319"/>
      <c r="G482" s="319"/>
      <c r="H482" s="319"/>
      <c r="I482" s="319"/>
      <c r="J482" s="320"/>
      <c r="K482" s="320"/>
      <c r="L482" s="319"/>
      <c r="M482" s="319"/>
      <c r="N482" s="319"/>
      <c r="O482" s="320"/>
      <c r="P482" s="320"/>
      <c r="Q482" s="319"/>
      <c r="R482" s="320"/>
      <c r="S482" s="320"/>
      <c r="T482" s="320"/>
      <c r="U482" s="320"/>
      <c r="V482" s="316"/>
    </row>
    <row r="483" spans="1:22">
      <c r="A483" s="311"/>
      <c r="B483" s="291"/>
      <c r="C483" s="308"/>
      <c r="D483" s="309"/>
      <c r="E483" s="309"/>
      <c r="F483" s="309"/>
      <c r="G483" s="309"/>
      <c r="H483" s="309"/>
      <c r="I483" s="309"/>
      <c r="J483" s="310"/>
      <c r="K483" s="310"/>
      <c r="L483" s="309"/>
      <c r="M483" s="309"/>
      <c r="N483" s="309"/>
      <c r="O483" s="310"/>
      <c r="P483" s="310"/>
      <c r="Q483" s="309"/>
      <c r="R483" s="310"/>
      <c r="S483" s="310"/>
      <c r="T483" s="310"/>
      <c r="U483" s="310"/>
      <c r="V483" s="316"/>
    </row>
    <row r="484" spans="1:22">
      <c r="A484" s="311"/>
      <c r="B484" s="312"/>
      <c r="C484" s="313"/>
      <c r="D484" s="314"/>
      <c r="E484" s="314"/>
      <c r="F484" s="314"/>
      <c r="G484" s="314"/>
      <c r="H484" s="314"/>
      <c r="I484" s="314"/>
      <c r="J484" s="315"/>
      <c r="K484" s="315"/>
      <c r="L484" s="314"/>
      <c r="M484" s="314"/>
      <c r="N484" s="314"/>
      <c r="O484" s="315"/>
      <c r="P484" s="315"/>
      <c r="Q484" s="314"/>
      <c r="R484" s="315"/>
      <c r="S484" s="315"/>
      <c r="T484" s="315"/>
      <c r="U484" s="315"/>
      <c r="V484" s="316"/>
    </row>
    <row r="485" spans="1:22">
      <c r="A485" s="311"/>
      <c r="B485" s="317"/>
      <c r="C485" s="318"/>
      <c r="D485" s="319"/>
      <c r="E485" s="319"/>
      <c r="F485" s="319"/>
      <c r="G485" s="319"/>
      <c r="H485" s="319"/>
      <c r="I485" s="319"/>
      <c r="J485" s="320"/>
      <c r="K485" s="320"/>
      <c r="L485" s="319"/>
      <c r="M485" s="319"/>
      <c r="N485" s="319"/>
      <c r="O485" s="320"/>
      <c r="P485" s="320"/>
      <c r="Q485" s="319"/>
      <c r="R485" s="320"/>
      <c r="S485" s="320"/>
      <c r="T485" s="320"/>
      <c r="U485" s="320"/>
      <c r="V485" s="316"/>
    </row>
    <row r="486" spans="1:22">
      <c r="A486" s="311"/>
      <c r="B486" s="291"/>
      <c r="C486" s="308"/>
      <c r="D486" s="309"/>
      <c r="E486" s="309"/>
      <c r="F486" s="309"/>
      <c r="G486" s="309"/>
      <c r="H486" s="309"/>
      <c r="I486" s="309"/>
      <c r="J486" s="310"/>
      <c r="K486" s="310"/>
      <c r="L486" s="309"/>
      <c r="M486" s="309"/>
      <c r="N486" s="309"/>
      <c r="O486" s="310"/>
      <c r="P486" s="310"/>
      <c r="Q486" s="309"/>
      <c r="R486" s="310"/>
      <c r="S486" s="310"/>
      <c r="T486" s="310"/>
      <c r="U486" s="310"/>
      <c r="V486" s="316"/>
    </row>
    <row r="487" spans="1:22">
      <c r="A487" s="311"/>
      <c r="B487" s="312"/>
      <c r="C487" s="313"/>
      <c r="D487" s="314"/>
      <c r="E487" s="314"/>
      <c r="F487" s="314"/>
      <c r="G487" s="314"/>
      <c r="H487" s="314"/>
      <c r="I487" s="314"/>
      <c r="J487" s="315"/>
      <c r="K487" s="315"/>
      <c r="L487" s="314"/>
      <c r="M487" s="314"/>
      <c r="N487" s="314"/>
      <c r="O487" s="315"/>
      <c r="P487" s="315"/>
      <c r="Q487" s="314"/>
      <c r="R487" s="315"/>
      <c r="S487" s="315"/>
      <c r="T487" s="315"/>
      <c r="U487" s="315"/>
      <c r="V487" s="316"/>
    </row>
    <row r="488" spans="1:22">
      <c r="A488" s="311"/>
      <c r="B488" s="317"/>
      <c r="C488" s="318"/>
      <c r="D488" s="319"/>
      <c r="E488" s="319"/>
      <c r="F488" s="319"/>
      <c r="G488" s="319"/>
      <c r="H488" s="319"/>
      <c r="I488" s="319"/>
      <c r="J488" s="320"/>
      <c r="K488" s="320"/>
      <c r="L488" s="319"/>
      <c r="M488" s="319"/>
      <c r="N488" s="319"/>
      <c r="O488" s="320"/>
      <c r="P488" s="320"/>
      <c r="Q488" s="319"/>
      <c r="R488" s="320"/>
      <c r="S488" s="320"/>
      <c r="T488" s="320"/>
      <c r="U488" s="320"/>
      <c r="V488" s="316"/>
    </row>
    <row r="489" spans="1:22">
      <c r="A489" s="311"/>
      <c r="B489" s="291"/>
      <c r="C489" s="308"/>
      <c r="D489" s="309"/>
      <c r="E489" s="309"/>
      <c r="F489" s="309"/>
      <c r="G489" s="309"/>
      <c r="H489" s="309"/>
      <c r="I489" s="309"/>
      <c r="J489" s="310"/>
      <c r="K489" s="310"/>
      <c r="L489" s="309"/>
      <c r="M489" s="309"/>
      <c r="N489" s="309"/>
      <c r="O489" s="310"/>
      <c r="P489" s="310"/>
      <c r="Q489" s="309"/>
      <c r="R489" s="310"/>
      <c r="S489" s="310"/>
      <c r="T489" s="310"/>
      <c r="U489" s="310"/>
      <c r="V489" s="316"/>
    </row>
    <row r="490" spans="1:22">
      <c r="A490" s="311"/>
      <c r="B490" s="312"/>
      <c r="C490" s="313"/>
      <c r="D490" s="314"/>
      <c r="E490" s="314"/>
      <c r="F490" s="314"/>
      <c r="G490" s="314"/>
      <c r="H490" s="314"/>
      <c r="I490" s="314"/>
      <c r="J490" s="315"/>
      <c r="K490" s="315"/>
      <c r="L490" s="314"/>
      <c r="M490" s="314"/>
      <c r="N490" s="314"/>
      <c r="O490" s="315"/>
      <c r="P490" s="315"/>
      <c r="Q490" s="314"/>
      <c r="R490" s="315"/>
      <c r="S490" s="315"/>
      <c r="T490" s="315"/>
      <c r="U490" s="315"/>
      <c r="V490" s="316"/>
    </row>
    <row r="491" spans="1:22" ht="15.75" thickBot="1">
      <c r="A491" s="311"/>
      <c r="B491" s="325"/>
      <c r="C491" s="326"/>
      <c r="D491" s="327"/>
      <c r="E491" s="327"/>
      <c r="F491" s="327"/>
      <c r="G491" s="327"/>
      <c r="H491" s="327"/>
      <c r="I491" s="327"/>
      <c r="J491" s="328"/>
      <c r="K491" s="328"/>
      <c r="L491" s="327"/>
      <c r="M491" s="327"/>
      <c r="N491" s="327"/>
      <c r="O491" s="328"/>
      <c r="P491" s="328"/>
      <c r="Q491" s="327"/>
      <c r="R491" s="328"/>
      <c r="S491" s="328"/>
      <c r="T491" s="328"/>
      <c r="U491" s="328"/>
      <c r="V491" s="316"/>
    </row>
    <row r="492" spans="1:22" ht="15.75" thickTop="1">
      <c r="A492" s="311"/>
      <c r="B492" s="312"/>
      <c r="C492" s="313"/>
      <c r="D492" s="314"/>
      <c r="E492" s="314"/>
      <c r="F492" s="314"/>
      <c r="G492" s="314"/>
      <c r="H492" s="314"/>
      <c r="I492" s="314"/>
      <c r="J492" s="315"/>
      <c r="K492" s="315"/>
      <c r="L492" s="314"/>
      <c r="M492" s="314"/>
      <c r="N492" s="314"/>
      <c r="O492" s="315"/>
      <c r="P492" s="315"/>
      <c r="Q492" s="314"/>
      <c r="R492" s="315"/>
      <c r="S492" s="315"/>
      <c r="T492" s="315"/>
      <c r="U492" s="315"/>
      <c r="V492" s="316"/>
    </row>
    <row r="493" spans="1:22">
      <c r="A493" s="311"/>
      <c r="B493" s="312"/>
      <c r="C493" s="313"/>
      <c r="D493" s="314"/>
      <c r="E493" s="314"/>
      <c r="F493" s="314"/>
      <c r="G493" s="314"/>
      <c r="H493" s="314"/>
      <c r="I493" s="314"/>
      <c r="J493" s="315"/>
      <c r="K493" s="315"/>
      <c r="L493" s="314"/>
      <c r="M493" s="314"/>
      <c r="N493" s="314"/>
      <c r="O493" s="315"/>
      <c r="P493" s="315"/>
      <c r="Q493" s="314"/>
      <c r="R493" s="315"/>
      <c r="S493" s="315"/>
      <c r="T493" s="315"/>
      <c r="U493" s="315"/>
      <c r="V493" s="316"/>
    </row>
    <row r="494" spans="1:22">
      <c r="A494" s="311"/>
      <c r="B494" s="317"/>
      <c r="C494" s="318"/>
      <c r="D494" s="319"/>
      <c r="E494" s="319"/>
      <c r="F494" s="321"/>
      <c r="G494" s="321"/>
      <c r="H494" s="321"/>
      <c r="I494" s="319"/>
      <c r="J494" s="320"/>
      <c r="K494" s="320"/>
      <c r="L494" s="319"/>
      <c r="M494" s="319"/>
      <c r="N494" s="319"/>
      <c r="O494" s="320"/>
      <c r="P494" s="320"/>
      <c r="Q494" s="319"/>
      <c r="R494" s="320"/>
      <c r="S494" s="320"/>
      <c r="T494" s="320"/>
      <c r="U494" s="320"/>
      <c r="V494" s="316"/>
    </row>
    <row r="495" spans="1:22">
      <c r="A495" s="311"/>
      <c r="B495" s="291"/>
      <c r="C495" s="308"/>
      <c r="D495" s="309"/>
      <c r="E495" s="309"/>
      <c r="F495" s="309"/>
      <c r="G495" s="309"/>
      <c r="H495" s="309"/>
      <c r="I495" s="309"/>
      <c r="J495" s="310"/>
      <c r="K495" s="310"/>
      <c r="L495" s="309"/>
      <c r="M495" s="309"/>
      <c r="N495" s="309"/>
      <c r="O495" s="310"/>
      <c r="P495" s="310"/>
      <c r="Q495" s="309"/>
      <c r="R495" s="310"/>
      <c r="S495" s="310"/>
      <c r="T495" s="310"/>
      <c r="U495" s="310"/>
      <c r="V495" s="316"/>
    </row>
    <row r="496" spans="1:22">
      <c r="A496" s="311"/>
      <c r="B496" s="312"/>
      <c r="C496" s="313"/>
      <c r="D496" s="314"/>
      <c r="E496" s="314"/>
      <c r="F496" s="314"/>
      <c r="G496" s="314"/>
      <c r="H496" s="314"/>
      <c r="I496" s="314"/>
      <c r="J496" s="315"/>
      <c r="K496" s="315"/>
      <c r="L496" s="314"/>
      <c r="M496" s="314"/>
      <c r="N496" s="314"/>
      <c r="O496" s="315"/>
      <c r="P496" s="315"/>
      <c r="Q496" s="314"/>
      <c r="R496" s="315"/>
      <c r="S496" s="315"/>
      <c r="T496" s="315"/>
      <c r="U496" s="315"/>
      <c r="V496" s="316"/>
    </row>
    <row r="497" spans="1:22">
      <c r="A497" s="311"/>
      <c r="B497" s="317"/>
      <c r="C497" s="318"/>
      <c r="D497" s="319"/>
      <c r="E497" s="321"/>
      <c r="F497" s="321"/>
      <c r="G497" s="319"/>
      <c r="H497" s="319"/>
      <c r="I497" s="319"/>
      <c r="J497" s="320"/>
      <c r="K497" s="320"/>
      <c r="L497" s="319"/>
      <c r="M497" s="319"/>
      <c r="N497" s="319"/>
      <c r="O497" s="320"/>
      <c r="P497" s="320"/>
      <c r="Q497" s="319"/>
      <c r="R497" s="320"/>
      <c r="S497" s="320"/>
      <c r="T497" s="320"/>
      <c r="U497" s="320"/>
      <c r="V497" s="316"/>
    </row>
    <row r="498" spans="1:22">
      <c r="A498" s="311"/>
      <c r="B498" s="291"/>
      <c r="C498" s="308"/>
      <c r="D498" s="309"/>
      <c r="E498" s="309"/>
      <c r="F498" s="309"/>
      <c r="G498" s="309"/>
      <c r="H498" s="309"/>
      <c r="I498" s="309"/>
      <c r="J498" s="310"/>
      <c r="K498" s="310"/>
      <c r="L498" s="309"/>
      <c r="M498" s="309"/>
      <c r="N498" s="309"/>
      <c r="O498" s="310"/>
      <c r="P498" s="310"/>
      <c r="Q498" s="309"/>
      <c r="R498" s="310"/>
      <c r="S498" s="310"/>
      <c r="T498" s="310"/>
      <c r="U498" s="310"/>
      <c r="V498" s="316"/>
    </row>
    <row r="499" spans="1:22">
      <c r="A499" s="311"/>
      <c r="B499" s="312"/>
      <c r="C499" s="313"/>
      <c r="D499" s="314"/>
      <c r="E499" s="314"/>
      <c r="F499" s="314"/>
      <c r="G499" s="314"/>
      <c r="H499" s="314"/>
      <c r="I499" s="314"/>
      <c r="J499" s="315"/>
      <c r="K499" s="315"/>
      <c r="L499" s="314"/>
      <c r="M499" s="314"/>
      <c r="N499" s="314"/>
      <c r="O499" s="315"/>
      <c r="P499" s="315"/>
      <c r="Q499" s="314"/>
      <c r="R499" s="315"/>
      <c r="S499" s="315"/>
      <c r="T499" s="315"/>
      <c r="U499" s="315"/>
      <c r="V499" s="316"/>
    </row>
    <row r="500" spans="1:22">
      <c r="A500" s="311"/>
      <c r="B500" s="317"/>
      <c r="C500" s="318"/>
      <c r="D500" s="319"/>
      <c r="E500" s="321"/>
      <c r="F500" s="319"/>
      <c r="G500" s="321"/>
      <c r="H500" s="321"/>
      <c r="I500" s="319"/>
      <c r="J500" s="320"/>
      <c r="K500" s="320"/>
      <c r="L500" s="319"/>
      <c r="M500" s="319"/>
      <c r="N500" s="319"/>
      <c r="O500" s="320"/>
      <c r="P500" s="320"/>
      <c r="Q500" s="319"/>
      <c r="R500" s="320"/>
      <c r="S500" s="320"/>
      <c r="T500" s="320"/>
      <c r="U500" s="320"/>
      <c r="V500" s="316"/>
    </row>
    <row r="501" spans="1:22">
      <c r="A501" s="311"/>
      <c r="B501" s="291"/>
      <c r="C501" s="308"/>
      <c r="D501" s="309"/>
      <c r="E501" s="309"/>
      <c r="F501" s="309"/>
      <c r="G501" s="309"/>
      <c r="H501" s="309"/>
      <c r="I501" s="309"/>
      <c r="J501" s="310"/>
      <c r="K501" s="310"/>
      <c r="L501" s="309"/>
      <c r="M501" s="309"/>
      <c r="N501" s="309"/>
      <c r="O501" s="310"/>
      <c r="P501" s="310"/>
      <c r="Q501" s="309"/>
      <c r="R501" s="310"/>
      <c r="S501" s="310"/>
      <c r="T501" s="310"/>
      <c r="U501" s="310"/>
      <c r="V501" s="316"/>
    </row>
    <row r="502" spans="1:22">
      <c r="A502" s="311"/>
      <c r="B502" s="312"/>
      <c r="C502" s="313"/>
      <c r="D502" s="314"/>
      <c r="E502" s="314"/>
      <c r="F502" s="314"/>
      <c r="G502" s="314"/>
      <c r="H502" s="322"/>
      <c r="I502" s="314"/>
      <c r="J502" s="315"/>
      <c r="K502" s="315"/>
      <c r="L502" s="314"/>
      <c r="M502" s="314"/>
      <c r="N502" s="314"/>
      <c r="O502" s="315"/>
      <c r="P502" s="315"/>
      <c r="Q502" s="314"/>
      <c r="R502" s="315"/>
      <c r="S502" s="315"/>
      <c r="T502" s="315"/>
      <c r="U502" s="315"/>
      <c r="V502" s="316"/>
    </row>
    <row r="503" spans="1:22">
      <c r="A503" s="311"/>
      <c r="B503" s="317"/>
      <c r="C503" s="318"/>
      <c r="D503" s="319"/>
      <c r="E503" s="319"/>
      <c r="F503" s="319"/>
      <c r="G503" s="319"/>
      <c r="H503" s="321"/>
      <c r="I503" s="319"/>
      <c r="J503" s="320"/>
      <c r="K503" s="320"/>
      <c r="L503" s="319"/>
      <c r="M503" s="319"/>
      <c r="N503" s="319"/>
      <c r="O503" s="320"/>
      <c r="P503" s="320"/>
      <c r="Q503" s="319"/>
      <c r="R503" s="320"/>
      <c r="S503" s="320"/>
      <c r="T503" s="320"/>
      <c r="U503" s="320"/>
      <c r="V503" s="316"/>
    </row>
    <row r="504" spans="1:22">
      <c r="A504" s="311"/>
      <c r="B504" s="291"/>
      <c r="C504" s="308"/>
      <c r="D504" s="309"/>
      <c r="E504" s="309"/>
      <c r="F504" s="309"/>
      <c r="G504" s="309"/>
      <c r="H504" s="309"/>
      <c r="I504" s="309"/>
      <c r="J504" s="310"/>
      <c r="K504" s="310"/>
      <c r="L504" s="309"/>
      <c r="M504" s="309"/>
      <c r="N504" s="309"/>
      <c r="O504" s="310"/>
      <c r="P504" s="310"/>
      <c r="Q504" s="309"/>
      <c r="R504" s="310"/>
      <c r="S504" s="310"/>
      <c r="T504" s="310"/>
      <c r="U504" s="310"/>
      <c r="V504" s="316"/>
    </row>
    <row r="505" spans="1:22">
      <c r="A505" s="311"/>
      <c r="B505" s="312"/>
      <c r="C505" s="313"/>
      <c r="D505" s="314"/>
      <c r="E505" s="314"/>
      <c r="F505" s="314"/>
      <c r="G505" s="314"/>
      <c r="H505" s="314"/>
      <c r="I505" s="314"/>
      <c r="J505" s="315"/>
      <c r="K505" s="315"/>
      <c r="L505" s="314"/>
      <c r="M505" s="314"/>
      <c r="N505" s="314"/>
      <c r="O505" s="315"/>
      <c r="P505" s="315"/>
      <c r="Q505" s="314"/>
      <c r="R505" s="315"/>
      <c r="S505" s="315"/>
      <c r="T505" s="315"/>
      <c r="U505" s="315"/>
      <c r="V505" s="316"/>
    </row>
    <row r="506" spans="1:22">
      <c r="A506" s="311"/>
      <c r="B506" s="317"/>
      <c r="C506" s="318"/>
      <c r="D506" s="319"/>
      <c r="E506" s="319"/>
      <c r="F506" s="319"/>
      <c r="G506" s="319"/>
      <c r="H506" s="319"/>
      <c r="I506" s="319"/>
      <c r="J506" s="320"/>
      <c r="K506" s="320"/>
      <c r="L506" s="319"/>
      <c r="M506" s="319"/>
      <c r="N506" s="319"/>
      <c r="O506" s="320"/>
      <c r="P506" s="320"/>
      <c r="Q506" s="319"/>
      <c r="R506" s="320"/>
      <c r="S506" s="320"/>
      <c r="T506" s="320"/>
      <c r="U506" s="320"/>
      <c r="V506" s="316"/>
    </row>
    <row r="507" spans="1:22">
      <c r="A507" s="311"/>
      <c r="B507" s="291"/>
      <c r="C507" s="308"/>
      <c r="D507" s="309"/>
      <c r="E507" s="309"/>
      <c r="F507" s="309"/>
      <c r="G507" s="309"/>
      <c r="H507" s="309"/>
      <c r="I507" s="309"/>
      <c r="J507" s="310"/>
      <c r="K507" s="310"/>
      <c r="L507" s="309"/>
      <c r="M507" s="309"/>
      <c r="N507" s="309"/>
      <c r="O507" s="310"/>
      <c r="P507" s="310"/>
      <c r="Q507" s="309"/>
      <c r="R507" s="310"/>
      <c r="S507" s="310"/>
      <c r="T507" s="310"/>
      <c r="U507" s="310"/>
      <c r="V507" s="316"/>
    </row>
    <row r="508" spans="1:22">
      <c r="A508" s="311"/>
      <c r="B508" s="312"/>
      <c r="C508" s="313"/>
      <c r="D508" s="314"/>
      <c r="E508" s="314"/>
      <c r="F508" s="314"/>
      <c r="G508" s="314"/>
      <c r="H508" s="314"/>
      <c r="I508" s="314"/>
      <c r="J508" s="315"/>
      <c r="K508" s="315"/>
      <c r="L508" s="314"/>
      <c r="M508" s="314"/>
      <c r="N508" s="314"/>
      <c r="O508" s="315"/>
      <c r="P508" s="315"/>
      <c r="Q508" s="314"/>
      <c r="R508" s="315"/>
      <c r="S508" s="315"/>
      <c r="T508" s="315"/>
      <c r="U508" s="315"/>
      <c r="V508" s="316"/>
    </row>
    <row r="509" spans="1:22" ht="15.75" thickBot="1">
      <c r="A509" s="329"/>
      <c r="B509" s="330"/>
      <c r="C509" s="331"/>
      <c r="D509" s="332"/>
      <c r="E509" s="332"/>
      <c r="F509" s="332"/>
      <c r="G509" s="332"/>
      <c r="H509" s="332"/>
      <c r="I509" s="332"/>
      <c r="J509" s="333"/>
      <c r="K509" s="333"/>
      <c r="L509" s="332"/>
      <c r="M509" s="332"/>
      <c r="N509" s="332"/>
      <c r="O509" s="333"/>
      <c r="P509" s="333"/>
      <c r="Q509" s="332"/>
      <c r="R509" s="333"/>
      <c r="S509" s="333"/>
      <c r="T509" s="333"/>
      <c r="U509" s="333"/>
      <c r="V509" s="316"/>
    </row>
    <row r="510" spans="1:22">
      <c r="A510" s="307"/>
      <c r="B510" s="291"/>
      <c r="C510" s="308"/>
      <c r="D510" s="309"/>
      <c r="E510" s="309"/>
      <c r="F510" s="309"/>
      <c r="G510" s="309"/>
      <c r="H510" s="309"/>
      <c r="I510" s="309"/>
      <c r="J510" s="310"/>
      <c r="K510" s="310"/>
      <c r="L510" s="309"/>
      <c r="M510" s="309"/>
      <c r="N510" s="309"/>
      <c r="O510" s="310"/>
      <c r="P510" s="310"/>
      <c r="Q510" s="309"/>
      <c r="R510" s="310"/>
      <c r="S510" s="310"/>
      <c r="T510" s="310"/>
      <c r="U510" s="310"/>
      <c r="V510" s="316"/>
    </row>
    <row r="511" spans="1:22">
      <c r="A511" s="311"/>
      <c r="B511" s="312"/>
      <c r="C511" s="313"/>
      <c r="D511" s="314"/>
      <c r="E511" s="314"/>
      <c r="F511" s="314"/>
      <c r="G511" s="314"/>
      <c r="H511" s="314"/>
      <c r="I511" s="314"/>
      <c r="J511" s="315"/>
      <c r="K511" s="315"/>
      <c r="L511" s="314"/>
      <c r="M511" s="314"/>
      <c r="N511" s="314"/>
      <c r="O511" s="315"/>
      <c r="P511" s="315"/>
      <c r="Q511" s="314"/>
      <c r="R511" s="315"/>
      <c r="S511" s="315"/>
      <c r="T511" s="315"/>
      <c r="U511" s="315"/>
      <c r="V511" s="316"/>
    </row>
    <row r="512" spans="1:22">
      <c r="A512" s="311"/>
      <c r="B512" s="317"/>
      <c r="C512" s="318"/>
      <c r="D512" s="319"/>
      <c r="E512" s="319"/>
      <c r="F512" s="319"/>
      <c r="G512" s="319"/>
      <c r="H512" s="319"/>
      <c r="I512" s="319"/>
      <c r="J512" s="320"/>
      <c r="K512" s="320"/>
      <c r="L512" s="319"/>
      <c r="M512" s="319"/>
      <c r="N512" s="319"/>
      <c r="O512" s="320"/>
      <c r="P512" s="320"/>
      <c r="Q512" s="319"/>
      <c r="R512" s="320"/>
      <c r="S512" s="320"/>
      <c r="T512" s="320"/>
      <c r="U512" s="320"/>
      <c r="V512" s="316"/>
    </row>
    <row r="513" spans="1:22">
      <c r="A513" s="311"/>
      <c r="B513" s="291"/>
      <c r="C513" s="308"/>
      <c r="D513" s="309"/>
      <c r="E513" s="309"/>
      <c r="F513" s="309"/>
      <c r="G513" s="309"/>
      <c r="H513" s="309"/>
      <c r="I513" s="309"/>
      <c r="J513" s="310"/>
      <c r="K513" s="310"/>
      <c r="L513" s="309"/>
      <c r="M513" s="309"/>
      <c r="N513" s="309"/>
      <c r="O513" s="310"/>
      <c r="P513" s="310"/>
      <c r="Q513" s="309"/>
      <c r="R513" s="310"/>
      <c r="S513" s="310"/>
      <c r="T513" s="310"/>
      <c r="U513" s="310"/>
      <c r="V513" s="316"/>
    </row>
    <row r="514" spans="1:22">
      <c r="A514" s="311"/>
      <c r="B514" s="312"/>
      <c r="C514" s="313"/>
      <c r="D514" s="314"/>
      <c r="E514" s="314"/>
      <c r="F514" s="314"/>
      <c r="G514" s="314"/>
      <c r="H514" s="314"/>
      <c r="I514" s="314"/>
      <c r="J514" s="315"/>
      <c r="K514" s="315"/>
      <c r="L514" s="314"/>
      <c r="M514" s="314"/>
      <c r="N514" s="314"/>
      <c r="O514" s="315"/>
      <c r="P514" s="315"/>
      <c r="Q514" s="314"/>
      <c r="R514" s="315"/>
      <c r="S514" s="315"/>
      <c r="T514" s="315"/>
      <c r="U514" s="315"/>
      <c r="V514" s="316"/>
    </row>
    <row r="515" spans="1:22">
      <c r="A515" s="311"/>
      <c r="B515" s="317"/>
      <c r="C515" s="318"/>
      <c r="D515" s="319"/>
      <c r="E515" s="319"/>
      <c r="F515" s="319"/>
      <c r="G515" s="319"/>
      <c r="H515" s="319"/>
      <c r="I515" s="319"/>
      <c r="J515" s="320"/>
      <c r="K515" s="320"/>
      <c r="L515" s="319"/>
      <c r="M515" s="319"/>
      <c r="N515" s="319"/>
      <c r="O515" s="320"/>
      <c r="P515" s="320"/>
      <c r="Q515" s="319"/>
      <c r="R515" s="320"/>
      <c r="S515" s="320"/>
      <c r="T515" s="320"/>
      <c r="U515" s="320"/>
      <c r="V515" s="316"/>
    </row>
    <row r="516" spans="1:22">
      <c r="A516" s="311"/>
      <c r="B516" s="291"/>
      <c r="C516" s="308"/>
      <c r="D516" s="309"/>
      <c r="E516" s="309"/>
      <c r="F516" s="309"/>
      <c r="G516" s="309"/>
      <c r="H516" s="309"/>
      <c r="I516" s="309"/>
      <c r="J516" s="310"/>
      <c r="K516" s="310"/>
      <c r="L516" s="309"/>
      <c r="M516" s="309"/>
      <c r="N516" s="309"/>
      <c r="O516" s="310"/>
      <c r="P516" s="310"/>
      <c r="Q516" s="309"/>
      <c r="R516" s="310"/>
      <c r="S516" s="310"/>
      <c r="T516" s="310"/>
      <c r="U516" s="310"/>
      <c r="V516" s="316"/>
    </row>
    <row r="517" spans="1:22">
      <c r="A517" s="311"/>
      <c r="B517" s="312"/>
      <c r="C517" s="313"/>
      <c r="D517" s="314"/>
      <c r="E517" s="314"/>
      <c r="F517" s="314"/>
      <c r="G517" s="314"/>
      <c r="H517" s="314"/>
      <c r="I517" s="314"/>
      <c r="J517" s="315"/>
      <c r="K517" s="315"/>
      <c r="L517" s="314"/>
      <c r="M517" s="314"/>
      <c r="N517" s="314"/>
      <c r="O517" s="315"/>
      <c r="P517" s="315"/>
      <c r="Q517" s="314"/>
      <c r="R517" s="315"/>
      <c r="S517" s="315"/>
      <c r="T517" s="315"/>
      <c r="U517" s="315"/>
      <c r="V517" s="316"/>
    </row>
    <row r="518" spans="1:22">
      <c r="A518" s="311"/>
      <c r="B518" s="317"/>
      <c r="C518" s="318"/>
      <c r="D518" s="319"/>
      <c r="E518" s="319"/>
      <c r="F518" s="319"/>
      <c r="G518" s="319"/>
      <c r="H518" s="319"/>
      <c r="I518" s="319"/>
      <c r="J518" s="320"/>
      <c r="K518" s="320"/>
      <c r="L518" s="319"/>
      <c r="M518" s="319"/>
      <c r="N518" s="319"/>
      <c r="O518" s="320"/>
      <c r="P518" s="320"/>
      <c r="Q518" s="319"/>
      <c r="R518" s="320"/>
      <c r="S518" s="320"/>
      <c r="T518" s="320"/>
      <c r="U518" s="320"/>
      <c r="V518" s="316"/>
    </row>
    <row r="519" spans="1:22">
      <c r="A519" s="311"/>
      <c r="B519" s="291"/>
      <c r="C519" s="308"/>
      <c r="D519" s="309"/>
      <c r="E519" s="309"/>
      <c r="F519" s="309"/>
      <c r="G519" s="309"/>
      <c r="H519" s="309"/>
      <c r="I519" s="309"/>
      <c r="J519" s="310"/>
      <c r="K519" s="310"/>
      <c r="L519" s="309"/>
      <c r="M519" s="309"/>
      <c r="N519" s="309"/>
      <c r="O519" s="310"/>
      <c r="P519" s="310"/>
      <c r="Q519" s="309"/>
      <c r="R519" s="310"/>
      <c r="S519" s="310"/>
      <c r="T519" s="310"/>
      <c r="U519" s="310"/>
      <c r="V519" s="316"/>
    </row>
    <row r="520" spans="1:22">
      <c r="A520" s="311"/>
      <c r="B520" s="312"/>
      <c r="C520" s="313"/>
      <c r="D520" s="314"/>
      <c r="E520" s="314"/>
      <c r="F520" s="314"/>
      <c r="G520" s="314"/>
      <c r="H520" s="314"/>
      <c r="I520" s="314"/>
      <c r="J520" s="315"/>
      <c r="K520" s="315"/>
      <c r="L520" s="314"/>
      <c r="M520" s="314"/>
      <c r="N520" s="314"/>
      <c r="O520" s="315"/>
      <c r="P520" s="315"/>
      <c r="Q520" s="314"/>
      <c r="R520" s="315"/>
      <c r="S520" s="315"/>
      <c r="T520" s="315"/>
      <c r="U520" s="315"/>
      <c r="V520" s="316"/>
    </row>
    <row r="521" spans="1:22">
      <c r="A521" s="311"/>
      <c r="B521" s="317"/>
      <c r="C521" s="318"/>
      <c r="D521" s="319"/>
      <c r="E521" s="319"/>
      <c r="F521" s="319"/>
      <c r="G521" s="319"/>
      <c r="H521" s="319"/>
      <c r="I521" s="319"/>
      <c r="J521" s="320"/>
      <c r="K521" s="320"/>
      <c r="L521" s="319"/>
      <c r="M521" s="319"/>
      <c r="N521" s="319"/>
      <c r="O521" s="320"/>
      <c r="P521" s="320"/>
      <c r="Q521" s="319"/>
      <c r="R521" s="320"/>
      <c r="S521" s="320"/>
      <c r="T521" s="320"/>
      <c r="U521" s="320"/>
      <c r="V521" s="316"/>
    </row>
    <row r="522" spans="1:22">
      <c r="A522" s="311"/>
      <c r="B522" s="291"/>
      <c r="C522" s="308"/>
      <c r="D522" s="309"/>
      <c r="E522" s="309"/>
      <c r="F522" s="309"/>
      <c r="G522" s="309"/>
      <c r="H522" s="309"/>
      <c r="I522" s="309"/>
      <c r="J522" s="310"/>
      <c r="K522" s="310"/>
      <c r="L522" s="309"/>
      <c r="M522" s="309"/>
      <c r="N522" s="309"/>
      <c r="O522" s="310"/>
      <c r="P522" s="310"/>
      <c r="Q522" s="309"/>
      <c r="R522" s="310"/>
      <c r="S522" s="310"/>
      <c r="T522" s="310"/>
      <c r="U522" s="310"/>
      <c r="V522" s="316"/>
    </row>
    <row r="523" spans="1:22">
      <c r="A523" s="311"/>
      <c r="B523" s="312"/>
      <c r="C523" s="313"/>
      <c r="D523" s="314"/>
      <c r="E523" s="314"/>
      <c r="F523" s="314"/>
      <c r="G523" s="314"/>
      <c r="H523" s="314"/>
      <c r="I523" s="314"/>
      <c r="J523" s="315"/>
      <c r="K523" s="315"/>
      <c r="L523" s="314"/>
      <c r="M523" s="314"/>
      <c r="N523" s="314"/>
      <c r="O523" s="315"/>
      <c r="P523" s="315"/>
      <c r="Q523" s="314"/>
      <c r="R523" s="315"/>
      <c r="S523" s="315"/>
      <c r="T523" s="315"/>
      <c r="U523" s="315"/>
      <c r="V523" s="316"/>
    </row>
    <row r="524" spans="1:22">
      <c r="A524" s="311"/>
      <c r="B524" s="317"/>
      <c r="C524" s="318"/>
      <c r="D524" s="319"/>
      <c r="E524" s="319"/>
      <c r="F524" s="319"/>
      <c r="G524" s="319"/>
      <c r="H524" s="319"/>
      <c r="I524" s="319"/>
      <c r="J524" s="320"/>
      <c r="K524" s="320"/>
      <c r="L524" s="319"/>
      <c r="M524" s="319"/>
      <c r="N524" s="319"/>
      <c r="O524" s="320"/>
      <c r="P524" s="320"/>
      <c r="Q524" s="319"/>
      <c r="R524" s="320"/>
      <c r="S524" s="320"/>
      <c r="T524" s="320"/>
      <c r="U524" s="320"/>
      <c r="V524" s="316"/>
    </row>
    <row r="525" spans="1:22">
      <c r="A525" s="311"/>
      <c r="B525" s="291"/>
      <c r="C525" s="308"/>
      <c r="D525" s="309"/>
      <c r="E525" s="309"/>
      <c r="F525" s="309"/>
      <c r="G525" s="309"/>
      <c r="H525" s="309"/>
      <c r="I525" s="309"/>
      <c r="J525" s="310"/>
      <c r="K525" s="310"/>
      <c r="L525" s="309"/>
      <c r="M525" s="309"/>
      <c r="N525" s="309"/>
      <c r="O525" s="310"/>
      <c r="P525" s="310"/>
      <c r="Q525" s="309"/>
      <c r="R525" s="310"/>
      <c r="S525" s="310"/>
      <c r="T525" s="310"/>
      <c r="U525" s="310"/>
      <c r="V525" s="316"/>
    </row>
    <row r="526" spans="1:22">
      <c r="A526" s="311"/>
      <c r="B526" s="312"/>
      <c r="C526" s="313"/>
      <c r="D526" s="314"/>
      <c r="E526" s="314"/>
      <c r="F526" s="314"/>
      <c r="G526" s="314"/>
      <c r="H526" s="314"/>
      <c r="I526" s="314"/>
      <c r="J526" s="315"/>
      <c r="K526" s="315"/>
      <c r="L526" s="314"/>
      <c r="M526" s="314"/>
      <c r="N526" s="314"/>
      <c r="O526" s="315"/>
      <c r="P526" s="315"/>
      <c r="Q526" s="314"/>
      <c r="R526" s="315"/>
      <c r="S526" s="315"/>
      <c r="T526" s="315"/>
      <c r="U526" s="315"/>
      <c r="V526" s="316"/>
    </row>
    <row r="527" spans="1:22" ht="15.75" thickBot="1">
      <c r="A527" s="311"/>
      <c r="B527" s="325"/>
      <c r="C527" s="326"/>
      <c r="D527" s="327"/>
      <c r="E527" s="327"/>
      <c r="F527" s="327"/>
      <c r="G527" s="327"/>
      <c r="H527" s="327"/>
      <c r="I527" s="327"/>
      <c r="J527" s="328"/>
      <c r="K527" s="328"/>
      <c r="L527" s="327"/>
      <c r="M527" s="327"/>
      <c r="N527" s="327"/>
      <c r="O527" s="328"/>
      <c r="P527" s="328"/>
      <c r="Q527" s="327"/>
      <c r="R527" s="328"/>
      <c r="S527" s="328"/>
      <c r="T527" s="328"/>
      <c r="U527" s="328"/>
      <c r="V527" s="316"/>
    </row>
    <row r="528" spans="1:22" ht="15.75" thickTop="1">
      <c r="A528" s="311"/>
      <c r="B528" s="312"/>
      <c r="C528" s="313"/>
      <c r="D528" s="314"/>
      <c r="E528" s="314"/>
      <c r="F528" s="314"/>
      <c r="G528" s="314"/>
      <c r="H528" s="314"/>
      <c r="I528" s="314"/>
      <c r="J528" s="315"/>
      <c r="K528" s="315"/>
      <c r="L528" s="314"/>
      <c r="M528" s="314"/>
      <c r="N528" s="314"/>
      <c r="O528" s="315"/>
      <c r="P528" s="315"/>
      <c r="Q528" s="314"/>
      <c r="R528" s="315"/>
      <c r="S528" s="315"/>
      <c r="T528" s="315"/>
      <c r="U528" s="315"/>
      <c r="V528" s="316"/>
    </row>
    <row r="529" spans="1:22">
      <c r="A529" s="311"/>
      <c r="B529" s="312"/>
      <c r="C529" s="313"/>
      <c r="D529" s="314"/>
      <c r="E529" s="314"/>
      <c r="F529" s="314"/>
      <c r="G529" s="314"/>
      <c r="H529" s="314"/>
      <c r="I529" s="314"/>
      <c r="J529" s="315"/>
      <c r="K529" s="315"/>
      <c r="L529" s="314"/>
      <c r="M529" s="314"/>
      <c r="N529" s="314"/>
      <c r="O529" s="315"/>
      <c r="P529" s="315"/>
      <c r="Q529" s="314"/>
      <c r="R529" s="315"/>
      <c r="S529" s="315"/>
      <c r="T529" s="315"/>
      <c r="U529" s="315"/>
      <c r="V529" s="316"/>
    </row>
    <row r="530" spans="1:22">
      <c r="A530" s="311"/>
      <c r="B530" s="317"/>
      <c r="C530" s="318"/>
      <c r="D530" s="319"/>
      <c r="E530" s="319"/>
      <c r="F530" s="319"/>
      <c r="G530" s="319"/>
      <c r="H530" s="319"/>
      <c r="I530" s="319"/>
      <c r="J530" s="320"/>
      <c r="K530" s="320"/>
      <c r="L530" s="319"/>
      <c r="M530" s="319"/>
      <c r="N530" s="319"/>
      <c r="O530" s="320"/>
      <c r="P530" s="320"/>
      <c r="Q530" s="319"/>
      <c r="R530" s="320"/>
      <c r="S530" s="320"/>
      <c r="T530" s="320"/>
      <c r="U530" s="320"/>
      <c r="V530" s="316"/>
    </row>
    <row r="531" spans="1:22">
      <c r="A531" s="311"/>
      <c r="B531" s="291"/>
      <c r="C531" s="308"/>
      <c r="D531" s="309"/>
      <c r="E531" s="309"/>
      <c r="F531" s="309"/>
      <c r="G531" s="309"/>
      <c r="H531" s="309"/>
      <c r="I531" s="309"/>
      <c r="J531" s="310"/>
      <c r="K531" s="310"/>
      <c r="L531" s="309"/>
      <c r="M531" s="309"/>
      <c r="N531" s="309"/>
      <c r="O531" s="310"/>
      <c r="P531" s="310"/>
      <c r="Q531" s="309"/>
      <c r="R531" s="310"/>
      <c r="S531" s="310"/>
      <c r="T531" s="310"/>
      <c r="U531" s="310"/>
      <c r="V531" s="316"/>
    </row>
    <row r="532" spans="1:22">
      <c r="A532" s="311"/>
      <c r="B532" s="312"/>
      <c r="C532" s="313"/>
      <c r="D532" s="314"/>
      <c r="E532" s="314"/>
      <c r="F532" s="314"/>
      <c r="G532" s="314"/>
      <c r="H532" s="314"/>
      <c r="I532" s="314"/>
      <c r="J532" s="315"/>
      <c r="K532" s="315"/>
      <c r="L532" s="314"/>
      <c r="M532" s="314"/>
      <c r="N532" s="314"/>
      <c r="O532" s="315"/>
      <c r="P532" s="315"/>
      <c r="Q532" s="314"/>
      <c r="R532" s="315"/>
      <c r="S532" s="315"/>
      <c r="T532" s="315"/>
      <c r="U532" s="315"/>
      <c r="V532" s="316"/>
    </row>
    <row r="533" spans="1:22">
      <c r="A533" s="311"/>
      <c r="B533" s="317"/>
      <c r="C533" s="318"/>
      <c r="D533" s="319"/>
      <c r="E533" s="319"/>
      <c r="F533" s="319"/>
      <c r="G533" s="319"/>
      <c r="H533" s="319"/>
      <c r="I533" s="319"/>
      <c r="J533" s="320"/>
      <c r="K533" s="320"/>
      <c r="L533" s="319"/>
      <c r="M533" s="319"/>
      <c r="N533" s="319"/>
      <c r="O533" s="320"/>
      <c r="P533" s="320"/>
      <c r="Q533" s="319"/>
      <c r="R533" s="320"/>
      <c r="S533" s="320"/>
      <c r="T533" s="320"/>
      <c r="U533" s="320"/>
      <c r="V533" s="316"/>
    </row>
    <row r="534" spans="1:22">
      <c r="A534" s="311"/>
      <c r="B534" s="291"/>
      <c r="C534" s="308"/>
      <c r="D534" s="309"/>
      <c r="E534" s="309"/>
      <c r="F534" s="309"/>
      <c r="G534" s="309"/>
      <c r="H534" s="309"/>
      <c r="I534" s="309"/>
      <c r="J534" s="310"/>
      <c r="K534" s="310"/>
      <c r="L534" s="309"/>
      <c r="M534" s="309"/>
      <c r="N534" s="309"/>
      <c r="O534" s="310"/>
      <c r="P534" s="310"/>
      <c r="Q534" s="309"/>
      <c r="R534" s="310"/>
      <c r="S534" s="310"/>
      <c r="T534" s="310"/>
      <c r="U534" s="310"/>
      <c r="V534" s="316"/>
    </row>
    <row r="535" spans="1:22">
      <c r="A535" s="311"/>
      <c r="B535" s="312"/>
      <c r="C535" s="313"/>
      <c r="D535" s="322"/>
      <c r="E535" s="314"/>
      <c r="F535" s="314"/>
      <c r="G535" s="314"/>
      <c r="H535" s="314"/>
      <c r="I535" s="314"/>
      <c r="J535" s="315"/>
      <c r="K535" s="315"/>
      <c r="L535" s="314"/>
      <c r="M535" s="314"/>
      <c r="N535" s="314"/>
      <c r="O535" s="315"/>
      <c r="P535" s="315"/>
      <c r="Q535" s="314"/>
      <c r="R535" s="315"/>
      <c r="S535" s="315"/>
      <c r="T535" s="315"/>
      <c r="U535" s="315"/>
      <c r="V535" s="316"/>
    </row>
    <row r="536" spans="1:22">
      <c r="A536" s="311"/>
      <c r="B536" s="317"/>
      <c r="C536" s="318"/>
      <c r="D536" s="319"/>
      <c r="E536" s="319"/>
      <c r="F536" s="319"/>
      <c r="G536" s="319"/>
      <c r="H536" s="319"/>
      <c r="I536" s="319"/>
      <c r="J536" s="320"/>
      <c r="K536" s="320"/>
      <c r="L536" s="319"/>
      <c r="M536" s="319"/>
      <c r="N536" s="319"/>
      <c r="O536" s="320"/>
      <c r="P536" s="320"/>
      <c r="Q536" s="319"/>
      <c r="R536" s="320"/>
      <c r="S536" s="320"/>
      <c r="T536" s="320"/>
      <c r="U536" s="320"/>
      <c r="V536" s="316"/>
    </row>
    <row r="537" spans="1:22">
      <c r="A537" s="311"/>
      <c r="B537" s="291"/>
      <c r="C537" s="308"/>
      <c r="D537" s="309"/>
      <c r="E537" s="309"/>
      <c r="F537" s="309"/>
      <c r="G537" s="309"/>
      <c r="H537" s="309"/>
      <c r="I537" s="309"/>
      <c r="J537" s="310"/>
      <c r="K537" s="310"/>
      <c r="L537" s="309"/>
      <c r="M537" s="309"/>
      <c r="N537" s="309"/>
      <c r="O537" s="310"/>
      <c r="P537" s="310"/>
      <c r="Q537" s="309"/>
      <c r="R537" s="310"/>
      <c r="S537" s="310"/>
      <c r="T537" s="310"/>
      <c r="U537" s="310"/>
      <c r="V537" s="316"/>
    </row>
    <row r="538" spans="1:22">
      <c r="A538" s="311"/>
      <c r="B538" s="312"/>
      <c r="C538" s="313"/>
      <c r="D538" s="314"/>
      <c r="E538" s="314"/>
      <c r="F538" s="314"/>
      <c r="G538" s="314"/>
      <c r="H538" s="314"/>
      <c r="I538" s="314"/>
      <c r="J538" s="315"/>
      <c r="K538" s="315"/>
      <c r="L538" s="314"/>
      <c r="M538" s="314"/>
      <c r="N538" s="314"/>
      <c r="O538" s="315"/>
      <c r="P538" s="315"/>
      <c r="Q538" s="314"/>
      <c r="R538" s="315"/>
      <c r="S538" s="315"/>
      <c r="T538" s="315"/>
      <c r="U538" s="315"/>
      <c r="V538" s="316"/>
    </row>
    <row r="539" spans="1:22">
      <c r="A539" s="311"/>
      <c r="B539" s="317"/>
      <c r="C539" s="318"/>
      <c r="D539" s="319"/>
      <c r="E539" s="319"/>
      <c r="F539" s="319"/>
      <c r="G539" s="319"/>
      <c r="H539" s="319"/>
      <c r="I539" s="319"/>
      <c r="J539" s="320"/>
      <c r="K539" s="320"/>
      <c r="L539" s="319"/>
      <c r="M539" s="319"/>
      <c r="N539" s="319"/>
      <c r="O539" s="320"/>
      <c r="P539" s="320"/>
      <c r="Q539" s="319"/>
      <c r="R539" s="320"/>
      <c r="S539" s="320"/>
      <c r="T539" s="320"/>
      <c r="U539" s="320"/>
      <c r="V539" s="316"/>
    </row>
    <row r="540" spans="1:22">
      <c r="A540" s="311"/>
      <c r="B540" s="291"/>
      <c r="C540" s="308"/>
      <c r="D540" s="309"/>
      <c r="E540" s="309"/>
      <c r="F540" s="309"/>
      <c r="G540" s="309"/>
      <c r="H540" s="309"/>
      <c r="I540" s="309"/>
      <c r="J540" s="310"/>
      <c r="K540" s="310"/>
      <c r="L540" s="309"/>
      <c r="M540" s="309"/>
      <c r="N540" s="309"/>
      <c r="O540" s="310"/>
      <c r="P540" s="310"/>
      <c r="Q540" s="309"/>
      <c r="R540" s="310"/>
      <c r="S540" s="310"/>
      <c r="T540" s="310"/>
      <c r="U540" s="310"/>
      <c r="V540" s="316"/>
    </row>
    <row r="541" spans="1:22">
      <c r="A541" s="311"/>
      <c r="B541" s="312"/>
      <c r="C541" s="324"/>
      <c r="D541" s="314"/>
      <c r="E541" s="314"/>
      <c r="F541" s="314"/>
      <c r="G541" s="314"/>
      <c r="H541" s="314"/>
      <c r="I541" s="314"/>
      <c r="J541" s="315"/>
      <c r="K541" s="315"/>
      <c r="L541" s="314"/>
      <c r="M541" s="314"/>
      <c r="N541" s="314"/>
      <c r="O541" s="315"/>
      <c r="P541" s="315"/>
      <c r="Q541" s="314"/>
      <c r="R541" s="315"/>
      <c r="S541" s="315"/>
      <c r="T541" s="315"/>
      <c r="U541" s="315"/>
      <c r="V541" s="316"/>
    </row>
    <row r="542" spans="1:22">
      <c r="A542" s="311"/>
      <c r="B542" s="317"/>
      <c r="C542" s="318"/>
      <c r="D542" s="319"/>
      <c r="E542" s="319"/>
      <c r="F542" s="319"/>
      <c r="G542" s="319"/>
      <c r="H542" s="319"/>
      <c r="I542" s="319"/>
      <c r="J542" s="320"/>
      <c r="K542" s="320"/>
      <c r="L542" s="319"/>
      <c r="M542" s="319"/>
      <c r="N542" s="319"/>
      <c r="O542" s="320"/>
      <c r="P542" s="320"/>
      <c r="Q542" s="319"/>
      <c r="R542" s="320"/>
      <c r="S542" s="320"/>
      <c r="T542" s="320"/>
      <c r="U542" s="320"/>
      <c r="V542" s="316"/>
    </row>
    <row r="543" spans="1:22">
      <c r="A543" s="311"/>
      <c r="B543" s="291"/>
      <c r="C543" s="308"/>
      <c r="D543" s="309"/>
      <c r="E543" s="309"/>
      <c r="F543" s="309"/>
      <c r="G543" s="309"/>
      <c r="H543" s="309"/>
      <c r="I543" s="309"/>
      <c r="J543" s="310"/>
      <c r="K543" s="310"/>
      <c r="L543" s="309"/>
      <c r="M543" s="309"/>
      <c r="N543" s="309"/>
      <c r="O543" s="310"/>
      <c r="P543" s="310"/>
      <c r="Q543" s="309"/>
      <c r="R543" s="310"/>
      <c r="S543" s="310"/>
      <c r="T543" s="310"/>
      <c r="U543" s="310"/>
      <c r="V543" s="316"/>
    </row>
    <row r="544" spans="1:22">
      <c r="A544" s="311"/>
      <c r="B544" s="312"/>
      <c r="C544" s="313"/>
      <c r="D544" s="314"/>
      <c r="E544" s="314"/>
      <c r="F544" s="314"/>
      <c r="G544" s="314"/>
      <c r="H544" s="314"/>
      <c r="I544" s="314"/>
      <c r="J544" s="315"/>
      <c r="K544" s="315"/>
      <c r="L544" s="314"/>
      <c r="M544" s="314"/>
      <c r="N544" s="314"/>
      <c r="O544" s="315"/>
      <c r="P544" s="315"/>
      <c r="Q544" s="314"/>
      <c r="R544" s="315"/>
      <c r="S544" s="315"/>
      <c r="T544" s="315"/>
      <c r="U544" s="315"/>
      <c r="V544" s="316"/>
    </row>
    <row r="545" spans="1:22" ht="15.75" thickBot="1">
      <c r="A545" s="329"/>
      <c r="B545" s="330"/>
      <c r="C545" s="331"/>
      <c r="D545" s="332"/>
      <c r="E545" s="332"/>
      <c r="F545" s="332"/>
      <c r="G545" s="332"/>
      <c r="H545" s="332"/>
      <c r="I545" s="332"/>
      <c r="J545" s="333"/>
      <c r="K545" s="333"/>
      <c r="L545" s="332"/>
      <c r="M545" s="332"/>
      <c r="N545" s="332"/>
      <c r="O545" s="333"/>
      <c r="P545" s="333"/>
      <c r="Q545" s="332"/>
      <c r="R545" s="333"/>
      <c r="S545" s="333"/>
      <c r="T545" s="333"/>
      <c r="U545" s="333"/>
      <c r="V545" s="316"/>
    </row>
    <row r="546" spans="1:22">
      <c r="A546" s="307"/>
      <c r="B546" s="291"/>
      <c r="C546" s="308"/>
      <c r="D546" s="309"/>
      <c r="E546" s="309"/>
      <c r="F546" s="309"/>
      <c r="G546" s="309"/>
      <c r="H546" s="309"/>
      <c r="I546" s="309"/>
      <c r="J546" s="310"/>
      <c r="K546" s="310"/>
      <c r="L546" s="309"/>
      <c r="M546" s="309"/>
      <c r="N546" s="309"/>
      <c r="O546" s="310"/>
      <c r="P546" s="310"/>
      <c r="Q546" s="309"/>
      <c r="R546" s="310"/>
      <c r="S546" s="310"/>
      <c r="T546" s="310"/>
      <c r="U546" s="310"/>
      <c r="V546" s="316"/>
    </row>
    <row r="547" spans="1:22">
      <c r="A547" s="311"/>
      <c r="B547" s="312"/>
      <c r="C547" s="313"/>
      <c r="D547" s="314"/>
      <c r="E547" s="314"/>
      <c r="F547" s="314"/>
      <c r="G547" s="314"/>
      <c r="H547" s="314"/>
      <c r="I547" s="314"/>
      <c r="J547" s="315"/>
      <c r="K547" s="315"/>
      <c r="L547" s="314"/>
      <c r="M547" s="314"/>
      <c r="N547" s="314"/>
      <c r="O547" s="315"/>
      <c r="P547" s="315"/>
      <c r="Q547" s="314"/>
      <c r="R547" s="315"/>
      <c r="S547" s="315"/>
      <c r="T547" s="315"/>
      <c r="U547" s="315"/>
      <c r="V547" s="316"/>
    </row>
    <row r="548" spans="1:22">
      <c r="A548" s="311"/>
      <c r="B548" s="317"/>
      <c r="C548" s="318"/>
      <c r="D548" s="319"/>
      <c r="E548" s="319"/>
      <c r="F548" s="319"/>
      <c r="G548" s="319"/>
      <c r="H548" s="321"/>
      <c r="I548" s="319"/>
      <c r="J548" s="320"/>
      <c r="K548" s="320"/>
      <c r="L548" s="319"/>
      <c r="M548" s="319"/>
      <c r="N548" s="319"/>
      <c r="O548" s="320"/>
      <c r="P548" s="320"/>
      <c r="Q548" s="319"/>
      <c r="R548" s="320"/>
      <c r="S548" s="320"/>
      <c r="T548" s="320"/>
      <c r="U548" s="320"/>
      <c r="V548" s="316"/>
    </row>
    <row r="549" spans="1:22">
      <c r="A549" s="311"/>
      <c r="B549" s="291"/>
      <c r="C549" s="308"/>
      <c r="D549" s="309"/>
      <c r="E549" s="309"/>
      <c r="F549" s="309"/>
      <c r="G549" s="309"/>
      <c r="H549" s="309"/>
      <c r="I549" s="309"/>
      <c r="J549" s="310"/>
      <c r="K549" s="310"/>
      <c r="L549" s="309"/>
      <c r="M549" s="309"/>
      <c r="N549" s="309"/>
      <c r="O549" s="310"/>
      <c r="P549" s="310"/>
      <c r="Q549" s="309"/>
      <c r="R549" s="310"/>
      <c r="S549" s="310"/>
      <c r="T549" s="310"/>
      <c r="U549" s="310"/>
      <c r="V549" s="316"/>
    </row>
    <row r="550" spans="1:22">
      <c r="A550" s="311"/>
      <c r="B550" s="312"/>
      <c r="C550" s="313"/>
      <c r="D550" s="314"/>
      <c r="E550" s="314"/>
      <c r="F550" s="314"/>
      <c r="G550" s="314"/>
      <c r="H550" s="314"/>
      <c r="I550" s="314"/>
      <c r="J550" s="315"/>
      <c r="K550" s="315"/>
      <c r="L550" s="314"/>
      <c r="M550" s="314"/>
      <c r="N550" s="314"/>
      <c r="O550" s="315"/>
      <c r="P550" s="315"/>
      <c r="Q550" s="314"/>
      <c r="R550" s="315"/>
      <c r="S550" s="315"/>
      <c r="T550" s="315"/>
      <c r="U550" s="315"/>
      <c r="V550" s="316"/>
    </row>
    <row r="551" spans="1:22">
      <c r="A551" s="311"/>
      <c r="B551" s="317"/>
      <c r="C551" s="318"/>
      <c r="D551" s="319"/>
      <c r="E551" s="319"/>
      <c r="F551" s="319"/>
      <c r="G551" s="319"/>
      <c r="H551" s="319"/>
      <c r="I551" s="319"/>
      <c r="J551" s="320"/>
      <c r="K551" s="320"/>
      <c r="L551" s="319"/>
      <c r="M551" s="319"/>
      <c r="N551" s="319"/>
      <c r="O551" s="320"/>
      <c r="P551" s="320"/>
      <c r="Q551" s="319"/>
      <c r="R551" s="320"/>
      <c r="S551" s="320"/>
      <c r="T551" s="320"/>
      <c r="U551" s="320"/>
      <c r="V551" s="316"/>
    </row>
    <row r="552" spans="1:22">
      <c r="A552" s="311"/>
      <c r="B552" s="291"/>
      <c r="C552" s="308"/>
      <c r="D552" s="309"/>
      <c r="E552" s="309"/>
      <c r="F552" s="309"/>
      <c r="G552" s="309"/>
      <c r="H552" s="309"/>
      <c r="I552" s="309"/>
      <c r="J552" s="310"/>
      <c r="K552" s="310"/>
      <c r="L552" s="309"/>
      <c r="M552" s="309"/>
      <c r="N552" s="309"/>
      <c r="O552" s="310"/>
      <c r="P552" s="310"/>
      <c r="Q552" s="309"/>
      <c r="R552" s="310"/>
      <c r="S552" s="310"/>
      <c r="T552" s="310"/>
      <c r="U552" s="310"/>
      <c r="V552" s="316"/>
    </row>
    <row r="553" spans="1:22">
      <c r="A553" s="311"/>
      <c r="B553" s="312"/>
      <c r="C553" s="313"/>
      <c r="D553" s="314"/>
      <c r="E553" s="314"/>
      <c r="F553" s="314"/>
      <c r="G553" s="314"/>
      <c r="H553" s="314"/>
      <c r="I553" s="314"/>
      <c r="J553" s="315"/>
      <c r="K553" s="315"/>
      <c r="L553" s="314"/>
      <c r="M553" s="314"/>
      <c r="N553" s="314"/>
      <c r="O553" s="315"/>
      <c r="P553" s="315"/>
      <c r="Q553" s="314"/>
      <c r="R553" s="315"/>
      <c r="S553" s="315"/>
      <c r="T553" s="315"/>
      <c r="U553" s="315"/>
      <c r="V553" s="316"/>
    </row>
    <row r="554" spans="1:22">
      <c r="A554" s="311"/>
      <c r="B554" s="317"/>
      <c r="C554" s="318"/>
      <c r="D554" s="319"/>
      <c r="E554" s="319"/>
      <c r="F554" s="319"/>
      <c r="G554" s="319"/>
      <c r="H554" s="319"/>
      <c r="I554" s="319"/>
      <c r="J554" s="320"/>
      <c r="K554" s="320"/>
      <c r="L554" s="319"/>
      <c r="M554" s="319"/>
      <c r="N554" s="319"/>
      <c r="O554" s="320"/>
      <c r="P554" s="320"/>
      <c r="Q554" s="319"/>
      <c r="R554" s="320"/>
      <c r="S554" s="320"/>
      <c r="T554" s="320"/>
      <c r="U554" s="320"/>
      <c r="V554" s="316"/>
    </row>
    <row r="555" spans="1:22">
      <c r="A555" s="311"/>
      <c r="B555" s="291"/>
      <c r="C555" s="308"/>
      <c r="D555" s="309"/>
      <c r="E555" s="309"/>
      <c r="F555" s="309"/>
      <c r="G555" s="309"/>
      <c r="H555" s="309"/>
      <c r="I555" s="309"/>
      <c r="J555" s="310"/>
      <c r="K555" s="310"/>
      <c r="L555" s="309"/>
      <c r="M555" s="309"/>
      <c r="N555" s="309"/>
      <c r="O555" s="310"/>
      <c r="P555" s="310"/>
      <c r="Q555" s="309"/>
      <c r="R555" s="310"/>
      <c r="S555" s="310"/>
      <c r="T555" s="310"/>
      <c r="U555" s="310"/>
      <c r="V555" s="316"/>
    </row>
    <row r="556" spans="1:22">
      <c r="A556" s="311"/>
      <c r="B556" s="312"/>
      <c r="C556" s="313"/>
      <c r="D556" s="314"/>
      <c r="E556" s="314"/>
      <c r="F556" s="314"/>
      <c r="G556" s="314"/>
      <c r="H556" s="314"/>
      <c r="I556" s="314"/>
      <c r="J556" s="315"/>
      <c r="K556" s="315"/>
      <c r="L556" s="314"/>
      <c r="M556" s="314"/>
      <c r="N556" s="314"/>
      <c r="O556" s="315"/>
      <c r="P556" s="315"/>
      <c r="Q556" s="314"/>
      <c r="R556" s="315"/>
      <c r="S556" s="315"/>
      <c r="T556" s="315"/>
      <c r="U556" s="315"/>
      <c r="V556" s="316"/>
    </row>
    <row r="557" spans="1:22">
      <c r="A557" s="311"/>
      <c r="B557" s="317"/>
      <c r="C557" s="318"/>
      <c r="D557" s="319"/>
      <c r="E557" s="319"/>
      <c r="F557" s="319"/>
      <c r="G557" s="319"/>
      <c r="H557" s="319"/>
      <c r="I557" s="319"/>
      <c r="J557" s="320"/>
      <c r="K557" s="320"/>
      <c r="L557" s="319"/>
      <c r="M557" s="319"/>
      <c r="N557" s="319"/>
      <c r="O557" s="320"/>
      <c r="P557" s="320"/>
      <c r="Q557" s="319"/>
      <c r="R557" s="320"/>
      <c r="S557" s="320"/>
      <c r="T557" s="320"/>
      <c r="U557" s="320"/>
      <c r="V557" s="316"/>
    </row>
    <row r="558" spans="1:22">
      <c r="A558" s="311"/>
      <c r="B558" s="291"/>
      <c r="C558" s="308"/>
      <c r="D558" s="309"/>
      <c r="E558" s="309"/>
      <c r="F558" s="309"/>
      <c r="G558" s="309"/>
      <c r="H558" s="309"/>
      <c r="I558" s="309"/>
      <c r="J558" s="310"/>
      <c r="K558" s="310"/>
      <c r="L558" s="309"/>
      <c r="M558" s="309"/>
      <c r="N558" s="309"/>
      <c r="O558" s="310"/>
      <c r="P558" s="310"/>
      <c r="Q558" s="309"/>
      <c r="R558" s="310"/>
      <c r="S558" s="310"/>
      <c r="T558" s="310"/>
      <c r="U558" s="310"/>
      <c r="V558" s="316"/>
    </row>
    <row r="559" spans="1:22">
      <c r="A559" s="311"/>
      <c r="B559" s="312"/>
      <c r="C559" s="313"/>
      <c r="D559" s="314"/>
      <c r="E559" s="314"/>
      <c r="F559" s="314"/>
      <c r="G559" s="314"/>
      <c r="H559" s="314"/>
      <c r="I559" s="314"/>
      <c r="J559" s="315"/>
      <c r="K559" s="315"/>
      <c r="L559" s="314"/>
      <c r="M559" s="314"/>
      <c r="N559" s="314"/>
      <c r="O559" s="315"/>
      <c r="P559" s="315"/>
      <c r="Q559" s="314"/>
      <c r="R559" s="315"/>
      <c r="S559" s="315"/>
      <c r="T559" s="315"/>
      <c r="U559" s="315"/>
      <c r="V559" s="316"/>
    </row>
    <row r="560" spans="1:22">
      <c r="A560" s="311"/>
      <c r="B560" s="317"/>
      <c r="C560" s="318"/>
      <c r="D560" s="319"/>
      <c r="E560" s="319"/>
      <c r="F560" s="319"/>
      <c r="G560" s="319"/>
      <c r="H560" s="319"/>
      <c r="I560" s="319"/>
      <c r="J560" s="320"/>
      <c r="K560" s="320"/>
      <c r="L560" s="319"/>
      <c r="M560" s="319"/>
      <c r="N560" s="319"/>
      <c r="O560" s="320"/>
      <c r="P560" s="320"/>
      <c r="Q560" s="319"/>
      <c r="R560" s="320"/>
      <c r="S560" s="320"/>
      <c r="T560" s="320"/>
      <c r="U560" s="320"/>
      <c r="V560" s="316"/>
    </row>
    <row r="561" spans="1:22">
      <c r="A561" s="311"/>
      <c r="B561" s="291"/>
      <c r="C561" s="308"/>
      <c r="D561" s="309"/>
      <c r="E561" s="309"/>
      <c r="F561" s="309"/>
      <c r="G561" s="309"/>
      <c r="H561" s="309"/>
      <c r="I561" s="309"/>
      <c r="J561" s="310"/>
      <c r="K561" s="310"/>
      <c r="L561" s="309"/>
      <c r="M561" s="309"/>
      <c r="N561" s="309"/>
      <c r="O561" s="310"/>
      <c r="P561" s="310"/>
      <c r="Q561" s="309"/>
      <c r="R561" s="310"/>
      <c r="S561" s="310"/>
      <c r="T561" s="310"/>
      <c r="U561" s="310"/>
      <c r="V561" s="316"/>
    </row>
    <row r="562" spans="1:22">
      <c r="A562" s="311"/>
      <c r="B562" s="312"/>
      <c r="C562" s="313"/>
      <c r="D562" s="314"/>
      <c r="E562" s="314"/>
      <c r="F562" s="314"/>
      <c r="G562" s="314"/>
      <c r="H562" s="314"/>
      <c r="I562" s="314"/>
      <c r="J562" s="315"/>
      <c r="K562" s="315"/>
      <c r="L562" s="314"/>
      <c r="M562" s="314"/>
      <c r="N562" s="314"/>
      <c r="O562" s="315"/>
      <c r="P562" s="315"/>
      <c r="Q562" s="314"/>
      <c r="R562" s="315"/>
      <c r="S562" s="315"/>
      <c r="T562" s="315"/>
      <c r="U562" s="315"/>
      <c r="V562" s="316"/>
    </row>
    <row r="563" spans="1:22" ht="15.75" thickBot="1">
      <c r="A563" s="311"/>
      <c r="B563" s="325"/>
      <c r="C563" s="326"/>
      <c r="D563" s="327"/>
      <c r="E563" s="327"/>
      <c r="F563" s="327"/>
      <c r="G563" s="327"/>
      <c r="H563" s="327"/>
      <c r="I563" s="327"/>
      <c r="J563" s="328"/>
      <c r="K563" s="328"/>
      <c r="L563" s="327"/>
      <c r="M563" s="327"/>
      <c r="N563" s="327"/>
      <c r="O563" s="328"/>
      <c r="P563" s="328"/>
      <c r="Q563" s="327"/>
      <c r="R563" s="328"/>
      <c r="S563" s="328"/>
      <c r="T563" s="328"/>
      <c r="U563" s="328"/>
      <c r="V563" s="316"/>
    </row>
    <row r="564" spans="1:22" ht="15.75" thickTop="1">
      <c r="A564" s="311"/>
      <c r="B564" s="312"/>
      <c r="C564" s="313"/>
      <c r="D564" s="314"/>
      <c r="E564" s="314"/>
      <c r="F564" s="314"/>
      <c r="G564" s="314"/>
      <c r="H564" s="314"/>
      <c r="I564" s="314"/>
      <c r="J564" s="315"/>
      <c r="K564" s="315"/>
      <c r="L564" s="314"/>
      <c r="M564" s="314"/>
      <c r="N564" s="314"/>
      <c r="O564" s="315"/>
      <c r="P564" s="315"/>
      <c r="Q564" s="314"/>
      <c r="R564" s="315"/>
      <c r="S564" s="315"/>
      <c r="T564" s="315"/>
      <c r="U564" s="315"/>
      <c r="V564" s="316"/>
    </row>
    <row r="565" spans="1:22">
      <c r="A565" s="311"/>
      <c r="B565" s="312"/>
      <c r="C565" s="313"/>
      <c r="D565" s="314"/>
      <c r="E565" s="314"/>
      <c r="F565" s="314"/>
      <c r="G565" s="314"/>
      <c r="H565" s="314"/>
      <c r="I565" s="314"/>
      <c r="J565" s="315"/>
      <c r="K565" s="315"/>
      <c r="L565" s="314"/>
      <c r="M565" s="314"/>
      <c r="N565" s="314"/>
      <c r="O565" s="315"/>
      <c r="P565" s="315"/>
      <c r="Q565" s="314"/>
      <c r="R565" s="315"/>
      <c r="S565" s="315"/>
      <c r="T565" s="315"/>
      <c r="U565" s="315"/>
      <c r="V565" s="316"/>
    </row>
    <row r="566" spans="1:22">
      <c r="A566" s="311"/>
      <c r="B566" s="317"/>
      <c r="C566" s="318"/>
      <c r="D566" s="319"/>
      <c r="E566" s="321"/>
      <c r="F566" s="319"/>
      <c r="G566" s="319"/>
      <c r="H566" s="321"/>
      <c r="I566" s="319"/>
      <c r="J566" s="320"/>
      <c r="K566" s="320"/>
      <c r="L566" s="319"/>
      <c r="M566" s="319"/>
      <c r="N566" s="319"/>
      <c r="O566" s="320"/>
      <c r="P566" s="320"/>
      <c r="Q566" s="319"/>
      <c r="R566" s="320"/>
      <c r="S566" s="320"/>
      <c r="T566" s="320"/>
      <c r="U566" s="320"/>
      <c r="V566" s="316"/>
    </row>
    <row r="567" spans="1:22">
      <c r="A567" s="311"/>
      <c r="B567" s="291"/>
      <c r="C567" s="308"/>
      <c r="D567" s="309"/>
      <c r="E567" s="309"/>
      <c r="F567" s="309"/>
      <c r="G567" s="309"/>
      <c r="H567" s="309"/>
      <c r="I567" s="309"/>
      <c r="J567" s="310"/>
      <c r="K567" s="310"/>
      <c r="L567" s="309"/>
      <c r="M567" s="309"/>
      <c r="N567" s="309"/>
      <c r="O567" s="310"/>
      <c r="P567" s="310"/>
      <c r="Q567" s="309"/>
      <c r="R567" s="310"/>
      <c r="S567" s="310"/>
      <c r="T567" s="310"/>
      <c r="U567" s="310"/>
      <c r="V567" s="316"/>
    </row>
    <row r="568" spans="1:22">
      <c r="A568" s="311"/>
      <c r="B568" s="312"/>
      <c r="C568" s="313"/>
      <c r="D568" s="314"/>
      <c r="E568" s="314"/>
      <c r="F568" s="314"/>
      <c r="G568" s="314"/>
      <c r="H568" s="314"/>
      <c r="I568" s="314"/>
      <c r="J568" s="315"/>
      <c r="K568" s="315"/>
      <c r="L568" s="314"/>
      <c r="M568" s="314"/>
      <c r="N568" s="314"/>
      <c r="O568" s="315"/>
      <c r="P568" s="315"/>
      <c r="Q568" s="314"/>
      <c r="R568" s="315"/>
      <c r="S568" s="315"/>
      <c r="T568" s="315"/>
      <c r="U568" s="315"/>
      <c r="V568" s="316"/>
    </row>
    <row r="569" spans="1:22">
      <c r="A569" s="311"/>
      <c r="B569" s="317"/>
      <c r="C569" s="318"/>
      <c r="D569" s="319"/>
      <c r="E569" s="319"/>
      <c r="F569" s="319"/>
      <c r="G569" s="319"/>
      <c r="H569" s="319"/>
      <c r="I569" s="319"/>
      <c r="J569" s="320"/>
      <c r="K569" s="320"/>
      <c r="L569" s="319"/>
      <c r="M569" s="319"/>
      <c r="N569" s="319"/>
      <c r="O569" s="320"/>
      <c r="P569" s="320"/>
      <c r="Q569" s="319"/>
      <c r="R569" s="320"/>
      <c r="S569" s="320"/>
      <c r="T569" s="320"/>
      <c r="U569" s="320"/>
      <c r="V569" s="316"/>
    </row>
    <row r="570" spans="1:22">
      <c r="A570" s="311"/>
      <c r="B570" s="291"/>
      <c r="C570" s="308"/>
      <c r="D570" s="309"/>
      <c r="E570" s="309"/>
      <c r="F570" s="309"/>
      <c r="G570" s="309"/>
      <c r="H570" s="309"/>
      <c r="I570" s="309"/>
      <c r="J570" s="310"/>
      <c r="K570" s="310"/>
      <c r="L570" s="309"/>
      <c r="M570" s="309"/>
      <c r="N570" s="309"/>
      <c r="O570" s="310"/>
      <c r="P570" s="310"/>
      <c r="Q570" s="309"/>
      <c r="R570" s="310"/>
      <c r="S570" s="310"/>
      <c r="T570" s="310"/>
      <c r="U570" s="310"/>
      <c r="V570" s="316"/>
    </row>
    <row r="571" spans="1:22">
      <c r="A571" s="311"/>
      <c r="B571" s="312"/>
      <c r="C571" s="313"/>
      <c r="D571" s="314"/>
      <c r="E571" s="314"/>
      <c r="F571" s="314"/>
      <c r="G571" s="314"/>
      <c r="H571" s="314"/>
      <c r="I571" s="314"/>
      <c r="J571" s="315"/>
      <c r="K571" s="315"/>
      <c r="L571" s="314"/>
      <c r="M571" s="314"/>
      <c r="N571" s="314"/>
      <c r="O571" s="315"/>
      <c r="P571" s="315"/>
      <c r="Q571" s="314"/>
      <c r="R571" s="315"/>
      <c r="S571" s="315"/>
      <c r="T571" s="315"/>
      <c r="U571" s="315"/>
      <c r="V571" s="316"/>
    </row>
    <row r="572" spans="1:22">
      <c r="A572" s="311"/>
      <c r="B572" s="317"/>
      <c r="C572" s="318"/>
      <c r="D572" s="319"/>
      <c r="E572" s="321"/>
      <c r="F572" s="319"/>
      <c r="G572" s="319"/>
      <c r="H572" s="321"/>
      <c r="I572" s="319"/>
      <c r="J572" s="320"/>
      <c r="K572" s="320"/>
      <c r="L572" s="319"/>
      <c r="M572" s="319"/>
      <c r="N572" s="319"/>
      <c r="O572" s="320"/>
      <c r="P572" s="320"/>
      <c r="Q572" s="319"/>
      <c r="R572" s="320"/>
      <c r="S572" s="320"/>
      <c r="T572" s="320"/>
      <c r="U572" s="320"/>
      <c r="V572" s="316"/>
    </row>
    <row r="573" spans="1:22">
      <c r="A573" s="311"/>
      <c r="B573" s="291"/>
      <c r="C573" s="308"/>
      <c r="D573" s="309"/>
      <c r="E573" s="309"/>
      <c r="F573" s="309"/>
      <c r="G573" s="309"/>
      <c r="H573" s="309"/>
      <c r="I573" s="309"/>
      <c r="J573" s="310"/>
      <c r="K573" s="310"/>
      <c r="L573" s="309"/>
      <c r="M573" s="309"/>
      <c r="N573" s="309"/>
      <c r="O573" s="310"/>
      <c r="P573" s="310"/>
      <c r="Q573" s="309"/>
      <c r="R573" s="310"/>
      <c r="S573" s="310"/>
      <c r="T573" s="310"/>
      <c r="U573" s="310"/>
      <c r="V573" s="316"/>
    </row>
    <row r="574" spans="1:22">
      <c r="A574" s="311"/>
      <c r="B574" s="312"/>
      <c r="C574" s="313"/>
      <c r="D574" s="314"/>
      <c r="E574" s="314"/>
      <c r="F574" s="314"/>
      <c r="G574" s="314"/>
      <c r="H574" s="314"/>
      <c r="I574" s="314"/>
      <c r="J574" s="315"/>
      <c r="K574" s="315"/>
      <c r="L574" s="314"/>
      <c r="M574" s="314"/>
      <c r="N574" s="314"/>
      <c r="O574" s="315"/>
      <c r="P574" s="315"/>
      <c r="Q574" s="314"/>
      <c r="R574" s="315"/>
      <c r="S574" s="315"/>
      <c r="T574" s="315"/>
      <c r="U574" s="315"/>
      <c r="V574" s="316"/>
    </row>
    <row r="575" spans="1:22">
      <c r="A575" s="311"/>
      <c r="B575" s="317"/>
      <c r="C575" s="318"/>
      <c r="D575" s="319"/>
      <c r="E575" s="319"/>
      <c r="F575" s="319"/>
      <c r="G575" s="319"/>
      <c r="H575" s="319"/>
      <c r="I575" s="319"/>
      <c r="J575" s="320"/>
      <c r="K575" s="320"/>
      <c r="L575" s="319"/>
      <c r="M575" s="319"/>
      <c r="N575" s="319"/>
      <c r="O575" s="320"/>
      <c r="P575" s="320"/>
      <c r="Q575" s="319"/>
      <c r="R575" s="320"/>
      <c r="S575" s="320"/>
      <c r="T575" s="320"/>
      <c r="U575" s="320"/>
      <c r="V575" s="316"/>
    </row>
    <row r="576" spans="1:22">
      <c r="A576" s="311"/>
      <c r="B576" s="291"/>
      <c r="C576" s="308"/>
      <c r="D576" s="309"/>
      <c r="E576" s="309"/>
      <c r="F576" s="309"/>
      <c r="G576" s="309"/>
      <c r="H576" s="309"/>
      <c r="I576" s="309"/>
      <c r="J576" s="310"/>
      <c r="K576" s="310"/>
      <c r="L576" s="309"/>
      <c r="M576" s="309"/>
      <c r="N576" s="309"/>
      <c r="O576" s="310"/>
      <c r="P576" s="310"/>
      <c r="Q576" s="309"/>
      <c r="R576" s="310"/>
      <c r="S576" s="310"/>
      <c r="T576" s="310"/>
      <c r="U576" s="310"/>
      <c r="V576" s="316"/>
    </row>
    <row r="577" spans="1:22">
      <c r="A577" s="311"/>
      <c r="B577" s="312"/>
      <c r="C577" s="313"/>
      <c r="D577" s="314"/>
      <c r="E577" s="314"/>
      <c r="F577" s="314"/>
      <c r="G577" s="314"/>
      <c r="H577" s="314"/>
      <c r="I577" s="314"/>
      <c r="J577" s="315"/>
      <c r="K577" s="315"/>
      <c r="L577" s="314"/>
      <c r="M577" s="314"/>
      <c r="N577" s="314"/>
      <c r="O577" s="315"/>
      <c r="P577" s="315"/>
      <c r="Q577" s="314"/>
      <c r="R577" s="315"/>
      <c r="S577" s="315"/>
      <c r="T577" s="315"/>
      <c r="U577" s="315"/>
      <c r="V577" s="316"/>
    </row>
    <row r="578" spans="1:22">
      <c r="A578" s="311"/>
      <c r="B578" s="317"/>
      <c r="C578" s="318"/>
      <c r="D578" s="319"/>
      <c r="E578" s="319"/>
      <c r="F578" s="319"/>
      <c r="G578" s="319"/>
      <c r="H578" s="319"/>
      <c r="I578" s="319"/>
      <c r="J578" s="320"/>
      <c r="K578" s="320"/>
      <c r="L578" s="319"/>
      <c r="M578" s="319"/>
      <c r="N578" s="319"/>
      <c r="O578" s="320"/>
      <c r="P578" s="320"/>
      <c r="Q578" s="319"/>
      <c r="R578" s="320"/>
      <c r="S578" s="320"/>
      <c r="T578" s="320"/>
      <c r="U578" s="320"/>
      <c r="V578" s="316"/>
    </row>
    <row r="579" spans="1:22">
      <c r="A579" s="311"/>
      <c r="B579" s="291"/>
      <c r="C579" s="308"/>
      <c r="D579" s="309"/>
      <c r="E579" s="309"/>
      <c r="F579" s="309"/>
      <c r="G579" s="309"/>
      <c r="H579" s="309"/>
      <c r="I579" s="309"/>
      <c r="J579" s="310"/>
      <c r="K579" s="310"/>
      <c r="L579" s="309"/>
      <c r="M579" s="309"/>
      <c r="N579" s="309"/>
      <c r="O579" s="310"/>
      <c r="P579" s="310"/>
      <c r="Q579" s="309"/>
      <c r="R579" s="310"/>
      <c r="S579" s="310"/>
      <c r="T579" s="310"/>
      <c r="U579" s="310"/>
      <c r="V579" s="316"/>
    </row>
    <row r="580" spans="1:22">
      <c r="A580" s="311"/>
      <c r="B580" s="312"/>
      <c r="C580" s="313"/>
      <c r="D580" s="314"/>
      <c r="E580" s="314"/>
      <c r="F580" s="314"/>
      <c r="G580" s="314"/>
      <c r="H580" s="314"/>
      <c r="I580" s="314"/>
      <c r="J580" s="315"/>
      <c r="K580" s="315"/>
      <c r="L580" s="314"/>
      <c r="M580" s="314"/>
      <c r="N580" s="314"/>
      <c r="O580" s="315"/>
      <c r="P580" s="315"/>
      <c r="Q580" s="314"/>
      <c r="R580" s="315"/>
      <c r="S580" s="315"/>
      <c r="T580" s="315"/>
      <c r="U580" s="315"/>
      <c r="V580" s="316"/>
    </row>
    <row r="581" spans="1:22" ht="15.75" thickBot="1">
      <c r="A581" s="329"/>
      <c r="B581" s="330"/>
      <c r="C581" s="331"/>
      <c r="D581" s="332"/>
      <c r="E581" s="332"/>
      <c r="F581" s="332"/>
      <c r="G581" s="332"/>
      <c r="H581" s="332"/>
      <c r="I581" s="332"/>
      <c r="J581" s="333"/>
      <c r="K581" s="333"/>
      <c r="L581" s="332"/>
      <c r="M581" s="332"/>
      <c r="N581" s="332"/>
      <c r="O581" s="333"/>
      <c r="P581" s="333"/>
      <c r="Q581" s="332"/>
      <c r="R581" s="333"/>
      <c r="S581" s="333"/>
      <c r="T581" s="333"/>
      <c r="U581" s="333"/>
      <c r="V581" s="316"/>
    </row>
    <row r="582" spans="1:22">
      <c r="A582" s="307"/>
      <c r="B582" s="291"/>
      <c r="C582" s="308"/>
      <c r="D582" s="309"/>
      <c r="E582" s="309"/>
      <c r="F582" s="309"/>
      <c r="G582" s="309"/>
      <c r="H582" s="309"/>
      <c r="I582" s="309"/>
      <c r="J582" s="310"/>
      <c r="K582" s="310"/>
      <c r="L582" s="309"/>
      <c r="M582" s="309"/>
      <c r="N582" s="309"/>
      <c r="O582" s="310"/>
      <c r="P582" s="310"/>
      <c r="Q582" s="309"/>
      <c r="R582" s="310"/>
      <c r="S582" s="310"/>
      <c r="T582" s="310"/>
      <c r="U582" s="310"/>
      <c r="V582" s="316"/>
    </row>
    <row r="583" spans="1:22">
      <c r="A583" s="311"/>
      <c r="B583" s="312"/>
      <c r="C583" s="313"/>
      <c r="D583" s="314"/>
      <c r="E583" s="314"/>
      <c r="F583" s="314"/>
      <c r="G583" s="314"/>
      <c r="H583" s="314"/>
      <c r="I583" s="314"/>
      <c r="J583" s="315"/>
      <c r="K583" s="315"/>
      <c r="L583" s="314"/>
      <c r="M583" s="314"/>
      <c r="N583" s="314"/>
      <c r="O583" s="315"/>
      <c r="P583" s="315"/>
      <c r="Q583" s="314"/>
      <c r="R583" s="315"/>
      <c r="S583" s="315"/>
      <c r="T583" s="315"/>
      <c r="U583" s="315"/>
      <c r="V583" s="316"/>
    </row>
    <row r="584" spans="1:22">
      <c r="A584" s="311"/>
      <c r="B584" s="317"/>
      <c r="C584" s="318"/>
      <c r="D584" s="319"/>
      <c r="E584" s="319"/>
      <c r="F584" s="319"/>
      <c r="G584" s="319"/>
      <c r="H584" s="319"/>
      <c r="I584" s="319"/>
      <c r="J584" s="320"/>
      <c r="K584" s="320"/>
      <c r="L584" s="319"/>
      <c r="M584" s="319"/>
      <c r="N584" s="319"/>
      <c r="O584" s="320"/>
      <c r="P584" s="320"/>
      <c r="Q584" s="319"/>
      <c r="R584" s="320"/>
      <c r="S584" s="320"/>
      <c r="T584" s="320"/>
      <c r="U584" s="320"/>
      <c r="V584" s="316"/>
    </row>
    <row r="585" spans="1:22">
      <c r="A585" s="311"/>
      <c r="B585" s="291"/>
      <c r="C585" s="308"/>
      <c r="D585" s="309"/>
      <c r="E585" s="309"/>
      <c r="F585" s="309"/>
      <c r="G585" s="309"/>
      <c r="H585" s="309"/>
      <c r="I585" s="309"/>
      <c r="J585" s="310"/>
      <c r="K585" s="310"/>
      <c r="L585" s="309"/>
      <c r="M585" s="309"/>
      <c r="N585" s="309"/>
      <c r="O585" s="310"/>
      <c r="P585" s="310"/>
      <c r="Q585" s="309"/>
      <c r="R585" s="310"/>
      <c r="S585" s="310"/>
      <c r="T585" s="310"/>
      <c r="U585" s="310"/>
      <c r="V585" s="316"/>
    </row>
    <row r="586" spans="1:22">
      <c r="A586" s="311"/>
      <c r="B586" s="312"/>
      <c r="C586" s="313"/>
      <c r="D586" s="314"/>
      <c r="E586" s="314"/>
      <c r="F586" s="314"/>
      <c r="G586" s="314"/>
      <c r="H586" s="314"/>
      <c r="I586" s="314"/>
      <c r="J586" s="315"/>
      <c r="K586" s="315"/>
      <c r="L586" s="314"/>
      <c r="M586" s="314"/>
      <c r="N586" s="314"/>
      <c r="O586" s="315"/>
      <c r="P586" s="315"/>
      <c r="Q586" s="314"/>
      <c r="R586" s="315"/>
      <c r="S586" s="315"/>
      <c r="T586" s="315"/>
      <c r="U586" s="315"/>
      <c r="V586" s="316"/>
    </row>
    <row r="587" spans="1:22">
      <c r="A587" s="311"/>
      <c r="B587" s="317"/>
      <c r="C587" s="318"/>
      <c r="D587" s="319"/>
      <c r="E587" s="319"/>
      <c r="F587" s="319"/>
      <c r="G587" s="319"/>
      <c r="H587" s="319"/>
      <c r="I587" s="319"/>
      <c r="J587" s="320"/>
      <c r="K587" s="320"/>
      <c r="L587" s="319"/>
      <c r="M587" s="319"/>
      <c r="N587" s="319"/>
      <c r="O587" s="320"/>
      <c r="P587" s="320"/>
      <c r="Q587" s="319"/>
      <c r="R587" s="320"/>
      <c r="S587" s="320"/>
      <c r="T587" s="320"/>
      <c r="U587" s="320"/>
      <c r="V587" s="316"/>
    </row>
    <row r="588" spans="1:22">
      <c r="A588" s="311"/>
      <c r="B588" s="291"/>
      <c r="C588" s="308"/>
      <c r="D588" s="309"/>
      <c r="E588" s="309"/>
      <c r="F588" s="309"/>
      <c r="G588" s="309"/>
      <c r="H588" s="309"/>
      <c r="I588" s="309"/>
      <c r="J588" s="310"/>
      <c r="K588" s="310"/>
      <c r="L588" s="309"/>
      <c r="M588" s="309"/>
      <c r="N588" s="309"/>
      <c r="O588" s="310"/>
      <c r="P588" s="310"/>
      <c r="Q588" s="309"/>
      <c r="R588" s="310"/>
      <c r="S588" s="310"/>
      <c r="T588" s="310"/>
      <c r="U588" s="310"/>
      <c r="V588" s="316"/>
    </row>
    <row r="589" spans="1:22">
      <c r="A589" s="311"/>
      <c r="B589" s="312"/>
      <c r="C589" s="313"/>
      <c r="D589" s="314"/>
      <c r="E589" s="314"/>
      <c r="F589" s="314"/>
      <c r="G589" s="314"/>
      <c r="H589" s="314"/>
      <c r="I589" s="314"/>
      <c r="J589" s="315"/>
      <c r="K589" s="315"/>
      <c r="L589" s="314"/>
      <c r="M589" s="314"/>
      <c r="N589" s="314"/>
      <c r="O589" s="315"/>
      <c r="P589" s="315"/>
      <c r="Q589" s="314"/>
      <c r="R589" s="315"/>
      <c r="S589" s="315"/>
      <c r="T589" s="315"/>
      <c r="U589" s="315"/>
      <c r="V589" s="316"/>
    </row>
    <row r="590" spans="1:22">
      <c r="A590" s="311"/>
      <c r="B590" s="317"/>
      <c r="C590" s="318"/>
      <c r="D590" s="319"/>
      <c r="E590" s="319"/>
      <c r="F590" s="319"/>
      <c r="G590" s="319"/>
      <c r="H590" s="319"/>
      <c r="I590" s="319"/>
      <c r="J590" s="320"/>
      <c r="K590" s="320"/>
      <c r="L590" s="319"/>
      <c r="M590" s="319"/>
      <c r="N590" s="319"/>
      <c r="O590" s="320"/>
      <c r="P590" s="320"/>
      <c r="Q590" s="319"/>
      <c r="R590" s="320"/>
      <c r="S590" s="320"/>
      <c r="T590" s="320"/>
      <c r="U590" s="320"/>
      <c r="V590" s="316"/>
    </row>
    <row r="591" spans="1:22">
      <c r="A591" s="311"/>
      <c r="B591" s="291"/>
      <c r="C591" s="308"/>
      <c r="D591" s="309"/>
      <c r="E591" s="309"/>
      <c r="F591" s="309"/>
      <c r="G591" s="309"/>
      <c r="H591" s="309"/>
      <c r="I591" s="309"/>
      <c r="J591" s="310"/>
      <c r="K591" s="310"/>
      <c r="L591" s="309"/>
      <c r="M591" s="309"/>
      <c r="N591" s="309"/>
      <c r="O591" s="310"/>
      <c r="P591" s="310"/>
      <c r="Q591" s="309"/>
      <c r="R591" s="310"/>
      <c r="S591" s="310"/>
      <c r="T591" s="310"/>
      <c r="U591" s="310"/>
      <c r="V591" s="316"/>
    </row>
    <row r="592" spans="1:22">
      <c r="A592" s="311"/>
      <c r="B592" s="312"/>
      <c r="C592" s="313"/>
      <c r="D592" s="314"/>
      <c r="E592" s="314"/>
      <c r="F592" s="314"/>
      <c r="G592" s="314"/>
      <c r="H592" s="314"/>
      <c r="I592" s="314"/>
      <c r="J592" s="315"/>
      <c r="K592" s="315"/>
      <c r="L592" s="314"/>
      <c r="M592" s="314"/>
      <c r="N592" s="314"/>
      <c r="O592" s="315"/>
      <c r="P592" s="315"/>
      <c r="Q592" s="314"/>
      <c r="R592" s="315"/>
      <c r="S592" s="315"/>
      <c r="T592" s="315"/>
      <c r="U592" s="315"/>
      <c r="V592" s="316"/>
    </row>
    <row r="593" spans="1:22">
      <c r="A593" s="311"/>
      <c r="B593" s="317"/>
      <c r="C593" s="318"/>
      <c r="D593" s="319"/>
      <c r="E593" s="319"/>
      <c r="F593" s="319"/>
      <c r="G593" s="319"/>
      <c r="H593" s="319"/>
      <c r="I593" s="319"/>
      <c r="J593" s="320"/>
      <c r="K593" s="320"/>
      <c r="L593" s="319"/>
      <c r="M593" s="319"/>
      <c r="N593" s="319"/>
      <c r="O593" s="320"/>
      <c r="P593" s="320"/>
      <c r="Q593" s="319"/>
      <c r="R593" s="320"/>
      <c r="S593" s="320"/>
      <c r="T593" s="320"/>
      <c r="U593" s="320"/>
      <c r="V593" s="316"/>
    </row>
    <row r="594" spans="1:22">
      <c r="A594" s="311"/>
      <c r="B594" s="291"/>
      <c r="C594" s="308"/>
      <c r="D594" s="309"/>
      <c r="E594" s="309"/>
      <c r="F594" s="309"/>
      <c r="G594" s="309"/>
      <c r="H594" s="309"/>
      <c r="I594" s="309"/>
      <c r="J594" s="310"/>
      <c r="K594" s="310"/>
      <c r="L594" s="309"/>
      <c r="M594" s="309"/>
      <c r="N594" s="309"/>
      <c r="O594" s="310"/>
      <c r="P594" s="310"/>
      <c r="Q594" s="309"/>
      <c r="R594" s="310"/>
      <c r="S594" s="310"/>
      <c r="T594" s="310"/>
      <c r="U594" s="310"/>
      <c r="V594" s="316"/>
    </row>
    <row r="595" spans="1:22">
      <c r="A595" s="311"/>
      <c r="B595" s="312"/>
      <c r="C595" s="313"/>
      <c r="D595" s="314"/>
      <c r="E595" s="314"/>
      <c r="F595" s="314"/>
      <c r="G595" s="314"/>
      <c r="H595" s="314"/>
      <c r="I595" s="314"/>
      <c r="J595" s="315"/>
      <c r="K595" s="315"/>
      <c r="L595" s="314"/>
      <c r="M595" s="314"/>
      <c r="N595" s="314"/>
      <c r="O595" s="315"/>
      <c r="P595" s="315"/>
      <c r="Q595" s="314"/>
      <c r="R595" s="315"/>
      <c r="S595" s="315"/>
      <c r="T595" s="315"/>
      <c r="U595" s="315"/>
      <c r="V595" s="316"/>
    </row>
    <row r="596" spans="1:22">
      <c r="A596" s="311"/>
      <c r="B596" s="317"/>
      <c r="C596" s="318"/>
      <c r="D596" s="319"/>
      <c r="E596" s="319"/>
      <c r="F596" s="319"/>
      <c r="G596" s="319"/>
      <c r="H596" s="319"/>
      <c r="I596" s="319"/>
      <c r="J596" s="320"/>
      <c r="K596" s="320"/>
      <c r="L596" s="319"/>
      <c r="M596" s="319"/>
      <c r="N596" s="319"/>
      <c r="O596" s="320"/>
      <c r="P596" s="320"/>
      <c r="Q596" s="319"/>
      <c r="R596" s="320"/>
      <c r="S596" s="320"/>
      <c r="T596" s="320"/>
      <c r="U596" s="320"/>
      <c r="V596" s="316"/>
    </row>
    <row r="597" spans="1:22">
      <c r="A597" s="311"/>
      <c r="B597" s="291"/>
      <c r="C597" s="308"/>
      <c r="D597" s="309"/>
      <c r="E597" s="309"/>
      <c r="F597" s="309"/>
      <c r="G597" s="309"/>
      <c r="H597" s="309"/>
      <c r="I597" s="309"/>
      <c r="J597" s="310"/>
      <c r="K597" s="310"/>
      <c r="L597" s="309"/>
      <c r="M597" s="309"/>
      <c r="N597" s="309"/>
      <c r="O597" s="310"/>
      <c r="P597" s="310"/>
      <c r="Q597" s="309"/>
      <c r="R597" s="310"/>
      <c r="S597" s="310"/>
      <c r="T597" s="310"/>
      <c r="U597" s="310"/>
      <c r="V597" s="316"/>
    </row>
    <row r="598" spans="1:22">
      <c r="A598" s="311"/>
      <c r="B598" s="312"/>
      <c r="C598" s="313"/>
      <c r="D598" s="314"/>
      <c r="E598" s="314"/>
      <c r="F598" s="314"/>
      <c r="G598" s="314"/>
      <c r="H598" s="314"/>
      <c r="I598" s="314"/>
      <c r="J598" s="315"/>
      <c r="K598" s="315"/>
      <c r="L598" s="314"/>
      <c r="M598" s="314"/>
      <c r="N598" s="314"/>
      <c r="O598" s="315"/>
      <c r="P598" s="315"/>
      <c r="Q598" s="314"/>
      <c r="R598" s="315"/>
      <c r="S598" s="315"/>
      <c r="T598" s="315"/>
      <c r="U598" s="315"/>
      <c r="V598" s="316"/>
    </row>
    <row r="599" spans="1:22" ht="15.75" thickBot="1">
      <c r="A599" s="311"/>
      <c r="B599" s="325"/>
      <c r="C599" s="326"/>
      <c r="D599" s="327"/>
      <c r="E599" s="327"/>
      <c r="F599" s="327"/>
      <c r="G599" s="327"/>
      <c r="H599" s="327"/>
      <c r="I599" s="327"/>
      <c r="J599" s="328"/>
      <c r="K599" s="328"/>
      <c r="L599" s="327"/>
      <c r="M599" s="327"/>
      <c r="N599" s="327"/>
      <c r="O599" s="328"/>
      <c r="P599" s="328"/>
      <c r="Q599" s="327"/>
      <c r="R599" s="328"/>
      <c r="S599" s="328"/>
      <c r="T599" s="328"/>
      <c r="U599" s="328"/>
      <c r="V599" s="316"/>
    </row>
    <row r="600" spans="1:22" ht="15.75" thickTop="1">
      <c r="A600" s="311"/>
      <c r="B600" s="312"/>
      <c r="C600" s="313"/>
      <c r="D600" s="314"/>
      <c r="E600" s="314"/>
      <c r="F600" s="314"/>
      <c r="G600" s="314"/>
      <c r="H600" s="314"/>
      <c r="I600" s="314"/>
      <c r="J600" s="315"/>
      <c r="K600" s="315"/>
      <c r="L600" s="314"/>
      <c r="M600" s="314"/>
      <c r="N600" s="314"/>
      <c r="O600" s="315"/>
      <c r="P600" s="315"/>
      <c r="Q600" s="314"/>
      <c r="R600" s="315"/>
      <c r="S600" s="315"/>
      <c r="T600" s="315"/>
      <c r="U600" s="315"/>
      <c r="V600" s="316"/>
    </row>
    <row r="601" spans="1:22">
      <c r="A601" s="311"/>
      <c r="B601" s="312"/>
      <c r="C601" s="313"/>
      <c r="D601" s="314"/>
      <c r="E601" s="314"/>
      <c r="F601" s="314"/>
      <c r="G601" s="314"/>
      <c r="H601" s="314"/>
      <c r="I601" s="314"/>
      <c r="J601" s="315"/>
      <c r="K601" s="315"/>
      <c r="L601" s="314"/>
      <c r="M601" s="314"/>
      <c r="N601" s="314"/>
      <c r="O601" s="315"/>
      <c r="P601" s="315"/>
      <c r="Q601" s="314"/>
      <c r="R601" s="315"/>
      <c r="S601" s="315"/>
      <c r="T601" s="315"/>
      <c r="U601" s="315"/>
      <c r="V601" s="316"/>
    </row>
    <row r="602" spans="1:22">
      <c r="A602" s="311"/>
      <c r="B602" s="317"/>
      <c r="C602" s="318"/>
      <c r="D602" s="319"/>
      <c r="E602" s="319"/>
      <c r="F602" s="319"/>
      <c r="G602" s="319"/>
      <c r="H602" s="319"/>
      <c r="I602" s="319"/>
      <c r="J602" s="320"/>
      <c r="K602" s="320"/>
      <c r="L602" s="319"/>
      <c r="M602" s="319"/>
      <c r="N602" s="319"/>
      <c r="O602" s="320"/>
      <c r="P602" s="320"/>
      <c r="Q602" s="319"/>
      <c r="R602" s="320"/>
      <c r="S602" s="320"/>
      <c r="T602" s="320"/>
      <c r="U602" s="320"/>
      <c r="V602" s="316"/>
    </row>
    <row r="603" spans="1:22">
      <c r="A603" s="311"/>
      <c r="B603" s="291"/>
      <c r="C603" s="308"/>
      <c r="D603" s="309"/>
      <c r="E603" s="309"/>
      <c r="F603" s="309"/>
      <c r="G603" s="309"/>
      <c r="H603" s="309"/>
      <c r="I603" s="309"/>
      <c r="J603" s="310"/>
      <c r="K603" s="310"/>
      <c r="L603" s="309"/>
      <c r="M603" s="309"/>
      <c r="N603" s="309"/>
      <c r="O603" s="310"/>
      <c r="P603" s="310"/>
      <c r="Q603" s="309"/>
      <c r="R603" s="310"/>
      <c r="S603" s="310"/>
      <c r="T603" s="310"/>
      <c r="U603" s="310"/>
      <c r="V603" s="316"/>
    </row>
    <row r="604" spans="1:22">
      <c r="A604" s="311"/>
      <c r="B604" s="312"/>
      <c r="C604" s="313"/>
      <c r="D604" s="314"/>
      <c r="E604" s="314"/>
      <c r="F604" s="314"/>
      <c r="G604" s="314"/>
      <c r="H604" s="314"/>
      <c r="I604" s="314"/>
      <c r="J604" s="315"/>
      <c r="K604" s="315"/>
      <c r="L604" s="314"/>
      <c r="M604" s="314"/>
      <c r="N604" s="314"/>
      <c r="O604" s="315"/>
      <c r="P604" s="315"/>
      <c r="Q604" s="314"/>
      <c r="R604" s="315"/>
      <c r="S604" s="315"/>
      <c r="T604" s="315"/>
      <c r="U604" s="315"/>
      <c r="V604" s="316"/>
    </row>
    <row r="605" spans="1:22">
      <c r="A605" s="311"/>
      <c r="B605" s="317"/>
      <c r="C605" s="318"/>
      <c r="D605" s="319"/>
      <c r="E605" s="319"/>
      <c r="F605" s="319"/>
      <c r="G605" s="319"/>
      <c r="H605" s="319"/>
      <c r="I605" s="319"/>
      <c r="J605" s="320"/>
      <c r="K605" s="320"/>
      <c r="L605" s="319"/>
      <c r="M605" s="319"/>
      <c r="N605" s="319"/>
      <c r="O605" s="320"/>
      <c r="P605" s="320"/>
      <c r="Q605" s="319"/>
      <c r="R605" s="320"/>
      <c r="S605" s="320"/>
      <c r="T605" s="320"/>
      <c r="U605" s="320"/>
      <c r="V605" s="316"/>
    </row>
    <row r="606" spans="1:22">
      <c r="A606" s="311"/>
      <c r="B606" s="291"/>
      <c r="C606" s="308"/>
      <c r="D606" s="309"/>
      <c r="E606" s="309"/>
      <c r="F606" s="309"/>
      <c r="G606" s="309"/>
      <c r="H606" s="309"/>
      <c r="I606" s="309"/>
      <c r="J606" s="310"/>
      <c r="K606" s="310"/>
      <c r="L606" s="309"/>
      <c r="M606" s="309"/>
      <c r="N606" s="309"/>
      <c r="O606" s="310"/>
      <c r="P606" s="310"/>
      <c r="Q606" s="309"/>
      <c r="R606" s="310"/>
      <c r="S606" s="310"/>
      <c r="T606" s="310"/>
      <c r="U606" s="310"/>
      <c r="V606" s="316"/>
    </row>
    <row r="607" spans="1:22">
      <c r="A607" s="311"/>
      <c r="B607" s="312"/>
      <c r="C607" s="313"/>
      <c r="D607" s="314"/>
      <c r="E607" s="314"/>
      <c r="F607" s="314"/>
      <c r="G607" s="314"/>
      <c r="H607" s="314"/>
      <c r="I607" s="314"/>
      <c r="J607" s="315"/>
      <c r="K607" s="315"/>
      <c r="L607" s="314"/>
      <c r="M607" s="314"/>
      <c r="N607" s="314"/>
      <c r="O607" s="315"/>
      <c r="P607" s="315"/>
      <c r="Q607" s="314"/>
      <c r="R607" s="315"/>
      <c r="S607" s="315"/>
      <c r="T607" s="315"/>
      <c r="U607" s="315"/>
      <c r="V607" s="316"/>
    </row>
    <row r="608" spans="1:22">
      <c r="A608" s="311"/>
      <c r="B608" s="317"/>
      <c r="C608" s="318"/>
      <c r="D608" s="319"/>
      <c r="E608" s="319"/>
      <c r="F608" s="319"/>
      <c r="G608" s="319"/>
      <c r="H608" s="319"/>
      <c r="I608" s="319"/>
      <c r="J608" s="320"/>
      <c r="K608" s="320"/>
      <c r="L608" s="319"/>
      <c r="M608" s="319"/>
      <c r="N608" s="319"/>
      <c r="O608" s="320"/>
      <c r="P608" s="320"/>
      <c r="Q608" s="319"/>
      <c r="R608" s="320"/>
      <c r="S608" s="320"/>
      <c r="T608" s="320"/>
      <c r="U608" s="320"/>
      <c r="V608" s="316"/>
    </row>
    <row r="609" spans="1:22">
      <c r="A609" s="311"/>
      <c r="B609" s="291"/>
      <c r="C609" s="308"/>
      <c r="D609" s="309"/>
      <c r="E609" s="309"/>
      <c r="F609" s="309"/>
      <c r="G609" s="309"/>
      <c r="H609" s="309"/>
      <c r="I609" s="309"/>
      <c r="J609" s="310"/>
      <c r="K609" s="310"/>
      <c r="L609" s="309"/>
      <c r="M609" s="309"/>
      <c r="N609" s="309"/>
      <c r="O609" s="310"/>
      <c r="P609" s="310"/>
      <c r="Q609" s="309"/>
      <c r="R609" s="310"/>
      <c r="S609" s="310"/>
      <c r="T609" s="310"/>
      <c r="U609" s="310"/>
      <c r="V609" s="316"/>
    </row>
    <row r="610" spans="1:22">
      <c r="A610" s="311"/>
      <c r="B610" s="312"/>
      <c r="C610" s="313"/>
      <c r="D610" s="314"/>
      <c r="E610" s="314"/>
      <c r="F610" s="314"/>
      <c r="G610" s="314"/>
      <c r="H610" s="314"/>
      <c r="I610" s="314"/>
      <c r="J610" s="315"/>
      <c r="K610" s="315"/>
      <c r="L610" s="314"/>
      <c r="M610" s="314"/>
      <c r="N610" s="314"/>
      <c r="O610" s="315"/>
      <c r="P610" s="315"/>
      <c r="Q610" s="314"/>
      <c r="R610" s="315"/>
      <c r="S610" s="315"/>
      <c r="T610" s="315"/>
      <c r="U610" s="315"/>
      <c r="V610" s="316"/>
    </row>
    <row r="611" spans="1:22">
      <c r="A611" s="311"/>
      <c r="B611" s="317"/>
      <c r="C611" s="318"/>
      <c r="D611" s="319"/>
      <c r="E611" s="319"/>
      <c r="F611" s="319"/>
      <c r="G611" s="319"/>
      <c r="H611" s="319"/>
      <c r="I611" s="319"/>
      <c r="J611" s="320"/>
      <c r="K611" s="320"/>
      <c r="L611" s="319"/>
      <c r="M611" s="319"/>
      <c r="N611" s="319"/>
      <c r="O611" s="320"/>
      <c r="P611" s="320"/>
      <c r="Q611" s="319"/>
      <c r="R611" s="320"/>
      <c r="S611" s="320"/>
      <c r="T611" s="320"/>
      <c r="U611" s="320"/>
      <c r="V611" s="316"/>
    </row>
    <row r="612" spans="1:22">
      <c r="A612" s="311"/>
      <c r="B612" s="291"/>
      <c r="C612" s="308"/>
      <c r="D612" s="309"/>
      <c r="E612" s="309"/>
      <c r="F612" s="309"/>
      <c r="G612" s="309"/>
      <c r="H612" s="309"/>
      <c r="I612" s="309"/>
      <c r="J612" s="310"/>
      <c r="K612" s="310"/>
      <c r="L612" s="309"/>
      <c r="M612" s="309"/>
      <c r="N612" s="309"/>
      <c r="O612" s="310"/>
      <c r="P612" s="310"/>
      <c r="Q612" s="309"/>
      <c r="R612" s="310"/>
      <c r="S612" s="310"/>
      <c r="T612" s="310"/>
      <c r="U612" s="310"/>
      <c r="V612" s="316"/>
    </row>
    <row r="613" spans="1:22">
      <c r="A613" s="311"/>
      <c r="B613" s="312"/>
      <c r="C613" s="313"/>
      <c r="D613" s="314"/>
      <c r="E613" s="314"/>
      <c r="F613" s="314"/>
      <c r="G613" s="314"/>
      <c r="H613" s="314"/>
      <c r="I613" s="314"/>
      <c r="J613" s="315"/>
      <c r="K613" s="315"/>
      <c r="L613" s="314"/>
      <c r="M613" s="314"/>
      <c r="N613" s="314"/>
      <c r="O613" s="315"/>
      <c r="P613" s="315"/>
      <c r="Q613" s="314"/>
      <c r="R613" s="315"/>
      <c r="S613" s="315"/>
      <c r="T613" s="315"/>
      <c r="U613" s="315"/>
      <c r="V613" s="316"/>
    </row>
    <row r="614" spans="1:22">
      <c r="A614" s="311"/>
      <c r="B614" s="317"/>
      <c r="C614" s="318"/>
      <c r="D614" s="319"/>
      <c r="E614" s="319"/>
      <c r="F614" s="319"/>
      <c r="G614" s="319"/>
      <c r="H614" s="319"/>
      <c r="I614" s="319"/>
      <c r="J614" s="320"/>
      <c r="K614" s="320"/>
      <c r="L614" s="319"/>
      <c r="M614" s="319"/>
      <c r="N614" s="319"/>
      <c r="O614" s="320"/>
      <c r="P614" s="320"/>
      <c r="Q614" s="319"/>
      <c r="R614" s="320"/>
      <c r="S614" s="320"/>
      <c r="T614" s="320"/>
      <c r="U614" s="320"/>
      <c r="V614" s="316"/>
    </row>
    <row r="615" spans="1:22">
      <c r="A615" s="311"/>
      <c r="B615" s="291"/>
      <c r="C615" s="308"/>
      <c r="D615" s="309"/>
      <c r="E615" s="309"/>
      <c r="F615" s="309"/>
      <c r="G615" s="309"/>
      <c r="H615" s="309"/>
      <c r="I615" s="309"/>
      <c r="J615" s="310"/>
      <c r="K615" s="310"/>
      <c r="L615" s="309"/>
      <c r="M615" s="309"/>
      <c r="N615" s="309"/>
      <c r="O615" s="310"/>
      <c r="P615" s="310"/>
      <c r="Q615" s="309"/>
      <c r="R615" s="310"/>
      <c r="S615" s="310"/>
      <c r="T615" s="310"/>
      <c r="U615" s="310"/>
      <c r="V615" s="316"/>
    </row>
    <row r="616" spans="1:22">
      <c r="A616" s="311"/>
      <c r="B616" s="312"/>
      <c r="C616" s="313"/>
      <c r="D616" s="314"/>
      <c r="E616" s="314"/>
      <c r="F616" s="314"/>
      <c r="G616" s="314"/>
      <c r="H616" s="314"/>
      <c r="I616" s="314"/>
      <c r="J616" s="315"/>
      <c r="K616" s="315"/>
      <c r="L616" s="314"/>
      <c r="M616" s="314"/>
      <c r="N616" s="314"/>
      <c r="O616" s="315"/>
      <c r="P616" s="315"/>
      <c r="Q616" s="314"/>
      <c r="R616" s="315"/>
      <c r="S616" s="315"/>
      <c r="T616" s="315"/>
      <c r="U616" s="315"/>
      <c r="V616" s="316"/>
    </row>
    <row r="617" spans="1:22">
      <c r="A617" s="339"/>
      <c r="B617" s="317"/>
      <c r="C617" s="318"/>
      <c r="D617" s="319"/>
      <c r="E617" s="319"/>
      <c r="F617" s="319"/>
      <c r="G617" s="319"/>
      <c r="H617" s="319"/>
      <c r="I617" s="319"/>
      <c r="J617" s="320"/>
      <c r="K617" s="320"/>
      <c r="L617" s="319"/>
      <c r="M617" s="319"/>
      <c r="N617" s="319"/>
      <c r="O617" s="320"/>
      <c r="P617" s="320"/>
      <c r="Q617" s="319"/>
      <c r="R617" s="320"/>
      <c r="S617" s="320"/>
      <c r="T617" s="320"/>
      <c r="U617" s="320"/>
      <c r="V617" s="316"/>
    </row>
    <row r="621" spans="1:22">
      <c r="D621" s="289"/>
      <c r="E621" s="289"/>
      <c r="F621" s="289"/>
      <c r="G621" s="289"/>
      <c r="H621" s="289"/>
      <c r="I621" s="289"/>
      <c r="J621" s="289"/>
      <c r="K621" s="289"/>
      <c r="L621" s="289"/>
      <c r="M621" s="289"/>
      <c r="N621" s="289"/>
      <c r="O621" s="289"/>
      <c r="P621" s="289"/>
      <c r="Q621" s="289"/>
      <c r="R621" s="289"/>
      <c r="S621" s="289"/>
      <c r="T621" s="289"/>
      <c r="U621" s="289"/>
    </row>
    <row r="622" spans="1:22">
      <c r="D622" s="289"/>
      <c r="E622" s="289"/>
      <c r="F622" s="289"/>
      <c r="G622" s="289"/>
      <c r="H622" s="289"/>
      <c r="I622" s="289"/>
      <c r="J622" s="289"/>
      <c r="K622" s="289"/>
      <c r="L622" s="289"/>
      <c r="M622" s="289"/>
      <c r="N622" s="289"/>
      <c r="O622" s="289"/>
      <c r="P622" s="289"/>
      <c r="Q622" s="289"/>
      <c r="R622" s="289"/>
      <c r="S622" s="289"/>
      <c r="T622" s="289"/>
      <c r="U622" s="289"/>
    </row>
    <row r="623" spans="1:22">
      <c r="D623" s="289"/>
      <c r="E623" s="289"/>
      <c r="F623" s="289"/>
      <c r="G623" s="289"/>
      <c r="H623" s="289"/>
      <c r="I623" s="289"/>
      <c r="J623" s="289"/>
      <c r="K623" s="289"/>
      <c r="L623" s="289"/>
      <c r="M623" s="289"/>
      <c r="N623" s="289"/>
      <c r="O623" s="289"/>
      <c r="P623" s="289"/>
      <c r="Q623" s="289"/>
      <c r="R623" s="289"/>
      <c r="S623" s="289"/>
      <c r="T623" s="289"/>
      <c r="U623" s="289"/>
    </row>
    <row r="624" spans="1:22">
      <c r="D624" s="289"/>
      <c r="E624" s="289"/>
      <c r="F624" s="289"/>
      <c r="G624" s="289"/>
      <c r="H624" s="289"/>
      <c r="I624" s="289"/>
      <c r="J624" s="289"/>
      <c r="K624" s="289"/>
      <c r="L624" s="289"/>
      <c r="M624" s="289"/>
      <c r="N624" s="289"/>
      <c r="O624" s="289"/>
      <c r="P624" s="289"/>
      <c r="Q624" s="289"/>
      <c r="R624" s="289"/>
      <c r="S624" s="289"/>
      <c r="T624" s="289"/>
      <c r="U624" s="289"/>
    </row>
    <row r="625" spans="4:21">
      <c r="D625" s="289"/>
      <c r="E625" s="289"/>
      <c r="F625" s="289"/>
      <c r="G625" s="289"/>
      <c r="H625" s="289"/>
      <c r="I625" s="289"/>
      <c r="J625" s="289"/>
      <c r="K625" s="289"/>
      <c r="L625" s="289"/>
      <c r="M625" s="289"/>
      <c r="N625" s="289"/>
      <c r="O625" s="289"/>
      <c r="P625" s="289"/>
      <c r="Q625" s="289"/>
      <c r="R625" s="289"/>
      <c r="S625" s="289"/>
      <c r="T625" s="289"/>
      <c r="U625" s="289"/>
    </row>
    <row r="626" spans="4:21">
      <c r="D626" s="289"/>
      <c r="E626" s="289"/>
      <c r="F626" s="289"/>
      <c r="G626" s="289"/>
      <c r="H626" s="289"/>
      <c r="I626" s="289"/>
      <c r="J626" s="289"/>
      <c r="K626" s="289"/>
      <c r="L626" s="289"/>
      <c r="M626" s="289"/>
      <c r="N626" s="289"/>
      <c r="O626" s="289"/>
      <c r="P626" s="289"/>
      <c r="Q626" s="289"/>
      <c r="R626" s="289"/>
      <c r="S626" s="289"/>
      <c r="T626" s="289"/>
      <c r="U626" s="289"/>
    </row>
    <row r="627" spans="4:21">
      <c r="D627" s="289"/>
      <c r="E627" s="289"/>
      <c r="F627" s="289"/>
      <c r="G627" s="289"/>
      <c r="H627" s="289"/>
      <c r="I627" s="289"/>
      <c r="J627" s="289"/>
      <c r="K627" s="289"/>
      <c r="L627" s="289"/>
      <c r="M627" s="289"/>
      <c r="N627" s="289"/>
      <c r="O627" s="289"/>
      <c r="P627" s="289"/>
      <c r="Q627" s="289"/>
      <c r="R627" s="289"/>
      <c r="S627" s="289"/>
      <c r="T627" s="289"/>
      <c r="U627" s="289"/>
    </row>
    <row r="628" spans="4:21">
      <c r="D628" s="289"/>
      <c r="E628" s="289"/>
      <c r="F628" s="289"/>
      <c r="G628" s="289"/>
      <c r="H628" s="289"/>
      <c r="I628" s="289"/>
      <c r="J628" s="289"/>
      <c r="K628" s="289"/>
      <c r="L628" s="289"/>
      <c r="M628" s="289"/>
      <c r="N628" s="289"/>
      <c r="O628" s="289"/>
      <c r="P628" s="289"/>
      <c r="Q628" s="289"/>
      <c r="R628" s="289"/>
      <c r="S628" s="289"/>
      <c r="T628" s="289"/>
      <c r="U628" s="289"/>
    </row>
    <row r="629" spans="4:21">
      <c r="D629" s="289"/>
      <c r="E629" s="289"/>
      <c r="F629" s="289"/>
      <c r="G629" s="289"/>
      <c r="H629" s="289"/>
      <c r="I629" s="289"/>
      <c r="J629" s="289"/>
      <c r="K629" s="289"/>
      <c r="L629" s="289"/>
      <c r="M629" s="289"/>
      <c r="N629" s="289"/>
      <c r="O629" s="289"/>
      <c r="P629" s="289"/>
      <c r="Q629" s="289"/>
      <c r="R629" s="289"/>
      <c r="S629" s="289"/>
      <c r="T629" s="289"/>
      <c r="U629" s="289"/>
    </row>
    <row r="630" spans="4:21">
      <c r="D630" s="289"/>
      <c r="E630" s="289"/>
      <c r="F630" s="289"/>
      <c r="G630" s="289"/>
      <c r="H630" s="289"/>
      <c r="I630" s="289"/>
      <c r="J630" s="289"/>
      <c r="K630" s="289"/>
      <c r="L630" s="289"/>
      <c r="M630" s="289"/>
      <c r="N630" s="289"/>
      <c r="O630" s="289"/>
      <c r="P630" s="289"/>
      <c r="Q630" s="289"/>
      <c r="R630" s="289"/>
      <c r="S630" s="289"/>
      <c r="T630" s="289"/>
      <c r="U630" s="289"/>
    </row>
    <row r="631" spans="4:21">
      <c r="D631" s="289"/>
      <c r="E631" s="289"/>
      <c r="F631" s="289"/>
      <c r="G631" s="289"/>
      <c r="H631" s="289"/>
      <c r="I631" s="289"/>
      <c r="J631" s="289"/>
      <c r="K631" s="289"/>
      <c r="L631" s="289"/>
      <c r="M631" s="289"/>
      <c r="N631" s="289"/>
      <c r="O631" s="289"/>
      <c r="P631" s="289"/>
      <c r="Q631" s="289"/>
      <c r="R631" s="289"/>
      <c r="S631" s="289"/>
      <c r="T631" s="289"/>
      <c r="U631" s="289"/>
    </row>
    <row r="632" spans="4:21">
      <c r="D632" s="289"/>
      <c r="E632" s="289"/>
      <c r="F632" s="289"/>
      <c r="G632" s="289"/>
      <c r="H632" s="289"/>
      <c r="I632" s="289"/>
      <c r="J632" s="289"/>
      <c r="K632" s="289"/>
      <c r="L632" s="289"/>
      <c r="M632" s="289"/>
      <c r="N632" s="289"/>
      <c r="O632" s="289"/>
      <c r="P632" s="289"/>
      <c r="Q632" s="289"/>
      <c r="R632" s="289"/>
      <c r="S632" s="289"/>
      <c r="T632" s="289"/>
      <c r="U632" s="289"/>
    </row>
    <row r="633" spans="4:21">
      <c r="D633" s="289"/>
      <c r="E633" s="289"/>
      <c r="F633" s="289"/>
      <c r="G633" s="289"/>
      <c r="H633" s="289"/>
      <c r="I633" s="289"/>
      <c r="J633" s="289"/>
      <c r="K633" s="289"/>
      <c r="L633" s="289"/>
      <c r="M633" s="289"/>
      <c r="N633" s="289"/>
      <c r="O633" s="289"/>
      <c r="P633" s="289"/>
      <c r="Q633" s="289"/>
      <c r="R633" s="289"/>
      <c r="S633" s="289"/>
      <c r="T633" s="289"/>
      <c r="U633" s="289"/>
    </row>
    <row r="634" spans="4:21">
      <c r="D634" s="289"/>
      <c r="E634" s="289"/>
      <c r="F634" s="289"/>
      <c r="G634" s="289"/>
      <c r="H634" s="289"/>
      <c r="I634" s="289"/>
      <c r="J634" s="289"/>
      <c r="K634" s="289"/>
      <c r="L634" s="289"/>
      <c r="M634" s="289"/>
      <c r="N634" s="289"/>
      <c r="O634" s="289"/>
      <c r="P634" s="289"/>
      <c r="Q634" s="289"/>
      <c r="R634" s="289"/>
      <c r="S634" s="289"/>
      <c r="T634" s="289"/>
      <c r="U634" s="289"/>
    </row>
    <row r="635" spans="4:21">
      <c r="D635" s="289"/>
      <c r="E635" s="289"/>
      <c r="F635" s="289"/>
      <c r="G635" s="289"/>
      <c r="H635" s="289"/>
      <c r="I635" s="289"/>
      <c r="J635" s="289"/>
      <c r="K635" s="289"/>
      <c r="L635" s="289"/>
      <c r="M635" s="289"/>
      <c r="N635" s="289"/>
      <c r="O635" s="289"/>
      <c r="P635" s="289"/>
      <c r="Q635" s="289"/>
      <c r="R635" s="289"/>
      <c r="S635" s="289"/>
      <c r="T635" s="289"/>
      <c r="U635" s="289"/>
    </row>
    <row r="636" spans="4:21">
      <c r="D636" s="289"/>
      <c r="E636" s="289"/>
      <c r="F636" s="289"/>
      <c r="G636" s="289"/>
      <c r="H636" s="289"/>
      <c r="I636" s="289"/>
      <c r="J636" s="289"/>
      <c r="K636" s="289"/>
      <c r="L636" s="289"/>
      <c r="M636" s="289"/>
      <c r="N636" s="289"/>
      <c r="O636" s="289"/>
      <c r="P636" s="289"/>
      <c r="Q636" s="289"/>
      <c r="R636" s="289"/>
      <c r="S636" s="289"/>
      <c r="T636" s="289"/>
      <c r="U636" s="289"/>
    </row>
    <row r="637" spans="4:21">
      <c r="D637" s="289"/>
      <c r="E637" s="289"/>
      <c r="F637" s="289"/>
      <c r="G637" s="289"/>
      <c r="H637" s="289"/>
      <c r="I637" s="289"/>
      <c r="J637" s="289"/>
      <c r="K637" s="289"/>
      <c r="L637" s="289"/>
      <c r="M637" s="289"/>
      <c r="N637" s="289"/>
      <c r="O637" s="289"/>
      <c r="P637" s="289"/>
      <c r="Q637" s="289"/>
      <c r="R637" s="289"/>
      <c r="S637" s="289"/>
      <c r="T637" s="289"/>
      <c r="U637" s="289"/>
    </row>
    <row r="638" spans="4:21">
      <c r="D638" s="289"/>
      <c r="E638" s="289"/>
      <c r="F638" s="289"/>
      <c r="G638" s="289"/>
      <c r="H638" s="289"/>
      <c r="I638" s="289"/>
      <c r="J638" s="289"/>
      <c r="K638" s="289"/>
      <c r="L638" s="289"/>
      <c r="M638" s="289"/>
      <c r="N638" s="289"/>
      <c r="O638" s="289"/>
      <c r="P638" s="289"/>
      <c r="Q638" s="289"/>
      <c r="R638" s="289"/>
      <c r="S638" s="289"/>
      <c r="T638" s="289"/>
      <c r="U638" s="289"/>
    </row>
    <row r="639" spans="4:21">
      <c r="D639" s="289"/>
      <c r="E639" s="289"/>
      <c r="F639" s="289"/>
      <c r="G639" s="289"/>
      <c r="H639" s="289"/>
      <c r="I639" s="289"/>
      <c r="J639" s="289"/>
      <c r="K639" s="289"/>
      <c r="L639" s="289"/>
      <c r="M639" s="289"/>
      <c r="N639" s="289"/>
      <c r="O639" s="289"/>
      <c r="P639" s="289"/>
      <c r="Q639" s="289"/>
      <c r="R639" s="289"/>
      <c r="S639" s="289"/>
      <c r="T639" s="289"/>
      <c r="U639" s="289"/>
    </row>
    <row r="640" spans="4:21">
      <c r="D640" s="289"/>
      <c r="E640" s="289"/>
      <c r="F640" s="289"/>
      <c r="G640" s="289"/>
      <c r="H640" s="289"/>
      <c r="I640" s="289"/>
      <c r="J640" s="289"/>
      <c r="K640" s="289"/>
      <c r="L640" s="289"/>
      <c r="M640" s="289"/>
      <c r="N640" s="289"/>
      <c r="O640" s="289"/>
      <c r="P640" s="289"/>
      <c r="Q640" s="289"/>
      <c r="R640" s="289"/>
      <c r="S640" s="289"/>
      <c r="T640" s="289"/>
      <c r="U640" s="289"/>
    </row>
    <row r="641" spans="4:21">
      <c r="D641" s="289"/>
      <c r="E641" s="289"/>
      <c r="F641" s="289"/>
      <c r="G641" s="289"/>
      <c r="H641" s="289"/>
      <c r="I641" s="289"/>
      <c r="J641" s="289"/>
      <c r="K641" s="289"/>
      <c r="L641" s="289"/>
      <c r="M641" s="289"/>
      <c r="N641" s="289"/>
      <c r="O641" s="289"/>
      <c r="P641" s="289"/>
      <c r="Q641" s="289"/>
      <c r="R641" s="289"/>
      <c r="S641" s="289"/>
      <c r="T641" s="289"/>
      <c r="U641" s="289"/>
    </row>
    <row r="642" spans="4:21">
      <c r="D642" s="289"/>
      <c r="E642" s="289"/>
      <c r="F642" s="289"/>
      <c r="G642" s="289"/>
      <c r="H642" s="289"/>
      <c r="I642" s="289"/>
      <c r="J642" s="289"/>
      <c r="K642" s="289"/>
      <c r="L642" s="289"/>
      <c r="M642" s="289"/>
      <c r="N642" s="289"/>
      <c r="O642" s="289"/>
      <c r="P642" s="289"/>
      <c r="Q642" s="289"/>
      <c r="R642" s="289"/>
      <c r="S642" s="289"/>
      <c r="T642" s="289"/>
      <c r="U642" s="289"/>
    </row>
    <row r="643" spans="4:21">
      <c r="D643" s="289"/>
      <c r="E643" s="289"/>
      <c r="F643" s="289"/>
      <c r="G643" s="289"/>
      <c r="H643" s="289"/>
      <c r="I643" s="289"/>
      <c r="J643" s="289"/>
      <c r="K643" s="289"/>
      <c r="L643" s="289"/>
      <c r="M643" s="289"/>
      <c r="N643" s="289"/>
      <c r="O643" s="289"/>
      <c r="P643" s="289"/>
      <c r="Q643" s="289"/>
      <c r="R643" s="289"/>
      <c r="S643" s="289"/>
      <c r="T643" s="289"/>
      <c r="U643" s="289"/>
    </row>
    <row r="644" spans="4:21">
      <c r="D644" s="289"/>
      <c r="E644" s="289"/>
      <c r="F644" s="289"/>
      <c r="G644" s="289"/>
      <c r="H644" s="289"/>
      <c r="I644" s="289"/>
      <c r="J644" s="289"/>
      <c r="K644" s="289"/>
      <c r="L644" s="289"/>
      <c r="M644" s="289"/>
      <c r="N644" s="289"/>
      <c r="O644" s="289"/>
      <c r="P644" s="289"/>
      <c r="Q644" s="289"/>
      <c r="R644" s="289"/>
      <c r="S644" s="289"/>
      <c r="T644" s="289"/>
      <c r="U644" s="289"/>
    </row>
    <row r="645" spans="4:21">
      <c r="D645" s="289"/>
      <c r="E645" s="289"/>
      <c r="F645" s="289"/>
      <c r="G645" s="289"/>
      <c r="H645" s="289"/>
      <c r="I645" s="289"/>
      <c r="J645" s="289"/>
      <c r="K645" s="289"/>
      <c r="L645" s="289"/>
      <c r="M645" s="289"/>
      <c r="N645" s="289"/>
      <c r="O645" s="289"/>
      <c r="P645" s="289"/>
      <c r="Q645" s="289"/>
      <c r="R645" s="289"/>
      <c r="S645" s="289"/>
      <c r="T645" s="289"/>
      <c r="U645" s="289"/>
    </row>
    <row r="646" spans="4:21">
      <c r="D646" s="289"/>
      <c r="E646" s="289"/>
      <c r="F646" s="289"/>
      <c r="G646" s="289"/>
      <c r="H646" s="289"/>
      <c r="I646" s="289"/>
      <c r="J646" s="289"/>
      <c r="K646" s="289"/>
      <c r="L646" s="289"/>
      <c r="M646" s="289"/>
      <c r="N646" s="289"/>
      <c r="O646" s="289"/>
      <c r="P646" s="289"/>
      <c r="Q646" s="289"/>
      <c r="R646" s="289"/>
      <c r="S646" s="289"/>
      <c r="T646" s="289"/>
      <c r="U646" s="289"/>
    </row>
    <row r="647" spans="4:21">
      <c r="D647" s="289"/>
      <c r="E647" s="289"/>
      <c r="F647" s="289"/>
      <c r="G647" s="289"/>
      <c r="H647" s="289"/>
      <c r="I647" s="289"/>
      <c r="J647" s="289"/>
      <c r="K647" s="289"/>
      <c r="L647" s="289"/>
      <c r="M647" s="289"/>
      <c r="N647" s="289"/>
      <c r="O647" s="289"/>
      <c r="P647" s="289"/>
      <c r="Q647" s="289"/>
      <c r="R647" s="289"/>
      <c r="S647" s="289"/>
      <c r="T647" s="289"/>
      <c r="U647" s="289"/>
    </row>
    <row r="648" spans="4:21">
      <c r="D648" s="289"/>
      <c r="E648" s="289"/>
      <c r="F648" s="289"/>
      <c r="G648" s="289"/>
      <c r="H648" s="289"/>
      <c r="I648" s="289"/>
      <c r="J648" s="289"/>
      <c r="K648" s="289"/>
      <c r="L648" s="289"/>
      <c r="M648" s="289"/>
      <c r="N648" s="289"/>
      <c r="O648" s="289"/>
      <c r="P648" s="289"/>
      <c r="Q648" s="289"/>
      <c r="R648" s="289"/>
      <c r="S648" s="289"/>
      <c r="T648" s="289"/>
      <c r="U648" s="289"/>
    </row>
    <row r="649" spans="4:21">
      <c r="D649" s="289"/>
      <c r="E649" s="289"/>
      <c r="F649" s="289"/>
      <c r="G649" s="289"/>
      <c r="H649" s="289"/>
      <c r="I649" s="289"/>
      <c r="J649" s="289"/>
      <c r="K649" s="289"/>
      <c r="L649" s="289"/>
      <c r="M649" s="289"/>
      <c r="N649" s="289"/>
      <c r="O649" s="289"/>
      <c r="P649" s="289"/>
      <c r="Q649" s="289"/>
      <c r="R649" s="289"/>
      <c r="S649" s="289"/>
      <c r="T649" s="289"/>
      <c r="U649" s="289"/>
    </row>
    <row r="650" spans="4:21">
      <c r="D650" s="289"/>
      <c r="E650" s="289"/>
      <c r="F650" s="289"/>
      <c r="G650" s="289"/>
      <c r="H650" s="289"/>
      <c r="I650" s="289"/>
      <c r="J650" s="289"/>
      <c r="K650" s="289"/>
      <c r="L650" s="289"/>
      <c r="M650" s="289"/>
      <c r="N650" s="289"/>
      <c r="O650" s="289"/>
      <c r="P650" s="289"/>
      <c r="Q650" s="289"/>
      <c r="R650" s="289"/>
      <c r="S650" s="289"/>
      <c r="T650" s="289"/>
      <c r="U650" s="289"/>
    </row>
    <row r="651" spans="4:21">
      <c r="D651" s="289"/>
      <c r="E651" s="289"/>
      <c r="F651" s="289"/>
      <c r="G651" s="289"/>
      <c r="H651" s="289"/>
      <c r="I651" s="289"/>
      <c r="J651" s="289"/>
      <c r="K651" s="289"/>
      <c r="L651" s="289"/>
      <c r="M651" s="289"/>
      <c r="N651" s="289"/>
      <c r="O651" s="289"/>
      <c r="P651" s="289"/>
      <c r="Q651" s="289"/>
      <c r="R651" s="289"/>
      <c r="S651" s="289"/>
      <c r="T651" s="289"/>
      <c r="U651" s="289"/>
    </row>
    <row r="652" spans="4:21">
      <c r="D652" s="289"/>
      <c r="E652" s="289"/>
      <c r="F652" s="289"/>
      <c r="G652" s="289"/>
      <c r="H652" s="289"/>
      <c r="I652" s="289"/>
      <c r="J652" s="289"/>
      <c r="K652" s="289"/>
      <c r="L652" s="289"/>
      <c r="M652" s="289"/>
      <c r="N652" s="289"/>
      <c r="O652" s="289"/>
      <c r="P652" s="289"/>
      <c r="Q652" s="289"/>
      <c r="R652" s="289"/>
      <c r="S652" s="289"/>
      <c r="T652" s="289"/>
      <c r="U652" s="289"/>
    </row>
    <row r="653" spans="4:21">
      <c r="D653" s="289"/>
      <c r="E653" s="289"/>
      <c r="F653" s="289"/>
      <c r="G653" s="289"/>
      <c r="H653" s="289"/>
      <c r="I653" s="289"/>
      <c r="J653" s="289"/>
      <c r="K653" s="289"/>
      <c r="L653" s="289"/>
      <c r="M653" s="289"/>
      <c r="N653" s="289"/>
      <c r="O653" s="289"/>
      <c r="P653" s="289"/>
      <c r="Q653" s="289"/>
      <c r="R653" s="289"/>
      <c r="S653" s="289"/>
      <c r="T653" s="289"/>
      <c r="U653" s="289"/>
    </row>
    <row r="654" spans="4:21">
      <c r="D654" s="289"/>
      <c r="E654" s="289"/>
      <c r="F654" s="289"/>
      <c r="G654" s="289"/>
      <c r="H654" s="289"/>
      <c r="I654" s="289"/>
      <c r="J654" s="289"/>
      <c r="K654" s="289"/>
      <c r="L654" s="289"/>
      <c r="M654" s="289"/>
      <c r="N654" s="289"/>
      <c r="O654" s="289"/>
      <c r="P654" s="289"/>
      <c r="Q654" s="289"/>
      <c r="R654" s="289"/>
      <c r="S654" s="289"/>
      <c r="T654" s="289"/>
      <c r="U654" s="289"/>
    </row>
    <row r="655" spans="4:21">
      <c r="D655" s="289"/>
      <c r="E655" s="289"/>
      <c r="F655" s="289"/>
      <c r="G655" s="289"/>
      <c r="H655" s="289"/>
      <c r="I655" s="289"/>
      <c r="J655" s="289"/>
      <c r="K655" s="289"/>
      <c r="L655" s="289"/>
      <c r="M655" s="289"/>
      <c r="N655" s="289"/>
      <c r="O655" s="289"/>
      <c r="P655" s="289"/>
      <c r="Q655" s="289"/>
      <c r="R655" s="289"/>
      <c r="S655" s="289"/>
      <c r="T655" s="289"/>
      <c r="U655" s="289"/>
    </row>
    <row r="656" spans="4:21">
      <c r="D656" s="289"/>
      <c r="E656" s="289"/>
      <c r="F656" s="289"/>
      <c r="G656" s="289"/>
      <c r="H656" s="289"/>
      <c r="I656" s="289"/>
      <c r="J656" s="289"/>
      <c r="K656" s="289"/>
      <c r="L656" s="289"/>
      <c r="M656" s="289"/>
      <c r="N656" s="289"/>
      <c r="O656" s="289"/>
      <c r="P656" s="289"/>
      <c r="Q656" s="289"/>
      <c r="R656" s="289"/>
      <c r="S656" s="289"/>
      <c r="T656" s="289"/>
      <c r="U656" s="289"/>
    </row>
    <row r="657" spans="4:21">
      <c r="D657" s="289"/>
      <c r="E657" s="289"/>
      <c r="F657" s="289"/>
      <c r="G657" s="289"/>
      <c r="H657" s="289"/>
      <c r="I657" s="289"/>
      <c r="J657" s="289"/>
      <c r="K657" s="289"/>
      <c r="L657" s="289"/>
      <c r="M657" s="289"/>
      <c r="N657" s="289"/>
      <c r="O657" s="289"/>
      <c r="P657" s="289"/>
      <c r="Q657" s="289"/>
      <c r="R657" s="289"/>
      <c r="S657" s="289"/>
      <c r="T657" s="289"/>
      <c r="U657" s="289"/>
    </row>
    <row r="658" spans="4:21">
      <c r="D658" s="289"/>
      <c r="E658" s="289"/>
      <c r="F658" s="289"/>
      <c r="G658" s="289"/>
      <c r="H658" s="289"/>
      <c r="I658" s="289"/>
      <c r="J658" s="289"/>
      <c r="K658" s="289"/>
      <c r="L658" s="289"/>
      <c r="M658" s="289"/>
      <c r="N658" s="289"/>
      <c r="O658" s="289"/>
      <c r="P658" s="289"/>
      <c r="Q658" s="289"/>
      <c r="R658" s="289"/>
      <c r="S658" s="289"/>
      <c r="T658" s="289"/>
      <c r="U658" s="289"/>
    </row>
    <row r="659" spans="4:21">
      <c r="D659" s="289"/>
      <c r="E659" s="289"/>
      <c r="F659" s="289"/>
      <c r="G659" s="289"/>
      <c r="H659" s="289"/>
      <c r="I659" s="289"/>
      <c r="J659" s="289"/>
      <c r="K659" s="289"/>
      <c r="L659" s="289"/>
      <c r="M659" s="289"/>
      <c r="N659" s="289"/>
      <c r="O659" s="289"/>
      <c r="P659" s="289"/>
      <c r="Q659" s="289"/>
      <c r="R659" s="289"/>
      <c r="S659" s="289"/>
      <c r="T659" s="289"/>
      <c r="U659" s="289"/>
    </row>
    <row r="660" spans="4:21">
      <c r="D660" s="289"/>
      <c r="E660" s="289"/>
      <c r="F660" s="289"/>
      <c r="G660" s="289"/>
      <c r="H660" s="289"/>
      <c r="I660" s="289"/>
      <c r="J660" s="289"/>
      <c r="K660" s="289"/>
      <c r="L660" s="289"/>
      <c r="M660" s="289"/>
      <c r="N660" s="289"/>
      <c r="O660" s="289"/>
      <c r="P660" s="289"/>
      <c r="Q660" s="289"/>
      <c r="R660" s="289"/>
      <c r="S660" s="289"/>
      <c r="T660" s="289"/>
      <c r="U660" s="289"/>
    </row>
    <row r="661" spans="4:21">
      <c r="D661" s="289"/>
      <c r="E661" s="289"/>
      <c r="F661" s="289"/>
      <c r="G661" s="289"/>
      <c r="H661" s="289"/>
      <c r="I661" s="289"/>
      <c r="J661" s="289"/>
      <c r="K661" s="289"/>
      <c r="L661" s="289"/>
      <c r="M661" s="289"/>
      <c r="N661" s="289"/>
      <c r="O661" s="289"/>
      <c r="P661" s="289"/>
      <c r="Q661" s="289"/>
      <c r="R661" s="289"/>
      <c r="S661" s="289"/>
      <c r="T661" s="289"/>
      <c r="U661" s="289"/>
    </row>
    <row r="662" spans="4:21">
      <c r="D662" s="289"/>
      <c r="E662" s="289"/>
      <c r="F662" s="289"/>
      <c r="G662" s="289"/>
      <c r="H662" s="289"/>
      <c r="I662" s="289"/>
      <c r="J662" s="289"/>
      <c r="K662" s="289"/>
      <c r="L662" s="289"/>
      <c r="M662" s="289"/>
      <c r="N662" s="289"/>
      <c r="O662" s="289"/>
      <c r="P662" s="289"/>
      <c r="Q662" s="289"/>
      <c r="R662" s="289"/>
      <c r="S662" s="289"/>
      <c r="T662" s="289"/>
      <c r="U662" s="289"/>
    </row>
    <row r="663" spans="4:21">
      <c r="D663" s="289"/>
      <c r="E663" s="289"/>
      <c r="F663" s="289"/>
      <c r="G663" s="289"/>
      <c r="H663" s="289"/>
      <c r="I663" s="289"/>
      <c r="J663" s="289"/>
      <c r="K663" s="289"/>
      <c r="L663" s="289"/>
      <c r="M663" s="289"/>
      <c r="N663" s="289"/>
      <c r="O663" s="289"/>
      <c r="P663" s="289"/>
      <c r="Q663" s="289"/>
      <c r="R663" s="289"/>
      <c r="S663" s="289"/>
      <c r="T663" s="289"/>
      <c r="U663" s="289"/>
    </row>
    <row r="664" spans="4:21">
      <c r="D664" s="289"/>
      <c r="E664" s="289"/>
      <c r="F664" s="289"/>
      <c r="G664" s="289"/>
      <c r="H664" s="289"/>
      <c r="I664" s="289"/>
      <c r="J664" s="289"/>
      <c r="K664" s="289"/>
      <c r="L664" s="289"/>
      <c r="M664" s="289"/>
      <c r="N664" s="289"/>
      <c r="O664" s="289"/>
      <c r="P664" s="289"/>
      <c r="Q664" s="289"/>
      <c r="R664" s="289"/>
      <c r="S664" s="289"/>
      <c r="T664" s="289"/>
      <c r="U664" s="289"/>
    </row>
    <row r="665" spans="4:21">
      <c r="D665" s="289"/>
      <c r="E665" s="289"/>
      <c r="F665" s="289"/>
      <c r="G665" s="289"/>
      <c r="H665" s="289"/>
      <c r="I665" s="289"/>
      <c r="J665" s="289"/>
      <c r="K665" s="289"/>
      <c r="L665" s="289"/>
      <c r="M665" s="289"/>
      <c r="N665" s="289"/>
      <c r="O665" s="289"/>
      <c r="P665" s="289"/>
      <c r="Q665" s="289"/>
      <c r="R665" s="289"/>
      <c r="S665" s="289"/>
      <c r="T665" s="289"/>
      <c r="U665" s="289"/>
    </row>
    <row r="666" spans="4:21">
      <c r="D666" s="289"/>
      <c r="E666" s="289"/>
      <c r="F666" s="289"/>
      <c r="G666" s="289"/>
      <c r="H666" s="289"/>
      <c r="I666" s="289"/>
      <c r="J666" s="289"/>
      <c r="K666" s="289"/>
      <c r="L666" s="289"/>
      <c r="M666" s="289"/>
      <c r="N666" s="289"/>
      <c r="O666" s="289"/>
      <c r="P666" s="289"/>
      <c r="Q666" s="289"/>
      <c r="R666" s="289"/>
      <c r="S666" s="289"/>
      <c r="T666" s="289"/>
      <c r="U666" s="289"/>
    </row>
    <row r="667" spans="4:21">
      <c r="D667" s="289"/>
      <c r="E667" s="289"/>
      <c r="F667" s="289"/>
      <c r="G667" s="289"/>
      <c r="H667" s="289"/>
      <c r="I667" s="289"/>
      <c r="J667" s="289"/>
      <c r="K667" s="289"/>
      <c r="L667" s="289"/>
      <c r="M667" s="289"/>
      <c r="N667" s="289"/>
      <c r="O667" s="289"/>
      <c r="P667" s="289"/>
      <c r="Q667" s="289"/>
      <c r="R667" s="289"/>
      <c r="S667" s="289"/>
      <c r="T667" s="289"/>
      <c r="U667" s="289"/>
    </row>
    <row r="668" spans="4:21">
      <c r="D668" s="289"/>
      <c r="E668" s="289"/>
      <c r="F668" s="289"/>
      <c r="G668" s="289"/>
      <c r="H668" s="289"/>
      <c r="I668" s="289"/>
      <c r="J668" s="289"/>
      <c r="K668" s="289"/>
      <c r="L668" s="289"/>
      <c r="M668" s="289"/>
      <c r="N668" s="289"/>
      <c r="O668" s="289"/>
      <c r="P668" s="289"/>
      <c r="Q668" s="289"/>
      <c r="R668" s="289"/>
      <c r="S668" s="289"/>
      <c r="T668" s="289"/>
      <c r="U668" s="289"/>
    </row>
    <row r="669" spans="4:21">
      <c r="D669" s="289"/>
      <c r="E669" s="289"/>
      <c r="F669" s="289"/>
      <c r="G669" s="289"/>
      <c r="H669" s="289"/>
      <c r="I669" s="289"/>
      <c r="J669" s="289"/>
      <c r="K669" s="289"/>
      <c r="L669" s="289"/>
      <c r="M669" s="289"/>
      <c r="N669" s="289"/>
      <c r="O669" s="289"/>
      <c r="P669" s="289"/>
      <c r="Q669" s="289"/>
      <c r="R669" s="289"/>
      <c r="S669" s="289"/>
      <c r="T669" s="289"/>
      <c r="U669" s="289"/>
    </row>
    <row r="670" spans="4:21">
      <c r="D670" s="289"/>
      <c r="E670" s="289"/>
      <c r="F670" s="289"/>
      <c r="G670" s="289"/>
      <c r="H670" s="289"/>
      <c r="I670" s="289"/>
      <c r="J670" s="289"/>
      <c r="K670" s="289"/>
      <c r="L670" s="289"/>
      <c r="M670" s="289"/>
      <c r="N670" s="289"/>
      <c r="O670" s="289"/>
      <c r="P670" s="289"/>
      <c r="Q670" s="289"/>
      <c r="R670" s="289"/>
      <c r="S670" s="289"/>
      <c r="T670" s="289"/>
      <c r="U670" s="289"/>
    </row>
    <row r="671" spans="4:21">
      <c r="D671" s="289"/>
      <c r="E671" s="289"/>
      <c r="F671" s="289"/>
      <c r="G671" s="289"/>
      <c r="H671" s="289"/>
      <c r="I671" s="289"/>
      <c r="J671" s="289"/>
      <c r="K671" s="289"/>
      <c r="L671" s="289"/>
      <c r="M671" s="289"/>
      <c r="N671" s="289"/>
      <c r="O671" s="289"/>
      <c r="P671" s="289"/>
      <c r="Q671" s="289"/>
      <c r="R671" s="289"/>
      <c r="S671" s="289"/>
      <c r="T671" s="289"/>
      <c r="U671" s="289"/>
    </row>
    <row r="672" spans="4:21">
      <c r="D672" s="289"/>
      <c r="E672" s="289"/>
      <c r="F672" s="289"/>
      <c r="G672" s="289"/>
      <c r="H672" s="289"/>
      <c r="I672" s="289"/>
      <c r="J672" s="289"/>
      <c r="K672" s="289"/>
      <c r="L672" s="289"/>
      <c r="M672" s="289"/>
      <c r="N672" s="289"/>
      <c r="O672" s="289"/>
      <c r="P672" s="289"/>
      <c r="Q672" s="289"/>
      <c r="R672" s="289"/>
      <c r="S672" s="289"/>
      <c r="T672" s="289"/>
      <c r="U672" s="289"/>
    </row>
    <row r="673" spans="4:21">
      <c r="D673" s="289"/>
      <c r="E673" s="289"/>
      <c r="F673" s="289"/>
      <c r="G673" s="289"/>
      <c r="H673" s="289"/>
      <c r="I673" s="289"/>
      <c r="J673" s="289"/>
      <c r="K673" s="289"/>
      <c r="L673" s="289"/>
      <c r="M673" s="289"/>
      <c r="N673" s="289"/>
      <c r="O673" s="289"/>
      <c r="P673" s="289"/>
      <c r="Q673" s="289"/>
      <c r="R673" s="289"/>
      <c r="S673" s="289"/>
      <c r="T673" s="289"/>
      <c r="U673" s="289"/>
    </row>
    <row r="674" spans="4:21">
      <c r="D674" s="289"/>
      <c r="E674" s="289"/>
      <c r="F674" s="289"/>
      <c r="G674" s="289"/>
      <c r="H674" s="289"/>
      <c r="I674" s="289"/>
      <c r="J674" s="289"/>
      <c r="K674" s="289"/>
      <c r="L674" s="289"/>
      <c r="M674" s="289"/>
      <c r="N674" s="289"/>
      <c r="O674" s="289"/>
      <c r="P674" s="289"/>
      <c r="Q674" s="289"/>
      <c r="R674" s="289"/>
      <c r="S674" s="289"/>
      <c r="T674" s="289"/>
      <c r="U674" s="289"/>
    </row>
    <row r="675" spans="4:21">
      <c r="D675" s="289"/>
      <c r="E675" s="289"/>
      <c r="F675" s="289"/>
      <c r="G675" s="289"/>
      <c r="H675" s="289"/>
      <c r="I675" s="289"/>
      <c r="J675" s="289"/>
      <c r="K675" s="289"/>
      <c r="L675" s="289"/>
      <c r="M675" s="289"/>
      <c r="N675" s="289"/>
      <c r="O675" s="289"/>
      <c r="P675" s="289"/>
      <c r="Q675" s="289"/>
      <c r="R675" s="289"/>
      <c r="S675" s="289"/>
      <c r="T675" s="289"/>
      <c r="U675" s="289"/>
    </row>
    <row r="676" spans="4:21">
      <c r="D676" s="289"/>
      <c r="E676" s="289"/>
      <c r="F676" s="289"/>
      <c r="G676" s="289"/>
      <c r="H676" s="289"/>
      <c r="I676" s="289"/>
      <c r="J676" s="289"/>
      <c r="K676" s="289"/>
      <c r="L676" s="289"/>
      <c r="M676" s="289"/>
      <c r="N676" s="289"/>
      <c r="O676" s="289"/>
      <c r="P676" s="289"/>
      <c r="Q676" s="289"/>
      <c r="R676" s="289"/>
      <c r="S676" s="289"/>
      <c r="T676" s="289"/>
      <c r="U676" s="289"/>
    </row>
    <row r="677" spans="4:21">
      <c r="D677" s="289"/>
      <c r="E677" s="289"/>
      <c r="F677" s="289"/>
      <c r="G677" s="289"/>
      <c r="H677" s="289"/>
      <c r="I677" s="289"/>
      <c r="J677" s="289"/>
      <c r="K677" s="289"/>
      <c r="L677" s="289"/>
      <c r="M677" s="289"/>
      <c r="N677" s="289"/>
      <c r="O677" s="289"/>
      <c r="P677" s="289"/>
      <c r="Q677" s="289"/>
      <c r="R677" s="289"/>
      <c r="S677" s="289"/>
      <c r="T677" s="289"/>
      <c r="U677" s="289"/>
    </row>
    <row r="678" spans="4:21">
      <c r="D678" s="289"/>
      <c r="E678" s="289"/>
      <c r="F678" s="289"/>
      <c r="G678" s="289"/>
      <c r="H678" s="289"/>
      <c r="I678" s="289"/>
      <c r="J678" s="289"/>
      <c r="K678" s="289"/>
      <c r="L678" s="289"/>
      <c r="M678" s="289"/>
      <c r="N678" s="289"/>
      <c r="O678" s="289"/>
      <c r="P678" s="289"/>
      <c r="Q678" s="289"/>
      <c r="R678" s="289"/>
      <c r="S678" s="289"/>
      <c r="T678" s="289"/>
      <c r="U678" s="289"/>
    </row>
    <row r="679" spans="4:21">
      <c r="D679" s="289"/>
      <c r="E679" s="289"/>
      <c r="F679" s="289"/>
      <c r="G679" s="289"/>
      <c r="H679" s="289"/>
      <c r="I679" s="289"/>
      <c r="J679" s="289"/>
      <c r="K679" s="289"/>
      <c r="L679" s="289"/>
      <c r="M679" s="289"/>
      <c r="N679" s="289"/>
      <c r="O679" s="289"/>
      <c r="P679" s="289"/>
      <c r="Q679" s="289"/>
      <c r="R679" s="289"/>
      <c r="S679" s="289"/>
      <c r="T679" s="289"/>
      <c r="U679" s="289"/>
    </row>
    <row r="680" spans="4:21">
      <c r="D680" s="289"/>
      <c r="E680" s="289"/>
      <c r="F680" s="289"/>
      <c r="G680" s="289"/>
      <c r="H680" s="289"/>
      <c r="I680" s="289"/>
      <c r="J680" s="289"/>
      <c r="K680" s="289"/>
      <c r="L680" s="289"/>
      <c r="M680" s="289"/>
      <c r="N680" s="289"/>
      <c r="O680" s="289"/>
      <c r="P680" s="289"/>
      <c r="Q680" s="289"/>
      <c r="R680" s="289"/>
      <c r="S680" s="289"/>
      <c r="T680" s="289"/>
      <c r="U680" s="289"/>
    </row>
    <row r="681" spans="4:21">
      <c r="D681" s="289"/>
      <c r="E681" s="289"/>
      <c r="F681" s="289"/>
      <c r="G681" s="289"/>
      <c r="H681" s="289"/>
      <c r="I681" s="289"/>
      <c r="J681" s="289"/>
      <c r="K681" s="289"/>
      <c r="L681" s="289"/>
      <c r="M681" s="289"/>
      <c r="N681" s="289"/>
      <c r="O681" s="289"/>
      <c r="P681" s="289"/>
      <c r="Q681" s="289"/>
      <c r="R681" s="289"/>
      <c r="S681" s="289"/>
      <c r="T681" s="289"/>
      <c r="U681" s="289"/>
    </row>
    <row r="682" spans="4:21">
      <c r="D682" s="289"/>
      <c r="E682" s="289"/>
      <c r="F682" s="289"/>
      <c r="G682" s="289"/>
      <c r="H682" s="289"/>
      <c r="I682" s="289"/>
      <c r="J682" s="289"/>
      <c r="K682" s="289"/>
      <c r="L682" s="289"/>
      <c r="M682" s="289"/>
      <c r="N682" s="289"/>
      <c r="O682" s="289"/>
      <c r="P682" s="289"/>
      <c r="Q682" s="289"/>
      <c r="R682" s="289"/>
      <c r="S682" s="289"/>
      <c r="T682" s="289"/>
      <c r="U682" s="289"/>
    </row>
    <row r="683" spans="4:21">
      <c r="D683" s="289"/>
      <c r="E683" s="289"/>
      <c r="F683" s="289"/>
      <c r="G683" s="289"/>
      <c r="H683" s="289"/>
      <c r="I683" s="289"/>
      <c r="J683" s="289"/>
      <c r="K683" s="289"/>
      <c r="L683" s="289"/>
      <c r="M683" s="289"/>
      <c r="N683" s="289"/>
      <c r="O683" s="289"/>
      <c r="P683" s="289"/>
      <c r="Q683" s="289"/>
      <c r="R683" s="289"/>
      <c r="S683" s="289"/>
      <c r="T683" s="289"/>
      <c r="U683" s="289"/>
    </row>
    <row r="684" spans="4:21">
      <c r="D684" s="289"/>
      <c r="E684" s="289"/>
      <c r="F684" s="289"/>
      <c r="G684" s="289"/>
      <c r="H684" s="289"/>
      <c r="I684" s="289"/>
      <c r="J684" s="289"/>
      <c r="K684" s="289"/>
      <c r="L684" s="289"/>
      <c r="M684" s="289"/>
      <c r="N684" s="289"/>
      <c r="O684" s="289"/>
      <c r="P684" s="289"/>
      <c r="Q684" s="289"/>
      <c r="R684" s="289"/>
      <c r="S684" s="289"/>
      <c r="T684" s="289"/>
      <c r="U684" s="289"/>
    </row>
    <row r="685" spans="4:21">
      <c r="D685" s="289"/>
      <c r="E685" s="289"/>
      <c r="F685" s="289"/>
      <c r="G685" s="289"/>
      <c r="H685" s="289"/>
      <c r="I685" s="289"/>
      <c r="J685" s="289"/>
      <c r="K685" s="289"/>
      <c r="L685" s="289"/>
      <c r="M685" s="289"/>
      <c r="N685" s="289"/>
      <c r="O685" s="289"/>
      <c r="P685" s="289"/>
      <c r="Q685" s="289"/>
      <c r="R685" s="289"/>
      <c r="S685" s="289"/>
      <c r="T685" s="289"/>
      <c r="U685" s="289"/>
    </row>
    <row r="686" spans="4:21">
      <c r="D686" s="289"/>
      <c r="E686" s="289"/>
      <c r="F686" s="289"/>
      <c r="G686" s="289"/>
      <c r="H686" s="289"/>
      <c r="I686" s="289"/>
      <c r="J686" s="289"/>
      <c r="K686" s="289"/>
      <c r="L686" s="289"/>
      <c r="M686" s="289"/>
      <c r="N686" s="289"/>
      <c r="O686" s="289"/>
      <c r="P686" s="289"/>
      <c r="Q686" s="289"/>
      <c r="R686" s="289"/>
      <c r="S686" s="289"/>
      <c r="T686" s="289"/>
      <c r="U686" s="289"/>
    </row>
    <row r="687" spans="4:21">
      <c r="D687" s="289"/>
      <c r="E687" s="289"/>
      <c r="F687" s="289"/>
      <c r="G687" s="289"/>
      <c r="H687" s="289"/>
      <c r="I687" s="289"/>
      <c r="J687" s="289"/>
      <c r="K687" s="289"/>
      <c r="L687" s="289"/>
      <c r="M687" s="289"/>
      <c r="N687" s="289"/>
      <c r="O687" s="289"/>
      <c r="P687" s="289"/>
      <c r="Q687" s="289"/>
      <c r="R687" s="289"/>
      <c r="S687" s="289"/>
      <c r="T687" s="289"/>
      <c r="U687" s="289"/>
    </row>
    <row r="688" spans="4:21">
      <c r="D688" s="289"/>
      <c r="E688" s="289"/>
      <c r="F688" s="289"/>
      <c r="G688" s="289"/>
      <c r="H688" s="289"/>
      <c r="I688" s="289"/>
      <c r="J688" s="289"/>
      <c r="K688" s="289"/>
      <c r="L688" s="289"/>
      <c r="M688" s="289"/>
      <c r="N688" s="289"/>
      <c r="O688" s="289"/>
      <c r="P688" s="289"/>
      <c r="Q688" s="289"/>
      <c r="R688" s="289"/>
      <c r="S688" s="289"/>
      <c r="T688" s="289"/>
      <c r="U688" s="289"/>
    </row>
    <row r="689" spans="4:21">
      <c r="D689" s="289"/>
      <c r="E689" s="289"/>
      <c r="F689" s="289"/>
      <c r="G689" s="289"/>
      <c r="H689" s="289"/>
      <c r="I689" s="289"/>
      <c r="J689" s="289"/>
      <c r="K689" s="289"/>
      <c r="L689" s="289"/>
      <c r="M689" s="289"/>
      <c r="N689" s="289"/>
      <c r="O689" s="289"/>
      <c r="P689" s="289"/>
      <c r="Q689" s="289"/>
      <c r="R689" s="289"/>
      <c r="S689" s="289"/>
      <c r="T689" s="289"/>
      <c r="U689" s="289"/>
    </row>
    <row r="690" spans="4:21">
      <c r="D690" s="289"/>
      <c r="E690" s="289"/>
      <c r="F690" s="289"/>
      <c r="G690" s="289"/>
      <c r="H690" s="289"/>
      <c r="I690" s="289"/>
      <c r="J690" s="289"/>
      <c r="K690" s="289"/>
      <c r="L690" s="289"/>
      <c r="M690" s="289"/>
      <c r="N690" s="289"/>
      <c r="O690" s="289"/>
      <c r="P690" s="289"/>
      <c r="Q690" s="289"/>
      <c r="R690" s="289"/>
      <c r="S690" s="289"/>
      <c r="T690" s="289"/>
      <c r="U690" s="289"/>
    </row>
    <row r="691" spans="4:21">
      <c r="D691" s="289"/>
      <c r="E691" s="289"/>
      <c r="F691" s="289"/>
      <c r="G691" s="289"/>
      <c r="H691" s="289"/>
      <c r="I691" s="289"/>
      <c r="J691" s="289"/>
      <c r="K691" s="289"/>
      <c r="L691" s="289"/>
      <c r="M691" s="289"/>
      <c r="N691" s="289"/>
      <c r="O691" s="289"/>
      <c r="P691" s="289"/>
      <c r="Q691" s="289"/>
      <c r="R691" s="289"/>
      <c r="S691" s="289"/>
      <c r="T691" s="289"/>
      <c r="U691" s="289"/>
    </row>
    <row r="692" spans="4:21">
      <c r="D692" s="289"/>
      <c r="E692" s="289"/>
      <c r="F692" s="289"/>
      <c r="G692" s="289"/>
      <c r="H692" s="289"/>
      <c r="I692" s="289"/>
      <c r="J692" s="289"/>
      <c r="K692" s="289"/>
      <c r="L692" s="289"/>
      <c r="M692" s="289"/>
      <c r="N692" s="289"/>
      <c r="O692" s="289"/>
      <c r="P692" s="289"/>
      <c r="Q692" s="289"/>
      <c r="R692" s="289"/>
      <c r="S692" s="289"/>
      <c r="T692" s="289"/>
      <c r="U692" s="289"/>
    </row>
    <row r="693" spans="4:21">
      <c r="D693" s="289"/>
      <c r="E693" s="289"/>
      <c r="F693" s="289"/>
      <c r="G693" s="289"/>
      <c r="H693" s="289"/>
      <c r="I693" s="289"/>
      <c r="J693" s="289"/>
      <c r="K693" s="289"/>
      <c r="L693" s="289"/>
      <c r="M693" s="289"/>
      <c r="N693" s="289"/>
      <c r="O693" s="289"/>
      <c r="P693" s="289"/>
      <c r="Q693" s="289"/>
      <c r="R693" s="289"/>
      <c r="S693" s="289"/>
      <c r="T693" s="289"/>
      <c r="U693" s="289"/>
    </row>
    <row r="694" spans="4:21">
      <c r="D694" s="289"/>
      <c r="E694" s="289"/>
      <c r="F694" s="289"/>
      <c r="G694" s="289"/>
      <c r="H694" s="289"/>
      <c r="I694" s="289"/>
      <c r="J694" s="289"/>
      <c r="K694" s="289"/>
      <c r="L694" s="289"/>
      <c r="M694" s="289"/>
      <c r="N694" s="289"/>
      <c r="O694" s="289"/>
      <c r="P694" s="289"/>
      <c r="Q694" s="289"/>
      <c r="R694" s="289"/>
      <c r="S694" s="289"/>
      <c r="T694" s="289"/>
      <c r="U694" s="289"/>
    </row>
    <row r="695" spans="4:21">
      <c r="D695" s="289"/>
      <c r="E695" s="289"/>
      <c r="F695" s="289"/>
      <c r="G695" s="289"/>
      <c r="H695" s="289"/>
      <c r="I695" s="289"/>
      <c r="J695" s="289"/>
      <c r="K695" s="289"/>
      <c r="L695" s="289"/>
      <c r="M695" s="289"/>
      <c r="N695" s="289"/>
      <c r="O695" s="289"/>
      <c r="P695" s="289"/>
      <c r="Q695" s="289"/>
      <c r="R695" s="289"/>
      <c r="S695" s="289"/>
      <c r="T695" s="289"/>
      <c r="U695" s="289"/>
    </row>
    <row r="696" spans="4:21">
      <c r="D696" s="289"/>
      <c r="E696" s="289"/>
      <c r="F696" s="289"/>
      <c r="G696" s="289"/>
      <c r="H696" s="289"/>
      <c r="I696" s="289"/>
      <c r="J696" s="289"/>
      <c r="K696" s="289"/>
      <c r="L696" s="289"/>
      <c r="M696" s="289"/>
      <c r="N696" s="289"/>
      <c r="O696" s="289"/>
      <c r="P696" s="289"/>
      <c r="Q696" s="289"/>
      <c r="R696" s="289"/>
      <c r="S696" s="289"/>
      <c r="T696" s="289"/>
      <c r="U696" s="289"/>
    </row>
    <row r="697" spans="4:21">
      <c r="D697" s="289"/>
      <c r="E697" s="289"/>
      <c r="F697" s="289"/>
      <c r="G697" s="289"/>
      <c r="H697" s="289"/>
      <c r="I697" s="289"/>
      <c r="J697" s="289"/>
      <c r="K697" s="289"/>
      <c r="L697" s="289"/>
      <c r="M697" s="289"/>
      <c r="N697" s="289"/>
      <c r="O697" s="289"/>
      <c r="P697" s="289"/>
      <c r="Q697" s="289"/>
      <c r="R697" s="289"/>
      <c r="S697" s="289"/>
      <c r="T697" s="289"/>
      <c r="U697" s="289"/>
    </row>
    <row r="698" spans="4:21">
      <c r="D698" s="289"/>
      <c r="E698" s="289"/>
      <c r="F698" s="289"/>
      <c r="G698" s="289"/>
      <c r="H698" s="289"/>
      <c r="I698" s="289"/>
      <c r="J698" s="289"/>
      <c r="K698" s="289"/>
      <c r="L698" s="289"/>
      <c r="M698" s="289"/>
      <c r="N698" s="289"/>
      <c r="O698" s="289"/>
      <c r="P698" s="289"/>
      <c r="Q698" s="289"/>
      <c r="R698" s="289"/>
      <c r="S698" s="289"/>
      <c r="T698" s="289"/>
      <c r="U698" s="289"/>
    </row>
    <row r="699" spans="4:21">
      <c r="D699" s="289"/>
      <c r="E699" s="289"/>
      <c r="F699" s="289"/>
      <c r="G699" s="289"/>
      <c r="H699" s="289"/>
      <c r="I699" s="289"/>
      <c r="J699" s="289"/>
      <c r="K699" s="289"/>
      <c r="L699" s="289"/>
      <c r="M699" s="289"/>
      <c r="N699" s="289"/>
      <c r="O699" s="289"/>
      <c r="P699" s="289"/>
      <c r="Q699" s="289"/>
      <c r="R699" s="289"/>
      <c r="S699" s="289"/>
      <c r="T699" s="289"/>
      <c r="U699" s="289"/>
    </row>
    <row r="700" spans="4:21">
      <c r="D700" s="289"/>
      <c r="E700" s="289"/>
      <c r="F700" s="289"/>
      <c r="G700" s="289"/>
      <c r="H700" s="289"/>
      <c r="I700" s="289"/>
      <c r="J700" s="289"/>
      <c r="K700" s="289"/>
      <c r="L700" s="289"/>
      <c r="M700" s="289"/>
      <c r="N700" s="289"/>
      <c r="O700" s="289"/>
      <c r="P700" s="289"/>
      <c r="Q700" s="289"/>
      <c r="R700" s="289"/>
      <c r="S700" s="289"/>
      <c r="T700" s="289"/>
      <c r="U700" s="289"/>
    </row>
    <row r="701" spans="4:21">
      <c r="D701" s="289"/>
      <c r="E701" s="289"/>
      <c r="F701" s="289"/>
      <c r="G701" s="289"/>
      <c r="H701" s="289"/>
      <c r="I701" s="289"/>
      <c r="J701" s="289"/>
      <c r="K701" s="289"/>
      <c r="L701" s="289"/>
      <c r="M701" s="289"/>
      <c r="N701" s="289"/>
      <c r="O701" s="289"/>
      <c r="P701" s="289"/>
      <c r="Q701" s="289"/>
      <c r="R701" s="289"/>
      <c r="S701" s="289"/>
      <c r="T701" s="289"/>
      <c r="U701" s="289"/>
    </row>
    <row r="702" spans="4:21">
      <c r="D702" s="289"/>
      <c r="E702" s="289"/>
      <c r="F702" s="289"/>
      <c r="G702" s="289"/>
      <c r="H702" s="289"/>
      <c r="I702" s="289"/>
      <c r="J702" s="289"/>
      <c r="K702" s="289"/>
      <c r="L702" s="289"/>
      <c r="M702" s="289"/>
      <c r="N702" s="289"/>
      <c r="O702" s="289"/>
      <c r="P702" s="289"/>
      <c r="Q702" s="289"/>
      <c r="R702" s="289"/>
      <c r="S702" s="289"/>
      <c r="T702" s="289"/>
      <c r="U702" s="289"/>
    </row>
    <row r="703" spans="4:21">
      <c r="D703" s="289"/>
      <c r="E703" s="289"/>
      <c r="F703" s="289"/>
      <c r="G703" s="289"/>
      <c r="H703" s="289"/>
      <c r="I703" s="289"/>
      <c r="J703" s="289"/>
      <c r="K703" s="289"/>
      <c r="L703" s="289"/>
      <c r="M703" s="289"/>
      <c r="N703" s="289"/>
      <c r="O703" s="289"/>
      <c r="P703" s="289"/>
      <c r="Q703" s="289"/>
      <c r="R703" s="289"/>
      <c r="S703" s="289"/>
      <c r="T703" s="289"/>
      <c r="U703" s="289"/>
    </row>
    <row r="704" spans="4:21">
      <c r="D704" s="289"/>
      <c r="E704" s="289"/>
      <c r="F704" s="289"/>
      <c r="G704" s="289"/>
      <c r="H704" s="289"/>
      <c r="I704" s="289"/>
      <c r="J704" s="289"/>
      <c r="K704" s="289"/>
      <c r="L704" s="289"/>
      <c r="M704" s="289"/>
      <c r="N704" s="289"/>
      <c r="O704" s="289"/>
      <c r="P704" s="289"/>
      <c r="Q704" s="289"/>
      <c r="R704" s="289"/>
      <c r="S704" s="289"/>
      <c r="T704" s="289"/>
      <c r="U704" s="289"/>
    </row>
    <row r="705" spans="4:21">
      <c r="D705" s="289"/>
      <c r="E705" s="289"/>
      <c r="F705" s="289"/>
      <c r="G705" s="289"/>
      <c r="H705" s="289"/>
      <c r="I705" s="289"/>
      <c r="J705" s="289"/>
      <c r="K705" s="289"/>
      <c r="L705" s="289"/>
      <c r="M705" s="289"/>
      <c r="N705" s="289"/>
      <c r="O705" s="289"/>
      <c r="P705" s="289"/>
      <c r="Q705" s="289"/>
      <c r="R705" s="289"/>
      <c r="S705" s="289"/>
      <c r="T705" s="289"/>
      <c r="U705" s="289"/>
    </row>
    <row r="706" spans="4:21">
      <c r="D706" s="289"/>
      <c r="E706" s="289"/>
      <c r="F706" s="289"/>
      <c r="G706" s="289"/>
      <c r="H706" s="289"/>
      <c r="I706" s="289"/>
      <c r="J706" s="289"/>
      <c r="K706" s="289"/>
      <c r="L706" s="289"/>
      <c r="M706" s="289"/>
      <c r="N706" s="289"/>
      <c r="O706" s="289"/>
      <c r="P706" s="289"/>
      <c r="Q706" s="289"/>
      <c r="R706" s="289"/>
      <c r="S706" s="289"/>
      <c r="T706" s="289"/>
      <c r="U706" s="289"/>
    </row>
    <row r="707" spans="4:21">
      <c r="D707" s="289"/>
      <c r="E707" s="289"/>
      <c r="F707" s="289"/>
      <c r="G707" s="289"/>
      <c r="H707" s="289"/>
      <c r="I707" s="289"/>
      <c r="J707" s="289"/>
      <c r="K707" s="289"/>
      <c r="L707" s="289"/>
      <c r="M707" s="289"/>
      <c r="N707" s="289"/>
      <c r="O707" s="289"/>
      <c r="P707" s="289"/>
      <c r="Q707" s="289"/>
      <c r="R707" s="289"/>
      <c r="S707" s="289"/>
      <c r="T707" s="289"/>
      <c r="U707" s="289"/>
    </row>
    <row r="708" spans="4:21">
      <c r="D708" s="289"/>
      <c r="E708" s="289"/>
      <c r="F708" s="289"/>
      <c r="G708" s="289"/>
      <c r="H708" s="289"/>
      <c r="I708" s="289"/>
      <c r="J708" s="289"/>
      <c r="K708" s="289"/>
      <c r="L708" s="289"/>
      <c r="M708" s="289"/>
      <c r="N708" s="289"/>
      <c r="O708" s="289"/>
      <c r="P708" s="289"/>
      <c r="Q708" s="289"/>
      <c r="R708" s="289"/>
      <c r="S708" s="289"/>
      <c r="T708" s="289"/>
      <c r="U708" s="289"/>
    </row>
    <row r="709" spans="4:21">
      <c r="D709" s="289"/>
      <c r="E709" s="289"/>
      <c r="F709" s="289"/>
      <c r="G709" s="289"/>
      <c r="H709" s="289"/>
      <c r="I709" s="289"/>
      <c r="J709" s="289"/>
      <c r="K709" s="289"/>
      <c r="L709" s="289"/>
      <c r="M709" s="289"/>
      <c r="N709" s="289"/>
      <c r="O709" s="289"/>
      <c r="P709" s="289"/>
      <c r="Q709" s="289"/>
      <c r="R709" s="289"/>
      <c r="S709" s="289"/>
      <c r="T709" s="289"/>
      <c r="U709" s="289"/>
    </row>
    <row r="710" spans="4:21">
      <c r="D710" s="289"/>
      <c r="E710" s="289"/>
      <c r="F710" s="289"/>
      <c r="G710" s="289"/>
      <c r="H710" s="289"/>
      <c r="I710" s="289"/>
      <c r="J710" s="289"/>
      <c r="K710" s="289"/>
      <c r="L710" s="289"/>
      <c r="M710" s="289"/>
      <c r="N710" s="289"/>
      <c r="O710" s="289"/>
      <c r="P710" s="289"/>
      <c r="Q710" s="289"/>
      <c r="R710" s="289"/>
      <c r="S710" s="289"/>
      <c r="T710" s="289"/>
      <c r="U710" s="289"/>
    </row>
    <row r="711" spans="4:21">
      <c r="D711" s="289"/>
      <c r="E711" s="289"/>
      <c r="F711" s="289"/>
      <c r="G711" s="289"/>
      <c r="H711" s="289"/>
      <c r="I711" s="289"/>
      <c r="J711" s="289"/>
      <c r="K711" s="289"/>
      <c r="L711" s="289"/>
      <c r="M711" s="289"/>
      <c r="N711" s="289"/>
      <c r="O711" s="289"/>
      <c r="P711" s="289"/>
      <c r="Q711" s="289"/>
      <c r="R711" s="289"/>
      <c r="S711" s="289"/>
      <c r="T711" s="289"/>
      <c r="U711" s="289"/>
    </row>
    <row r="712" spans="4:21">
      <c r="D712" s="289"/>
      <c r="E712" s="289"/>
      <c r="F712" s="289"/>
      <c r="G712" s="289"/>
      <c r="H712" s="289"/>
      <c r="I712" s="289"/>
      <c r="J712" s="289"/>
      <c r="K712" s="289"/>
      <c r="L712" s="289"/>
      <c r="M712" s="289"/>
      <c r="N712" s="289"/>
      <c r="O712" s="289"/>
      <c r="P712" s="289"/>
      <c r="Q712" s="289"/>
      <c r="R712" s="289"/>
      <c r="S712" s="289"/>
      <c r="T712" s="289"/>
      <c r="U712" s="289"/>
    </row>
    <row r="713" spans="4:21">
      <c r="D713" s="289"/>
      <c r="E713" s="289"/>
      <c r="F713" s="289"/>
      <c r="G713" s="289"/>
      <c r="H713" s="289"/>
      <c r="I713" s="289"/>
      <c r="J713" s="289"/>
      <c r="K713" s="289"/>
      <c r="L713" s="289"/>
      <c r="M713" s="289"/>
      <c r="N713" s="289"/>
      <c r="O713" s="289"/>
      <c r="P713" s="289"/>
      <c r="Q713" s="289"/>
      <c r="R713" s="289"/>
      <c r="S713" s="289"/>
      <c r="T713" s="289"/>
      <c r="U713" s="289"/>
    </row>
    <row r="714" spans="4:21">
      <c r="D714" s="289"/>
      <c r="E714" s="289"/>
      <c r="F714" s="289"/>
      <c r="G714" s="289"/>
      <c r="H714" s="289"/>
      <c r="I714" s="289"/>
      <c r="J714" s="289"/>
      <c r="K714" s="289"/>
      <c r="L714" s="289"/>
      <c r="M714" s="289"/>
      <c r="N714" s="289"/>
      <c r="O714" s="289"/>
      <c r="P714" s="289"/>
      <c r="Q714" s="289"/>
      <c r="R714" s="289"/>
      <c r="S714" s="289"/>
      <c r="T714" s="289"/>
      <c r="U714" s="289"/>
    </row>
    <row r="715" spans="4:21">
      <c r="D715" s="289"/>
      <c r="E715" s="289"/>
      <c r="F715" s="289"/>
      <c r="G715" s="289"/>
      <c r="H715" s="289"/>
      <c r="I715" s="289"/>
      <c r="J715" s="289"/>
      <c r="K715" s="289"/>
      <c r="L715" s="289"/>
      <c r="M715" s="289"/>
      <c r="N715" s="289"/>
      <c r="O715" s="289"/>
      <c r="P715" s="289"/>
      <c r="Q715" s="289"/>
      <c r="R715" s="289"/>
      <c r="S715" s="289"/>
      <c r="T715" s="289"/>
      <c r="U715" s="289"/>
    </row>
    <row r="716" spans="4:21">
      <c r="D716" s="289"/>
      <c r="E716" s="289"/>
      <c r="F716" s="289"/>
      <c r="G716" s="289"/>
      <c r="H716" s="289"/>
      <c r="I716" s="289"/>
      <c r="J716" s="289"/>
      <c r="K716" s="289"/>
      <c r="L716" s="289"/>
      <c r="M716" s="289"/>
      <c r="N716" s="289"/>
      <c r="O716" s="289"/>
      <c r="P716" s="289"/>
      <c r="Q716" s="289"/>
      <c r="R716" s="289"/>
      <c r="S716" s="289"/>
      <c r="T716" s="289"/>
      <c r="U716" s="289"/>
    </row>
    <row r="717" spans="4:21">
      <c r="D717" s="289"/>
      <c r="E717" s="289"/>
      <c r="F717" s="289"/>
      <c r="G717" s="289"/>
      <c r="H717" s="289"/>
      <c r="I717" s="289"/>
      <c r="J717" s="289"/>
      <c r="K717" s="289"/>
      <c r="L717" s="289"/>
      <c r="M717" s="289"/>
      <c r="N717" s="289"/>
      <c r="O717" s="289"/>
      <c r="P717" s="289"/>
      <c r="Q717" s="289"/>
      <c r="R717" s="289"/>
      <c r="S717" s="289"/>
      <c r="T717" s="289"/>
      <c r="U717" s="289"/>
    </row>
    <row r="718" spans="4:21">
      <c r="D718" s="289"/>
      <c r="E718" s="289"/>
      <c r="F718" s="289"/>
      <c r="G718" s="289"/>
      <c r="H718" s="289"/>
      <c r="I718" s="289"/>
      <c r="J718" s="289"/>
      <c r="K718" s="289"/>
      <c r="L718" s="289"/>
      <c r="M718" s="289"/>
      <c r="N718" s="289"/>
      <c r="O718" s="289"/>
      <c r="P718" s="289"/>
      <c r="Q718" s="289"/>
      <c r="R718" s="289"/>
      <c r="S718" s="289"/>
      <c r="T718" s="289"/>
      <c r="U718" s="289"/>
    </row>
    <row r="719" spans="4:21">
      <c r="D719" s="289"/>
      <c r="E719" s="289"/>
      <c r="F719" s="289"/>
      <c r="G719" s="289"/>
      <c r="H719" s="289"/>
      <c r="I719" s="289"/>
      <c r="J719" s="289"/>
      <c r="K719" s="289"/>
      <c r="L719" s="289"/>
      <c r="M719" s="289"/>
      <c r="N719" s="289"/>
      <c r="O719" s="289"/>
      <c r="P719" s="289"/>
      <c r="Q719" s="289"/>
      <c r="R719" s="289"/>
      <c r="S719" s="289"/>
      <c r="T719" s="289"/>
      <c r="U719" s="289"/>
    </row>
    <row r="720" spans="4:21">
      <c r="D720" s="289"/>
      <c r="E720" s="289"/>
      <c r="F720" s="289"/>
      <c r="G720" s="289"/>
      <c r="H720" s="289"/>
      <c r="I720" s="289"/>
      <c r="J720" s="289"/>
      <c r="K720" s="289"/>
      <c r="L720" s="289"/>
      <c r="M720" s="289"/>
      <c r="N720" s="289"/>
      <c r="O720" s="289"/>
      <c r="P720" s="289"/>
      <c r="Q720" s="289"/>
      <c r="R720" s="289"/>
      <c r="S720" s="289"/>
      <c r="T720" s="289"/>
      <c r="U720" s="289"/>
    </row>
    <row r="721" spans="4:21">
      <c r="D721" s="289"/>
      <c r="E721" s="289"/>
      <c r="F721" s="289"/>
      <c r="G721" s="289"/>
      <c r="H721" s="289"/>
      <c r="I721" s="289"/>
      <c r="J721" s="289"/>
      <c r="K721" s="289"/>
      <c r="L721" s="289"/>
      <c r="M721" s="289"/>
      <c r="N721" s="289"/>
      <c r="O721" s="289"/>
      <c r="P721" s="289"/>
      <c r="Q721" s="289"/>
      <c r="R721" s="289"/>
      <c r="S721" s="289"/>
      <c r="T721" s="289"/>
      <c r="U721" s="289"/>
    </row>
    <row r="722" spans="4:21">
      <c r="D722" s="289"/>
      <c r="E722" s="289"/>
      <c r="F722" s="289"/>
      <c r="G722" s="289"/>
      <c r="H722" s="289"/>
      <c r="I722" s="289"/>
      <c r="J722" s="289"/>
      <c r="K722" s="289"/>
      <c r="L722" s="289"/>
      <c r="M722" s="289"/>
      <c r="N722" s="289"/>
      <c r="O722" s="289"/>
      <c r="P722" s="289"/>
      <c r="Q722" s="289"/>
      <c r="R722" s="289"/>
      <c r="S722" s="289"/>
      <c r="T722" s="289"/>
      <c r="U722" s="289"/>
    </row>
    <row r="723" spans="4:21">
      <c r="D723" s="289"/>
      <c r="E723" s="289"/>
      <c r="F723" s="289"/>
      <c r="G723" s="289"/>
      <c r="H723" s="289"/>
      <c r="I723" s="289"/>
      <c r="J723" s="289"/>
      <c r="K723" s="289"/>
      <c r="L723" s="289"/>
      <c r="M723" s="289"/>
      <c r="N723" s="289"/>
      <c r="O723" s="289"/>
      <c r="P723" s="289"/>
      <c r="Q723" s="289"/>
      <c r="R723" s="289"/>
      <c r="S723" s="289"/>
      <c r="T723" s="289"/>
      <c r="U723" s="289"/>
    </row>
    <row r="724" spans="4:21">
      <c r="D724" s="289"/>
      <c r="E724" s="289"/>
      <c r="F724" s="289"/>
      <c r="G724" s="289"/>
      <c r="H724" s="289"/>
      <c r="I724" s="289"/>
      <c r="J724" s="289"/>
      <c r="K724" s="289"/>
      <c r="L724" s="289"/>
      <c r="M724" s="289"/>
      <c r="N724" s="289"/>
      <c r="O724" s="289"/>
      <c r="P724" s="289"/>
      <c r="Q724" s="289"/>
      <c r="R724" s="289"/>
      <c r="S724" s="289"/>
      <c r="T724" s="289"/>
      <c r="U724" s="289"/>
    </row>
    <row r="725" spans="4:21">
      <c r="D725" s="289"/>
      <c r="E725" s="289"/>
      <c r="F725" s="289"/>
      <c r="G725" s="289"/>
      <c r="H725" s="289"/>
      <c r="I725" s="289"/>
      <c r="J725" s="289"/>
      <c r="K725" s="289"/>
      <c r="L725" s="289"/>
      <c r="M725" s="289"/>
      <c r="N725" s="289"/>
      <c r="O725" s="289"/>
      <c r="P725" s="289"/>
      <c r="Q725" s="289"/>
      <c r="R725" s="289"/>
      <c r="S725" s="289"/>
      <c r="T725" s="289"/>
      <c r="U725" s="28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30DC-D41E-4FDB-8421-F00F6EAA29FD}">
  <sheetPr>
    <tabColor theme="4" tint="0.39997558519241921"/>
  </sheetPr>
  <dimension ref="A1:AH83"/>
  <sheetViews>
    <sheetView workbookViewId="0">
      <selection activeCell="I33" sqref="I33"/>
    </sheetView>
  </sheetViews>
  <sheetFormatPr defaultRowHeight="15"/>
  <cols>
    <col min="1" max="1" width="15.140625" style="398" customWidth="1"/>
    <col min="2" max="33" width="11.85546875" style="187" customWidth="1"/>
    <col min="34" max="16384" width="9.140625" style="187"/>
  </cols>
  <sheetData>
    <row r="1" spans="1:34">
      <c r="A1" s="397" t="s">
        <v>889</v>
      </c>
    </row>
    <row r="2" spans="1:34">
      <c r="B2" s="399" t="s">
        <v>890</v>
      </c>
      <c r="C2" s="400"/>
      <c r="D2" s="400"/>
      <c r="E2" s="400"/>
      <c r="F2" s="400"/>
      <c r="G2" s="400"/>
      <c r="H2" s="400"/>
      <c r="I2" s="400"/>
      <c r="J2" s="400"/>
      <c r="K2" s="400"/>
      <c r="L2" s="400"/>
      <c r="M2" s="400"/>
      <c r="N2" s="400"/>
      <c r="O2" s="400"/>
      <c r="P2" s="400"/>
      <c r="Q2" s="401"/>
      <c r="R2" s="402" t="s">
        <v>891</v>
      </c>
      <c r="S2" s="403"/>
      <c r="T2" s="403"/>
      <c r="U2" s="403"/>
      <c r="V2" s="403"/>
      <c r="W2" s="403"/>
      <c r="X2" s="403"/>
      <c r="Y2" s="403"/>
      <c r="Z2" s="403"/>
      <c r="AA2" s="404"/>
      <c r="AB2" s="405" t="s">
        <v>892</v>
      </c>
      <c r="AC2" s="406"/>
      <c r="AD2" s="406"/>
      <c r="AE2" s="406"/>
      <c r="AF2" s="406"/>
      <c r="AG2" s="406"/>
    </row>
    <row r="3" spans="1:34">
      <c r="B3" s="407">
        <v>1</v>
      </c>
      <c r="C3" s="408"/>
      <c r="D3" s="409">
        <v>2</v>
      </c>
      <c r="E3" s="408"/>
      <c r="F3" s="409">
        <v>3</v>
      </c>
      <c r="G3" s="408"/>
      <c r="H3" s="409">
        <v>4</v>
      </c>
      <c r="I3" s="408"/>
      <c r="J3" s="409">
        <v>5</v>
      </c>
      <c r="K3" s="408"/>
      <c r="L3" s="409">
        <v>6</v>
      </c>
      <c r="M3" s="408"/>
      <c r="N3" s="409">
        <v>15</v>
      </c>
      <c r="O3" s="408"/>
      <c r="P3" s="409" t="s">
        <v>893</v>
      </c>
      <c r="Q3" s="410"/>
      <c r="R3" s="411">
        <v>7</v>
      </c>
      <c r="S3" s="412"/>
      <c r="T3" s="411">
        <v>8</v>
      </c>
      <c r="U3" s="412"/>
      <c r="V3" s="411">
        <v>9</v>
      </c>
      <c r="W3" s="412"/>
      <c r="X3" s="411">
        <v>10</v>
      </c>
      <c r="Y3" s="412"/>
      <c r="Z3" s="411" t="s">
        <v>893</v>
      </c>
      <c r="AA3" s="412"/>
      <c r="AB3" s="413">
        <v>12</v>
      </c>
      <c r="AC3" s="414"/>
      <c r="AD3" s="413">
        <v>13</v>
      </c>
      <c r="AE3" s="414"/>
      <c r="AF3" s="413" t="s">
        <v>893</v>
      </c>
      <c r="AG3" s="414"/>
    </row>
    <row r="4" spans="1:34" s="422" customFormat="1">
      <c r="A4" s="415"/>
      <c r="B4" s="416">
        <v>2014</v>
      </c>
      <c r="C4" s="417">
        <v>2015</v>
      </c>
      <c r="D4" s="416">
        <v>2014</v>
      </c>
      <c r="E4" s="417">
        <v>2015</v>
      </c>
      <c r="F4" s="416">
        <v>2014</v>
      </c>
      <c r="G4" s="417">
        <v>2015</v>
      </c>
      <c r="H4" s="416">
        <v>2014</v>
      </c>
      <c r="I4" s="417">
        <v>2015</v>
      </c>
      <c r="J4" s="416">
        <v>2014</v>
      </c>
      <c r="K4" s="417">
        <v>2015</v>
      </c>
      <c r="L4" s="416">
        <v>2014</v>
      </c>
      <c r="M4" s="417">
        <v>2015</v>
      </c>
      <c r="N4" s="416">
        <v>2014</v>
      </c>
      <c r="O4" s="417">
        <v>2015</v>
      </c>
      <c r="P4" s="416">
        <v>2014</v>
      </c>
      <c r="Q4" s="417">
        <v>2015</v>
      </c>
      <c r="R4" s="418">
        <v>2014</v>
      </c>
      <c r="S4" s="419">
        <v>2015</v>
      </c>
      <c r="T4" s="418">
        <v>2014</v>
      </c>
      <c r="U4" s="419">
        <v>2015</v>
      </c>
      <c r="V4" s="418">
        <v>2014</v>
      </c>
      <c r="W4" s="419">
        <v>2015</v>
      </c>
      <c r="X4" s="418">
        <v>2014</v>
      </c>
      <c r="Y4" s="419">
        <v>2015</v>
      </c>
      <c r="Z4" s="418">
        <v>2014</v>
      </c>
      <c r="AA4" s="419">
        <v>2015</v>
      </c>
      <c r="AB4" s="418">
        <v>2014</v>
      </c>
      <c r="AC4" s="420">
        <v>2015</v>
      </c>
      <c r="AD4" s="418">
        <v>2014</v>
      </c>
      <c r="AE4" s="420">
        <v>2015</v>
      </c>
      <c r="AF4" s="418">
        <v>2014</v>
      </c>
      <c r="AG4" s="420">
        <v>2015</v>
      </c>
      <c r="AH4" s="421"/>
    </row>
    <row r="5" spans="1:34">
      <c r="A5" s="398" t="s">
        <v>894</v>
      </c>
      <c r="B5" s="423">
        <f>GETPIVOTDATA("Sum of OLD-Tot UG SCH Calc",'Pivot Table for Fact Book'!$A$3,"State","AL","type",1,"Type2","Four-Year")</f>
        <v>1507132</v>
      </c>
      <c r="C5" s="424">
        <f>GETPIVOTDATA("Sum of NEW-Tot UG SCH Calc",'Pivot Table for Fact Book'!$A$3,"State","AL","type",1,"Type2","Four-Year")</f>
        <v>1561509</v>
      </c>
      <c r="D5" s="423">
        <f>GETPIVOTDATA("Sum of OLD-Tot UG SCH Calc",'Pivot Table for Fact Book'!$A$3,"State","AL","type",2,"Type2","Four-Year")</f>
        <v>417025.5</v>
      </c>
      <c r="E5" s="424">
        <f>GETPIVOTDATA("Sum of NEW-Tot UG SCH Calc",'Pivot Table for Fact Book'!$A$3,"State","AL","type",2,"Type2","Four-Year")</f>
        <v>439857.5</v>
      </c>
      <c r="F5" s="423">
        <f>GETPIVOTDATA("Sum of OLD-Tot UG SCH Calc",'Pivot Table for Fact Book'!$A$3,"State","AL","type",3,"Type2","Four-Year")</f>
        <v>996973</v>
      </c>
      <c r="G5" s="424">
        <f>GETPIVOTDATA("Sum of NEW-Tot UG SCH Calc",'Pivot Table for Fact Book'!$A$3,"State","AL","type",3,"Type2","Four-Year")</f>
        <v>1036095</v>
      </c>
      <c r="H5" s="423">
        <f>GETPIVOTDATA("Sum of OLD-Tot UG SCH Calc",'Pivot Table for Fact Book'!$A$3,"State","AL","type",4,"Type2","Four-Year")</f>
        <v>256501</v>
      </c>
      <c r="I5" s="424">
        <f>GETPIVOTDATA("Sum of NEW-Tot UG SCH Calc",'Pivot Table for Fact Book'!$A$3,"State","AL","type",4,"Type2","Four-Year")</f>
        <v>252011</v>
      </c>
      <c r="J5" s="423">
        <f>GETPIVOTDATA("Sum of OLD-Tot UG SCH Calc",'Pivot Table for Fact Book'!$A$3,"State","AL","type",5,"Type2","Four-Year")</f>
        <v>124077</v>
      </c>
      <c r="K5" s="424">
        <f>GETPIVOTDATA("Sum of NEW-Tot UG SCH Calc",'Pivot Table for Fact Book'!$A$3,"State","AL","type",5,"Type2","Four-Year")</f>
        <v>122849</v>
      </c>
      <c r="L5" s="423">
        <f>GETPIVOTDATA("Sum of OLD-Tot UG SCH Calc",'Pivot Table for Fact Book'!$A$3,"State","AL","type",6,"Type2","Four-Year")</f>
        <v>70416</v>
      </c>
      <c r="M5" s="424">
        <f>GETPIVOTDATA("Sum of NEW-Tot UG SCH Calc",'Pivot Table for Fact Book'!$A$3,"State","AL","type",6,"Type2","Four-Year")</f>
        <v>69518</v>
      </c>
      <c r="N5" s="423">
        <f>GETPIVOTDATA("Sum of OLD-Tot UG SCH Calc",'Pivot Table for Fact Book'!$A$3,"State","AL","type",15,"Type2","Four-Year")</f>
        <v>14189</v>
      </c>
      <c r="O5" s="424">
        <f>GETPIVOTDATA("Sum of NEW-Tot UG SCH Calc",'Pivot Table for Fact Book'!$A$3,"State","AL","type",15,"Type2","Four-Year")</f>
        <v>13766</v>
      </c>
      <c r="P5" s="425">
        <f>GETPIVOTDATA("Sum of OLD-Tot UG SCH Calc",'Pivot Table for Fact Book'!$A$3,"State","AL","Type2","Four-Year")</f>
        <v>3386313.5</v>
      </c>
      <c r="Q5" s="425">
        <f>GETPIVOTDATA("Sum of NEW-Tot UG SCH Calc",'Pivot Table for Fact Book'!$A$3,"State","AL","Type2","Four-Year")</f>
        <v>3495605.5</v>
      </c>
      <c r="R5" s="423">
        <f>GETPIVOTDATA("Sum of OLD-Tot UG SCH Calc",'Pivot Table for Fact Book'!$A$3,"State","AL","type",7,"Type2","Two-Year")</f>
        <v>0</v>
      </c>
      <c r="S5" s="426">
        <f>GETPIVOTDATA("Sum of NEW-Tot UG SCH Calc",'Pivot Table for Fact Book'!$A$3,"State","AL","type",7,"Type2","Two-Year")</f>
        <v>0</v>
      </c>
      <c r="T5" s="426">
        <f>GETPIVOTDATA("Sum of OLD-Tot UG SCH Calc",'Pivot Table for Fact Book'!$A$3,"State","AL","type",8,"Type2","Two-Year")</f>
        <v>387428</v>
      </c>
      <c r="U5" s="426">
        <f>GETPIVOTDATA("Sum of NEW-Tot UG SCH Calc",'Pivot Table for Fact Book'!$A$3,"State","AL","type",8,"Type2","Two-Year")</f>
        <v>375801</v>
      </c>
      <c r="V5" s="426">
        <f>GETPIVOTDATA("Sum of OLD-Tot UG SCH Calc",'Pivot Table for Fact Book'!$A$3,"State","AL","type",9,"Type2","Two-Year")</f>
        <v>1066496</v>
      </c>
      <c r="W5" s="426">
        <f>GETPIVOTDATA("Sum of NEW-Tot UG SCH Calc",'Pivot Table for Fact Book'!$A$3,"State","AL","type",9,"Type2","Two-Year")</f>
        <v>1047454</v>
      </c>
      <c r="X5" s="426">
        <f>GETPIVOTDATA("Sum of OLD-Tot UG SCH Calc",'Pivot Table for Fact Book'!$A$3,"State","AL","type",10,"Type2","Two-Year")</f>
        <v>337507</v>
      </c>
      <c r="Y5" s="426">
        <f>GETPIVOTDATA("Sum of NEW-Tot UG SCH Calc",'Pivot Table for Fact Book'!$A$3,"State","AL","type",10,"Type2","Two-Year")</f>
        <v>328161.5</v>
      </c>
      <c r="Z5" s="427">
        <f>GETPIVOTDATA("Sum of OLD-Tot UG SCH Calc",'Pivot Table for Fact Book'!$A$3,"State","AL","Type2","Two-Year")</f>
        <v>1791431</v>
      </c>
      <c r="AA5" s="427">
        <f>GETPIVOTDATA("Sum of NEW-Tot UG SCH Calc",'Pivot Table for Fact Book'!$A$3,"State","AL","Type2","Two-Year")</f>
        <v>1751416.5</v>
      </c>
      <c r="AB5" s="423">
        <f>+GETPIVOTDATA("Sum of OLD-Tot UG SCH Calc",'Pivot Table for Fact Book'!$A$3,"State","AL","type",12,"type2","Techncial")</f>
        <v>36087</v>
      </c>
      <c r="AC5" s="426">
        <f>+GETPIVOTDATA("Sum of NEW-Tot UG SCH Calc",'Pivot Table for Fact Book'!$A$3,"State","AL","type",12,"type2","Techncial")</f>
        <v>38556</v>
      </c>
      <c r="AD5" s="423">
        <f>+GETPIVOTDATA("Sum of OLD-Tot UG SCH Calc",'Pivot Table for Fact Book'!$A$3,"State","AL","type",13,"type2","Techncial")</f>
        <v>53235</v>
      </c>
      <c r="AE5" s="426">
        <f>+GETPIVOTDATA("Sum of NEW-Tot UG SCH Calc",'Pivot Table for Fact Book'!$A$3,"State","AL","type",13,"type2","Techncial")</f>
        <v>50361</v>
      </c>
      <c r="AF5" s="428">
        <f>+GETPIVOTDATA("Sum of OLD-Tot UG SCH Calc",'Pivot Table for Fact Book'!$A$3,"State","AL","type2","Techncial")</f>
        <v>89322</v>
      </c>
      <c r="AG5" s="429">
        <f>+GETPIVOTDATA("Sum of NEW-Tot UG SCH Calc",'Pivot Table for Fact Book'!$A$3,"State","AL","type2","Techncial")</f>
        <v>88917</v>
      </c>
      <c r="AH5" s="430"/>
    </row>
    <row r="6" spans="1:34">
      <c r="A6" s="398" t="s">
        <v>895</v>
      </c>
      <c r="B6" s="423">
        <f>GETPIVOTDATA("Sum of OLD-Tot UG SCH Calc",'Pivot Table for Fact Book'!$A$3,"State","AR","type",1,"Type2","Four-Year")</f>
        <v>629101</v>
      </c>
      <c r="C6" s="424">
        <f>GETPIVOTDATA("Sum of NEW-Tot UG SCH Calc",'Pivot Table for Fact Book'!$A$3,"State","AR","type",1,"Type2","Four-Year")</f>
        <v>638732</v>
      </c>
      <c r="D6" s="423">
        <f>GETPIVOTDATA("Sum of OLD-Tot UG SCH Calc",'Pivot Table for Fact Book'!$A$3,"State","AR","type",2,"Type2","Four-Year")</f>
        <v>212666</v>
      </c>
      <c r="E6" s="424">
        <f>GETPIVOTDATA("Sum of NEW-Tot UG SCH Calc",'Pivot Table for Fact Book'!$A$3,"State","AR","type",2,"Type2","Four-Year")</f>
        <v>206489</v>
      </c>
      <c r="F6" s="423">
        <f>GETPIVOTDATA("Sum of OLD-Tot UG SCH Calc",'Pivot Table for Fact Book'!$A$3,"State","AR","type",3,"Type2","Four-Year")</f>
        <v>768908</v>
      </c>
      <c r="G6" s="424">
        <f>GETPIVOTDATA("Sum of NEW-Tot UG SCH Calc",'Pivot Table for Fact Book'!$A$3,"State","AR","type",3,"Type2","Four-Year")</f>
        <v>762666</v>
      </c>
      <c r="H6" s="423">
        <f>GETPIVOTDATA("Sum of OLD-Tot UG SCH Calc",'Pivot Table for Fact Book'!$A$3,"State","AR","type",4,"Type2","Four-Year")</f>
        <v>175384</v>
      </c>
      <c r="I6" s="424">
        <f>GETPIVOTDATA("Sum of NEW-Tot UG SCH Calc",'Pivot Table for Fact Book'!$A$3,"State","AR","type",4,"Type2","Four-Year")</f>
        <v>142441</v>
      </c>
      <c r="J6" s="423">
        <f>GETPIVOTDATA("Sum of OLD-Tot UG SCH Calc",'Pivot Table for Fact Book'!$A$3,"State","AR","type",5,"Type2","Four-Year")</f>
        <v>68255</v>
      </c>
      <c r="K6" s="424">
        <f>GETPIVOTDATA("Sum of NEW-Tot UG SCH Calc",'Pivot Table for Fact Book'!$A$3,"State","AR","type",5,"Type2","Four-Year")</f>
        <v>67489</v>
      </c>
      <c r="L6" s="423">
        <f>GETPIVOTDATA("Sum of OLD-Tot UG SCH Calc",'Pivot Table for Fact Book'!$A$3,"State","AR","type",6,"Type2","Four-Year")</f>
        <v>237010</v>
      </c>
      <c r="M6" s="424">
        <f>GETPIVOTDATA("Sum of NEW-Tot UG SCH Calc",'Pivot Table for Fact Book'!$A$3,"State","AR","type",6,"Type2","Four-Year")</f>
        <v>231954</v>
      </c>
      <c r="N6" s="423">
        <f>GETPIVOTDATA("Sum of OLD-Tot UG SCH Calc",'Pivot Table for Fact Book'!$A$3,"State","AR","type",15,"Type2","Four-Year")</f>
        <v>20061</v>
      </c>
      <c r="O6" s="424">
        <f>GETPIVOTDATA("Sum of NEW-Tot UG SCH Calc",'Pivot Table for Fact Book'!$A$3,"State","AR","type",15,"Type2","Four-Year")</f>
        <v>18675</v>
      </c>
      <c r="P6" s="425">
        <f>GETPIVOTDATA("Sum of OLD-Tot UG SCH Calc",'Pivot Table for Fact Book'!$A$3,"State","AR","Type2","Four-Year")</f>
        <v>2111385</v>
      </c>
      <c r="Q6" s="425">
        <f>GETPIVOTDATA("Sum of NEW-Tot UG SCH Calc",'Pivot Table for Fact Book'!$A$3,"State","AR","Type2","Four-Year")</f>
        <v>2068446</v>
      </c>
      <c r="R6" s="423">
        <f>GETPIVOTDATA("Sum of OLD-Tot UG SCH Calc",'Pivot Table for Fact Book'!$A$3,"State","AR","type",7,"Type2","Two-Year")</f>
        <v>0</v>
      </c>
      <c r="S6" s="426">
        <f>GETPIVOTDATA("Sum of NEW-Tot UG SCH Calc",'Pivot Table for Fact Book'!$A$3,"State","AR","type",7,"Type2","Two-Year")</f>
        <v>0</v>
      </c>
      <c r="T6" s="426">
        <f>GETPIVOTDATA("Sum of OLD-Tot UG SCH Calc",'Pivot Table for Fact Book'!$A$3,"State","AR","type",8,"Type2","Two-Year")</f>
        <v>319699</v>
      </c>
      <c r="U6" s="426">
        <f>GETPIVOTDATA("Sum of NEW-Tot UG SCH Calc",'Pivot Table for Fact Book'!$A$3,"State","AR","type",8,"Type2","Two-Year")</f>
        <v>291294</v>
      </c>
      <c r="V6" s="426">
        <f>GETPIVOTDATA("Sum of OLD-Tot UG SCH Calc",'Pivot Table for Fact Book'!$A$3,"State","AR","type",9,"Type2","Two-Year")</f>
        <v>147560</v>
      </c>
      <c r="W6" s="426">
        <f>GETPIVOTDATA("Sum of NEW-Tot UG SCH Calc",'Pivot Table for Fact Book'!$A$3,"State","AR","type",9,"Type2","Two-Year")</f>
        <v>142279</v>
      </c>
      <c r="X6" s="426">
        <f>GETPIVOTDATA("Sum of OLD-Tot UG SCH Calc",'Pivot Table for Fact Book'!$A$3,"State","AR","type",10,"Type2","Two-Year")</f>
        <v>577440</v>
      </c>
      <c r="Y6" s="426">
        <f>GETPIVOTDATA("Sum of NEW-Tot UG SCH Calc",'Pivot Table for Fact Book'!$A$3,"State","AR","type",10,"Type2","Two-Year")</f>
        <v>560082</v>
      </c>
      <c r="Z6" s="427">
        <f>GETPIVOTDATA("Sum of OLD-Tot UG SCH Calc",'Pivot Table for Fact Book'!$A$3,"State","AR","Type2","Two-Year")</f>
        <v>1044699</v>
      </c>
      <c r="AA6" s="427">
        <f>GETPIVOTDATA("Sum of NEW-Tot UG SCH Calc",'Pivot Table for Fact Book'!$A$3,"State","AR","Type2","Two-Year")</f>
        <v>993655</v>
      </c>
      <c r="AB6" s="423">
        <f>+GETPIVOTDATA("Sum of OLD-Tot UG SCH Calc",'Pivot Table for Fact Book'!$A$3,"State","AR","type",12,"type2","Techncial")</f>
        <v>0</v>
      </c>
      <c r="AC6" s="426">
        <f>+GETPIVOTDATA("Sum of NEW-Tot UG SCH Calc",'Pivot Table for Fact Book'!$A$3,"State","AR","type",12,"type2","Techncial")</f>
        <v>0</v>
      </c>
      <c r="AD6" s="423">
        <f>+GETPIVOTDATA("Sum of OLD-Tot UG SCH Calc",'Pivot Table for Fact Book'!$A$3,"State","AR","type",13,"type2","Techncial")</f>
        <v>0</v>
      </c>
      <c r="AE6" s="426">
        <f>+GETPIVOTDATA("Sum of NEW-Tot UG SCH Calc",'Pivot Table for Fact Book'!$A$3,"State","AR","type",13,"type2","Techncial")</f>
        <v>0</v>
      </c>
      <c r="AF6" s="428">
        <f>+GETPIVOTDATA("Sum of OLD-Tot UG SCH Calc",'Pivot Table for Fact Book'!$A$3,"State","AR","type2","Techncial")</f>
        <v>0</v>
      </c>
      <c r="AG6" s="429">
        <f>+GETPIVOTDATA("Sum of NEW-Tot UG SCH Calc",'Pivot Table for Fact Book'!$A$3,"State","AR","type2","Techncial")</f>
        <v>0</v>
      </c>
      <c r="AH6" s="430"/>
    </row>
    <row r="7" spans="1:34">
      <c r="A7" s="398" t="s">
        <v>896</v>
      </c>
      <c r="B7" s="423">
        <f>GETPIVOTDATA("Sum of OLD-Tot UG SCH Calc",'Pivot Table for Fact Book'!$A$3,"State","DE","type",1,"Type2","Four-Year")</f>
        <v>567333</v>
      </c>
      <c r="C7" s="424">
        <f>GETPIVOTDATA("Sum of NEW-Tot UG SCH Calc",'Pivot Table for Fact Book'!$A$3,"State","DE","type",1,"Type2","Four-Year")</f>
        <v>577848</v>
      </c>
      <c r="D7" s="423">
        <f>GETPIVOTDATA("Sum of OLD-Tot UG SCH Calc",'Pivot Table for Fact Book'!$A$3,"State","DE","type",2,"Type2","Four-Year")</f>
        <v>0</v>
      </c>
      <c r="E7" s="424">
        <f>GETPIVOTDATA("Sum of NEW-Tot UG SCH Calc",'Pivot Table for Fact Book'!$A$3,"State","DE","type",2,"Type2","Four-Year")</f>
        <v>0</v>
      </c>
      <c r="F7" s="423">
        <f>GETPIVOTDATA("Sum of OLD-Tot UG SCH Calc",'Pivot Table for Fact Book'!$A$3,"State","DE","type",3,"Type2","Four-Year")</f>
        <v>121952</v>
      </c>
      <c r="G7" s="424">
        <f>GETPIVOTDATA("Sum of NEW-Tot UG SCH Calc",'Pivot Table for Fact Book'!$A$3,"State","DE","type",3,"Type2","Four-Year")</f>
        <v>127789</v>
      </c>
      <c r="H7" s="423">
        <f>GETPIVOTDATA("Sum of OLD-Tot UG SCH Calc",'Pivot Table for Fact Book'!$A$3,"State","DE","type",4,"Type2","Four-Year")</f>
        <v>0</v>
      </c>
      <c r="I7" s="424">
        <f>GETPIVOTDATA("Sum of NEW-Tot UG SCH Calc",'Pivot Table for Fact Book'!$A$3,"State","DE","type",4,"Type2","Four-Year")</f>
        <v>0</v>
      </c>
      <c r="J7" s="423">
        <f>GETPIVOTDATA("Sum of OLD-Tot UG SCH Calc",'Pivot Table for Fact Book'!$A$3,"State","DE","type",5,"Type2","Four-Year")</f>
        <v>0</v>
      </c>
      <c r="K7" s="424">
        <f>GETPIVOTDATA("Sum of NEW-Tot UG SCH Calc",'Pivot Table for Fact Book'!$A$3,"State","DE","type",5,"Type2","Four-Year")</f>
        <v>0</v>
      </c>
      <c r="L7" s="423">
        <f>GETPIVOTDATA("Sum of OLD-Tot UG SCH Calc",'Pivot Table for Fact Book'!$A$3,"State","DE","type",6,"Type2","Four-Year")</f>
        <v>0</v>
      </c>
      <c r="M7" s="424">
        <f>GETPIVOTDATA("Sum of NEW-Tot UG SCH Calc",'Pivot Table for Fact Book'!$A$3,"State","DE","type",6,"Type2","Four-Year")</f>
        <v>0</v>
      </c>
      <c r="N7" s="423">
        <f>GETPIVOTDATA("Sum of OLD-Tot UG SCH Calc",'Pivot Table for Fact Book'!$A$3,"State","DE","type",15,"Type2","Four-Year")</f>
        <v>0</v>
      </c>
      <c r="O7" s="424">
        <f>GETPIVOTDATA("Sum of NEW-Tot UG SCH Calc",'Pivot Table for Fact Book'!$A$3,"State","DE","type",15,"Type2","Four-Year")</f>
        <v>0</v>
      </c>
      <c r="P7" s="425">
        <f>GETPIVOTDATA("Sum of OLD-Tot UG SCH Calc",'Pivot Table for Fact Book'!$A$3,"State","DE","Type2","Four-Year")</f>
        <v>689285</v>
      </c>
      <c r="Q7" s="425">
        <f>GETPIVOTDATA("Sum of NEW-Tot UG SCH Calc",'Pivot Table for Fact Book'!$A$3,"State","DE","Type2","Four-Year")</f>
        <v>705637</v>
      </c>
      <c r="R7" s="423">
        <f>GETPIVOTDATA("Sum of OLD-Tot UG SCH Calc",'Pivot Table for Fact Book'!$A$3,"State","DE","type",7,"Type2","Two-Year")</f>
        <v>0</v>
      </c>
      <c r="S7" s="426">
        <f>GETPIVOTDATA("Sum of NEW-Tot UG SCH Calc",'Pivot Table for Fact Book'!$A$3,"State","DE","type",7,"Type2","Two-Year")</f>
        <v>0</v>
      </c>
      <c r="T7" s="426">
        <f>GETPIVOTDATA("Sum of OLD-Tot UG SCH Calc",'Pivot Table for Fact Book'!$A$3,"State","DE","type",8,"Type2","Two-Year")</f>
        <v>0</v>
      </c>
      <c r="U7" s="426">
        <f>GETPIVOTDATA("Sum of NEW-Tot UG SCH Calc",'Pivot Table for Fact Book'!$A$3,"State","DE","type",8,"Type2","Two-Year")</f>
        <v>0</v>
      </c>
      <c r="V7" s="426">
        <f>GETPIVOTDATA("Sum of OLD-Tot UG SCH Calc",'Pivot Table for Fact Book'!$A$3,"State","DE","type",9,"Type2","Two-Year")</f>
        <v>273057</v>
      </c>
      <c r="W7" s="426">
        <f>GETPIVOTDATA("Sum of NEW-Tot UG SCH Calc",'Pivot Table for Fact Book'!$A$3,"State","DE","type",9,"Type2","Two-Year")</f>
        <v>276057</v>
      </c>
      <c r="X7" s="426">
        <f>GETPIVOTDATA("Sum of OLD-Tot UG SCH Calc",'Pivot Table for Fact Book'!$A$3,"State","DE","type",10,"Type2","Two-Year")</f>
        <v>0</v>
      </c>
      <c r="Y7" s="426">
        <f>GETPIVOTDATA("Sum of NEW-Tot UG SCH Calc",'Pivot Table for Fact Book'!$A$3,"State","DE","type",10,"Type2","Two-Year")</f>
        <v>0</v>
      </c>
      <c r="Z7" s="427">
        <f>GETPIVOTDATA("Sum of OLD-Tot UG SCH Calc",'Pivot Table for Fact Book'!$A$3,"State","DE","Type2","Two-Year")</f>
        <v>273057</v>
      </c>
      <c r="AA7" s="427">
        <f>GETPIVOTDATA("Sum of NEW-Tot UG SCH Calc",'Pivot Table for Fact Book'!$A$3,"State","DE","Type2","Two-Year")</f>
        <v>276057</v>
      </c>
      <c r="AB7" s="423">
        <f>+GETPIVOTDATA("Sum of OLD-Tot UG SCH Calc",'Pivot Table for Fact Book'!$A$3,"State","DE","type",12,"type2","Techncial")</f>
        <v>0</v>
      </c>
      <c r="AC7" s="426">
        <f>+GETPIVOTDATA("Sum of NEW-Tot UG SCH Calc",'Pivot Table for Fact Book'!$A$3,"State","DE","type",12,"type2","Techncial")</f>
        <v>0</v>
      </c>
      <c r="AD7" s="423">
        <f>+GETPIVOTDATA("Sum of OLD-Tot UG SCH Calc",'Pivot Table for Fact Book'!$A$3,"State","DE","type",13,"type2","Techncial")</f>
        <v>0</v>
      </c>
      <c r="AE7" s="426">
        <f>+GETPIVOTDATA("Sum of NEW-Tot UG SCH Calc",'Pivot Table for Fact Book'!$A$3,"State","DE","type",13,"type2","Techncial")</f>
        <v>0</v>
      </c>
      <c r="AF7" s="428">
        <f>+GETPIVOTDATA("Sum of OLD-Tot UG SCH Calc",'Pivot Table for Fact Book'!$A$3,"State","DE","type2","Techncial")</f>
        <v>0</v>
      </c>
      <c r="AG7" s="429">
        <f>+GETPIVOTDATA("Sum of NEW-Tot UG SCH Calc",'Pivot Table for Fact Book'!$A$3,"State","DE","type2","Techncial")</f>
        <v>0</v>
      </c>
      <c r="AH7" s="430"/>
    </row>
    <row r="8" spans="1:34">
      <c r="A8" s="398" t="s">
        <v>897</v>
      </c>
      <c r="B8" s="423">
        <f>GETPIVOTDATA("Sum of OLD-Tot UG SCH Calc",'Pivot Table for Fact Book'!$A$3,"State","FL","type",1,"Type2","Four-Year")</f>
        <v>5448977</v>
      </c>
      <c r="C8" s="424">
        <f>GETPIVOTDATA("Sum of NEW-Tot UG SCH Calc",'Pivot Table for Fact Book'!$A$3,"State","FL","type",1,"Type2","Four-Year")</f>
        <v>5561178</v>
      </c>
      <c r="D8" s="423">
        <f>GETPIVOTDATA("Sum of OLD-Tot UG SCH Calc",'Pivot Table for Fact Book'!$A$3,"State","FL","type",2,"Type2","Four-Year")</f>
        <v>0</v>
      </c>
      <c r="E8" s="424">
        <f>GETPIVOTDATA("Sum of NEW-Tot UG SCH Calc",'Pivot Table for Fact Book'!$A$3,"State","FL","type",2,"Type2","Four-Year")</f>
        <v>0</v>
      </c>
      <c r="F8" s="423">
        <f>GETPIVOTDATA("Sum of OLD-Tot UG SCH Calc",'Pivot Table for Fact Book'!$A$3,"State","FL","type",3,"Type2","Four-Year")</f>
        <v>801821</v>
      </c>
      <c r="G8" s="424">
        <f>GETPIVOTDATA("Sum of NEW-Tot UG SCH Calc",'Pivot Table for Fact Book'!$A$3,"State","FL","type",3,"Type2","Four-Year")</f>
        <v>783750.5</v>
      </c>
      <c r="H8" s="423">
        <f>GETPIVOTDATA("Sum of OLD-Tot UG SCH Calc",'Pivot Table for Fact Book'!$A$3,"State","FL","type",4,"Type2","Four-Year")</f>
        <v>347892</v>
      </c>
      <c r="I8" s="424">
        <f>GETPIVOTDATA("Sum of NEW-Tot UG SCH Calc",'Pivot Table for Fact Book'!$A$3,"State","FL","type",4,"Type2","Four-Year")</f>
        <v>353377</v>
      </c>
      <c r="J8" s="423">
        <f>GETPIVOTDATA("Sum of OLD-Tot UG SCH Calc",'Pivot Table for Fact Book'!$A$3,"State","FL","type",5,"Type2","Four-Year")</f>
        <v>0</v>
      </c>
      <c r="K8" s="424">
        <f>GETPIVOTDATA("Sum of NEW-Tot UG SCH Calc",'Pivot Table for Fact Book'!$A$3,"State","FL","type",5,"Type2","Four-Year")</f>
        <v>0</v>
      </c>
      <c r="L8" s="423">
        <f>GETPIVOTDATA("Sum of OLD-Tot UG SCH Calc",'Pivot Table for Fact Book'!$A$3,"State","FL","type",6,"Type2","Four-Year")</f>
        <v>29248</v>
      </c>
      <c r="M8" s="424">
        <f>GETPIVOTDATA("Sum of NEW-Tot UG SCH Calc",'Pivot Table for Fact Book'!$A$3,"State","FL","type",6,"Type2","Four-Year")</f>
        <v>28608</v>
      </c>
      <c r="N8" s="423">
        <f>GETPIVOTDATA("Sum of OLD-Tot UG SCH Calc",'Pivot Table for Fact Book'!$A$3,"State","FL","type",15,"Type2","Four-Year")</f>
        <v>0</v>
      </c>
      <c r="O8" s="424">
        <f>GETPIVOTDATA("Sum of NEW-Tot UG SCH Calc",'Pivot Table for Fact Book'!$A$3,"State","FL","type",15,"Type2","Four-Year")</f>
        <v>0</v>
      </c>
      <c r="P8" s="425">
        <f>GETPIVOTDATA("Sum of OLD-Tot UG SCH Calc",'Pivot Table for Fact Book'!$A$3,"State","FL","Type2","Four-Year")</f>
        <v>6627938</v>
      </c>
      <c r="Q8" s="425">
        <f>GETPIVOTDATA("Sum of NEW-Tot UG SCH Calc",'Pivot Table for Fact Book'!$A$3,"State","FL","Type2","Four-Year")</f>
        <v>6726913.5</v>
      </c>
      <c r="R8" s="423">
        <f>GETPIVOTDATA("Sum of OLD-Tot UG SCH Calc",'Pivot Table for Fact Book'!$A$3,"State","FL","type",7,"Type2","Two-Year")</f>
        <v>7793366</v>
      </c>
      <c r="S8" s="426">
        <f>GETPIVOTDATA("Sum of NEW-Tot UG SCH Calc",'Pivot Table for Fact Book'!$A$3,"State","FL","type",7,"Type2","Two-Year")</f>
        <v>7643863</v>
      </c>
      <c r="T8" s="426">
        <f>GETPIVOTDATA("Sum of OLD-Tot UG SCH Calc",'Pivot Table for Fact Book'!$A$3,"State","FL","type",8,"Type2","Two-Year")</f>
        <v>1348775</v>
      </c>
      <c r="U8" s="426">
        <f>GETPIVOTDATA("Sum of NEW-Tot UG SCH Calc",'Pivot Table for Fact Book'!$A$3,"State","FL","type",8,"Type2","Two-Year")</f>
        <v>1353783</v>
      </c>
      <c r="V8" s="426">
        <f>GETPIVOTDATA("Sum of OLD-Tot UG SCH Calc",'Pivot Table for Fact Book'!$A$3,"State","FL","type",9,"Type2","Two-Year")</f>
        <v>131861</v>
      </c>
      <c r="W8" s="426">
        <f>GETPIVOTDATA("Sum of NEW-Tot UG SCH Calc",'Pivot Table for Fact Book'!$A$3,"State","FL","type",9,"Type2","Two-Year")</f>
        <v>133878</v>
      </c>
      <c r="X8" s="426">
        <f>GETPIVOTDATA("Sum of OLD-Tot UG SCH Calc",'Pivot Table for Fact Book'!$A$3,"State","FL","type",10,"Type2","Two-Year")</f>
        <v>41250</v>
      </c>
      <c r="Y8" s="426">
        <f>GETPIVOTDATA("Sum of NEW-Tot UG SCH Calc",'Pivot Table for Fact Book'!$A$3,"State","FL","type",10,"Type2","Two-Year")</f>
        <v>41666</v>
      </c>
      <c r="Z8" s="427">
        <f>GETPIVOTDATA("Sum of OLD-Tot UG SCH Calc",'Pivot Table for Fact Book'!$A$3,"State","FL","Type2","Two-Year")</f>
        <v>9315252</v>
      </c>
      <c r="AA8" s="427">
        <f>GETPIVOTDATA("Sum of NEW-Tot UG SCH Calc",'Pivot Table for Fact Book'!$A$3,"State","FL","Type2","Two-Year")</f>
        <v>9173190</v>
      </c>
      <c r="AB8" s="423">
        <f>+GETPIVOTDATA("Sum of OLD-Tot UG SCH Calc",'Pivot Table for Fact Book'!$A$3,"State","FL","type",12,"type2","Techncial")</f>
        <v>0</v>
      </c>
      <c r="AC8" s="426">
        <f>+GETPIVOTDATA("Sum of NEW-Tot UG SCH Calc",'Pivot Table for Fact Book'!$A$3,"State","FL","type",12,"type2","Techncial")</f>
        <v>0</v>
      </c>
      <c r="AD8" s="423">
        <f>+GETPIVOTDATA("Sum of OLD-Tot UG SCH Calc",'Pivot Table for Fact Book'!$A$3,"State","FL","type",13,"type2","Techncial")</f>
        <v>0</v>
      </c>
      <c r="AE8" s="426">
        <f>+GETPIVOTDATA("Sum of NEW-Tot UG SCH Calc",'Pivot Table for Fact Book'!$A$3,"State","FL","type",13,"type2","Techncial")</f>
        <v>0</v>
      </c>
      <c r="AF8" s="428">
        <f>+GETPIVOTDATA("Sum of OLD-Tot UG SCH Calc",'Pivot Table for Fact Book'!$A$3,"State","FL","type2","Techncial")</f>
        <v>0</v>
      </c>
      <c r="AG8" s="429">
        <f>+GETPIVOTDATA("Sum of NEW-Tot UG SCH Calc",'Pivot Table for Fact Book'!$A$3,"State","FL","type2","Techncial")</f>
        <v>0</v>
      </c>
      <c r="AH8" s="430"/>
    </row>
    <row r="9" spans="1:34">
      <c r="A9" s="398" t="s">
        <v>898</v>
      </c>
      <c r="B9" s="423">
        <f>GETPIVOTDATA("Sum of OLD-Tot UG SCH Calc",'Pivot Table for Fact Book'!$A$3,"State","GA","type",1,"Type2","Four-Year")</f>
        <v>1452403</v>
      </c>
      <c r="C9" s="424">
        <f>GETPIVOTDATA("Sum of NEW-Tot UG SCH Calc",'Pivot Table for Fact Book'!$A$3,"State","GA","type",1,"Type2","Four-Year")</f>
        <v>1896248.9</v>
      </c>
      <c r="D9" s="423">
        <f>GETPIVOTDATA("Sum of OLD-Tot UG SCH Calc",'Pivot Table for Fact Book'!$A$3,"State","GA","type",2,"Type2","Four-Year")</f>
        <v>433619</v>
      </c>
      <c r="E9" s="424">
        <f>GETPIVOTDATA("Sum of NEW-Tot UG SCH Calc",'Pivot Table for Fact Book'!$A$3,"State","GA","type",2,"Type2","Four-Year")</f>
        <v>437645</v>
      </c>
      <c r="F9" s="423">
        <f>GETPIVOTDATA("Sum of OLD-Tot UG SCH Calc",'Pivot Table for Fact Book'!$A$3,"State","GA","type",3,"Type2","Four-Year")</f>
        <v>1834195</v>
      </c>
      <c r="G9" s="424">
        <f>GETPIVOTDATA("Sum of NEW-Tot UG SCH Calc",'Pivot Table for Fact Book'!$A$3,"State","GA","type",3,"Type2","Four-Year")</f>
        <v>1886866</v>
      </c>
      <c r="H9" s="423">
        <f>GETPIVOTDATA("Sum of OLD-Tot UG SCH Calc",'Pivot Table for Fact Book'!$A$3,"State","GA","type",4,"Type2","Four-Year")</f>
        <v>1367642</v>
      </c>
      <c r="I9" s="424">
        <f>GETPIVOTDATA("Sum of NEW-Tot UG SCH Calc",'Pivot Table for Fact Book'!$A$3,"State","GA","type",4,"Type2","Four-Year")</f>
        <v>1385978</v>
      </c>
      <c r="J9" s="423">
        <f>GETPIVOTDATA("Sum of OLD-Tot UG SCH Calc",'Pivot Table for Fact Book'!$A$3,"State","GA","type",5,"Type2","Four-Year")</f>
        <v>191177</v>
      </c>
      <c r="K9" s="424">
        <f>GETPIVOTDATA("Sum of NEW-Tot UG SCH Calc",'Pivot Table for Fact Book'!$A$3,"State","GA","type",5,"Type2","Four-Year")</f>
        <v>194198</v>
      </c>
      <c r="L9" s="423">
        <f>GETPIVOTDATA("Sum of OLD-Tot UG SCH Calc",'Pivot Table for Fact Book'!$A$3,"State","GA","type",6,"Type2","Four-Year")</f>
        <v>654182</v>
      </c>
      <c r="M9" s="424">
        <f>GETPIVOTDATA("Sum of NEW-Tot UG SCH Calc",'Pivot Table for Fact Book'!$A$3,"State","GA","type",6,"Type2","Four-Year")</f>
        <v>676500</v>
      </c>
      <c r="N9" s="423">
        <f>GETPIVOTDATA("Sum of OLD-Tot UG SCH Calc",'Pivot Table for Fact Book'!$A$3,"State","GA","type",15,"Type2","Four-Year")</f>
        <v>0</v>
      </c>
      <c r="O9" s="424">
        <f>GETPIVOTDATA("Sum of NEW-Tot UG SCH Calc",'Pivot Table for Fact Book'!$A$3,"State","GA","type",15,"Type2","Four-Year")</f>
        <v>0</v>
      </c>
      <c r="P9" s="425">
        <f>GETPIVOTDATA("Sum of OLD-Tot UG SCH Calc",'Pivot Table for Fact Book'!$A$3,"State","GA","Type2","Four-Year")</f>
        <v>5933218</v>
      </c>
      <c r="Q9" s="425">
        <f>GETPIVOTDATA("Sum of NEW-Tot UG SCH Calc",'Pivot Table for Fact Book'!$A$3,"State","GA","Type2","Four-Year")</f>
        <v>6477435.9000000004</v>
      </c>
      <c r="R9" s="423">
        <f>GETPIVOTDATA("Sum of OLD-Tot UG SCH Calc",'Pivot Table for Fact Book'!$A$3,"State","GA","type",7,"Type2","Two-Year")</f>
        <v>512026</v>
      </c>
      <c r="S9" s="426">
        <f>GETPIVOTDATA("Sum of NEW-Tot UG SCH Calc",'Pivot Table for Fact Book'!$A$3,"State","GA","type",7,"Type2","Two-Year")</f>
        <v>482365</v>
      </c>
      <c r="T9" s="426">
        <f>GETPIVOTDATA("Sum of OLD-Tot UG SCH Calc",'Pivot Table for Fact Book'!$A$3,"State","GA","type",8,"Type2","Two-Year")</f>
        <v>455219</v>
      </c>
      <c r="U9" s="426">
        <f>GETPIVOTDATA("Sum of NEW-Tot UG SCH Calc",'Pivot Table for Fact Book'!$A$3,"State","GA","type",8,"Type2","Two-Year")</f>
        <v>0</v>
      </c>
      <c r="V9" s="426">
        <f>GETPIVOTDATA("Sum of OLD-Tot UG SCH Calc",'Pivot Table for Fact Book'!$A$3,"State","GA","type",9,"Type2","Two-Year")</f>
        <v>120950</v>
      </c>
      <c r="W9" s="426">
        <f>GETPIVOTDATA("Sum of NEW-Tot UG SCH Calc",'Pivot Table for Fact Book'!$A$3,"State","GA","type",9,"Type2","Two-Year")</f>
        <v>128440</v>
      </c>
      <c r="X9" s="426">
        <f>GETPIVOTDATA("Sum of OLD-Tot UG SCH Calc",'Pivot Table for Fact Book'!$A$3,"State","GA","type",10,"Type2","Two-Year")</f>
        <v>50059</v>
      </c>
      <c r="Y9" s="426">
        <f>GETPIVOTDATA("Sum of NEW-Tot UG SCH Calc",'Pivot Table for Fact Book'!$A$3,"State","GA","type",10,"Type2","Two-Year")</f>
        <v>51395</v>
      </c>
      <c r="Z9" s="427">
        <f>GETPIVOTDATA("Sum of OLD-Tot UG SCH Calc",'Pivot Table for Fact Book'!$A$3,"State","GA","Type2","Two-Year")</f>
        <v>1138254</v>
      </c>
      <c r="AA9" s="427">
        <f>GETPIVOTDATA("Sum of NEW-Tot UG SCH Calc",'Pivot Table for Fact Book'!$A$3,"State","GA","Type2","Two-Year")</f>
        <v>662200</v>
      </c>
      <c r="AB9" s="423">
        <f>+GETPIVOTDATA("Sum of OLD-Tot UG SCH Calc",'Pivot Table for Fact Book'!$A$3,"State","GA","type",12,"type2","Techncial")</f>
        <v>2025187</v>
      </c>
      <c r="AC9" s="426">
        <f>+GETPIVOTDATA("Sum of NEW-Tot UG SCH Calc",'Pivot Table for Fact Book'!$A$3,"State","GA","type",12,"type2","Techncial")</f>
        <v>1951485.3</v>
      </c>
      <c r="AD9" s="423">
        <f>+GETPIVOTDATA("Sum of OLD-Tot UG SCH Calc",'Pivot Table for Fact Book'!$A$3,"State","GA","type",13,"type2","Techncial")</f>
        <v>0</v>
      </c>
      <c r="AE9" s="426">
        <f>+GETPIVOTDATA("Sum of NEW-Tot UG SCH Calc",'Pivot Table for Fact Book'!$A$3,"State","GA","type",13,"type2","Techncial")</f>
        <v>0</v>
      </c>
      <c r="AF9" s="428">
        <f>+GETPIVOTDATA("Sum of OLD-Tot UG SCH Calc",'Pivot Table for Fact Book'!$A$3,"State","GA","type2","Techncial")</f>
        <v>2025187</v>
      </c>
      <c r="AG9" s="429">
        <f>+GETPIVOTDATA("Sum of NEW-Tot UG SCH Calc",'Pivot Table for Fact Book'!$A$3,"State","GA","type2","Techncial")</f>
        <v>1951485.3</v>
      </c>
      <c r="AH9" s="430"/>
    </row>
    <row r="10" spans="1:34">
      <c r="A10" s="398" t="s">
        <v>899</v>
      </c>
      <c r="B10" s="423">
        <f>GETPIVOTDATA("Sum of OLD-Tot UG SCH Calc",'Pivot Table for Fact Book'!$A$3,"State","KY","type",1,"Type2","Four-Year")</f>
        <v>1105947</v>
      </c>
      <c r="C10" s="424">
        <f>GETPIVOTDATA("Sum of NEW-Tot UG SCH Calc",'Pivot Table for Fact Book'!$A$3,"State","KY","type",1,"Type2","Four-Year")</f>
        <v>1096757</v>
      </c>
      <c r="D10" s="423">
        <f>GETPIVOTDATA("Sum of OLD-Tot UG SCH Calc",'Pivot Table for Fact Book'!$A$3,"State","KY","type",2,"Type2","Four-Year")</f>
        <v>0</v>
      </c>
      <c r="E10" s="424">
        <f>GETPIVOTDATA("Sum of NEW-Tot UG SCH Calc",'Pivot Table for Fact Book'!$A$3,"State","KY","type",2,"Type2","Four-Year")</f>
        <v>0</v>
      </c>
      <c r="F10" s="423">
        <f>GETPIVOTDATA("Sum of OLD-Tot UG SCH Calc",'Pivot Table for Fact Book'!$A$3,"State","KY","type",3,"Type2","Four-Year")</f>
        <v>1653762</v>
      </c>
      <c r="G10" s="424">
        <f>GETPIVOTDATA("Sum of NEW-Tot UG SCH Calc",'Pivot Table for Fact Book'!$A$3,"State","KY","type",3,"Type2","Four-Year")</f>
        <v>1632885</v>
      </c>
      <c r="H10" s="423">
        <f>GETPIVOTDATA("Sum of OLD-Tot UG SCH Calc",'Pivot Table for Fact Book'!$A$3,"State","KY","type",4,"Type2","Four-Year")</f>
        <v>44123</v>
      </c>
      <c r="I10" s="424">
        <f>GETPIVOTDATA("Sum of NEW-Tot UG SCH Calc",'Pivot Table for Fact Book'!$A$3,"State","KY","type",4,"Type2","Four-Year")</f>
        <v>40746</v>
      </c>
      <c r="J10" s="423">
        <f>GETPIVOTDATA("Sum of OLD-Tot UG SCH Calc",'Pivot Table for Fact Book'!$A$3,"State","KY","type",5,"Type2","Four-Year")</f>
        <v>0</v>
      </c>
      <c r="K10" s="424">
        <f>GETPIVOTDATA("Sum of NEW-Tot UG SCH Calc",'Pivot Table for Fact Book'!$A$3,"State","KY","type",5,"Type2","Four-Year")</f>
        <v>0</v>
      </c>
      <c r="L10" s="423">
        <f>GETPIVOTDATA("Sum of OLD-Tot UG SCH Calc",'Pivot Table for Fact Book'!$A$3,"State","KY","type",6,"Type2","Four-Year")</f>
        <v>0</v>
      </c>
      <c r="M10" s="424">
        <f>GETPIVOTDATA("Sum of NEW-Tot UG SCH Calc",'Pivot Table for Fact Book'!$A$3,"State","KY","type",6,"Type2","Four-Year")</f>
        <v>0</v>
      </c>
      <c r="N10" s="423">
        <f>GETPIVOTDATA("Sum of OLD-Tot UG SCH Calc",'Pivot Table for Fact Book'!$A$3,"State","KY","type",15,"Type2","Four-Year")</f>
        <v>0</v>
      </c>
      <c r="O10" s="424">
        <f>GETPIVOTDATA("Sum of NEW-Tot UG SCH Calc",'Pivot Table for Fact Book'!$A$3,"State","KY","type",15,"Type2","Four-Year")</f>
        <v>0</v>
      </c>
      <c r="P10" s="425">
        <f>GETPIVOTDATA("Sum of OLD-Tot UG SCH Calc",'Pivot Table for Fact Book'!$A$3,"State","KY","Type2","Four-Year")</f>
        <v>2803832</v>
      </c>
      <c r="Q10" s="425">
        <f>GETPIVOTDATA("Sum of NEW-Tot UG SCH Calc",'Pivot Table for Fact Book'!$A$3,"State","KY","Type2","Four-Year")</f>
        <v>2770388</v>
      </c>
      <c r="R10" s="423">
        <f>GETPIVOTDATA("Sum of OLD-Tot UG SCH Calc",'Pivot Table for Fact Book'!$A$3,"State","KY","type",7,"Type2","Two-Year")</f>
        <v>0</v>
      </c>
      <c r="S10" s="426">
        <f>GETPIVOTDATA("Sum of NEW-Tot UG SCH Calc",'Pivot Table for Fact Book'!$A$3,"State","KY","type",7,"Type2","Two-Year")</f>
        <v>0</v>
      </c>
      <c r="T10" s="426">
        <f>GETPIVOTDATA("Sum of OLD-Tot UG SCH Calc",'Pivot Table for Fact Book'!$A$3,"State","KY","type",8,"Type2","Two-Year")</f>
        <v>417805</v>
      </c>
      <c r="U10" s="426">
        <f>GETPIVOTDATA("Sum of NEW-Tot UG SCH Calc",'Pivot Table for Fact Book'!$A$3,"State","KY","type",8,"Type2","Two-Year")</f>
        <v>389870</v>
      </c>
      <c r="V10" s="426">
        <f>GETPIVOTDATA("Sum of OLD-Tot UG SCH Calc",'Pivot Table for Fact Book'!$A$3,"State","KY","type",9,"Type2","Two-Year")</f>
        <v>780413</v>
      </c>
      <c r="W10" s="426">
        <f>GETPIVOTDATA("Sum of NEW-Tot UG SCH Calc",'Pivot Table for Fact Book'!$A$3,"State","KY","type",9,"Type2","Two-Year")</f>
        <v>758038</v>
      </c>
      <c r="X10" s="426">
        <f>GETPIVOTDATA("Sum of OLD-Tot UG SCH Calc",'Pivot Table for Fact Book'!$A$3,"State","KY","type",10,"Type2","Two-Year")</f>
        <v>85734</v>
      </c>
      <c r="Y10" s="426">
        <f>GETPIVOTDATA("Sum of NEW-Tot UG SCH Calc",'Pivot Table for Fact Book'!$A$3,"State","KY","type",10,"Type2","Two-Year")</f>
        <v>83035</v>
      </c>
      <c r="Z10" s="427">
        <f>GETPIVOTDATA("Sum of OLD-Tot UG SCH Calc",'Pivot Table for Fact Book'!$A$3,"State","KY","Type2","Two-Year")</f>
        <v>1283952</v>
      </c>
      <c r="AA10" s="427">
        <f>GETPIVOTDATA("Sum of NEW-Tot UG SCH Calc",'Pivot Table for Fact Book'!$A$3,"State","KY","Type2","Two-Year")</f>
        <v>1230943</v>
      </c>
      <c r="AB10" s="423">
        <f>+GETPIVOTDATA("Sum of OLD-Tot UG SCH Calc",'Pivot Table for Fact Book'!$A$3,"State","KY","type",12,"type2","Techncial")</f>
        <v>146937</v>
      </c>
      <c r="AC10" s="426">
        <f>+GETPIVOTDATA("Sum of NEW-Tot UG SCH Calc",'Pivot Table for Fact Book'!$A$3,"State","KY","type",12,"type2","Techncial")</f>
        <v>146166</v>
      </c>
      <c r="AD10" s="423">
        <f>+GETPIVOTDATA("Sum of OLD-Tot UG SCH Calc",'Pivot Table for Fact Book'!$A$3,"State","KY","type",13,"type2","Techncial")</f>
        <v>0</v>
      </c>
      <c r="AE10" s="426">
        <f>+GETPIVOTDATA("Sum of NEW-Tot UG SCH Calc",'Pivot Table for Fact Book'!$A$3,"State","KY","type",13,"type2","Techncial")</f>
        <v>0</v>
      </c>
      <c r="AF10" s="428">
        <f>+GETPIVOTDATA("Sum of OLD-Tot UG SCH Calc",'Pivot Table for Fact Book'!$A$3,"State","KY","type2","Techncial")</f>
        <v>146937</v>
      </c>
      <c r="AG10" s="429">
        <f>+GETPIVOTDATA("Sum of NEW-Tot UG SCH Calc",'Pivot Table for Fact Book'!$A$3,"State","KY","type2","Techncial")</f>
        <v>146166</v>
      </c>
      <c r="AH10" s="430"/>
    </row>
    <row r="11" spans="1:34">
      <c r="A11" s="398" t="s">
        <v>900</v>
      </c>
      <c r="B11" s="423">
        <f>GETPIVOTDATA("Sum of OLD-Tot UG SCH Calc",'Pivot Table for Fact Book'!$A$3,"State","LA","type",1,"Type2","Four-Year")</f>
        <v>738491.99999999953</v>
      </c>
      <c r="C11" s="424">
        <f>GETPIVOTDATA("Sum of NEW-Tot UG SCH Calc",'Pivot Table for Fact Book'!$A$3,"State","LA","type",1,"Type2","Four-Year")</f>
        <v>729887.99999999953</v>
      </c>
      <c r="D11" s="423">
        <f>GETPIVOTDATA("Sum of OLD-Tot UG SCH Calc",'Pivot Table for Fact Book'!$A$3,"State","LA","type",2,"Type2","Four-Year")</f>
        <v>838095.9999999993</v>
      </c>
      <c r="E11" s="424">
        <f>GETPIVOTDATA("Sum of NEW-Tot UG SCH Calc",'Pivot Table for Fact Book'!$A$3,"State","LA","type",2,"Type2","Four-Year")</f>
        <v>851847</v>
      </c>
      <c r="F11" s="423">
        <f>GETPIVOTDATA("Sum of OLD-Tot UG SCH Calc",'Pivot Table for Fact Book'!$A$3,"State","LA","type",3,"Type2","Four-Year")</f>
        <v>649074.99999999977</v>
      </c>
      <c r="G11" s="424">
        <f>GETPIVOTDATA("Sum of NEW-Tot UG SCH Calc",'Pivot Table for Fact Book'!$A$3,"State","LA","type",3,"Type2","Four-Year")</f>
        <v>654574.99999999977</v>
      </c>
      <c r="H11" s="423">
        <f>GETPIVOTDATA("Sum of OLD-Tot UG SCH Calc",'Pivot Table for Fact Book'!$A$3,"State","LA","type",4,"Type2","Four-Year")</f>
        <v>712164.99999999942</v>
      </c>
      <c r="I11" s="424">
        <f>GETPIVOTDATA("Sum of NEW-Tot UG SCH Calc",'Pivot Table for Fact Book'!$A$3,"State","LA","type",4,"Type2","Four-Year")</f>
        <v>720351.99999999965</v>
      </c>
      <c r="J11" s="423">
        <f>GETPIVOTDATA("Sum of OLD-Tot UG SCH Calc",'Pivot Table for Fact Book'!$A$3,"State","LA","type",5,"Type2","Four-Year")</f>
        <v>57370</v>
      </c>
      <c r="K11" s="424">
        <f>GETPIVOTDATA("Sum of NEW-Tot UG SCH Calc",'Pivot Table for Fact Book'!$A$3,"State","LA","type",5,"Type2","Four-Year")</f>
        <v>47287.999999999971</v>
      </c>
      <c r="L11" s="423">
        <f>GETPIVOTDATA("Sum of OLD-Tot UG SCH Calc",'Pivot Table for Fact Book'!$A$3,"State","LA","type",6,"Type2","Four-Year")</f>
        <v>60798</v>
      </c>
      <c r="M11" s="424">
        <f>GETPIVOTDATA("Sum of NEW-Tot UG SCH Calc",'Pivot Table for Fact Book'!$A$3,"State","LA","type",6,"Type2","Four-Year")</f>
        <v>69103</v>
      </c>
      <c r="N11" s="423">
        <f>GETPIVOTDATA("Sum of OLD-Tot UG SCH Calc",'Pivot Table for Fact Book'!$A$3,"State","LA","type",15,"Type2","Four-Year")</f>
        <v>0</v>
      </c>
      <c r="O11" s="424">
        <f>GETPIVOTDATA("Sum of NEW-Tot UG SCH Calc",'Pivot Table for Fact Book'!$A$3,"State","LA","type",15,"Type2","Four-Year")</f>
        <v>0</v>
      </c>
      <c r="P11" s="425">
        <f>GETPIVOTDATA("Sum of OLD-Tot UG SCH Calc",'Pivot Table for Fact Book'!$A$3,"State","LA","Type2","Four-Year")</f>
        <v>3055995.9999999981</v>
      </c>
      <c r="Q11" s="425">
        <f>GETPIVOTDATA("Sum of NEW-Tot UG SCH Calc",'Pivot Table for Fact Book'!$A$3,"State","LA","Type2","Four-Year")</f>
        <v>3073052.9999999986</v>
      </c>
      <c r="R11" s="423">
        <f>GETPIVOTDATA("Sum of OLD-Tot UG SCH Calc",'Pivot Table for Fact Book'!$A$3,"State","LA","type",7,"Type2","Two-Year")</f>
        <v>0</v>
      </c>
      <c r="S11" s="426">
        <f>GETPIVOTDATA("Sum of NEW-Tot UG SCH Calc",'Pivot Table for Fact Book'!$A$3,"State","LA","type",7,"Type2","Two-Year")</f>
        <v>0</v>
      </c>
      <c r="T11" s="426">
        <f>GETPIVOTDATA("Sum of OLD-Tot UG SCH Calc",'Pivot Table for Fact Book'!$A$3,"State","LA","type",8,"Type2","Two-Year")</f>
        <v>688717.99999999977</v>
      </c>
      <c r="U11" s="426">
        <f>GETPIVOTDATA("Sum of NEW-Tot UG SCH Calc",'Pivot Table for Fact Book'!$A$3,"State","LA","type",8,"Type2","Two-Year")</f>
        <v>588855.00000000058</v>
      </c>
      <c r="V11" s="426">
        <f>GETPIVOTDATA("Sum of OLD-Tot UG SCH Calc",'Pivot Table for Fact Book'!$A$3,"State","LA","type",9,"Type2","Two-Year")</f>
        <v>276891.99999999988</v>
      </c>
      <c r="W11" s="426">
        <f>GETPIVOTDATA("Sum of NEW-Tot UG SCH Calc",'Pivot Table for Fact Book'!$A$3,"State","LA","type",9,"Type2","Two-Year")</f>
        <v>270265.00000000017</v>
      </c>
      <c r="X11" s="426">
        <f>GETPIVOTDATA("Sum of OLD-Tot UG SCH Calc",'Pivot Table for Fact Book'!$A$3,"State","LA","type",10,"Type2","Two-Year")</f>
        <v>134156</v>
      </c>
      <c r="Y11" s="426">
        <f>GETPIVOTDATA("Sum of NEW-Tot UG SCH Calc",'Pivot Table for Fact Book'!$A$3,"State","LA","type",10,"Type2","Two-Year")</f>
        <v>135767.50000000003</v>
      </c>
      <c r="Z11" s="427">
        <f>GETPIVOTDATA("Sum of OLD-Tot UG SCH Calc",'Pivot Table for Fact Book'!$A$3,"State","LA","Type2","Two-Year")</f>
        <v>1099765.9999999995</v>
      </c>
      <c r="AA11" s="427">
        <f>GETPIVOTDATA("Sum of NEW-Tot UG SCH Calc",'Pivot Table for Fact Book'!$A$3,"State","LA","Type2","Two-Year")</f>
        <v>994887.5000000007</v>
      </c>
      <c r="AB11" s="423">
        <f>+GETPIVOTDATA("Sum of OLD-Tot UG SCH Calc",'Pivot Table for Fact Book'!$A$3,"State","LA","type",12,"type2","Techncial")</f>
        <v>350299.00000000006</v>
      </c>
      <c r="AC11" s="426">
        <f>+GETPIVOTDATA("Sum of NEW-Tot UG SCH Calc",'Pivot Table for Fact Book'!$A$3,"State","LA","type",12,"type2","Techncial")</f>
        <v>298628.00000000012</v>
      </c>
      <c r="AD11" s="423">
        <f>+GETPIVOTDATA("Sum of OLD-Tot UG SCH Calc",'Pivot Table for Fact Book'!$A$3,"State","LA","type",13,"type2","Techncial")</f>
        <v>0</v>
      </c>
      <c r="AE11" s="426">
        <f>+GETPIVOTDATA("Sum of NEW-Tot UG SCH Calc",'Pivot Table for Fact Book'!$A$3,"State","LA","type",13,"type2","Techncial")</f>
        <v>0</v>
      </c>
      <c r="AF11" s="428">
        <f>+GETPIVOTDATA("Sum of OLD-Tot UG SCH Calc",'Pivot Table for Fact Book'!$A$3,"State","LA","type2","Techncial")</f>
        <v>350299.00000000006</v>
      </c>
      <c r="AG11" s="429">
        <f>+GETPIVOTDATA("Sum of NEW-Tot UG SCH Calc",'Pivot Table for Fact Book'!$A$3,"State","LA","type2","Techncial")</f>
        <v>298628.00000000012</v>
      </c>
      <c r="AH11" s="430"/>
    </row>
    <row r="12" spans="1:34">
      <c r="A12" s="398" t="s">
        <v>901</v>
      </c>
      <c r="B12" s="423">
        <f>GETPIVOTDATA("Sum of OLD-Tot UG SCH Calc",'Pivot Table for Fact Book'!$A$3,"State","MD","type",1,"Type2","Four-Year")</f>
        <v>814544</v>
      </c>
      <c r="C12" s="424">
        <f>GETPIVOTDATA("Sum of NEW-Tot UG SCH Calc",'Pivot Table for Fact Book'!$A$3,"State","MD","type",1,"Type2","Four-Year")</f>
        <v>830277</v>
      </c>
      <c r="D12" s="423">
        <f>GETPIVOTDATA("Sum of OLD-Tot UG SCH Calc",'Pivot Table for Fact Book'!$A$3,"State","MD","type",2,"Type2","Four-Year")</f>
        <v>503347.5</v>
      </c>
      <c r="E12" s="424">
        <f>GETPIVOTDATA("Sum of NEW-Tot UG SCH Calc",'Pivot Table for Fact Book'!$A$3,"State","MD","type",2,"Type2","Four-Year")</f>
        <v>502166</v>
      </c>
      <c r="F12" s="423">
        <f>GETPIVOTDATA("Sum of OLD-Tot UG SCH Calc",'Pivot Table for Fact Book'!$A$3,"State","MD","type",3,"Type2","Four-Year")</f>
        <v>616816.5</v>
      </c>
      <c r="G12" s="424">
        <f>GETPIVOTDATA("Sum of NEW-Tot UG SCH Calc",'Pivot Table for Fact Book'!$A$3,"State","MD","type",3,"Type2","Four-Year")</f>
        <v>615500</v>
      </c>
      <c r="H12" s="423">
        <f>GETPIVOTDATA("Sum of OLD-Tot UG SCH Calc",'Pivot Table for Fact Book'!$A$3,"State","MD","type",4,"Type2","Four-Year")</f>
        <v>592704.5</v>
      </c>
      <c r="I12" s="424">
        <f>GETPIVOTDATA("Sum of NEW-Tot UG SCH Calc",'Pivot Table for Fact Book'!$A$3,"State","MD","type",4,"Type2","Four-Year")</f>
        <v>590602</v>
      </c>
      <c r="J12" s="423">
        <f>GETPIVOTDATA("Sum of OLD-Tot UG SCH Calc",'Pivot Table for Fact Book'!$A$3,"State","MD","type",5,"Type2","Four-Year")</f>
        <v>70100</v>
      </c>
      <c r="K12" s="424">
        <f>GETPIVOTDATA("Sum of NEW-Tot UG SCH Calc",'Pivot Table for Fact Book'!$A$3,"State","MD","type",5,"Type2","Four-Year")</f>
        <v>66610</v>
      </c>
      <c r="L12" s="423">
        <f>GETPIVOTDATA("Sum of OLD-Tot UG SCH Calc",'Pivot Table for Fact Book'!$A$3,"State","MD","type",6,"Type2","Four-Year")</f>
        <v>53584.5</v>
      </c>
      <c r="M12" s="424">
        <f>GETPIVOTDATA("Sum of NEW-Tot UG SCH Calc",'Pivot Table for Fact Book'!$A$3,"State","MD","type",6,"Type2","Four-Year")</f>
        <v>51243</v>
      </c>
      <c r="N12" s="423">
        <f>GETPIVOTDATA("Sum of OLD-Tot UG SCH Calc",'Pivot Table for Fact Book'!$A$3,"State","MD","type",15,"Type2","Four-Year")</f>
        <v>668964</v>
      </c>
      <c r="O12" s="424">
        <f>GETPIVOTDATA("Sum of NEW-Tot UG SCH Calc",'Pivot Table for Fact Book'!$A$3,"State","MD","type",15,"Type2","Four-Year")</f>
        <v>797203</v>
      </c>
      <c r="P12" s="425">
        <f>GETPIVOTDATA("Sum of OLD-Tot UG SCH Calc",'Pivot Table for Fact Book'!$A$3,"State","MD","Type2","Four-Year")</f>
        <v>3320061</v>
      </c>
      <c r="Q12" s="425">
        <f>GETPIVOTDATA("Sum of NEW-Tot UG SCH Calc",'Pivot Table for Fact Book'!$A$3,"State","MD","Type2","Four-Year")</f>
        <v>3453601</v>
      </c>
      <c r="R12" s="423">
        <f>GETPIVOTDATA("Sum of OLD-Tot UG SCH Calc",'Pivot Table for Fact Book'!$A$3,"State","MD","type",7,"Type2","Two-Year")</f>
        <v>0</v>
      </c>
      <c r="S12" s="426">
        <f>GETPIVOTDATA("Sum of NEW-Tot UG SCH Calc",'Pivot Table for Fact Book'!$A$3,"State","MD","type",7,"Type2","Two-Year")</f>
        <v>0</v>
      </c>
      <c r="T12" s="426">
        <f>GETPIVOTDATA("Sum of OLD-Tot UG SCH Calc",'Pivot Table for Fact Book'!$A$3,"State","MD","type",8,"Type2","Two-Year")</f>
        <v>2012374</v>
      </c>
      <c r="U12" s="426">
        <f>GETPIVOTDATA("Sum of NEW-Tot UG SCH Calc",'Pivot Table for Fact Book'!$A$3,"State","MD","type",8,"Type2","Two-Year")</f>
        <v>1945635</v>
      </c>
      <c r="V12" s="426">
        <f>GETPIVOTDATA("Sum of OLD-Tot UG SCH Calc",'Pivot Table for Fact Book'!$A$3,"State","MD","type",9,"Type2","Two-Year")</f>
        <v>539460</v>
      </c>
      <c r="W12" s="426">
        <f>GETPIVOTDATA("Sum of NEW-Tot UG SCH Calc",'Pivot Table for Fact Book'!$A$3,"State","MD","type",9,"Type2","Two-Year")</f>
        <v>511593</v>
      </c>
      <c r="X12" s="426">
        <f>GETPIVOTDATA("Sum of OLD-Tot UG SCH Calc",'Pivot Table for Fact Book'!$A$3,"State","MD","type",10,"Type2","Two-Year")</f>
        <v>162464.75</v>
      </c>
      <c r="Y12" s="426">
        <f>GETPIVOTDATA("Sum of NEW-Tot UG SCH Calc",'Pivot Table for Fact Book'!$A$3,"State","MD","type",10,"Type2","Two-Year")</f>
        <v>157578</v>
      </c>
      <c r="Z12" s="427">
        <f>GETPIVOTDATA("Sum of OLD-Tot UG SCH Calc",'Pivot Table for Fact Book'!$A$3,"State","MD","Type2","Two-Year")</f>
        <v>2714298.75</v>
      </c>
      <c r="AA12" s="427">
        <f>GETPIVOTDATA("Sum of NEW-Tot UG SCH Calc",'Pivot Table for Fact Book'!$A$3,"State","MD","Type2","Two-Year")</f>
        <v>2614806</v>
      </c>
      <c r="AB12" s="423">
        <f>+GETPIVOTDATA("Sum of OLD-Tot UG SCH Calc",'Pivot Table for Fact Book'!$A$3,"State","MD","type",12,"type2","Techncial")</f>
        <v>0</v>
      </c>
      <c r="AC12" s="426">
        <f>+GETPIVOTDATA("Sum of NEW-Tot UG SCH Calc",'Pivot Table for Fact Book'!$A$3,"State","MD","type",12,"type2","Techncial")</f>
        <v>0</v>
      </c>
      <c r="AD12" s="423">
        <f>+GETPIVOTDATA("Sum of OLD-Tot UG SCH Calc",'Pivot Table for Fact Book'!$A$3,"State","MD","type",13,"type2","Techncial")</f>
        <v>0</v>
      </c>
      <c r="AE12" s="426">
        <f>+GETPIVOTDATA("Sum of NEW-Tot UG SCH Calc",'Pivot Table for Fact Book'!$A$3,"State","MD","type",13,"type2","Techncial")</f>
        <v>0</v>
      </c>
      <c r="AF12" s="428">
        <f>+GETPIVOTDATA("Sum of OLD-Tot UG SCH Calc",'Pivot Table for Fact Book'!$A$3,"State","MD","type2","Techncial")</f>
        <v>0</v>
      </c>
      <c r="AG12" s="429">
        <f>+GETPIVOTDATA("Sum of NEW-Tot UG SCH Calc",'Pivot Table for Fact Book'!$A$3,"State","MD","type2","Techncial")</f>
        <v>0</v>
      </c>
      <c r="AH12" s="430"/>
    </row>
    <row r="13" spans="1:34">
      <c r="A13" s="398" t="s">
        <v>902</v>
      </c>
      <c r="B13" s="423">
        <f>GETPIVOTDATA("Sum of OLD-Tot UG SCH Calc",'Pivot Table for Fact Book'!$A$3,"State","MS","type",1,"Type2","Four-Year")</f>
        <v>794384</v>
      </c>
      <c r="C13" s="424">
        <f>GETPIVOTDATA("Sum of NEW-Tot UG SCH Calc",'Pivot Table for Fact Book'!$A$3,"State","MS","type",1,"Type2","Four-Year")</f>
        <v>820010</v>
      </c>
      <c r="D13" s="423">
        <f>GETPIVOTDATA("Sum of OLD-Tot UG SCH Calc",'Pivot Table for Fact Book'!$A$3,"State","MS","type",2,"Type2","Four-Year")</f>
        <v>700600</v>
      </c>
      <c r="E13" s="424">
        <f>GETPIVOTDATA("Sum of NEW-Tot UG SCH Calc",'Pivot Table for Fact Book'!$A$3,"State","MS","type",2,"Type2","Four-Year")</f>
        <v>729103</v>
      </c>
      <c r="F13" s="423">
        <f>GETPIVOTDATA("Sum of OLD-Tot UG SCH Calc",'Pivot Table for Fact Book'!$A$3,"State","MS","type",3,"Type2","Four-Year")</f>
        <v>0</v>
      </c>
      <c r="G13" s="424">
        <f>GETPIVOTDATA("Sum of NEW-Tot UG SCH Calc",'Pivot Table for Fact Book'!$A$3,"State","MS","type",3,"Type2","Four-Year")</f>
        <v>0</v>
      </c>
      <c r="H13" s="423">
        <f>GETPIVOTDATA("Sum of OLD-Tot UG SCH Calc",'Pivot Table for Fact Book'!$A$3,"State","MS","type",4,"Type2","Four-Year")</f>
        <v>204302</v>
      </c>
      <c r="I13" s="424">
        <f>GETPIVOTDATA("Sum of NEW-Tot UG SCH Calc",'Pivot Table for Fact Book'!$A$3,"State","MS","type",4,"Type2","Four-Year")</f>
        <v>207808</v>
      </c>
      <c r="J13" s="423">
        <f>GETPIVOTDATA("Sum of OLD-Tot UG SCH Calc",'Pivot Table for Fact Book'!$A$3,"State","MS","type",5,"Type2","Four-Year")</f>
        <v>69665</v>
      </c>
      <c r="K13" s="424">
        <f>GETPIVOTDATA("Sum of NEW-Tot UG SCH Calc",'Pivot Table for Fact Book'!$A$3,"State","MS","type",5,"Type2","Four-Year")</f>
        <v>71262</v>
      </c>
      <c r="L13" s="423">
        <f>GETPIVOTDATA("Sum of OLD-Tot UG SCH Calc",'Pivot Table for Fact Book'!$A$3,"State","MS","type",6,"Type2","Four-Year")</f>
        <v>0</v>
      </c>
      <c r="M13" s="424">
        <f>GETPIVOTDATA("Sum of NEW-Tot UG SCH Calc",'Pivot Table for Fact Book'!$A$3,"State","MS","type",6,"Type2","Four-Year")</f>
        <v>0</v>
      </c>
      <c r="N13" s="423">
        <f>GETPIVOTDATA("Sum of OLD-Tot UG SCH Calc",'Pivot Table for Fact Book'!$A$3,"State","MS","type",15,"Type2","Four-Year")</f>
        <v>0</v>
      </c>
      <c r="O13" s="424">
        <f>GETPIVOTDATA("Sum of NEW-Tot UG SCH Calc",'Pivot Table for Fact Book'!$A$3,"State","MS","type",15,"Type2","Four-Year")</f>
        <v>0</v>
      </c>
      <c r="P13" s="425">
        <f>GETPIVOTDATA("Sum of OLD-Tot UG SCH Calc",'Pivot Table for Fact Book'!$A$3,"State","MS","Type2","Four-Year")</f>
        <v>1768951</v>
      </c>
      <c r="Q13" s="425">
        <f>GETPIVOTDATA("Sum of NEW-Tot UG SCH Calc",'Pivot Table for Fact Book'!$A$3,"State","MS","Type2","Four-Year")</f>
        <v>1828183</v>
      </c>
      <c r="R13" s="423">
        <f>GETPIVOTDATA("Sum of OLD-Tot UG SCH Calc",'Pivot Table for Fact Book'!$A$3,"State","MS","type",7,"Type2","Two-Year")</f>
        <v>0</v>
      </c>
      <c r="S13" s="426">
        <f>GETPIVOTDATA("Sum of NEW-Tot UG SCH Calc",'Pivot Table for Fact Book'!$A$3,"State","MS","type",7,"Type2","Two-Year")</f>
        <v>0</v>
      </c>
      <c r="T13" s="426">
        <f>GETPIVOTDATA("Sum of OLD-Tot UG SCH Calc",'Pivot Table for Fact Book'!$A$3,"State","MS","type",8,"Type2","Two-Year")</f>
        <v>899728</v>
      </c>
      <c r="U13" s="426">
        <f>GETPIVOTDATA("Sum of NEW-Tot UG SCH Calc",'Pivot Table for Fact Book'!$A$3,"State","MS","type",8,"Type2","Two-Year")</f>
        <v>878653</v>
      </c>
      <c r="V13" s="426">
        <f>GETPIVOTDATA("Sum of OLD-Tot UG SCH Calc",'Pivot Table for Fact Book'!$A$3,"State","MS","type",9,"Type2","Two-Year")</f>
        <v>936959</v>
      </c>
      <c r="W13" s="426">
        <f>GETPIVOTDATA("Sum of NEW-Tot UG SCH Calc",'Pivot Table for Fact Book'!$A$3,"State","MS","type",9,"Type2","Two-Year")</f>
        <v>926563.5</v>
      </c>
      <c r="X13" s="426">
        <f>GETPIVOTDATA("Sum of OLD-Tot UG SCH Calc",'Pivot Table for Fact Book'!$A$3,"State","MS","type",10,"Type2","Two-Year")</f>
        <v>107750</v>
      </c>
      <c r="Y13" s="426">
        <f>GETPIVOTDATA("Sum of NEW-Tot UG SCH Calc",'Pivot Table for Fact Book'!$A$3,"State","MS","type",10,"Type2","Two-Year")</f>
        <v>104006</v>
      </c>
      <c r="Z13" s="427">
        <f>GETPIVOTDATA("Sum of OLD-Tot UG SCH Calc",'Pivot Table for Fact Book'!$A$3,"State","MS","Type2","Two-Year")</f>
        <v>1944437</v>
      </c>
      <c r="AA13" s="427">
        <f>GETPIVOTDATA("Sum of NEW-Tot UG SCH Calc",'Pivot Table for Fact Book'!$A$3,"State","MS","Type2","Two-Year")</f>
        <v>1909222.5</v>
      </c>
      <c r="AB13" s="423">
        <f>+GETPIVOTDATA("Sum of OLD-Tot UG SCH Calc",'Pivot Table for Fact Book'!$A$3,"State","MS","type",12,"type2","Techncial")</f>
        <v>0</v>
      </c>
      <c r="AC13" s="426">
        <f>+GETPIVOTDATA("Sum of NEW-Tot UG SCH Calc",'Pivot Table for Fact Book'!$A$3,"State","MS","type",12,"type2","Techncial")</f>
        <v>0</v>
      </c>
      <c r="AD13" s="423">
        <f>+GETPIVOTDATA("Sum of OLD-Tot UG SCH Calc",'Pivot Table for Fact Book'!$A$3,"State","MS","type",13,"type2","Techncial")</f>
        <v>0</v>
      </c>
      <c r="AE13" s="426">
        <f>+GETPIVOTDATA("Sum of NEW-Tot UG SCH Calc",'Pivot Table for Fact Book'!$A$3,"State","MS","type",13,"type2","Techncial")</f>
        <v>0</v>
      </c>
      <c r="AF13" s="428">
        <f>+GETPIVOTDATA("Sum of OLD-Tot UG SCH Calc",'Pivot Table for Fact Book'!$A$3,"State","MS","type2","Techncial")</f>
        <v>0</v>
      </c>
      <c r="AG13" s="429">
        <f>+GETPIVOTDATA("Sum of NEW-Tot UG SCH Calc",'Pivot Table for Fact Book'!$A$3,"State","MS","type2","Techncial")</f>
        <v>0</v>
      </c>
      <c r="AH13" s="430"/>
    </row>
    <row r="14" spans="1:34">
      <c r="A14" s="398" t="s">
        <v>903</v>
      </c>
      <c r="B14" s="423">
        <f>GETPIVOTDATA("Sum of OLD-Tot UG SCH Calc",'Pivot Table for Fact Book'!$A$3,"State","NC","type",1,"Type2","Four-Year")</f>
        <v>2248339</v>
      </c>
      <c r="C14" s="424">
        <f>GETPIVOTDATA("Sum of NEW-Tot UG SCH Calc",'Pivot Table for Fact Book'!$A$3,"State","NC","type",1,"Type2","Four-Year")</f>
        <v>2295259</v>
      </c>
      <c r="D14" s="423">
        <f>GETPIVOTDATA("Sum of OLD-Tot UG SCH Calc",'Pivot Table for Fact Book'!$A$3,"State","NC","type",2,"Type2","Four-Year")</f>
        <v>615334</v>
      </c>
      <c r="E14" s="424">
        <f>GETPIVOTDATA("Sum of NEW-Tot UG SCH Calc",'Pivot Table for Fact Book'!$A$3,"State","NC","type",2,"Type2","Four-Year")</f>
        <v>636002</v>
      </c>
      <c r="F14" s="423">
        <f>GETPIVOTDATA("Sum of OLD-Tot UG SCH Calc",'Pivot Table for Fact Book'!$A$3,"State","NC","type",3,"Type2","Four-Year")</f>
        <v>1555845</v>
      </c>
      <c r="G14" s="424">
        <f>GETPIVOTDATA("Sum of NEW-Tot UG SCH Calc",'Pivot Table for Fact Book'!$A$3,"State","NC","type",3,"Type2","Four-Year")</f>
        <v>1610453</v>
      </c>
      <c r="H14" s="423">
        <f>GETPIVOTDATA("Sum of OLD-Tot UG SCH Calc",'Pivot Table for Fact Book'!$A$3,"State","NC","type",4,"Type2","Four-Year")</f>
        <v>151383</v>
      </c>
      <c r="I14" s="424">
        <f>GETPIVOTDATA("Sum of NEW-Tot UG SCH Calc",'Pivot Table for Fact Book'!$A$3,"State","NC","type",4,"Type2","Four-Year")</f>
        <v>147968</v>
      </c>
      <c r="J14" s="423">
        <f>GETPIVOTDATA("Sum of OLD-Tot UG SCH Calc",'Pivot Table for Fact Book'!$A$3,"State","NC","type",5,"Type2","Four-Year")</f>
        <v>281211</v>
      </c>
      <c r="K14" s="424">
        <f>GETPIVOTDATA("Sum of NEW-Tot UG SCH Calc",'Pivot Table for Fact Book'!$A$3,"State","NC","type",5,"Type2","Four-Year")</f>
        <v>285741</v>
      </c>
      <c r="L14" s="423">
        <f>GETPIVOTDATA("Sum of OLD-Tot UG SCH Calc",'Pivot Table for Fact Book'!$A$3,"State","NC","type",6,"Type2","Four-Year")</f>
        <v>152030</v>
      </c>
      <c r="M14" s="424">
        <f>GETPIVOTDATA("Sum of NEW-Tot UG SCH Calc",'Pivot Table for Fact Book'!$A$3,"State","NC","type",6,"Type2","Four-Year")</f>
        <v>146678</v>
      </c>
      <c r="N14" s="423">
        <f>GETPIVOTDATA("Sum of OLD-Tot UG SCH Calc",'Pivot Table for Fact Book'!$A$3,"State","NC","type",15,"Type2","Four-Year")</f>
        <v>0</v>
      </c>
      <c r="O14" s="424">
        <f>GETPIVOTDATA("Sum of NEW-Tot UG SCH Calc",'Pivot Table for Fact Book'!$A$3,"State","NC","type",15,"Type2","Four-Year")</f>
        <v>0</v>
      </c>
      <c r="P14" s="425">
        <f>GETPIVOTDATA("Sum of OLD-Tot UG SCH Calc",'Pivot Table for Fact Book'!$A$3,"State","NC","Type2","Four-Year")</f>
        <v>5004142</v>
      </c>
      <c r="Q14" s="425">
        <f>GETPIVOTDATA("Sum of NEW-Tot UG SCH Calc",'Pivot Table for Fact Book'!$A$3,"State","NC","Type2","Four-Year")</f>
        <v>5122101</v>
      </c>
      <c r="R14" s="423">
        <f>GETPIVOTDATA("Sum of OLD-Tot UG SCH Calc",'Pivot Table for Fact Book'!$A$3,"State","NC","type",7,"Type2","Two-Year")</f>
        <v>0</v>
      </c>
      <c r="S14" s="426">
        <f>GETPIVOTDATA("Sum of NEW-Tot UG SCH Calc",'Pivot Table for Fact Book'!$A$3,"State","NC","type",7,"Type2","Two-Year")</f>
        <v>0</v>
      </c>
      <c r="T14" s="426">
        <f>GETPIVOTDATA("Sum of OLD-Tot UG SCH Calc",'Pivot Table for Fact Book'!$A$3,"State","NC","type",8,"Type2","Two-Year")</f>
        <v>3381878.1</v>
      </c>
      <c r="U14" s="426">
        <f>GETPIVOTDATA("Sum of NEW-Tot UG SCH Calc",'Pivot Table for Fact Book'!$A$3,"State","NC","type",8,"Type2","Two-Year")</f>
        <v>3351612</v>
      </c>
      <c r="V14" s="426">
        <f>GETPIVOTDATA("Sum of OLD-Tot UG SCH Calc",'Pivot Table for Fact Book'!$A$3,"State","NC","type",9,"Type2","Two-Year")</f>
        <v>2526108</v>
      </c>
      <c r="W14" s="426">
        <f>GETPIVOTDATA("Sum of NEW-Tot UG SCH Calc",'Pivot Table for Fact Book'!$A$3,"State","NC","type",9,"Type2","Two-Year")</f>
        <v>2462014</v>
      </c>
      <c r="X14" s="426">
        <f>GETPIVOTDATA("Sum of OLD-Tot UG SCH Calc",'Pivot Table for Fact Book'!$A$3,"State","NC","type",10,"Type2","Two-Year")</f>
        <v>1023183.5</v>
      </c>
      <c r="Y14" s="426">
        <f>GETPIVOTDATA("Sum of NEW-Tot UG SCH Calc",'Pivot Table for Fact Book'!$A$3,"State","NC","type",10,"Type2","Two-Year")</f>
        <v>993492.5</v>
      </c>
      <c r="Z14" s="427">
        <f>GETPIVOTDATA("Sum of OLD-Tot UG SCH Calc",'Pivot Table for Fact Book'!$A$3,"State","NC","Type2","Two-Year")</f>
        <v>6931169.5999999996</v>
      </c>
      <c r="AA14" s="427">
        <f>GETPIVOTDATA("Sum of NEW-Tot UG SCH Calc",'Pivot Table for Fact Book'!$A$3,"State","NC","Type2","Two-Year")</f>
        <v>6807118.5</v>
      </c>
      <c r="AB14" s="423">
        <f>+GETPIVOTDATA("Sum of OLD-Tot UG SCH Calc",'Pivot Table for Fact Book'!$A$3,"State","NC","type",12,"type2","Techncial")</f>
        <v>0</v>
      </c>
      <c r="AC14" s="426">
        <f>+GETPIVOTDATA("Sum of NEW-Tot UG SCH Calc",'Pivot Table for Fact Book'!$A$3,"State","NC","type",12,"type2","Techncial")</f>
        <v>0</v>
      </c>
      <c r="AD14" s="423">
        <f>+GETPIVOTDATA("Sum of OLD-Tot UG SCH Calc",'Pivot Table for Fact Book'!$A$3,"State","NC","type",13,"type2","Techncial")</f>
        <v>0</v>
      </c>
      <c r="AE14" s="426">
        <f>+GETPIVOTDATA("Sum of NEW-Tot UG SCH Calc",'Pivot Table for Fact Book'!$A$3,"State","NC","type",13,"type2","Techncial")</f>
        <v>0</v>
      </c>
      <c r="AF14" s="428">
        <f>+GETPIVOTDATA("Sum of OLD-Tot UG SCH Calc",'Pivot Table for Fact Book'!$A$3,"State","NC","type2","Techncial")</f>
        <v>0</v>
      </c>
      <c r="AG14" s="429">
        <f>+GETPIVOTDATA("Sum of NEW-Tot UG SCH Calc",'Pivot Table for Fact Book'!$A$3,"State","NC","type2","Techncial")</f>
        <v>0</v>
      </c>
      <c r="AH14" s="430"/>
    </row>
    <row r="15" spans="1:34">
      <c r="A15" s="398" t="s">
        <v>904</v>
      </c>
      <c r="B15" s="423">
        <f>GETPIVOTDATA("Sum of OLD-Tot UG SCH Calc",'Pivot Table for Fact Book'!$A$3,"State","OK","type",1,"Type2","Four-Year")</f>
        <v>1193255</v>
      </c>
      <c r="C15" s="424">
        <f>GETPIVOTDATA("Sum of NEW-Tot UG SCH Calc",'Pivot Table for Fact Book'!$A$3,"State","OK","type",1,"Type2","Four-Year")</f>
        <v>1199258</v>
      </c>
      <c r="D15" s="423">
        <f>GETPIVOTDATA("Sum of OLD-Tot UG SCH Calc",'Pivot Table for Fact Book'!$A$3,"State","OK","type",2,"Type2","Four-Year")</f>
        <v>0</v>
      </c>
      <c r="E15" s="424">
        <f>GETPIVOTDATA("Sum of NEW-Tot UG SCH Calc",'Pivot Table for Fact Book'!$A$3,"State","OK","type",2,"Type2","Four-Year")</f>
        <v>0</v>
      </c>
      <c r="F15" s="423">
        <f>GETPIVOTDATA("Sum of OLD-Tot UG SCH Calc",'Pivot Table for Fact Book'!$A$3,"State","OK","type",3,"Type2","Four-Year")</f>
        <v>539798</v>
      </c>
      <c r="G15" s="424">
        <f>GETPIVOTDATA("Sum of NEW-Tot UG SCH Calc",'Pivot Table for Fact Book'!$A$3,"State","OK","type",3,"Type2","Four-Year")</f>
        <v>529639</v>
      </c>
      <c r="H15" s="423">
        <f>GETPIVOTDATA("Sum of OLD-Tot UG SCH Calc",'Pivot Table for Fact Book'!$A$3,"State","OK","type",4,"Type2","Four-Year")</f>
        <v>83925</v>
      </c>
      <c r="I15" s="424">
        <f>GETPIVOTDATA("Sum of NEW-Tot UG SCH Calc",'Pivot Table for Fact Book'!$A$3,"State","OK","type",4,"Type2","Four-Year")</f>
        <v>81161</v>
      </c>
      <c r="J15" s="423">
        <f>GETPIVOTDATA("Sum of OLD-Tot UG SCH Calc",'Pivot Table for Fact Book'!$A$3,"State","OK","type",5,"Type2","Four-Year")</f>
        <v>436351</v>
      </c>
      <c r="K15" s="424">
        <f>GETPIVOTDATA("Sum of NEW-Tot UG SCH Calc",'Pivot Table for Fact Book'!$A$3,"State","OK","type",5,"Type2","Four-Year")</f>
        <v>449529</v>
      </c>
      <c r="L15" s="423">
        <f>GETPIVOTDATA("Sum of OLD-Tot UG SCH Calc",'Pivot Table for Fact Book'!$A$3,"State","OK","type",6,"Type2","Four-Year")</f>
        <v>148229</v>
      </c>
      <c r="M15" s="424">
        <f>GETPIVOTDATA("Sum of NEW-Tot UG SCH Calc",'Pivot Table for Fact Book'!$A$3,"State","OK","type",6,"Type2","Four-Year")</f>
        <v>143521</v>
      </c>
      <c r="N15" s="423">
        <f>GETPIVOTDATA("Sum of OLD-Tot UG SCH Calc",'Pivot Table for Fact Book'!$A$3,"State","OK","type",15,"Type2","Four-Year")</f>
        <v>0</v>
      </c>
      <c r="O15" s="424">
        <f>GETPIVOTDATA("Sum of NEW-Tot UG SCH Calc",'Pivot Table for Fact Book'!$A$3,"State","OK","type",15,"Type2","Four-Year")</f>
        <v>0</v>
      </c>
      <c r="P15" s="425">
        <f>GETPIVOTDATA("Sum of OLD-Tot UG SCH Calc",'Pivot Table for Fact Book'!$A$3,"State","OK","Type2","Four-Year")</f>
        <v>2401558</v>
      </c>
      <c r="Q15" s="425">
        <f>GETPIVOTDATA("Sum of NEW-Tot UG SCH Calc",'Pivot Table for Fact Book'!$A$3,"State","OK","Type2","Four-Year")</f>
        <v>2403108</v>
      </c>
      <c r="R15" s="423">
        <f>GETPIVOTDATA("Sum of OLD-Tot UG SCH Calc",'Pivot Table for Fact Book'!$A$3,"State","OK","type",7,"Type2","Two-Year")</f>
        <v>199431</v>
      </c>
      <c r="S15" s="426">
        <f>GETPIVOTDATA("Sum of NEW-Tot UG SCH Calc",'Pivot Table for Fact Book'!$A$3,"State","OK","type",7,"Type2","Two-Year")</f>
        <v>200921</v>
      </c>
      <c r="T15" s="426">
        <f>GETPIVOTDATA("Sum of OLD-Tot UG SCH Calc",'Pivot Table for Fact Book'!$A$3,"State","OK","type",8,"Type2","Two-Year")</f>
        <v>580306</v>
      </c>
      <c r="U15" s="426">
        <f>GETPIVOTDATA("Sum of NEW-Tot UG SCH Calc",'Pivot Table for Fact Book'!$A$3,"State","OK","type",8,"Type2","Two-Year")</f>
        <v>563681</v>
      </c>
      <c r="V15" s="426">
        <f>GETPIVOTDATA("Sum of OLD-Tot UG SCH Calc",'Pivot Table for Fact Book'!$A$3,"State","OK","type",9,"Type2","Two-Year")</f>
        <v>219080</v>
      </c>
      <c r="W15" s="426">
        <f>GETPIVOTDATA("Sum of NEW-Tot UG SCH Calc",'Pivot Table for Fact Book'!$A$3,"State","OK","type",9,"Type2","Two-Year")</f>
        <v>221929</v>
      </c>
      <c r="X15" s="426">
        <f>GETPIVOTDATA("Sum of OLD-Tot UG SCH Calc",'Pivot Table for Fact Book'!$A$3,"State","OK","type",10,"Type2","Two-Year")</f>
        <v>344582</v>
      </c>
      <c r="Y15" s="426">
        <f>GETPIVOTDATA("Sum of NEW-Tot UG SCH Calc",'Pivot Table for Fact Book'!$A$3,"State","OK","type",10,"Type2","Two-Year")</f>
        <v>341168</v>
      </c>
      <c r="Z15" s="427">
        <f>GETPIVOTDATA("Sum of OLD-Tot UG SCH Calc",'Pivot Table for Fact Book'!$A$3,"State","OK","Type2","Two-Year")</f>
        <v>1343399</v>
      </c>
      <c r="AA15" s="427">
        <f>GETPIVOTDATA("Sum of NEW-Tot UG SCH Calc",'Pivot Table for Fact Book'!$A$3,"State","OK","Type2","Two-Year")</f>
        <v>1327699</v>
      </c>
      <c r="AB15" s="423">
        <f>+GETPIVOTDATA("Sum of OLD-Tot UG SCH Calc",'Pivot Table for Fact Book'!$A$3,"State","OK","type",12,"type2","Techncial")</f>
        <v>0</v>
      </c>
      <c r="AC15" s="426">
        <f>+GETPIVOTDATA("Sum of NEW-Tot UG SCH Calc",'Pivot Table for Fact Book'!$A$3,"State","OK","type",12,"type2","Techncial")</f>
        <v>0</v>
      </c>
      <c r="AD15" s="423">
        <f>+GETPIVOTDATA("Sum of OLD-Tot UG SCH Calc",'Pivot Table for Fact Book'!$A$3,"State","OK","type",13,"type2","Techncial")</f>
        <v>0</v>
      </c>
      <c r="AE15" s="426">
        <f>+GETPIVOTDATA("Sum of NEW-Tot UG SCH Calc",'Pivot Table for Fact Book'!$A$3,"State","OK","type",13,"type2","Techncial")</f>
        <v>0</v>
      </c>
      <c r="AF15" s="428">
        <f>+GETPIVOTDATA("Sum of OLD-Tot UG SCH Calc",'Pivot Table for Fact Book'!$A$3,"State","OK","type2","Techncial")</f>
        <v>0</v>
      </c>
      <c r="AG15" s="429">
        <f>+GETPIVOTDATA("Sum of NEW-Tot UG SCH Calc",'Pivot Table for Fact Book'!$A$3,"State","OK","type2","Techncial")</f>
        <v>0</v>
      </c>
      <c r="AH15" s="430"/>
    </row>
    <row r="16" spans="1:34">
      <c r="A16" s="398" t="s">
        <v>905</v>
      </c>
      <c r="B16" s="423">
        <f>GETPIVOTDATA("Sum of OLD-Tot UG SCH Calc",'Pivot Table for Fact Book'!$A$3,"State","SC","type",1,"Type2","Four-Year")</f>
        <v>1238932</v>
      </c>
      <c r="C16" s="424">
        <f>GETPIVOTDATA("Sum of NEW-Tot UG SCH Calc",'Pivot Table for Fact Book'!$A$3,"State","SC","type",1,"Type2","Four-Year")</f>
        <v>1264813</v>
      </c>
      <c r="D16" s="423">
        <f>GETPIVOTDATA("Sum of OLD-Tot UG SCH Calc",'Pivot Table for Fact Book'!$A$3,"State","SC","type",2,"Type2","Four-Year")</f>
        <v>0</v>
      </c>
      <c r="E16" s="424">
        <f>GETPIVOTDATA("Sum of NEW-Tot UG SCH Calc",'Pivot Table for Fact Book'!$A$3,"State","SC","type",2,"Type2","Four-Year")</f>
        <v>0</v>
      </c>
      <c r="F16" s="423">
        <f>GETPIVOTDATA("Sum of OLD-Tot UG SCH Calc",'Pivot Table for Fact Book'!$A$3,"State","SC","type",3,"Type2","Four-Year")</f>
        <v>536331.5</v>
      </c>
      <c r="G16" s="424">
        <f>GETPIVOTDATA("Sum of NEW-Tot UG SCH Calc",'Pivot Table for Fact Book'!$A$3,"State","SC","type",3,"Type2","Four-Year")</f>
        <v>535875</v>
      </c>
      <c r="H16" s="423">
        <f>GETPIVOTDATA("Sum of OLD-Tot UG SCH Calc",'Pivot Table for Fact Book'!$A$3,"State","SC","type",4,"Type2","Four-Year")</f>
        <v>0</v>
      </c>
      <c r="I16" s="424">
        <f>GETPIVOTDATA("Sum of NEW-Tot UG SCH Calc",'Pivot Table for Fact Book'!$A$3,"State","SC","type",4,"Type2","Four-Year")</f>
        <v>0</v>
      </c>
      <c r="J16" s="423">
        <f>GETPIVOTDATA("Sum of OLD-Tot UG SCH Calc",'Pivot Table for Fact Book'!$A$3,"State","SC","type",5,"Type2","Four-Year")</f>
        <v>448543</v>
      </c>
      <c r="K16" s="424">
        <f>GETPIVOTDATA("Sum of NEW-Tot UG SCH Calc",'Pivot Table for Fact Book'!$A$3,"State","SC","type",5,"Type2","Four-Year")</f>
        <v>452011</v>
      </c>
      <c r="L16" s="423">
        <f>GETPIVOTDATA("Sum of OLD-Tot UG SCH Calc",'Pivot Table for Fact Book'!$A$3,"State","SC","type",6,"Type2","Four-Year")</f>
        <v>218622.5</v>
      </c>
      <c r="M16" s="424">
        <f>GETPIVOTDATA("Sum of NEW-Tot UG SCH Calc",'Pivot Table for Fact Book'!$A$3,"State","SC","type",6,"Type2","Four-Year")</f>
        <v>370047.5</v>
      </c>
      <c r="N16" s="423">
        <f>GETPIVOTDATA("Sum of OLD-Tot UG SCH Calc",'Pivot Table for Fact Book'!$A$3,"State","SC","type",15,"Type2","Four-Year")</f>
        <v>0</v>
      </c>
      <c r="O16" s="424">
        <f>GETPIVOTDATA("Sum of NEW-Tot UG SCH Calc",'Pivot Table for Fact Book'!$A$3,"State","SC","type",15,"Type2","Four-Year")</f>
        <v>0</v>
      </c>
      <c r="P16" s="425">
        <f>GETPIVOTDATA("Sum of OLD-Tot UG SCH Calc",'Pivot Table for Fact Book'!$A$3,"State","SC","Type2","Four-Year")</f>
        <v>2442429</v>
      </c>
      <c r="Q16" s="425">
        <f>GETPIVOTDATA("Sum of NEW-Tot UG SCH Calc",'Pivot Table for Fact Book'!$A$3,"State","SC","Type2","Four-Year")</f>
        <v>2622746.5</v>
      </c>
      <c r="R16" s="423">
        <f>GETPIVOTDATA("Sum of OLD-Tot UG SCH Calc",'Pivot Table for Fact Book'!$A$3,"State","SC","type",7,"Type2","Two-Year")</f>
        <v>0</v>
      </c>
      <c r="S16" s="426">
        <f>GETPIVOTDATA("Sum of NEW-Tot UG SCH Calc",'Pivot Table for Fact Book'!$A$3,"State","SC","type",7,"Type2","Two-Year")</f>
        <v>0</v>
      </c>
      <c r="T16" s="426">
        <f>GETPIVOTDATA("Sum of OLD-Tot UG SCH Calc",'Pivot Table for Fact Book'!$A$3,"State","SC","type",8,"Type2","Two-Year")</f>
        <v>1284885</v>
      </c>
      <c r="U16" s="426">
        <f>GETPIVOTDATA("Sum of NEW-Tot UG SCH Calc",'Pivot Table for Fact Book'!$A$3,"State","SC","type",8,"Type2","Two-Year")</f>
        <v>1208783</v>
      </c>
      <c r="V16" s="426">
        <f>GETPIVOTDATA("Sum of OLD-Tot UG SCH Calc",'Pivot Table for Fact Book'!$A$3,"State","SC","type",9,"Type2","Two-Year")</f>
        <v>473443</v>
      </c>
      <c r="W16" s="426">
        <f>GETPIVOTDATA("Sum of NEW-Tot UG SCH Calc",'Pivot Table for Fact Book'!$A$3,"State","SC","type",9,"Type2","Two-Year")</f>
        <v>444238</v>
      </c>
      <c r="X16" s="426">
        <f>GETPIVOTDATA("Sum of OLD-Tot UG SCH Calc",'Pivot Table for Fact Book'!$A$3,"State","SC","type",10,"Type2","Two-Year")</f>
        <v>258063</v>
      </c>
      <c r="Y16" s="426">
        <f>GETPIVOTDATA("Sum of NEW-Tot UG SCH Calc",'Pivot Table for Fact Book'!$A$3,"State","SC","type",10,"Type2","Two-Year")</f>
        <v>244237</v>
      </c>
      <c r="Z16" s="427">
        <f>GETPIVOTDATA("Sum of OLD-Tot UG SCH Calc",'Pivot Table for Fact Book'!$A$3,"State","SC","Type2","Two-Year")</f>
        <v>2016391</v>
      </c>
      <c r="AA16" s="427">
        <f>GETPIVOTDATA("Sum of NEW-Tot UG SCH Calc",'Pivot Table for Fact Book'!$A$3,"State","SC","Type2","Two-Year")</f>
        <v>1897258</v>
      </c>
      <c r="AB16" s="423">
        <f>+GETPIVOTDATA("Sum of OLD-Tot UG SCH Calc",'Pivot Table for Fact Book'!$A$3,"State","SC","type",12,"type2","Techncial")</f>
        <v>0</v>
      </c>
      <c r="AC16" s="426">
        <f>+GETPIVOTDATA("Sum of NEW-Tot UG SCH Calc",'Pivot Table for Fact Book'!$A$3,"State","SC","type",12,"type2","Techncial")</f>
        <v>0</v>
      </c>
      <c r="AD16" s="423">
        <f>+GETPIVOTDATA("Sum of OLD-Tot UG SCH Calc",'Pivot Table for Fact Book'!$A$3,"State","SC","type",13,"type2","Techncial")</f>
        <v>0</v>
      </c>
      <c r="AE16" s="426">
        <f>+GETPIVOTDATA("Sum of NEW-Tot UG SCH Calc",'Pivot Table for Fact Book'!$A$3,"State","SC","type",13,"type2","Techncial")</f>
        <v>0</v>
      </c>
      <c r="AF16" s="428">
        <f>+GETPIVOTDATA("Sum of OLD-Tot UG SCH Calc",'Pivot Table for Fact Book'!$A$3,"State","SC","type2","Techncial")</f>
        <v>0</v>
      </c>
      <c r="AG16" s="429">
        <f>+GETPIVOTDATA("Sum of NEW-Tot UG SCH Calc",'Pivot Table for Fact Book'!$A$3,"State","SC","type2","Techncial")</f>
        <v>0</v>
      </c>
      <c r="AH16" s="430"/>
    </row>
    <row r="17" spans="1:34">
      <c r="A17" s="398" t="s">
        <v>906</v>
      </c>
      <c r="B17" s="423">
        <f>GETPIVOTDATA("Sum of OLD-Tot UG SCH Calc",'Pivot Table for Fact Book'!$A$3,"State","TN","type",1,"Type2","Four-Year")</f>
        <v>1007204</v>
      </c>
      <c r="C17" s="424">
        <f>GETPIVOTDATA("Sum of NEW-Tot UG SCH Calc",'Pivot Table for Fact Book'!$A$3,"State","TN","type",1,"Type2","Four-Year")</f>
        <v>1021674</v>
      </c>
      <c r="D17" s="423">
        <f>GETPIVOTDATA("Sum of OLD-Tot UG SCH Calc",'Pivot Table for Fact Book'!$A$3,"State","TN","type",2,"Type2","Four-Year")</f>
        <v>492214</v>
      </c>
      <c r="E17" s="424">
        <f>GETPIVOTDATA("Sum of NEW-Tot UG SCH Calc",'Pivot Table for Fact Book'!$A$3,"State","TN","type",2,"Type2","Four-Year")</f>
        <v>487832</v>
      </c>
      <c r="F17" s="423">
        <f>GETPIVOTDATA("Sum of OLD-Tot UG SCH Calc",'Pivot Table for Fact Book'!$A$3,"State","TN","type",3,"Type2","Four-Year")</f>
        <v>1297045</v>
      </c>
      <c r="G17" s="424">
        <f>GETPIVOTDATA("Sum of NEW-Tot UG SCH Calc",'Pivot Table for Fact Book'!$A$3,"State","TN","type",3,"Type2","Four-Year")</f>
        <v>1285015</v>
      </c>
      <c r="H17" s="423">
        <f>GETPIVOTDATA("Sum of OLD-Tot UG SCH Calc",'Pivot Table for Fact Book'!$A$3,"State","TN","type",4,"Type2","Four-Year")</f>
        <v>0</v>
      </c>
      <c r="I17" s="424">
        <f>GETPIVOTDATA("Sum of NEW-Tot UG SCH Calc",'Pivot Table for Fact Book'!$A$3,"State","TN","type",4,"Type2","Four-Year")</f>
        <v>0</v>
      </c>
      <c r="J17" s="423">
        <f>GETPIVOTDATA("Sum of OLD-Tot UG SCH Calc",'Pivot Table for Fact Book'!$A$3,"State","TN","type",5,"Type2","Four-Year")</f>
        <v>177711</v>
      </c>
      <c r="K17" s="424">
        <f>GETPIVOTDATA("Sum of NEW-Tot UG SCH Calc",'Pivot Table for Fact Book'!$A$3,"State","TN","type",5,"Type2","Four-Year")</f>
        <v>169557</v>
      </c>
      <c r="L17" s="423">
        <f>GETPIVOTDATA("Sum of OLD-Tot UG SCH Calc",'Pivot Table for Fact Book'!$A$3,"State","TN","type",6,"Type2","Four-Year")</f>
        <v>0</v>
      </c>
      <c r="M17" s="424">
        <f>GETPIVOTDATA("Sum of NEW-Tot UG SCH Calc",'Pivot Table for Fact Book'!$A$3,"State","TN","type",6,"Type2","Four-Year")</f>
        <v>0</v>
      </c>
      <c r="N17" s="423">
        <f>GETPIVOTDATA("Sum of OLD-Tot UG SCH Calc",'Pivot Table for Fact Book'!$A$3,"State","TN","type",15,"Type2","Four-Year")</f>
        <v>0</v>
      </c>
      <c r="O17" s="424">
        <f>GETPIVOTDATA("Sum of NEW-Tot UG SCH Calc",'Pivot Table for Fact Book'!$A$3,"State","TN","type",15,"Type2","Four-Year")</f>
        <v>0</v>
      </c>
      <c r="P17" s="425">
        <f>GETPIVOTDATA("Sum of OLD-Tot UG SCH Calc",'Pivot Table for Fact Book'!$A$3,"State","TN","Type2","Four-Year")</f>
        <v>2974174</v>
      </c>
      <c r="Q17" s="425">
        <f>GETPIVOTDATA("Sum of NEW-Tot UG SCH Calc",'Pivot Table for Fact Book'!$A$3,"State","TN","Type2","Four-Year")</f>
        <v>2964078</v>
      </c>
      <c r="R17" s="423">
        <f>GETPIVOTDATA("Sum of OLD-Tot UG SCH Calc",'Pivot Table for Fact Book'!$A$3,"State","TN","type",7,"Type2","Two-Year")</f>
        <v>0</v>
      </c>
      <c r="S17" s="426">
        <f>GETPIVOTDATA("Sum of NEW-Tot UG SCH Calc",'Pivot Table for Fact Book'!$A$3,"State","TN","type",7,"Type2","Two-Year")</f>
        <v>0</v>
      </c>
      <c r="T17" s="426">
        <f>GETPIVOTDATA("Sum of OLD-Tot UG SCH Calc",'Pivot Table for Fact Book'!$A$3,"State","TN","type",8,"Type2","Two-Year")</f>
        <v>912293</v>
      </c>
      <c r="U17" s="426">
        <f>GETPIVOTDATA("Sum of NEW-Tot UG SCH Calc",'Pivot Table for Fact Book'!$A$3,"State","TN","type",8,"Type2","Two-Year")</f>
        <v>883605.5</v>
      </c>
      <c r="V17" s="426">
        <f>GETPIVOTDATA("Sum of OLD-Tot UG SCH Calc",'Pivot Table for Fact Book'!$A$3,"State","TN","type",9,"Type2","Two-Year")</f>
        <v>700974</v>
      </c>
      <c r="W17" s="426">
        <f>GETPIVOTDATA("Sum of NEW-Tot UG SCH Calc",'Pivot Table for Fact Book'!$A$3,"State","TN","type",9,"Type2","Two-Year")</f>
        <v>724721</v>
      </c>
      <c r="X17" s="426">
        <f>GETPIVOTDATA("Sum of OLD-Tot UG SCH Calc",'Pivot Table for Fact Book'!$A$3,"State","TN","type",10,"Type2","Two-Year")</f>
        <v>49449</v>
      </c>
      <c r="Y17" s="426">
        <f>GETPIVOTDATA("Sum of NEW-Tot UG SCH Calc",'Pivot Table for Fact Book'!$A$3,"State","TN","type",10,"Type2","Two-Year")</f>
        <v>50054</v>
      </c>
      <c r="Z17" s="427">
        <f>GETPIVOTDATA("Sum of OLD-Tot UG SCH Calc",'Pivot Table for Fact Book'!$A$3,"State","TN","Type2","Two-Year")</f>
        <v>1662716</v>
      </c>
      <c r="AA17" s="427">
        <f>GETPIVOTDATA("Sum of NEW-Tot UG SCH Calc",'Pivot Table for Fact Book'!$A$3,"State","TN","Type2","Two-Year")</f>
        <v>1658380.5</v>
      </c>
      <c r="AB17" s="423">
        <f>+GETPIVOTDATA("Sum of OLD-Tot UG SCH Calc",'Pivot Table for Fact Book'!$A$3,"State","TN","type",12,"type2","Techncial")</f>
        <v>0</v>
      </c>
      <c r="AC17" s="426">
        <f>+GETPIVOTDATA("Sum of NEW-Tot UG SCH Calc",'Pivot Table for Fact Book'!$A$3,"State","TN","type",12,"type2","Techncial")</f>
        <v>0</v>
      </c>
      <c r="AD17" s="423">
        <f>+GETPIVOTDATA("Sum of OLD-Tot UG SCH Calc",'Pivot Table for Fact Book'!$A$3,"State","TN","type",13,"type2","Techncial")</f>
        <v>0</v>
      </c>
      <c r="AE17" s="426">
        <f>+GETPIVOTDATA("Sum of NEW-Tot UG SCH Calc",'Pivot Table for Fact Book'!$A$3,"State","TN","type",13,"type2","Techncial")</f>
        <v>0</v>
      </c>
      <c r="AF17" s="428">
        <f>+GETPIVOTDATA("Sum of OLD-Tot UG SCH Calc",'Pivot Table for Fact Book'!$A$3,"State","TN","type2","Techncial")</f>
        <v>0</v>
      </c>
      <c r="AG17" s="429">
        <f>+GETPIVOTDATA("Sum of NEW-Tot UG SCH Calc",'Pivot Table for Fact Book'!$A$3,"State","TN","type2","Techncial")</f>
        <v>0</v>
      </c>
      <c r="AH17" s="430"/>
    </row>
    <row r="18" spans="1:34">
      <c r="A18" s="398" t="s">
        <v>907</v>
      </c>
      <c r="B18" s="423">
        <f>GETPIVOTDATA("Sum of OLD-Tot UG SCH Calc",'Pivot Table for Fact Book'!$A$3,"State","TX","type",1,"Type2","Four-Year")</f>
        <v>6321100</v>
      </c>
      <c r="C18" s="424">
        <f>GETPIVOTDATA("Sum of NEW-Tot UG SCH Calc",'Pivot Table for Fact Book'!$A$3,"State","TX","type",1,"Type2","Four-Year")</f>
        <v>6557810</v>
      </c>
      <c r="D18" s="423">
        <f>GETPIVOTDATA("Sum of OLD-Tot UG SCH Calc",'Pivot Table for Fact Book'!$A$3,"State","TX","type",2,"Type2","Four-Year")</f>
        <v>1558014</v>
      </c>
      <c r="E18" s="424">
        <f>GETPIVOTDATA("Sum of NEW-Tot UG SCH Calc",'Pivot Table for Fact Book'!$A$3,"State","TX","type",2,"Type2","Four-Year")</f>
        <v>1602629</v>
      </c>
      <c r="F18" s="423">
        <f>GETPIVOTDATA("Sum of OLD-Tot UG SCH Calc",'Pivot Table for Fact Book'!$A$3,"State","TX","type",3,"Type2","Four-Year")</f>
        <v>3836616</v>
      </c>
      <c r="G18" s="424">
        <f>GETPIVOTDATA("Sum of NEW-Tot UG SCH Calc",'Pivot Table for Fact Book'!$A$3,"State","TX","type",3,"Type2","Four-Year")</f>
        <v>3937302</v>
      </c>
      <c r="H18" s="423">
        <f>GETPIVOTDATA("Sum of OLD-Tot UG SCH Calc",'Pivot Table for Fact Book'!$A$3,"State","TX","type",4,"Type2","Four-Year")</f>
        <v>141048</v>
      </c>
      <c r="I18" s="424">
        <f>GETPIVOTDATA("Sum of NEW-Tot UG SCH Calc",'Pivot Table for Fact Book'!$A$3,"State","TX","type",4,"Type2","Four-Year")</f>
        <v>145098</v>
      </c>
      <c r="J18" s="423">
        <f>GETPIVOTDATA("Sum of OLD-Tot UG SCH Calc",'Pivot Table for Fact Book'!$A$3,"State","TX","type",5,"Type2","Four-Year")</f>
        <v>421772</v>
      </c>
      <c r="K18" s="424">
        <f>GETPIVOTDATA("Sum of NEW-Tot UG SCH Calc",'Pivot Table for Fact Book'!$A$3,"State","TX","type",5,"Type2","Four-Year")</f>
        <v>425518</v>
      </c>
      <c r="L18" s="423">
        <f>GETPIVOTDATA("Sum of OLD-Tot UG SCH Calc",'Pivot Table for Fact Book'!$A$3,"State","TX","type",6,"Type2","Four-Year")</f>
        <v>0</v>
      </c>
      <c r="M18" s="424">
        <f>GETPIVOTDATA("Sum of NEW-Tot UG SCH Calc",'Pivot Table for Fact Book'!$A$3,"State","TX","type",6,"Type2","Four-Year")</f>
        <v>0</v>
      </c>
      <c r="N18" s="423">
        <f>GETPIVOTDATA("Sum of OLD-Tot UG SCH Calc",'Pivot Table for Fact Book'!$A$3,"State","TX","type",15,"Type2","Four-Year")</f>
        <v>0</v>
      </c>
      <c r="O18" s="424">
        <f>GETPIVOTDATA("Sum of NEW-Tot UG SCH Calc",'Pivot Table for Fact Book'!$A$3,"State","TX","type",15,"Type2","Four-Year")</f>
        <v>0</v>
      </c>
      <c r="P18" s="425">
        <f>GETPIVOTDATA("Sum of OLD-Tot UG SCH Calc",'Pivot Table for Fact Book'!$A$3,"State","TX","Type2","Four-Year")</f>
        <v>12278550</v>
      </c>
      <c r="Q18" s="425">
        <f>GETPIVOTDATA("Sum of NEW-Tot UG SCH Calc",'Pivot Table for Fact Book'!$A$3,"State","TX","Type2","Four-Year")</f>
        <v>12668357</v>
      </c>
      <c r="R18" s="423">
        <f>GETPIVOTDATA("Sum of OLD-Tot UG SCH Calc",'Pivot Table for Fact Book'!$A$3,"State","TX","type",7,"Type2","Two-Year")</f>
        <v>785717</v>
      </c>
      <c r="S18" s="426">
        <f>GETPIVOTDATA("Sum of NEW-Tot UG SCH Calc",'Pivot Table for Fact Book'!$A$3,"State","TX","type",7,"Type2","Two-Year")</f>
        <v>818747</v>
      </c>
      <c r="T18" s="426">
        <f>GETPIVOTDATA("Sum of OLD-Tot UG SCH Calc",'Pivot Table for Fact Book'!$A$3,"State","TX","type",8,"Type2","Two-Year")</f>
        <v>10073281</v>
      </c>
      <c r="U18" s="426">
        <f>GETPIVOTDATA("Sum of NEW-Tot UG SCH Calc",'Pivot Table for Fact Book'!$A$3,"State","TX","type",8,"Type2","Two-Year")</f>
        <v>10046215</v>
      </c>
      <c r="V18" s="426">
        <f>GETPIVOTDATA("Sum of OLD-Tot UG SCH Calc",'Pivot Table for Fact Book'!$A$3,"State","TX","type",9,"Type2","Two-Year")</f>
        <v>2426295</v>
      </c>
      <c r="W18" s="426">
        <f>GETPIVOTDATA("Sum of NEW-Tot UG SCH Calc",'Pivot Table for Fact Book'!$A$3,"State","TX","type",9,"Type2","Two-Year")</f>
        <v>2467845</v>
      </c>
      <c r="X18" s="426">
        <f>GETPIVOTDATA("Sum of OLD-Tot UG SCH Calc",'Pivot Table for Fact Book'!$A$3,"State","TX","type",10,"Type2","Two-Year")</f>
        <v>416131</v>
      </c>
      <c r="Y18" s="426">
        <f>GETPIVOTDATA("Sum of NEW-Tot UG SCH Calc",'Pivot Table for Fact Book'!$A$3,"State","TX","type",10,"Type2","Two-Year")</f>
        <v>441010</v>
      </c>
      <c r="Z18" s="427">
        <f>GETPIVOTDATA("Sum of OLD-Tot UG SCH Calc",'Pivot Table for Fact Book'!$A$3,"State","TX","Type2","Two-Year")</f>
        <v>13701424</v>
      </c>
      <c r="AA18" s="427">
        <f>GETPIVOTDATA("Sum of NEW-Tot UG SCH Calc",'Pivot Table for Fact Book'!$A$3,"State","TX","Type2","Two-Year")</f>
        <v>13773817</v>
      </c>
      <c r="AB18" s="423">
        <f>+GETPIVOTDATA("Sum of OLD-Tot UG SCH Calc",'Pivot Table for Fact Book'!$A$3,"State","TX","type",12,"type2","Techncial")</f>
        <v>0</v>
      </c>
      <c r="AC18" s="426">
        <f>+GETPIVOTDATA("Sum of NEW-Tot UG SCH Calc",'Pivot Table for Fact Book'!$A$3,"State","TX","type",12,"type2","Techncial")</f>
        <v>0</v>
      </c>
      <c r="AD18" s="423">
        <f>+GETPIVOTDATA("Sum of OLD-Tot UG SCH Calc",'Pivot Table for Fact Book'!$A$3,"State","TX","type",13,"type2","Techncial")</f>
        <v>0</v>
      </c>
      <c r="AE18" s="426">
        <f>+GETPIVOTDATA("Sum of NEW-Tot UG SCH Calc",'Pivot Table for Fact Book'!$A$3,"State","TX","type",13,"type2","Techncial")</f>
        <v>0</v>
      </c>
      <c r="AF18" s="428">
        <f>+GETPIVOTDATA("Sum of OLD-Tot UG SCH Calc",'Pivot Table for Fact Book'!$A$3,"State","TX","type2","Techncial")</f>
        <v>0</v>
      </c>
      <c r="AG18" s="429">
        <f>+GETPIVOTDATA("Sum of NEW-Tot UG SCH Calc",'Pivot Table for Fact Book'!$A$3,"State","TX","type2","Techncial")</f>
        <v>0</v>
      </c>
      <c r="AH18" s="430"/>
    </row>
    <row r="19" spans="1:34">
      <c r="A19" s="398" t="s">
        <v>908</v>
      </c>
      <c r="B19" s="423">
        <f>GETPIVOTDATA("Sum of OLD-Tot UG SCH Calc",'Pivot Table for Fact Book'!$A$3,"State","VA","type",1,"Type2","Four-Year")</f>
        <v>3098872</v>
      </c>
      <c r="C19" s="424">
        <f>GETPIVOTDATA("Sum of NEW-Tot UG SCH Calc",'Pivot Table for Fact Book'!$A$3,"State","VA","type",1,"Type2","Four-Year")</f>
        <v>3135643.5</v>
      </c>
      <c r="D19" s="423">
        <f>GETPIVOTDATA("Sum of OLD-Tot UG SCH Calc",'Pivot Table for Fact Book'!$A$3,"State","VA","type",2,"Type2","Four-Year")</f>
        <v>186329.9</v>
      </c>
      <c r="E19" s="424">
        <f>GETPIVOTDATA("Sum of NEW-Tot UG SCH Calc",'Pivot Table for Fact Book'!$A$3,"State","VA","type",2,"Type2","Four-Year")</f>
        <v>186363.6</v>
      </c>
      <c r="F19" s="423">
        <f>GETPIVOTDATA("Sum of OLD-Tot UG SCH Calc",'Pivot Table for Fact Book'!$A$3,"State","VA","type",3,"Type2","Four-Year")</f>
        <v>1358229</v>
      </c>
      <c r="G19" s="424">
        <f>GETPIVOTDATA("Sum of NEW-Tot UG SCH Calc",'Pivot Table for Fact Book'!$A$3,"State","VA","type",3,"Type2","Four-Year")</f>
        <v>1343384.4</v>
      </c>
      <c r="H19" s="423">
        <f>GETPIVOTDATA("Sum of OLD-Tot UG SCH Calc",'Pivot Table for Fact Book'!$A$3,"State","VA","type",4,"Type2","Four-Year")</f>
        <v>0</v>
      </c>
      <c r="I19" s="424">
        <f>GETPIVOTDATA("Sum of NEW-Tot UG SCH Calc",'Pivot Table for Fact Book'!$A$3,"State","VA","type",4,"Type2","Four-Year")</f>
        <v>0</v>
      </c>
      <c r="J19" s="423">
        <f>GETPIVOTDATA("Sum of OLD-Tot UG SCH Calc",'Pivot Table for Fact Book'!$A$3,"State","VA","type",5,"Type2","Four-Year")</f>
        <v>147791</v>
      </c>
      <c r="K19" s="424">
        <f>GETPIVOTDATA("Sum of NEW-Tot UG SCH Calc",'Pivot Table for Fact Book'!$A$3,"State","VA","type",5,"Type2","Four-Year")</f>
        <v>145990</v>
      </c>
      <c r="L19" s="423">
        <f>GETPIVOTDATA("Sum of OLD-Tot UG SCH Calc",'Pivot Table for Fact Book'!$A$3,"State","VA","type",6,"Type2","Four-Year")</f>
        <v>51940</v>
      </c>
      <c r="M19" s="424">
        <f>GETPIVOTDATA("Sum of NEW-Tot UG SCH Calc",'Pivot Table for Fact Book'!$A$3,"State","VA","type",6,"Type2","Four-Year")</f>
        <v>49831</v>
      </c>
      <c r="N19" s="423">
        <f>GETPIVOTDATA("Sum of OLD-Tot UG SCH Calc",'Pivot Table for Fact Book'!$A$3,"State","VA","type",15,"Type2","Four-Year")</f>
        <v>0</v>
      </c>
      <c r="O19" s="424">
        <f>GETPIVOTDATA("Sum of NEW-Tot UG SCH Calc",'Pivot Table for Fact Book'!$A$3,"State","VA","type",15,"Type2","Four-Year")</f>
        <v>0</v>
      </c>
      <c r="P19" s="425">
        <f>GETPIVOTDATA("Sum of OLD-Tot UG SCH Calc",'Pivot Table for Fact Book'!$A$3,"State","VA","Type2","Four-Year")</f>
        <v>4843161.9000000004</v>
      </c>
      <c r="Q19" s="425">
        <f>GETPIVOTDATA("Sum of NEW-Tot UG SCH Calc",'Pivot Table for Fact Book'!$A$3,"State","VA","Type2","Four-Year")</f>
        <v>4861212.5</v>
      </c>
      <c r="R19" s="423">
        <f>GETPIVOTDATA("Sum of OLD-Tot UG SCH Calc",'Pivot Table for Fact Book'!$A$3,"State","VA","type",7,"Type2","Two-Year")</f>
        <v>0</v>
      </c>
      <c r="S19" s="426">
        <f>GETPIVOTDATA("Sum of NEW-Tot UG SCH Calc",'Pivot Table for Fact Book'!$A$3,"State","VA","type",7,"Type2","Two-Year")</f>
        <v>0</v>
      </c>
      <c r="T19" s="426">
        <f>GETPIVOTDATA("Sum of OLD-Tot UG SCH Calc",'Pivot Table for Fact Book'!$A$3,"State","VA","type",8,"Type2","Two-Year")</f>
        <v>2147596.5</v>
      </c>
      <c r="U19" s="426">
        <f>GETPIVOTDATA("Sum of NEW-Tot UG SCH Calc",'Pivot Table for Fact Book'!$A$3,"State","VA","type",8,"Type2","Two-Year")</f>
        <v>2041798.5</v>
      </c>
      <c r="V19" s="426">
        <f>GETPIVOTDATA("Sum of OLD-Tot UG SCH Calc",'Pivot Table for Fact Book'!$A$3,"State","VA","type",9,"Type2","Two-Year")</f>
        <v>1005870</v>
      </c>
      <c r="W19" s="426">
        <f>GETPIVOTDATA("Sum of NEW-Tot UG SCH Calc",'Pivot Table for Fact Book'!$A$3,"State","VA","type",9,"Type2","Two-Year")</f>
        <v>955879</v>
      </c>
      <c r="X19" s="426">
        <f>GETPIVOTDATA("Sum of OLD-Tot UG SCH Calc",'Pivot Table for Fact Book'!$A$3,"State","VA","type",10,"Type2","Two-Year")</f>
        <v>304136</v>
      </c>
      <c r="Y19" s="426">
        <f>GETPIVOTDATA("Sum of NEW-Tot UG SCH Calc",'Pivot Table for Fact Book'!$A$3,"State","VA","type",10,"Type2","Two-Year")</f>
        <v>307129</v>
      </c>
      <c r="Z19" s="427">
        <f>GETPIVOTDATA("Sum of OLD-Tot UG SCH Calc",'Pivot Table for Fact Book'!$A$3,"State","VA","Type2","Two-Year")</f>
        <v>3457602.5</v>
      </c>
      <c r="AA19" s="427">
        <f>GETPIVOTDATA("Sum of NEW-Tot UG SCH Calc",'Pivot Table for Fact Book'!$A$3,"State","VA","Type2","Two-Year")</f>
        <v>3304806.5</v>
      </c>
      <c r="AB19" s="423">
        <f>+GETPIVOTDATA("Sum of OLD-Tot UG SCH Calc",'Pivot Table for Fact Book'!$A$3,"State","VA","type",12,"type2","Techncial")</f>
        <v>0</v>
      </c>
      <c r="AC19" s="426">
        <f>+GETPIVOTDATA("Sum of NEW-Tot UG SCH Calc",'Pivot Table for Fact Book'!$A$3,"State","VA","type",12,"type2","Techncial")</f>
        <v>0</v>
      </c>
      <c r="AD19" s="423">
        <f>+GETPIVOTDATA("Sum of OLD-Tot UG SCH Calc",'Pivot Table for Fact Book'!$A$3,"State","VA","type",13,"type2","Techncial")</f>
        <v>0</v>
      </c>
      <c r="AE19" s="426">
        <f>+GETPIVOTDATA("Sum of NEW-Tot UG SCH Calc",'Pivot Table for Fact Book'!$A$3,"State","VA","type",13,"type2","Techncial")</f>
        <v>0</v>
      </c>
      <c r="AF19" s="428">
        <f>+GETPIVOTDATA("Sum of OLD-Tot UG SCH Calc",'Pivot Table for Fact Book'!$A$3,"State","VA","type2","Techncial")</f>
        <v>0</v>
      </c>
      <c r="AG19" s="429">
        <f>+GETPIVOTDATA("Sum of NEW-Tot UG SCH Calc",'Pivot Table for Fact Book'!$A$3,"State","VA","type2","Techncial")</f>
        <v>0</v>
      </c>
      <c r="AH19" s="430"/>
    </row>
    <row r="20" spans="1:34">
      <c r="A20" s="431" t="s">
        <v>909</v>
      </c>
      <c r="B20" s="432">
        <f>GETPIVOTDATA("Sum of OLD-Tot UG SCH Calc",'Pivot Table for Fact Book'!$A$3,"State","WV","type",1,"Type2","Four-Year")</f>
        <v>657473</v>
      </c>
      <c r="C20" s="433">
        <f>GETPIVOTDATA("Sum of NEW-Tot UG SCH Calc",'Pivot Table for Fact Book'!$A$3,"State","WV","type",1,"Type2","Four-Year")</f>
        <v>650502</v>
      </c>
      <c r="D20" s="432">
        <f>GETPIVOTDATA("Sum of OLD-Tot UG SCH Calc",'Pivot Table for Fact Book'!$A$3,"State","WV","type",2,"Type2","Four-Year")</f>
        <v>0</v>
      </c>
      <c r="E20" s="433">
        <f>GETPIVOTDATA("Sum of NEW-Tot UG SCH Calc",'Pivot Table for Fact Book'!$A$3,"State","WV","type",2,"Type2","Four-Year")</f>
        <v>0</v>
      </c>
      <c r="F20" s="432">
        <f>GETPIVOTDATA("Sum of OLD-Tot UG SCH Calc",'Pivot Table for Fact Book'!$A$3,"State","WV","type",3,"Type2","Four-Year")</f>
        <v>265653</v>
      </c>
      <c r="G20" s="433">
        <f>GETPIVOTDATA("Sum of NEW-Tot UG SCH Calc",'Pivot Table for Fact Book'!$A$3,"State","WV","type",3,"Type2","Four-Year")</f>
        <v>264382</v>
      </c>
      <c r="H20" s="432">
        <f>GETPIVOTDATA("Sum of OLD-Tot UG SCH Calc",'Pivot Table for Fact Book'!$A$3,"State","WV","type",4,"Type2","Four-Year")</f>
        <v>0</v>
      </c>
      <c r="I20" s="433">
        <f>GETPIVOTDATA("Sum of NEW-Tot UG SCH Calc",'Pivot Table for Fact Book'!$A$3,"State","WV","type",4,"Type2","Four-Year")</f>
        <v>0</v>
      </c>
      <c r="J20" s="432">
        <f>GETPIVOTDATA("Sum of OLD-Tot UG SCH Calc",'Pivot Table for Fact Book'!$A$3,"State","WV","type",5,"Type2","Four-Year")</f>
        <v>327389</v>
      </c>
      <c r="K20" s="433">
        <f>GETPIVOTDATA("Sum of NEW-Tot UG SCH Calc",'Pivot Table for Fact Book'!$A$3,"State","WV","type",5,"Type2","Four-Year")</f>
        <v>317332</v>
      </c>
      <c r="L20" s="432">
        <f>GETPIVOTDATA("Sum of OLD-Tot UG SCH Calc",'Pivot Table for Fact Book'!$A$3,"State","WV","type",6,"Type2","Four-Year")</f>
        <v>237671</v>
      </c>
      <c r="M20" s="433">
        <f>GETPIVOTDATA("Sum of NEW-Tot UG SCH Calc",'Pivot Table for Fact Book'!$A$3,"State","WV","type",6,"Type2","Four-Year")</f>
        <v>229755</v>
      </c>
      <c r="N20" s="432">
        <f>GETPIVOTDATA("Sum of OLD-Tot UG SCH Calc",'Pivot Table for Fact Book'!$A$3,"State","WV","type",15,"Type2","Four-Year")</f>
        <v>0</v>
      </c>
      <c r="O20" s="433">
        <f>GETPIVOTDATA("Sum of NEW-Tot UG SCH Calc",'Pivot Table for Fact Book'!$A$3,"State","WV","type",15,"Type2","Four-Year")</f>
        <v>0</v>
      </c>
      <c r="P20" s="434">
        <f>GETPIVOTDATA("Sum of OLD-Tot UG SCH Calc",'Pivot Table for Fact Book'!$A$3,"State","WV","Type2","Four-Year")</f>
        <v>1488186</v>
      </c>
      <c r="Q20" s="434">
        <f>GETPIVOTDATA("Sum of NEW-Tot UG SCH Calc",'Pivot Table for Fact Book'!$A$3,"State","WV","Type2","Four-Year")</f>
        <v>1461971</v>
      </c>
      <c r="R20" s="432">
        <f>GETPIVOTDATA("Sum of OLD-Tot UG SCH Calc",'Pivot Table for Fact Book'!$A$3,"State","WV","type",7,"Type2","Two-Year")</f>
        <v>37552</v>
      </c>
      <c r="S20" s="433">
        <f>GETPIVOTDATA("Sum of NEW-Tot UG SCH Calc",'Pivot Table for Fact Book'!$A$3,"State","WV","type",7,"Type2","Two-Year")</f>
        <v>34802</v>
      </c>
      <c r="T20" s="433">
        <f>GETPIVOTDATA("Sum of OLD-Tot UG SCH Calc",'Pivot Table for Fact Book'!$A$3,"State","WV","type",8,"Type2","Two-Year")</f>
        <v>0</v>
      </c>
      <c r="U20" s="433">
        <f>GETPIVOTDATA("Sum of NEW-Tot UG SCH Calc",'Pivot Table for Fact Book'!$A$3,"State","WV","type",8,"Type2","Two-Year")</f>
        <v>0</v>
      </c>
      <c r="V20" s="433">
        <f>GETPIVOTDATA("Sum of OLD-Tot UG SCH Calc",'Pivot Table for Fact Book'!$A$3,"State","WV","type",9,"Type2","Two-Year")</f>
        <v>0</v>
      </c>
      <c r="W20" s="433">
        <f>GETPIVOTDATA("Sum of NEW-Tot UG SCH Calc",'Pivot Table for Fact Book'!$A$3,"State","WV","type",9,"Type2","Two-Year")</f>
        <v>0</v>
      </c>
      <c r="X20" s="433">
        <f>GETPIVOTDATA("Sum of OLD-Tot UG SCH Calc",'Pivot Table for Fact Book'!$A$3,"State","WV","type",10,"Type2","Two-Year")</f>
        <v>326685</v>
      </c>
      <c r="Y20" s="433">
        <f>GETPIVOTDATA("Sum of NEW-Tot UG SCH Calc",'Pivot Table for Fact Book'!$A$3,"State","WV","type",10,"Type2","Two-Year")</f>
        <v>311555</v>
      </c>
      <c r="Z20" s="435">
        <f>GETPIVOTDATA("Sum of OLD-Tot UG SCH Calc",'Pivot Table for Fact Book'!$A$3,"State","WV","Type2","Two-Year")</f>
        <v>364237</v>
      </c>
      <c r="AA20" s="435">
        <f>GETPIVOTDATA("Sum of NEW-Tot UG SCH Calc",'Pivot Table for Fact Book'!$A$3,"State","WV","Type2","Two-Year")</f>
        <v>346357</v>
      </c>
      <c r="AB20" s="432">
        <f>+GETPIVOTDATA("Sum of OLD-Tot UG SCH Calc",'Pivot Table for Fact Book'!$A$3,"State","WV","type",12,"type2","Techncial")</f>
        <v>0</v>
      </c>
      <c r="AC20" s="433">
        <f>+GETPIVOTDATA("Sum of NEW-Tot UG SCH Calc",'Pivot Table for Fact Book'!$A$3,"State","WV","type",12,"type2","Techncial")</f>
        <v>0</v>
      </c>
      <c r="AD20" s="432">
        <f>+GETPIVOTDATA("Sum of OLD-Tot UG SCH Calc",'Pivot Table for Fact Book'!$A$3,"State","WV","type",13,"type2","Techncial")</f>
        <v>0</v>
      </c>
      <c r="AE20" s="433">
        <f>+GETPIVOTDATA("Sum of NEW-Tot UG SCH Calc",'Pivot Table for Fact Book'!$A$3,"State","WV","type",13,"type2","Techncial")</f>
        <v>0</v>
      </c>
      <c r="AF20" s="436">
        <f>+GETPIVOTDATA("Sum of OLD-Tot UG SCH Calc",'Pivot Table for Fact Book'!$A$3,"State","WV","type2","Techncial")</f>
        <v>0</v>
      </c>
      <c r="AG20" s="437">
        <f>+GETPIVOTDATA("Sum of NEW-Tot UG SCH Calc",'Pivot Table for Fact Book'!$A$3,"State","WV","type2","Techncial")</f>
        <v>0</v>
      </c>
      <c r="AH20" s="430"/>
    </row>
    <row r="21" spans="1:34">
      <c r="I21" s="430"/>
      <c r="J21" s="430"/>
      <c r="K21" s="430"/>
      <c r="L21" s="430"/>
      <c r="M21" s="430"/>
      <c r="N21" s="430"/>
      <c r="O21" s="430"/>
      <c r="P21" s="430"/>
      <c r="Q21" s="430"/>
      <c r="R21" s="430"/>
      <c r="S21" s="430"/>
      <c r="T21" s="430"/>
      <c r="U21" s="430"/>
      <c r="V21" s="430"/>
      <c r="W21" s="430"/>
      <c r="X21" s="430"/>
      <c r="Y21" s="430"/>
      <c r="Z21" s="430"/>
      <c r="AA21" s="430"/>
      <c r="AB21" s="430"/>
      <c r="AC21" s="430"/>
      <c r="AD21" s="430"/>
      <c r="AE21" s="430"/>
      <c r="AF21" s="430"/>
      <c r="AG21" s="430"/>
      <c r="AH21" s="430"/>
    </row>
    <row r="22" spans="1:34">
      <c r="A22" s="438" t="s">
        <v>910</v>
      </c>
    </row>
    <row r="23" spans="1:34">
      <c r="B23" s="399" t="s">
        <v>890</v>
      </c>
      <c r="C23" s="400"/>
      <c r="D23" s="400"/>
      <c r="E23" s="400"/>
      <c r="F23" s="400"/>
      <c r="G23" s="400"/>
      <c r="H23" s="400"/>
      <c r="I23" s="400"/>
      <c r="J23" s="400"/>
      <c r="K23" s="400"/>
      <c r="L23" s="400"/>
      <c r="M23" s="400"/>
      <c r="N23" s="400"/>
      <c r="O23" s="400"/>
      <c r="P23" s="400"/>
      <c r="Q23" s="401"/>
      <c r="R23" s="402" t="s">
        <v>891</v>
      </c>
      <c r="S23" s="403"/>
      <c r="T23" s="403"/>
      <c r="U23" s="403"/>
      <c r="V23" s="403"/>
      <c r="W23" s="403"/>
      <c r="X23" s="403"/>
      <c r="Y23" s="403"/>
      <c r="Z23" s="403"/>
      <c r="AA23" s="404"/>
      <c r="AB23" s="405" t="s">
        <v>892</v>
      </c>
      <c r="AC23" s="406"/>
      <c r="AD23" s="406"/>
      <c r="AE23" s="406"/>
      <c r="AF23" s="406"/>
      <c r="AG23" s="406"/>
    </row>
    <row r="24" spans="1:34">
      <c r="B24" s="407">
        <v>1</v>
      </c>
      <c r="C24" s="408"/>
      <c r="D24" s="407">
        <v>2</v>
      </c>
      <c r="E24" s="408"/>
      <c r="F24" s="407">
        <v>3</v>
      </c>
      <c r="G24" s="408"/>
      <c r="H24" s="407">
        <v>4</v>
      </c>
      <c r="I24" s="408"/>
      <c r="J24" s="407">
        <v>5</v>
      </c>
      <c r="K24" s="408"/>
      <c r="L24" s="407">
        <v>6</v>
      </c>
      <c r="M24" s="408"/>
      <c r="N24" s="407">
        <v>15</v>
      </c>
      <c r="O24" s="408"/>
      <c r="P24" s="407" t="s">
        <v>893</v>
      </c>
      <c r="Q24" s="410"/>
      <c r="R24" s="439">
        <v>7</v>
      </c>
      <c r="S24" s="412"/>
      <c r="T24" s="439">
        <v>8</v>
      </c>
      <c r="U24" s="412"/>
      <c r="V24" s="439">
        <v>9</v>
      </c>
      <c r="W24" s="412"/>
      <c r="X24" s="439">
        <v>10</v>
      </c>
      <c r="Y24" s="412"/>
      <c r="Z24" s="439" t="s">
        <v>893</v>
      </c>
      <c r="AA24" s="412"/>
      <c r="AB24" s="440">
        <v>12</v>
      </c>
      <c r="AC24" s="414"/>
      <c r="AD24" s="440">
        <v>13</v>
      </c>
      <c r="AE24" s="414"/>
      <c r="AF24" s="440" t="s">
        <v>893</v>
      </c>
      <c r="AG24" s="414"/>
    </row>
    <row r="25" spans="1:34" s="443" customFormat="1">
      <c r="A25" s="441"/>
      <c r="B25" s="416">
        <v>2014</v>
      </c>
      <c r="C25" s="417">
        <v>2015</v>
      </c>
      <c r="D25" s="416">
        <v>2014</v>
      </c>
      <c r="E25" s="417">
        <v>2015</v>
      </c>
      <c r="F25" s="416">
        <v>2014</v>
      </c>
      <c r="G25" s="417">
        <v>2015</v>
      </c>
      <c r="H25" s="416">
        <v>2014</v>
      </c>
      <c r="I25" s="417">
        <v>2015</v>
      </c>
      <c r="J25" s="416">
        <v>2014</v>
      </c>
      <c r="K25" s="417">
        <v>2015</v>
      </c>
      <c r="L25" s="416">
        <v>2014</v>
      </c>
      <c r="M25" s="417">
        <v>2015</v>
      </c>
      <c r="N25" s="416">
        <v>2014</v>
      </c>
      <c r="O25" s="417">
        <v>2015</v>
      </c>
      <c r="P25" s="416">
        <v>2014</v>
      </c>
      <c r="Q25" s="417">
        <v>2015</v>
      </c>
      <c r="R25" s="418">
        <v>2014</v>
      </c>
      <c r="S25" s="419">
        <v>2015</v>
      </c>
      <c r="T25" s="418">
        <v>2014</v>
      </c>
      <c r="U25" s="419">
        <v>2015</v>
      </c>
      <c r="V25" s="418">
        <v>2014</v>
      </c>
      <c r="W25" s="419">
        <v>2015</v>
      </c>
      <c r="X25" s="418">
        <v>2014</v>
      </c>
      <c r="Y25" s="419">
        <v>2015</v>
      </c>
      <c r="Z25" s="418">
        <v>2014</v>
      </c>
      <c r="AA25" s="419">
        <v>2015</v>
      </c>
      <c r="AB25" s="418">
        <v>2014</v>
      </c>
      <c r="AC25" s="420">
        <v>2015</v>
      </c>
      <c r="AD25" s="418">
        <v>2014</v>
      </c>
      <c r="AE25" s="420">
        <v>2015</v>
      </c>
      <c r="AF25" s="418">
        <v>2014</v>
      </c>
      <c r="AG25" s="420">
        <v>2015</v>
      </c>
      <c r="AH25" s="442"/>
    </row>
    <row r="26" spans="1:34">
      <c r="A26" s="398" t="s">
        <v>894</v>
      </c>
      <c r="B26" s="423">
        <f>GETPIVOTDATA("Sum of Old UG E-Learning",'Pivot Table for Fact Book'!$A$3,"State","AL","type",1,"Type2","Four-Year")</f>
        <v>105775</v>
      </c>
      <c r="C26" s="424">
        <f>GETPIVOTDATA("Sum of New UG E-Learning",'Pivot Table for Fact Book'!$A$3,"State","AL","type",1,"Type2","Four-Year")</f>
        <v>119258</v>
      </c>
      <c r="D26" s="423">
        <f>GETPIVOTDATA("Sum of Old UG E-Learning",'Pivot Table for Fact Book'!$A$3,"State","AL","type",2,"Type2","Four-Year")</f>
        <v>63788</v>
      </c>
      <c r="E26" s="424">
        <f>GETPIVOTDATA("Sum of New UG E-Learning",'Pivot Table for Fact Book'!$A$3,"State","AL","type",2,"Type2","Four-Year")</f>
        <v>78369</v>
      </c>
      <c r="F26" s="423">
        <f>GETPIVOTDATA("Sum of Old UG E-Learning",'Pivot Table for Fact Book'!$A$3,"State","AL","type",3,"Type2","Four-Year")</f>
        <v>164727</v>
      </c>
      <c r="G26" s="424">
        <f>GETPIVOTDATA("Sum of New UG E-Learning",'Pivot Table for Fact Book'!$A$3,"State","AL","type",3,"Type2","Four-Year")</f>
        <v>181877</v>
      </c>
      <c r="H26" s="423">
        <f>GETPIVOTDATA("Sum of Old UG E-Learning",'Pivot Table for Fact Book'!$A$3,"State","AL","type",4,"Type2","Four-Year")</f>
        <v>33925</v>
      </c>
      <c r="I26" s="424">
        <f>GETPIVOTDATA("Sum of New UG E-Learning",'Pivot Table for Fact Book'!$A$3,"State","AL","type",4,"Type2","Four-Year")</f>
        <v>35627</v>
      </c>
      <c r="J26" s="423">
        <f>GETPIVOTDATA("Sum of Old UG E-Learning",'Pivot Table for Fact Book'!$A$3,"State","AL","type",5,"Type2","Four-Year")</f>
        <v>6289</v>
      </c>
      <c r="K26" s="424">
        <f>GETPIVOTDATA("Sum of New UG E-Learning",'Pivot Table for Fact Book'!$A$3,"State","AL","type",5,"Type2","Four-Year")</f>
        <v>9621</v>
      </c>
      <c r="L26" s="423">
        <f>GETPIVOTDATA("Sum of Old UG E-Learning",'Pivot Table for Fact Book'!$A$3,"State","AL","type",6,"Type2","Four-Year")</f>
        <v>51480</v>
      </c>
      <c r="M26" s="424">
        <f>GETPIVOTDATA("Sum of New UG E-Learning",'Pivot Table for Fact Book'!$A$3,"State","AL","type",6,"Type2","Four-Year")</f>
        <v>52366</v>
      </c>
      <c r="N26" s="423">
        <f>GETPIVOTDATA("Sum of Old UG E-Learning",'Pivot Table for Fact Book'!$A$3,"State","AL","type",15,"Type2","Four-Year")</f>
        <v>0</v>
      </c>
      <c r="O26" s="424">
        <f>GETPIVOTDATA("Sum of New UG E-Learning",'Pivot Table for Fact Book'!$A$3,"State","AL","type",15,"Type2","Four-Year")</f>
        <v>0</v>
      </c>
      <c r="P26" s="425">
        <f>GETPIVOTDATA("Sum of Old UG E-Learning",'Pivot Table for Fact Book'!$A$3,"State","AL","Type2","Four-Year")</f>
        <v>425984</v>
      </c>
      <c r="Q26" s="425">
        <f>GETPIVOTDATA("Sum of New UG E-Learning",'Pivot Table for Fact Book'!$A$3,"State","AL","Type2","Four-Year")</f>
        <v>477118</v>
      </c>
      <c r="R26" s="423">
        <f>GETPIVOTDATA("Sum of Old UG E-Learning",'Pivot Table for Fact Book'!$A$3,"State","AL","type",7,"Type2","Two-Year")</f>
        <v>0</v>
      </c>
      <c r="S26" s="426">
        <f>GETPIVOTDATA("Sum of New UG E-Learning",'Pivot Table for Fact Book'!$A$3,"State","AL","type",7,"Type2","Two-Year")</f>
        <v>0</v>
      </c>
      <c r="T26" s="426">
        <f>GETPIVOTDATA("Sum of Old UG E-Learning",'Pivot Table for Fact Book'!$A$3,"State","AL","type",8,"Type2","Two-Year")</f>
        <v>118833</v>
      </c>
      <c r="U26" s="426">
        <f>GETPIVOTDATA("Sum of New UG E-Learning",'Pivot Table for Fact Book'!$A$3,"State","AL","type",8,"Type2","Two-Year")</f>
        <v>115400</v>
      </c>
      <c r="V26" s="426">
        <f>GETPIVOTDATA("Sum of Old UG E-Learning",'Pivot Table for Fact Book'!$A$3,"State","AL","type",9,"Type2","Two-Year")</f>
        <v>192055</v>
      </c>
      <c r="W26" s="426">
        <f>GETPIVOTDATA("Sum of New UG E-Learning",'Pivot Table for Fact Book'!$A$3,"State","AL","type",9,"Type2","Two-Year")</f>
        <v>193670</v>
      </c>
      <c r="X26" s="426">
        <f>GETPIVOTDATA("Sum of Old UG E-Learning",'Pivot Table for Fact Book'!$A$3,"State","AL","type",10,"Type2","Two-Year")</f>
        <v>83435</v>
      </c>
      <c r="Y26" s="426">
        <f>GETPIVOTDATA("Sum of New UG E-Learning",'Pivot Table for Fact Book'!$A$3,"State","AL","type",10,"Type2","Two-Year")</f>
        <v>83907</v>
      </c>
      <c r="Z26" s="427">
        <f>GETPIVOTDATA("Sum of Old UG E-Learning",'Pivot Table for Fact Book'!$A$3,"State","AL","Type2","Two-Year")</f>
        <v>394323</v>
      </c>
      <c r="AA26" s="427">
        <f>GETPIVOTDATA("Sum of New UG E-Learning",'Pivot Table for Fact Book'!$A$3,"State","AL","Type2","Two-Year")</f>
        <v>392977</v>
      </c>
      <c r="AB26" s="423">
        <f>+GETPIVOTDATA("Sum of Old UG E-Learning",'Pivot Table for Fact Book'!$A$3,"State","AL","type",12,"type2","Techncial")</f>
        <v>2461</v>
      </c>
      <c r="AC26" s="426">
        <f>+GETPIVOTDATA("Sum of New UG E-Learning",'Pivot Table for Fact Book'!$A$3,"State","AL","type",12,"type2","Techncial")</f>
        <v>4662</v>
      </c>
      <c r="AD26" s="426">
        <f>+GETPIVOTDATA("Sum of Old UG E-Learning",'Pivot Table for Fact Book'!$A$3,"State","AL","type",13,"type2","Techncial")</f>
        <v>0</v>
      </c>
      <c r="AE26" s="426">
        <f>+GETPIVOTDATA("Sum of New UG E-Learning",'Pivot Table for Fact Book'!$A$3,"State","AL","type",13,"type2","Techncial")</f>
        <v>4306</v>
      </c>
      <c r="AF26" s="429">
        <f>+GETPIVOTDATA("Sum of Old UG E-Learning",'Pivot Table for Fact Book'!$A$3,"State","AL","type2","Techncial")</f>
        <v>2461</v>
      </c>
      <c r="AG26" s="429">
        <f>+GETPIVOTDATA("Sum of New UG E-Learning",'Pivot Table for Fact Book'!$A$3,"State","AL","type2","Techncial")</f>
        <v>8968</v>
      </c>
      <c r="AH26" s="430"/>
    </row>
    <row r="27" spans="1:34">
      <c r="A27" s="398" t="s">
        <v>895</v>
      </c>
      <c r="B27" s="423">
        <f>GETPIVOTDATA("Sum of Old UG E-Learning",'Pivot Table for Fact Book'!$A$3,"State","AR","type",1,"Type2","Four-Year")</f>
        <v>51697</v>
      </c>
      <c r="C27" s="424">
        <f>GETPIVOTDATA("Sum of New UG E-Learning",'Pivot Table for Fact Book'!$A$3,"State","AR","type",1,"Type2","Four-Year")</f>
        <v>52824</v>
      </c>
      <c r="D27" s="423">
        <f>GETPIVOTDATA("Sum of Old UG E-Learning",'Pivot Table for Fact Book'!$A$3,"State","AR","type",2,"Type2","Four-Year")</f>
        <v>66079</v>
      </c>
      <c r="E27" s="424">
        <f>GETPIVOTDATA("Sum of New UG E-Learning",'Pivot Table for Fact Book'!$A$3,"State","AR","type",2,"Type2","Four-Year")</f>
        <v>68378</v>
      </c>
      <c r="F27" s="423">
        <f>GETPIVOTDATA("Sum of Old UG E-Learning",'Pivot Table for Fact Book'!$A$3,"State","AR","type",3,"Type2","Four-Year")</f>
        <v>139046</v>
      </c>
      <c r="G27" s="424">
        <f>GETPIVOTDATA("Sum of New UG E-Learning",'Pivot Table for Fact Book'!$A$3,"State","AR","type",3,"Type2","Four-Year")</f>
        <v>161528</v>
      </c>
      <c r="H27" s="423">
        <f>GETPIVOTDATA("Sum of Old UG E-Learning",'Pivot Table for Fact Book'!$A$3,"State","AR","type",4,"Type2","Four-Year")</f>
        <v>26889</v>
      </c>
      <c r="I27" s="424">
        <f>GETPIVOTDATA("Sum of New UG E-Learning",'Pivot Table for Fact Book'!$A$3,"State","AR","type",4,"Type2","Four-Year")</f>
        <v>31137</v>
      </c>
      <c r="J27" s="423">
        <f>GETPIVOTDATA("Sum of Old UG E-Learning",'Pivot Table for Fact Book'!$A$3,"State","AR","type",5,"Type2","Four-Year")</f>
        <v>14240</v>
      </c>
      <c r="K27" s="424">
        <f>GETPIVOTDATA("Sum of New UG E-Learning",'Pivot Table for Fact Book'!$A$3,"State","AR","type",5,"Type2","Four-Year")</f>
        <v>17702</v>
      </c>
      <c r="L27" s="423">
        <f>GETPIVOTDATA("Sum of Old UG E-Learning",'Pivot Table for Fact Book'!$A$3,"State","AR","type",6,"Type2","Four-Year")</f>
        <v>41344</v>
      </c>
      <c r="M27" s="424">
        <f>GETPIVOTDATA("Sum of New UG E-Learning",'Pivot Table for Fact Book'!$A$3,"State","AR","type",6,"Type2","Four-Year")</f>
        <v>44829</v>
      </c>
      <c r="N27" s="423">
        <f>GETPIVOTDATA("Sum of Old UG E-Learning",'Pivot Table for Fact Book'!$A$3,"State","AR","type",15,"Type2","Four-Year")</f>
        <v>0</v>
      </c>
      <c r="O27" s="424">
        <f>GETPIVOTDATA("Sum of New UG E-Learning",'Pivot Table for Fact Book'!$A$3,"State","AR","type",15,"Type2","Four-Year")</f>
        <v>2528</v>
      </c>
      <c r="P27" s="425">
        <f>GETPIVOTDATA("Sum of Old UG E-Learning",'Pivot Table for Fact Book'!$A$3,"State","AR","Type2","Four-Year")</f>
        <v>339295</v>
      </c>
      <c r="Q27" s="425">
        <f>GETPIVOTDATA("Sum of New UG E-Learning",'Pivot Table for Fact Book'!$A$3,"State","AR","Type2","Four-Year")</f>
        <v>378926</v>
      </c>
      <c r="R27" s="423">
        <f>GETPIVOTDATA("Sum of Old UG E-Learning",'Pivot Table for Fact Book'!$A$3,"State","AR","type",7,"Type2","Two-Year")</f>
        <v>0</v>
      </c>
      <c r="S27" s="426">
        <f>GETPIVOTDATA("Sum of New UG E-Learning",'Pivot Table for Fact Book'!$A$3,"State","AR","type",7,"Type2","Two-Year")</f>
        <v>0</v>
      </c>
      <c r="T27" s="426">
        <f>GETPIVOTDATA("Sum of Old UG E-Learning",'Pivot Table for Fact Book'!$A$3,"State","AR","type",8,"Type2","Two-Year")</f>
        <v>98927</v>
      </c>
      <c r="U27" s="426">
        <f>GETPIVOTDATA("Sum of New UG E-Learning",'Pivot Table for Fact Book'!$A$3,"State","AR","type",8,"Type2","Two-Year")</f>
        <v>91584</v>
      </c>
      <c r="V27" s="426">
        <f>GETPIVOTDATA("Sum of Old UG E-Learning",'Pivot Table for Fact Book'!$A$3,"State","AR","type",9,"Type2","Two-Year")</f>
        <v>31248</v>
      </c>
      <c r="W27" s="426">
        <f>GETPIVOTDATA("Sum of New UG E-Learning",'Pivot Table for Fact Book'!$A$3,"State","AR","type",9,"Type2","Two-Year")</f>
        <v>31377</v>
      </c>
      <c r="X27" s="426">
        <f>GETPIVOTDATA("Sum of Old UG E-Learning",'Pivot Table for Fact Book'!$A$3,"State","AR","type",10,"Type2","Two-Year")</f>
        <v>144121</v>
      </c>
      <c r="Y27" s="426">
        <f>GETPIVOTDATA("Sum of New UG E-Learning",'Pivot Table for Fact Book'!$A$3,"State","AR","type",10,"Type2","Two-Year")</f>
        <v>144818</v>
      </c>
      <c r="Z27" s="427">
        <f>GETPIVOTDATA("Sum of Old UG E-Learning",'Pivot Table for Fact Book'!$A$3,"State","AR","Type2","Two-Year")</f>
        <v>274296</v>
      </c>
      <c r="AA27" s="427">
        <f>GETPIVOTDATA("Sum of New UG E-Learning",'Pivot Table for Fact Book'!$A$3,"State","AR","Type2","Two-Year")</f>
        <v>267779</v>
      </c>
      <c r="AB27" s="423">
        <f>+GETPIVOTDATA("Sum of Old UG E-Learning",'Pivot Table for Fact Book'!$A$3,"State","AR","type",12,"type2","Techncial")</f>
        <v>0</v>
      </c>
      <c r="AC27" s="426">
        <f>+GETPIVOTDATA("Sum of New UG E-Learning",'Pivot Table for Fact Book'!$A$3,"State","AR","type",12,"type2","Techncial")</f>
        <v>0</v>
      </c>
      <c r="AD27" s="426">
        <f>+GETPIVOTDATA("Sum of Old UG E-Learning",'Pivot Table for Fact Book'!$A$3,"State","AR","type",13,"type2","Techncial")</f>
        <v>0</v>
      </c>
      <c r="AE27" s="426">
        <f>+GETPIVOTDATA("Sum of New UG E-Learning",'Pivot Table for Fact Book'!$A$3,"State","AR","type",13,"type2","Techncial")</f>
        <v>0</v>
      </c>
      <c r="AF27" s="429">
        <f>+GETPIVOTDATA("Sum of Old UG E-Learning",'Pivot Table for Fact Book'!$A$3,"State","AR","type2","Techncial")</f>
        <v>0</v>
      </c>
      <c r="AG27" s="429">
        <f>+GETPIVOTDATA("Sum of New UG E-Learning",'Pivot Table for Fact Book'!$A$3,"State","AR","type2","Techncial")</f>
        <v>0</v>
      </c>
      <c r="AH27" s="430"/>
    </row>
    <row r="28" spans="1:34">
      <c r="A28" s="398" t="s">
        <v>896</v>
      </c>
      <c r="B28" s="423">
        <f>GETPIVOTDATA("Sum of Old UG E-Learning",'Pivot Table for Fact Book'!$A$3,"State","DE","type",1,"Type2","Four-Year")</f>
        <v>17464</v>
      </c>
      <c r="C28" s="424">
        <f>GETPIVOTDATA("Sum of New UG E-Learning",'Pivot Table for Fact Book'!$A$3,"State","DE","type",1,"Type2","Four-Year")</f>
        <v>19693</v>
      </c>
      <c r="D28" s="423">
        <f>GETPIVOTDATA("Sum of Old UG E-Learning",'Pivot Table for Fact Book'!$A$3,"State","DE","type",2,"Type2","Four-Year")</f>
        <v>0</v>
      </c>
      <c r="E28" s="424">
        <f>GETPIVOTDATA("Sum of New UG E-Learning",'Pivot Table for Fact Book'!$A$3,"State","DE","type",2,"Type2","Four-Year")</f>
        <v>0</v>
      </c>
      <c r="F28" s="423">
        <f>GETPIVOTDATA("Sum of Old UG E-Learning",'Pivot Table for Fact Book'!$A$3,"State","DE","type",3,"Type2","Four-Year")</f>
        <v>3826</v>
      </c>
      <c r="G28" s="424">
        <f>GETPIVOTDATA("Sum of New UG E-Learning",'Pivot Table for Fact Book'!$A$3,"State","DE","type",3,"Type2","Four-Year")</f>
        <v>5162</v>
      </c>
      <c r="H28" s="423">
        <f>GETPIVOTDATA("Sum of Old UG E-Learning",'Pivot Table for Fact Book'!$A$3,"State","DE","type",4,"Type2","Four-Year")</f>
        <v>0</v>
      </c>
      <c r="I28" s="424">
        <f>GETPIVOTDATA("Sum of New UG E-Learning",'Pivot Table for Fact Book'!$A$3,"State","DE","type",4,"Type2","Four-Year")</f>
        <v>0</v>
      </c>
      <c r="J28" s="423">
        <f>GETPIVOTDATA("Sum of Old UG E-Learning",'Pivot Table for Fact Book'!$A$3,"State","DE","type",5,"Type2","Four-Year")</f>
        <v>0</v>
      </c>
      <c r="K28" s="424">
        <f>GETPIVOTDATA("Sum of New UG E-Learning",'Pivot Table for Fact Book'!$A$3,"State","DE","type",5,"Type2","Four-Year")</f>
        <v>0</v>
      </c>
      <c r="L28" s="423">
        <f>GETPIVOTDATA("Sum of Old UG E-Learning",'Pivot Table for Fact Book'!$A$3,"State","DE","type",6,"Type2","Four-Year")</f>
        <v>0</v>
      </c>
      <c r="M28" s="424">
        <f>GETPIVOTDATA("Sum of New UG E-Learning",'Pivot Table for Fact Book'!$A$3,"State","DE","type",6,"Type2","Four-Year")</f>
        <v>0</v>
      </c>
      <c r="N28" s="423">
        <f>GETPIVOTDATA("Sum of Old UG E-Learning",'Pivot Table for Fact Book'!$A$3,"State","DE","type",15,"Type2","Four-Year")</f>
        <v>0</v>
      </c>
      <c r="O28" s="424">
        <f>GETPIVOTDATA("Sum of New UG E-Learning",'Pivot Table for Fact Book'!$A$3,"State","DE","type",15,"Type2","Four-Year")</f>
        <v>0</v>
      </c>
      <c r="P28" s="425">
        <f>GETPIVOTDATA("Sum of Old UG E-Learning",'Pivot Table for Fact Book'!$A$3,"State","DE","Type2","Four-Year")</f>
        <v>21290</v>
      </c>
      <c r="Q28" s="425">
        <f>GETPIVOTDATA("Sum of New UG E-Learning",'Pivot Table for Fact Book'!$A$3,"State","DE","Type2","Four-Year")</f>
        <v>24855</v>
      </c>
      <c r="R28" s="423">
        <f>GETPIVOTDATA("Sum of Old UG E-Learning",'Pivot Table for Fact Book'!$A$3,"State","DE","type",7,"Type2","Two-Year")</f>
        <v>0</v>
      </c>
      <c r="S28" s="426">
        <f>GETPIVOTDATA("Sum of New UG E-Learning",'Pivot Table for Fact Book'!$A$3,"State","DE","type",7,"Type2","Two-Year")</f>
        <v>0</v>
      </c>
      <c r="T28" s="426">
        <f>GETPIVOTDATA("Sum of Old UG E-Learning",'Pivot Table for Fact Book'!$A$3,"State","DE","type",8,"Type2","Two-Year")</f>
        <v>0</v>
      </c>
      <c r="U28" s="426">
        <f>GETPIVOTDATA("Sum of New UG E-Learning",'Pivot Table for Fact Book'!$A$3,"State","DE","type",8,"Type2","Two-Year")</f>
        <v>0</v>
      </c>
      <c r="V28" s="426">
        <f>GETPIVOTDATA("Sum of Old UG E-Learning",'Pivot Table for Fact Book'!$A$3,"State","DE","type",9,"Type2","Two-Year")</f>
        <v>34209</v>
      </c>
      <c r="W28" s="426">
        <f>GETPIVOTDATA("Sum of New UG E-Learning",'Pivot Table for Fact Book'!$A$3,"State","DE","type",9,"Type2","Two-Year")</f>
        <v>38494</v>
      </c>
      <c r="X28" s="426">
        <f>GETPIVOTDATA("Sum of Old UG E-Learning",'Pivot Table for Fact Book'!$A$3,"State","DE","type",10,"Type2","Two-Year")</f>
        <v>0</v>
      </c>
      <c r="Y28" s="426">
        <f>GETPIVOTDATA("Sum of New UG E-Learning",'Pivot Table for Fact Book'!$A$3,"State","DE","type",10,"Type2","Two-Year")</f>
        <v>0</v>
      </c>
      <c r="Z28" s="427">
        <f>GETPIVOTDATA("Sum of Old UG E-Learning",'Pivot Table for Fact Book'!$A$3,"State","DE","Type2","Two-Year")</f>
        <v>34209</v>
      </c>
      <c r="AA28" s="427">
        <f>GETPIVOTDATA("Sum of New UG E-Learning",'Pivot Table for Fact Book'!$A$3,"State","DE","Type2","Two-Year")</f>
        <v>38494</v>
      </c>
      <c r="AB28" s="423">
        <f>+GETPIVOTDATA("Sum of Old UG E-Learning",'Pivot Table for Fact Book'!$A$3,"State","DE","type",12,"type2","Techncial")</f>
        <v>0</v>
      </c>
      <c r="AC28" s="426">
        <f>+GETPIVOTDATA("Sum of New UG E-Learning",'Pivot Table for Fact Book'!$A$3,"State","DE","type",12,"type2","Techncial")</f>
        <v>0</v>
      </c>
      <c r="AD28" s="426">
        <f>+GETPIVOTDATA("Sum of Old UG E-Learning",'Pivot Table for Fact Book'!$A$3,"State","DE","type",13,"type2","Techncial")</f>
        <v>0</v>
      </c>
      <c r="AE28" s="426">
        <f>+GETPIVOTDATA("Sum of New UG E-Learning",'Pivot Table for Fact Book'!$A$3,"State","DE","type",13,"type2","Techncial")</f>
        <v>0</v>
      </c>
      <c r="AF28" s="429">
        <f>+GETPIVOTDATA("Sum of Old UG E-Learning",'Pivot Table for Fact Book'!$A$3,"State","DE","type2","Techncial")</f>
        <v>0</v>
      </c>
      <c r="AG28" s="429">
        <f>+GETPIVOTDATA("Sum of New UG E-Learning",'Pivot Table for Fact Book'!$A$3,"State","DE","type2","Techncial")</f>
        <v>0</v>
      </c>
      <c r="AH28" s="430"/>
    </row>
    <row r="29" spans="1:34">
      <c r="A29" s="398" t="s">
        <v>897</v>
      </c>
      <c r="B29" s="423">
        <f>GETPIVOTDATA("Sum of Old UG E-Learning",'Pivot Table for Fact Book'!$A$3,"State","FL","type",1,"Type2","Four-Year")</f>
        <v>1083813</v>
      </c>
      <c r="C29" s="424">
        <f>GETPIVOTDATA("Sum of New UG E-Learning",'Pivot Table for Fact Book'!$A$3,"State","FL","type",1,"Type2","Four-Year")</f>
        <v>1370630</v>
      </c>
      <c r="D29" s="423">
        <f>GETPIVOTDATA("Sum of Old UG E-Learning",'Pivot Table for Fact Book'!$A$3,"State","FL","type",2,"Type2","Four-Year")</f>
        <v>0</v>
      </c>
      <c r="E29" s="424">
        <f>GETPIVOTDATA("Sum of New UG E-Learning",'Pivot Table for Fact Book'!$A$3,"State","FL","type",2,"Type2","Four-Year")</f>
        <v>0</v>
      </c>
      <c r="F29" s="423">
        <f>GETPIVOTDATA("Sum of Old UG E-Learning",'Pivot Table for Fact Book'!$A$3,"State","FL","type",3,"Type2","Four-Year")</f>
        <v>95448</v>
      </c>
      <c r="G29" s="424">
        <f>GETPIVOTDATA("Sum of New UG E-Learning",'Pivot Table for Fact Book'!$A$3,"State","FL","type",3,"Type2","Four-Year")</f>
        <v>106434</v>
      </c>
      <c r="H29" s="423">
        <f>GETPIVOTDATA("Sum of Old UG E-Learning",'Pivot Table for Fact Book'!$A$3,"State","FL","type",4,"Type2","Four-Year")</f>
        <v>75148</v>
      </c>
      <c r="I29" s="424">
        <f>GETPIVOTDATA("Sum of New UG E-Learning",'Pivot Table for Fact Book'!$A$3,"State","FL","type",4,"Type2","Four-Year")</f>
        <v>71234</v>
      </c>
      <c r="J29" s="423">
        <f>GETPIVOTDATA("Sum of Old UG E-Learning",'Pivot Table for Fact Book'!$A$3,"State","FL","type",5,"Type2","Four-Year")</f>
        <v>0</v>
      </c>
      <c r="K29" s="424">
        <f>GETPIVOTDATA("Sum of New UG E-Learning",'Pivot Table for Fact Book'!$A$3,"State","FL","type",5,"Type2","Four-Year")</f>
        <v>0</v>
      </c>
      <c r="L29" s="423">
        <f>GETPIVOTDATA("Sum of Old UG E-Learning",'Pivot Table for Fact Book'!$A$3,"State","FL","type",6,"Type2","Four-Year")</f>
        <v>0</v>
      </c>
      <c r="M29" s="424">
        <f>GETPIVOTDATA("Sum of New UG E-Learning",'Pivot Table for Fact Book'!$A$3,"State","FL","type",6,"Type2","Four-Year")</f>
        <v>0</v>
      </c>
      <c r="N29" s="423">
        <f>GETPIVOTDATA("Sum of Old UG E-Learning",'Pivot Table for Fact Book'!$A$3,"State","FL","type",15,"Type2","Four-Year")</f>
        <v>0</v>
      </c>
      <c r="O29" s="424">
        <f>GETPIVOTDATA("Sum of New UG E-Learning",'Pivot Table for Fact Book'!$A$3,"State","FL","type",15,"Type2","Four-Year")</f>
        <v>0</v>
      </c>
      <c r="P29" s="425">
        <f>GETPIVOTDATA("Sum of Old UG E-Learning",'Pivot Table for Fact Book'!$A$3,"State","FL","Type2","Four-Year")</f>
        <v>1254409</v>
      </c>
      <c r="Q29" s="425">
        <f>GETPIVOTDATA("Sum of New UG E-Learning",'Pivot Table for Fact Book'!$A$3,"State","FL","Type2","Four-Year")</f>
        <v>1548298</v>
      </c>
      <c r="R29" s="423">
        <f>GETPIVOTDATA("Sum of Old UG E-Learning",'Pivot Table for Fact Book'!$A$3,"State","FL","type",7,"Type2","Two-Year")</f>
        <v>1799152</v>
      </c>
      <c r="S29" s="426">
        <f>GETPIVOTDATA("Sum of New UG E-Learning",'Pivot Table for Fact Book'!$A$3,"State","FL","type",7,"Type2","Two-Year")</f>
        <v>1877112</v>
      </c>
      <c r="T29" s="426">
        <f>GETPIVOTDATA("Sum of Old UG E-Learning",'Pivot Table for Fact Book'!$A$3,"State","FL","type",8,"Type2","Two-Year")</f>
        <v>261048</v>
      </c>
      <c r="U29" s="426">
        <f>GETPIVOTDATA("Sum of New UG E-Learning",'Pivot Table for Fact Book'!$A$3,"State","FL","type",8,"Type2","Two-Year")</f>
        <v>341988</v>
      </c>
      <c r="V29" s="426">
        <f>GETPIVOTDATA("Sum of Old UG E-Learning",'Pivot Table for Fact Book'!$A$3,"State","FL","type",9,"Type2","Two-Year")</f>
        <v>31487</v>
      </c>
      <c r="W29" s="426">
        <f>GETPIVOTDATA("Sum of New UG E-Learning",'Pivot Table for Fact Book'!$A$3,"State","FL","type",9,"Type2","Two-Year")</f>
        <v>34264</v>
      </c>
      <c r="X29" s="426">
        <f>GETPIVOTDATA("Sum of Old UG E-Learning",'Pivot Table for Fact Book'!$A$3,"State","FL","type",10,"Type2","Two-Year")</f>
        <v>10672</v>
      </c>
      <c r="Y29" s="426">
        <f>GETPIVOTDATA("Sum of New UG E-Learning",'Pivot Table for Fact Book'!$A$3,"State","FL","type",10,"Type2","Two-Year")</f>
        <v>10797</v>
      </c>
      <c r="Z29" s="427">
        <f>GETPIVOTDATA("Sum of Old UG E-Learning",'Pivot Table for Fact Book'!$A$3,"State","FL","Type2","Two-Year")</f>
        <v>2102359</v>
      </c>
      <c r="AA29" s="427">
        <f>GETPIVOTDATA("Sum of New UG E-Learning",'Pivot Table for Fact Book'!$A$3,"State","FL","Type2","Two-Year")</f>
        <v>2264161</v>
      </c>
      <c r="AB29" s="423">
        <f>+GETPIVOTDATA("Sum of Old UG E-Learning",'Pivot Table for Fact Book'!$A$3,"State","FL","type",12,"type2","Techncial")</f>
        <v>0</v>
      </c>
      <c r="AC29" s="426">
        <f>+GETPIVOTDATA("Sum of New UG E-Learning",'Pivot Table for Fact Book'!$A$3,"State","FL","type",12,"type2","Techncial")</f>
        <v>0</v>
      </c>
      <c r="AD29" s="426">
        <f>+GETPIVOTDATA("Sum of Old UG E-Learning",'Pivot Table for Fact Book'!$A$3,"State","FL","type",13,"type2","Techncial")</f>
        <v>0</v>
      </c>
      <c r="AE29" s="426">
        <f>+GETPIVOTDATA("Sum of New UG E-Learning",'Pivot Table for Fact Book'!$A$3,"State","FL","type",13,"type2","Techncial")</f>
        <v>0</v>
      </c>
      <c r="AF29" s="429">
        <f>+GETPIVOTDATA("Sum of Old UG E-Learning",'Pivot Table for Fact Book'!$A$3,"State","FL","type2","Techncial")</f>
        <v>0</v>
      </c>
      <c r="AG29" s="429">
        <f>+GETPIVOTDATA("Sum of New UG E-Learning",'Pivot Table for Fact Book'!$A$3,"State","FL","type2","Techncial")</f>
        <v>0</v>
      </c>
      <c r="AH29" s="430"/>
    </row>
    <row r="30" spans="1:34">
      <c r="A30" s="398" t="s">
        <v>898</v>
      </c>
      <c r="B30" s="423">
        <f>GETPIVOTDATA("Sum of Old UG E-Learning",'Pivot Table for Fact Book'!$A$3,"State","GA","type",1,"Type2","Four-Year")</f>
        <v>67341</v>
      </c>
      <c r="C30" s="424">
        <f>GETPIVOTDATA("Sum of New UG E-Learning",'Pivot Table for Fact Book'!$A$3,"State","GA","type",1,"Type2","Four-Year")</f>
        <v>213264</v>
      </c>
      <c r="D30" s="423">
        <f>GETPIVOTDATA("Sum of Old UG E-Learning",'Pivot Table for Fact Book'!$A$3,"State","GA","type",2,"Type2","Four-Year")</f>
        <v>4126</v>
      </c>
      <c r="E30" s="424">
        <f>GETPIVOTDATA("Sum of New UG E-Learning",'Pivot Table for Fact Book'!$A$3,"State","GA","type",2,"Type2","Four-Year")</f>
        <v>5573</v>
      </c>
      <c r="F30" s="423">
        <f>GETPIVOTDATA("Sum of Old UG E-Learning",'Pivot Table for Fact Book'!$A$3,"State","GA","type",3,"Type2","Four-Year")</f>
        <v>333661</v>
      </c>
      <c r="G30" s="424">
        <f>GETPIVOTDATA("Sum of New UG E-Learning",'Pivot Table for Fact Book'!$A$3,"State","GA","type",3,"Type2","Four-Year")</f>
        <v>385288</v>
      </c>
      <c r="H30" s="423">
        <f>GETPIVOTDATA("Sum of Old UG E-Learning",'Pivot Table for Fact Book'!$A$3,"State","GA","type",4,"Type2","Four-Year")</f>
        <v>174636</v>
      </c>
      <c r="I30" s="424">
        <f>GETPIVOTDATA("Sum of New UG E-Learning",'Pivot Table for Fact Book'!$A$3,"State","GA","type",4,"Type2","Four-Year")</f>
        <v>195505</v>
      </c>
      <c r="J30" s="423">
        <f>GETPIVOTDATA("Sum of Old UG E-Learning",'Pivot Table for Fact Book'!$A$3,"State","GA","type",5,"Type2","Four-Year")</f>
        <v>29327</v>
      </c>
      <c r="K30" s="424">
        <f>GETPIVOTDATA("Sum of New UG E-Learning",'Pivot Table for Fact Book'!$A$3,"State","GA","type",5,"Type2","Four-Year")</f>
        <v>29687</v>
      </c>
      <c r="L30" s="423">
        <f>GETPIVOTDATA("Sum of Old UG E-Learning",'Pivot Table for Fact Book'!$A$3,"State","GA","type",6,"Type2","Four-Year")</f>
        <v>63036</v>
      </c>
      <c r="M30" s="424">
        <f>GETPIVOTDATA("Sum of New UG E-Learning",'Pivot Table for Fact Book'!$A$3,"State","GA","type",6,"Type2","Four-Year")</f>
        <v>80742</v>
      </c>
      <c r="N30" s="423">
        <f>GETPIVOTDATA("Sum of Old UG E-Learning",'Pivot Table for Fact Book'!$A$3,"State","GA","type",15,"Type2","Four-Year")</f>
        <v>0</v>
      </c>
      <c r="O30" s="424">
        <f>GETPIVOTDATA("Sum of New UG E-Learning",'Pivot Table for Fact Book'!$A$3,"State","GA","type",15,"Type2","Four-Year")</f>
        <v>0</v>
      </c>
      <c r="P30" s="425">
        <f>GETPIVOTDATA("Sum of Old UG E-Learning",'Pivot Table for Fact Book'!$A$3,"State","GA","Type2","Four-Year")</f>
        <v>672127</v>
      </c>
      <c r="Q30" s="425">
        <f>GETPIVOTDATA("Sum of New UG E-Learning",'Pivot Table for Fact Book'!$A$3,"State","GA","Type2","Four-Year")</f>
        <v>910059</v>
      </c>
      <c r="R30" s="423">
        <f>GETPIVOTDATA("Sum of Old UG E-Learning",'Pivot Table for Fact Book'!$A$3,"State","GA","type",7,"Type2","Two-Year")</f>
        <v>105234</v>
      </c>
      <c r="S30" s="426">
        <f>GETPIVOTDATA("Sum of New UG E-Learning",'Pivot Table for Fact Book'!$A$3,"State","GA","type",7,"Type2","Two-Year")</f>
        <v>106137</v>
      </c>
      <c r="T30" s="426">
        <f>GETPIVOTDATA("Sum of Old UG E-Learning",'Pivot Table for Fact Book'!$A$3,"State","GA","type",8,"Type2","Two-Year")</f>
        <v>107501</v>
      </c>
      <c r="U30" s="426">
        <f>GETPIVOTDATA("Sum of New UG E-Learning",'Pivot Table for Fact Book'!$A$3,"State","GA","type",8,"Type2","Two-Year")</f>
        <v>0</v>
      </c>
      <c r="V30" s="426">
        <f>GETPIVOTDATA("Sum of Old UG E-Learning",'Pivot Table for Fact Book'!$A$3,"State","GA","type",9,"Type2","Two-Year")</f>
        <v>23541</v>
      </c>
      <c r="W30" s="426">
        <f>GETPIVOTDATA("Sum of New UG E-Learning",'Pivot Table for Fact Book'!$A$3,"State","GA","type",9,"Type2","Two-Year")</f>
        <v>27974</v>
      </c>
      <c r="X30" s="426">
        <f>GETPIVOTDATA("Sum of Old UG E-Learning",'Pivot Table for Fact Book'!$A$3,"State","GA","type",10,"Type2","Two-Year")</f>
        <v>15901</v>
      </c>
      <c r="Y30" s="426">
        <f>GETPIVOTDATA("Sum of New UG E-Learning",'Pivot Table for Fact Book'!$A$3,"State","GA","type",10,"Type2","Two-Year")</f>
        <v>15765</v>
      </c>
      <c r="Z30" s="427">
        <f>GETPIVOTDATA("Sum of Old UG E-Learning",'Pivot Table for Fact Book'!$A$3,"State","GA","Type2","Two-Year")</f>
        <v>252177</v>
      </c>
      <c r="AA30" s="427">
        <f>GETPIVOTDATA("Sum of New UG E-Learning",'Pivot Table for Fact Book'!$A$3,"State","GA","Type2","Two-Year")</f>
        <v>149876</v>
      </c>
      <c r="AB30" s="423">
        <f>+GETPIVOTDATA("Sum of Old UG E-Learning",'Pivot Table for Fact Book'!$A$3,"State","GA","type",12,"type2","Techncial")</f>
        <v>660237</v>
      </c>
      <c r="AC30" s="426">
        <f>+GETPIVOTDATA("Sum of New UG E-Learning",'Pivot Table for Fact Book'!$A$3,"State","GA","type",12,"type2","Techncial")</f>
        <v>629798</v>
      </c>
      <c r="AD30" s="426">
        <f>+GETPIVOTDATA("Sum of Old UG E-Learning",'Pivot Table for Fact Book'!$A$3,"State","GA","type",13,"type2","Techncial")</f>
        <v>0</v>
      </c>
      <c r="AE30" s="426">
        <f>+GETPIVOTDATA("Sum of New UG E-Learning",'Pivot Table for Fact Book'!$A$3,"State","GA","type",13,"type2","Techncial")</f>
        <v>0</v>
      </c>
      <c r="AF30" s="429">
        <f>+GETPIVOTDATA("Sum of Old UG E-Learning",'Pivot Table for Fact Book'!$A$3,"State","GA","type2","Techncial")</f>
        <v>660237</v>
      </c>
      <c r="AG30" s="429">
        <f>+GETPIVOTDATA("Sum of New UG E-Learning",'Pivot Table for Fact Book'!$A$3,"State","GA","type2","Techncial")</f>
        <v>629798</v>
      </c>
      <c r="AH30" s="430"/>
    </row>
    <row r="31" spans="1:34">
      <c r="A31" s="398" t="s">
        <v>899</v>
      </c>
      <c r="B31" s="423">
        <f>GETPIVOTDATA("Sum of Old UG E-Learning",'Pivot Table for Fact Book'!$A$3,"State","KY","type",1,"Type2","Four-Year")</f>
        <v>89835</v>
      </c>
      <c r="C31" s="424">
        <f>GETPIVOTDATA("Sum of New UG E-Learning",'Pivot Table for Fact Book'!$A$3,"State","KY","type",1,"Type2","Four-Year")</f>
        <v>89711</v>
      </c>
      <c r="D31" s="423">
        <f>GETPIVOTDATA("Sum of Old UG E-Learning",'Pivot Table for Fact Book'!$A$3,"State","KY","type",2,"Type2","Four-Year")</f>
        <v>0</v>
      </c>
      <c r="E31" s="424">
        <f>GETPIVOTDATA("Sum of New UG E-Learning",'Pivot Table for Fact Book'!$A$3,"State","KY","type",2,"Type2","Four-Year")</f>
        <v>0</v>
      </c>
      <c r="F31" s="423">
        <f>GETPIVOTDATA("Sum of Old UG E-Learning",'Pivot Table for Fact Book'!$A$3,"State","KY","type",3,"Type2","Four-Year")</f>
        <v>292413</v>
      </c>
      <c r="G31" s="424">
        <f>GETPIVOTDATA("Sum of New UG E-Learning",'Pivot Table for Fact Book'!$A$3,"State","KY","type",3,"Type2","Four-Year")</f>
        <v>310640</v>
      </c>
      <c r="H31" s="423">
        <f>GETPIVOTDATA("Sum of Old UG E-Learning",'Pivot Table for Fact Book'!$A$3,"State","KY","type",4,"Type2","Four-Year")</f>
        <v>10933</v>
      </c>
      <c r="I31" s="424">
        <f>GETPIVOTDATA("Sum of New UG E-Learning",'Pivot Table for Fact Book'!$A$3,"State","KY","type",4,"Type2","Four-Year")</f>
        <v>9905</v>
      </c>
      <c r="J31" s="423">
        <f>GETPIVOTDATA("Sum of Old UG E-Learning",'Pivot Table for Fact Book'!$A$3,"State","KY","type",5,"Type2","Four-Year")</f>
        <v>0</v>
      </c>
      <c r="K31" s="424">
        <f>GETPIVOTDATA("Sum of New UG E-Learning",'Pivot Table for Fact Book'!$A$3,"State","KY","type",5,"Type2","Four-Year")</f>
        <v>0</v>
      </c>
      <c r="L31" s="423">
        <f>GETPIVOTDATA("Sum of Old UG E-Learning",'Pivot Table for Fact Book'!$A$3,"State","KY","type",6,"Type2","Four-Year")</f>
        <v>0</v>
      </c>
      <c r="M31" s="424">
        <f>GETPIVOTDATA("Sum of New UG E-Learning",'Pivot Table for Fact Book'!$A$3,"State","KY","type",6,"Type2","Four-Year")</f>
        <v>0</v>
      </c>
      <c r="N31" s="423">
        <f>GETPIVOTDATA("Sum of Old UG E-Learning",'Pivot Table for Fact Book'!$A$3,"State","KY","type",15,"Type2","Four-Year")</f>
        <v>0</v>
      </c>
      <c r="O31" s="424">
        <f>GETPIVOTDATA("Sum of New UG E-Learning",'Pivot Table for Fact Book'!$A$3,"State","KY","type",15,"Type2","Four-Year")</f>
        <v>0</v>
      </c>
      <c r="P31" s="425">
        <f>GETPIVOTDATA("Sum of Old UG E-Learning",'Pivot Table for Fact Book'!$A$3,"State","KY","Type2","Four-Year")</f>
        <v>393181</v>
      </c>
      <c r="Q31" s="425">
        <f>GETPIVOTDATA("Sum of New UG E-Learning",'Pivot Table for Fact Book'!$A$3,"State","KY","Type2","Four-Year")</f>
        <v>410256</v>
      </c>
      <c r="R31" s="423">
        <f>GETPIVOTDATA("Sum of Old UG E-Learning",'Pivot Table for Fact Book'!$A$3,"State","KY","type",7,"Type2","Two-Year")</f>
        <v>0</v>
      </c>
      <c r="S31" s="426">
        <f>GETPIVOTDATA("Sum of New UG E-Learning",'Pivot Table for Fact Book'!$A$3,"State","KY","type",7,"Type2","Two-Year")</f>
        <v>0</v>
      </c>
      <c r="T31" s="426">
        <f>GETPIVOTDATA("Sum of Old UG E-Learning",'Pivot Table for Fact Book'!$A$3,"State","KY","type",8,"Type2","Two-Year")</f>
        <v>106924</v>
      </c>
      <c r="U31" s="426">
        <f>GETPIVOTDATA("Sum of New UG E-Learning",'Pivot Table for Fact Book'!$A$3,"State","KY","type",8,"Type2","Two-Year")</f>
        <v>123317</v>
      </c>
      <c r="V31" s="426">
        <f>GETPIVOTDATA("Sum of Old UG E-Learning",'Pivot Table for Fact Book'!$A$3,"State","KY","type",9,"Type2","Two-Year")</f>
        <v>282093</v>
      </c>
      <c r="W31" s="426">
        <f>GETPIVOTDATA("Sum of New UG E-Learning",'Pivot Table for Fact Book'!$A$3,"State","KY","type",9,"Type2","Two-Year")</f>
        <v>326992</v>
      </c>
      <c r="X31" s="426">
        <f>GETPIVOTDATA("Sum of Old UG E-Learning",'Pivot Table for Fact Book'!$A$3,"State","KY","type",10,"Type2","Two-Year")</f>
        <v>39762</v>
      </c>
      <c r="Y31" s="426">
        <f>GETPIVOTDATA("Sum of New UG E-Learning",'Pivot Table for Fact Book'!$A$3,"State","KY","type",10,"Type2","Two-Year")</f>
        <v>45493</v>
      </c>
      <c r="Z31" s="427">
        <f>GETPIVOTDATA("Sum of Old UG E-Learning",'Pivot Table for Fact Book'!$A$3,"State","KY","Type2","Two-Year")</f>
        <v>428779</v>
      </c>
      <c r="AA31" s="427">
        <f>GETPIVOTDATA("Sum of New UG E-Learning",'Pivot Table for Fact Book'!$A$3,"State","KY","Type2","Two-Year")</f>
        <v>495802</v>
      </c>
      <c r="AB31" s="423">
        <f>+GETPIVOTDATA("Sum of Old UG E-Learning",'Pivot Table for Fact Book'!$A$3,"State","KY","type",12,"type2","Techncial")</f>
        <v>37928</v>
      </c>
      <c r="AC31" s="426">
        <f>+GETPIVOTDATA("Sum of New UG E-Learning",'Pivot Table for Fact Book'!$A$3,"State","KY","type",12,"type2","Techncial")</f>
        <v>46949</v>
      </c>
      <c r="AD31" s="426">
        <f>+GETPIVOTDATA("Sum of Old UG E-Learning",'Pivot Table for Fact Book'!$A$3,"State","KY","type",13,"type2","Techncial")</f>
        <v>0</v>
      </c>
      <c r="AE31" s="426">
        <f>+GETPIVOTDATA("Sum of New UG E-Learning",'Pivot Table for Fact Book'!$A$3,"State","KY","type",13,"type2","Techncial")</f>
        <v>0</v>
      </c>
      <c r="AF31" s="429">
        <f>+GETPIVOTDATA("Sum of Old UG E-Learning",'Pivot Table for Fact Book'!$A$3,"State","KY","type2","Techncial")</f>
        <v>37928</v>
      </c>
      <c r="AG31" s="429">
        <f>+GETPIVOTDATA("Sum of New UG E-Learning",'Pivot Table for Fact Book'!$A$3,"State","KY","type2","Techncial")</f>
        <v>46949</v>
      </c>
      <c r="AH31" s="430"/>
    </row>
    <row r="32" spans="1:34">
      <c r="A32" s="398" t="s">
        <v>900</v>
      </c>
      <c r="B32" s="423">
        <f>GETPIVOTDATA("Sum of Old UG E-Learning",'Pivot Table for Fact Book'!$A$3,"State","LA","type",1,"Type2","Four-Year")</f>
        <v>9941.6540825285301</v>
      </c>
      <c r="C32" s="424">
        <f>GETPIVOTDATA("Sum of New UG E-Learning",'Pivot Table for Fact Book'!$A$3,"State","LA","type",1,"Type2","Four-Year")</f>
        <v>16877.863874345599</v>
      </c>
      <c r="D32" s="423">
        <f>GETPIVOTDATA("Sum of Old UG E-Learning",'Pivot Table for Fact Book'!$A$3,"State","LA","type",2,"Type2","Four-Year")</f>
        <v>75806.029838104296</v>
      </c>
      <c r="E32" s="424">
        <f>GETPIVOTDATA("Sum of New UG E-Learning",'Pivot Table for Fact Book'!$A$3,"State","LA","type",2,"Type2","Four-Year")</f>
        <v>85659.963274439899</v>
      </c>
      <c r="F32" s="423">
        <f>GETPIVOTDATA("Sum of Old UG E-Learning",'Pivot Table for Fact Book'!$A$3,"State","LA","type",3,"Type2","Four-Year")</f>
        <v>78630.639831750799</v>
      </c>
      <c r="G32" s="424">
        <f>GETPIVOTDATA("Sum of New UG E-Learning",'Pivot Table for Fact Book'!$A$3,"State","LA","type",3,"Type2","Four-Year")</f>
        <v>81198.37041523584</v>
      </c>
      <c r="H32" s="423">
        <f>GETPIVOTDATA("Sum of Old UG E-Learning",'Pivot Table for Fact Book'!$A$3,"State","LA","type",4,"Type2","Four-Year")</f>
        <v>147723.44626101619</v>
      </c>
      <c r="I32" s="424">
        <f>GETPIVOTDATA("Sum of New UG E-Learning",'Pivot Table for Fact Book'!$A$3,"State","LA","type",4,"Type2","Four-Year")</f>
        <v>162101.0604293432</v>
      </c>
      <c r="J32" s="423">
        <f>GETPIVOTDATA("Sum of Old UG E-Learning",'Pivot Table for Fact Book'!$A$3,"State","LA","type",5,"Type2","Four-Year")</f>
        <v>7227.275390625</v>
      </c>
      <c r="K32" s="424">
        <f>GETPIVOTDATA("Sum of New UG E-Learning",'Pivot Table for Fact Book'!$A$3,"State","LA","type",5,"Type2","Four-Year")</f>
        <v>5830.0273972602699</v>
      </c>
      <c r="L32" s="423">
        <f>GETPIVOTDATA("Sum of Old UG E-Learning",'Pivot Table for Fact Book'!$A$3,"State","LA","type",6,"Type2","Four-Year")</f>
        <v>13766.6997084548</v>
      </c>
      <c r="M32" s="424">
        <f>GETPIVOTDATA("Sum of New UG E-Learning",'Pivot Table for Fact Book'!$A$3,"State","LA","type",6,"Type2","Four-Year")</f>
        <v>17611.978683966601</v>
      </c>
      <c r="N32" s="423">
        <f>GETPIVOTDATA("Sum of Old UG E-Learning",'Pivot Table for Fact Book'!$A$3,"State","LA","type",15,"Type2","Four-Year")</f>
        <v>0</v>
      </c>
      <c r="O32" s="424">
        <f>GETPIVOTDATA("Sum of New UG E-Learning",'Pivot Table for Fact Book'!$A$3,"State","LA","type",15,"Type2","Four-Year")</f>
        <v>0</v>
      </c>
      <c r="P32" s="425">
        <f>GETPIVOTDATA("Sum of Old UG E-Learning",'Pivot Table for Fact Book'!$A$3,"State","LA","Type2","Four-Year")</f>
        <v>333095.74511247966</v>
      </c>
      <c r="Q32" s="425">
        <f>GETPIVOTDATA("Sum of New UG E-Learning",'Pivot Table for Fact Book'!$A$3,"State","LA","Type2","Four-Year")</f>
        <v>369279.2640745914</v>
      </c>
      <c r="R32" s="423">
        <f>GETPIVOTDATA("Sum of Old UG E-Learning",'Pivot Table for Fact Book'!$A$3,"State","LA","type",7,"Type2","Two-Year")</f>
        <v>0</v>
      </c>
      <c r="S32" s="426">
        <f>GETPIVOTDATA("Sum of New UG E-Learning",'Pivot Table for Fact Book'!$A$3,"State","LA","type",7,"Type2","Two-Year")</f>
        <v>0</v>
      </c>
      <c r="T32" s="426">
        <f>GETPIVOTDATA("Sum of Old UG E-Learning",'Pivot Table for Fact Book'!$A$3,"State","LA","type",8,"Type2","Two-Year")</f>
        <v>93435.495853683708</v>
      </c>
      <c r="U32" s="426">
        <f>GETPIVOTDATA("Sum of New UG E-Learning",'Pivot Table for Fact Book'!$A$3,"State","LA","type",8,"Type2","Two-Year")</f>
        <v>91733.718044091191</v>
      </c>
      <c r="V32" s="426">
        <f>GETPIVOTDATA("Sum of Old UG E-Learning",'Pivot Table for Fact Book'!$A$3,"State","LA","type",9,"Type2","Two-Year")</f>
        <v>20710.811224592489</v>
      </c>
      <c r="W32" s="426">
        <f>GETPIVOTDATA("Sum of New UG E-Learning",'Pivot Table for Fact Book'!$A$3,"State","LA","type",9,"Type2","Two-Year")</f>
        <v>30980.231464807581</v>
      </c>
      <c r="X32" s="426">
        <f>GETPIVOTDATA("Sum of Old UG E-Learning",'Pivot Table for Fact Book'!$A$3,"State","LA","type",10,"Type2","Two-Year")</f>
        <v>28140.924213625491</v>
      </c>
      <c r="Y32" s="426">
        <f>GETPIVOTDATA("Sum of New UG E-Learning",'Pivot Table for Fact Book'!$A$3,"State","LA","type",10,"Type2","Two-Year")</f>
        <v>32832.03846434172</v>
      </c>
      <c r="Z32" s="427">
        <f>GETPIVOTDATA("Sum of Old UG E-Learning",'Pivot Table for Fact Book'!$A$3,"State","LA","Type2","Two-Year")</f>
        <v>142287.2312919017</v>
      </c>
      <c r="AA32" s="427">
        <f>GETPIVOTDATA("Sum of New UG E-Learning",'Pivot Table for Fact Book'!$A$3,"State","LA","Type2","Two-Year")</f>
        <v>155545.98797324052</v>
      </c>
      <c r="AB32" s="423">
        <f>+GETPIVOTDATA("Sum of Old UG E-Learning",'Pivot Table for Fact Book'!$A$3,"State","LA","type",12,"type2","Techncial")</f>
        <v>26805.126290518361</v>
      </c>
      <c r="AC32" s="426">
        <f>+GETPIVOTDATA("Sum of New UG E-Learning",'Pivot Table for Fact Book'!$A$3,"State","LA","type",12,"type2","Techncial")</f>
        <v>29965.39611393011</v>
      </c>
      <c r="AD32" s="426">
        <f>+GETPIVOTDATA("Sum of Old UG E-Learning",'Pivot Table for Fact Book'!$A$3,"State","LA","type",13,"type2","Techncial")</f>
        <v>0</v>
      </c>
      <c r="AE32" s="426">
        <f>+GETPIVOTDATA("Sum of New UG E-Learning",'Pivot Table for Fact Book'!$A$3,"State","LA","type",13,"type2","Techncial")</f>
        <v>0</v>
      </c>
      <c r="AF32" s="429">
        <f>+GETPIVOTDATA("Sum of Old UG E-Learning",'Pivot Table for Fact Book'!$A$3,"State","LA","type2","Techncial")</f>
        <v>26805.126290518361</v>
      </c>
      <c r="AG32" s="429">
        <f>+GETPIVOTDATA("Sum of New UG E-Learning",'Pivot Table for Fact Book'!$A$3,"State","LA","type2","Techncial")</f>
        <v>29965.39611393011</v>
      </c>
      <c r="AH32" s="430"/>
    </row>
    <row r="33" spans="1:34">
      <c r="A33" s="398" t="s">
        <v>901</v>
      </c>
      <c r="B33" s="423">
        <f>GETPIVOTDATA("Sum of Old UG E-Learning",'Pivot Table for Fact Book'!$A$3,"State","MD","type",1,"Type2","Four-Year")</f>
        <v>25375</v>
      </c>
      <c r="C33" s="424">
        <f>GETPIVOTDATA("Sum of New UG E-Learning",'Pivot Table for Fact Book'!$A$3,"State","MD","type",1,"Type2","Four-Year")</f>
        <v>32586</v>
      </c>
      <c r="D33" s="423">
        <f>GETPIVOTDATA("Sum of Old UG E-Learning",'Pivot Table for Fact Book'!$A$3,"State","MD","type",2,"Type2","Four-Year")</f>
        <v>49296</v>
      </c>
      <c r="E33" s="424">
        <f>GETPIVOTDATA("Sum of New UG E-Learning",'Pivot Table for Fact Book'!$A$3,"State","MD","type",2,"Type2","Four-Year")</f>
        <v>54562</v>
      </c>
      <c r="F33" s="423">
        <f>GETPIVOTDATA("Sum of Old UG E-Learning",'Pivot Table for Fact Book'!$A$3,"State","MD","type",3,"Type2","Four-Year")</f>
        <v>68787</v>
      </c>
      <c r="G33" s="424">
        <f>GETPIVOTDATA("Sum of New UG E-Learning",'Pivot Table for Fact Book'!$A$3,"State","MD","type",3,"Type2","Four-Year")</f>
        <v>76242</v>
      </c>
      <c r="H33" s="423">
        <f>GETPIVOTDATA("Sum of Old UG E-Learning",'Pivot Table for Fact Book'!$A$3,"State","MD","type",4,"Type2","Four-Year")</f>
        <v>80348</v>
      </c>
      <c r="I33" s="424">
        <f>GETPIVOTDATA("Sum of New UG E-Learning",'Pivot Table for Fact Book'!$A$3,"State","MD","type",4,"Type2","Four-Year")</f>
        <v>86145</v>
      </c>
      <c r="J33" s="423">
        <f>GETPIVOTDATA("Sum of Old UG E-Learning",'Pivot Table for Fact Book'!$A$3,"State","MD","type",5,"Type2","Four-Year")</f>
        <v>12944</v>
      </c>
      <c r="K33" s="424">
        <f>GETPIVOTDATA("Sum of New UG E-Learning",'Pivot Table for Fact Book'!$A$3,"State","MD","type",5,"Type2","Four-Year")</f>
        <v>13916</v>
      </c>
      <c r="L33" s="423">
        <f>GETPIVOTDATA("Sum of Old UG E-Learning",'Pivot Table for Fact Book'!$A$3,"State","MD","type",6,"Type2","Four-Year")</f>
        <v>0</v>
      </c>
      <c r="M33" s="424">
        <f>GETPIVOTDATA("Sum of New UG E-Learning",'Pivot Table for Fact Book'!$A$3,"State","MD","type",6,"Type2","Four-Year")</f>
        <v>0</v>
      </c>
      <c r="N33" s="423">
        <f>GETPIVOTDATA("Sum of Old UG E-Learning",'Pivot Table for Fact Book'!$A$3,"State","MD","type",15,"Type2","Four-Year")</f>
        <v>652518</v>
      </c>
      <c r="O33" s="424">
        <f>GETPIVOTDATA("Sum of New UG E-Learning",'Pivot Table for Fact Book'!$A$3,"State","MD","type",15,"Type2","Four-Year")</f>
        <v>728568</v>
      </c>
      <c r="P33" s="425">
        <f>GETPIVOTDATA("Sum of Old UG E-Learning",'Pivot Table for Fact Book'!$A$3,"State","MD","Type2","Four-Year")</f>
        <v>889268</v>
      </c>
      <c r="Q33" s="425">
        <f>GETPIVOTDATA("Sum of New UG E-Learning",'Pivot Table for Fact Book'!$A$3,"State","MD","Type2","Four-Year")</f>
        <v>992019</v>
      </c>
      <c r="R33" s="423">
        <f>GETPIVOTDATA("Sum of Old UG E-Learning",'Pivot Table for Fact Book'!$A$3,"State","MD","type",7,"Type2","Two-Year")</f>
        <v>0</v>
      </c>
      <c r="S33" s="426">
        <f>GETPIVOTDATA("Sum of New UG E-Learning",'Pivot Table for Fact Book'!$A$3,"State","MD","type",7,"Type2","Two-Year")</f>
        <v>0</v>
      </c>
      <c r="T33" s="426">
        <f>GETPIVOTDATA("Sum of Old UG E-Learning",'Pivot Table for Fact Book'!$A$3,"State","MD","type",8,"Type2","Two-Year")</f>
        <v>332740</v>
      </c>
      <c r="U33" s="426">
        <f>GETPIVOTDATA("Sum of New UG E-Learning",'Pivot Table for Fact Book'!$A$3,"State","MD","type",8,"Type2","Two-Year")</f>
        <v>322790</v>
      </c>
      <c r="V33" s="426">
        <f>GETPIVOTDATA("Sum of Old UG E-Learning",'Pivot Table for Fact Book'!$A$3,"State","MD","type",9,"Type2","Two-Year")</f>
        <v>124293</v>
      </c>
      <c r="W33" s="426">
        <f>GETPIVOTDATA("Sum of New UG E-Learning",'Pivot Table for Fact Book'!$A$3,"State","MD","type",9,"Type2","Two-Year")</f>
        <v>125654</v>
      </c>
      <c r="X33" s="426">
        <f>GETPIVOTDATA("Sum of Old UG E-Learning",'Pivot Table for Fact Book'!$A$3,"State","MD","type",10,"Type2","Two-Year")</f>
        <v>32871</v>
      </c>
      <c r="Y33" s="426">
        <f>GETPIVOTDATA("Sum of New UG E-Learning",'Pivot Table for Fact Book'!$A$3,"State","MD","type",10,"Type2","Two-Year")</f>
        <v>32348</v>
      </c>
      <c r="Z33" s="427">
        <f>GETPIVOTDATA("Sum of Old UG E-Learning",'Pivot Table for Fact Book'!$A$3,"State","MD","Type2","Two-Year")</f>
        <v>489904</v>
      </c>
      <c r="AA33" s="427">
        <f>GETPIVOTDATA("Sum of New UG E-Learning",'Pivot Table for Fact Book'!$A$3,"State","MD","Type2","Two-Year")</f>
        <v>480792</v>
      </c>
      <c r="AB33" s="423">
        <f>+GETPIVOTDATA("Sum of Old UG E-Learning",'Pivot Table for Fact Book'!$A$3,"State","MD","type",12,"type2","Techncial")</f>
        <v>0</v>
      </c>
      <c r="AC33" s="426">
        <f>+GETPIVOTDATA("Sum of New UG E-Learning",'Pivot Table for Fact Book'!$A$3,"State","MD","type",12,"type2","Techncial")</f>
        <v>0</v>
      </c>
      <c r="AD33" s="426">
        <f>+GETPIVOTDATA("Sum of Old UG E-Learning",'Pivot Table for Fact Book'!$A$3,"State","MD","type",13,"type2","Techncial")</f>
        <v>0</v>
      </c>
      <c r="AE33" s="426">
        <f>+GETPIVOTDATA("Sum of New UG E-Learning",'Pivot Table for Fact Book'!$A$3,"State","MD","type",13,"type2","Techncial")</f>
        <v>0</v>
      </c>
      <c r="AF33" s="429">
        <f>+GETPIVOTDATA("Sum of Old UG E-Learning",'Pivot Table for Fact Book'!$A$3,"State","MD","type2","Techncial")</f>
        <v>0</v>
      </c>
      <c r="AG33" s="429">
        <f>+GETPIVOTDATA("Sum of New UG E-Learning",'Pivot Table for Fact Book'!$A$3,"State","MD","type2","Techncial")</f>
        <v>0</v>
      </c>
      <c r="AH33" s="430"/>
    </row>
    <row r="34" spans="1:34">
      <c r="A34" s="398" t="s">
        <v>902</v>
      </c>
      <c r="B34" s="423">
        <f>GETPIVOTDATA("Sum of Old UG E-Learning",'Pivot Table for Fact Book'!$A$3,"State","MS","type",1,"Type2","Four-Year")</f>
        <v>91244</v>
      </c>
      <c r="C34" s="424">
        <f>GETPIVOTDATA("Sum of New UG E-Learning",'Pivot Table for Fact Book'!$A$3,"State","MS","type",1,"Type2","Four-Year")</f>
        <v>102870</v>
      </c>
      <c r="D34" s="423">
        <f>GETPIVOTDATA("Sum of Old UG E-Learning",'Pivot Table for Fact Book'!$A$3,"State","MS","type",2,"Type2","Four-Year")</f>
        <v>70302</v>
      </c>
      <c r="E34" s="424">
        <f>GETPIVOTDATA("Sum of New UG E-Learning",'Pivot Table for Fact Book'!$A$3,"State","MS","type",2,"Type2","Four-Year")</f>
        <v>87567</v>
      </c>
      <c r="F34" s="423">
        <f>GETPIVOTDATA("Sum of Old UG E-Learning",'Pivot Table for Fact Book'!$A$3,"State","MS","type",3,"Type2","Four-Year")</f>
        <v>0</v>
      </c>
      <c r="G34" s="424">
        <f>GETPIVOTDATA("Sum of New UG E-Learning",'Pivot Table for Fact Book'!$A$3,"State","MS","type",3,"Type2","Four-Year")</f>
        <v>0</v>
      </c>
      <c r="H34" s="423">
        <f>GETPIVOTDATA("Sum of Old UG E-Learning",'Pivot Table for Fact Book'!$A$3,"State","MS","type",4,"Type2","Four-Year")</f>
        <v>32831</v>
      </c>
      <c r="I34" s="424">
        <f>GETPIVOTDATA("Sum of New UG E-Learning",'Pivot Table for Fact Book'!$A$3,"State","MS","type",4,"Type2","Four-Year")</f>
        <v>39379</v>
      </c>
      <c r="J34" s="423">
        <f>GETPIVOTDATA("Sum of Old UG E-Learning",'Pivot Table for Fact Book'!$A$3,"State","MS","type",5,"Type2","Four-Year")</f>
        <v>35079</v>
      </c>
      <c r="K34" s="424">
        <f>GETPIVOTDATA("Sum of New UG E-Learning",'Pivot Table for Fact Book'!$A$3,"State","MS","type",5,"Type2","Four-Year")</f>
        <v>35521</v>
      </c>
      <c r="L34" s="423">
        <f>GETPIVOTDATA("Sum of Old UG E-Learning",'Pivot Table for Fact Book'!$A$3,"State","MS","type",6,"Type2","Four-Year")</f>
        <v>0</v>
      </c>
      <c r="M34" s="424">
        <f>GETPIVOTDATA("Sum of New UG E-Learning",'Pivot Table for Fact Book'!$A$3,"State","MS","type",6,"Type2","Four-Year")</f>
        <v>0</v>
      </c>
      <c r="N34" s="423">
        <f>GETPIVOTDATA("Sum of Old UG E-Learning",'Pivot Table for Fact Book'!$A$3,"State","MS","type",15,"Type2","Four-Year")</f>
        <v>0</v>
      </c>
      <c r="O34" s="424">
        <f>GETPIVOTDATA("Sum of New UG E-Learning",'Pivot Table for Fact Book'!$A$3,"State","MS","type",15,"Type2","Four-Year")</f>
        <v>0</v>
      </c>
      <c r="P34" s="425">
        <f>GETPIVOTDATA("Sum of Old UG E-Learning",'Pivot Table for Fact Book'!$A$3,"State","MS","Type2","Four-Year")</f>
        <v>229456</v>
      </c>
      <c r="Q34" s="425">
        <f>GETPIVOTDATA("Sum of New UG E-Learning",'Pivot Table for Fact Book'!$A$3,"State","MS","Type2","Four-Year")</f>
        <v>265337</v>
      </c>
      <c r="R34" s="423">
        <f>GETPIVOTDATA("Sum of Old UG E-Learning",'Pivot Table for Fact Book'!$A$3,"State","MS","type",7,"Type2","Two-Year")</f>
        <v>0</v>
      </c>
      <c r="S34" s="426">
        <f>GETPIVOTDATA("Sum of New UG E-Learning",'Pivot Table for Fact Book'!$A$3,"State","MS","type",7,"Type2","Two-Year")</f>
        <v>0</v>
      </c>
      <c r="T34" s="426">
        <f>GETPIVOTDATA("Sum of Old UG E-Learning",'Pivot Table for Fact Book'!$A$3,"State","MS","type",8,"Type2","Two-Year")</f>
        <v>216080</v>
      </c>
      <c r="U34" s="426">
        <f>GETPIVOTDATA("Sum of New UG E-Learning",'Pivot Table for Fact Book'!$A$3,"State","MS","type",8,"Type2","Two-Year")</f>
        <v>222486</v>
      </c>
      <c r="V34" s="426">
        <f>GETPIVOTDATA("Sum of Old UG E-Learning",'Pivot Table for Fact Book'!$A$3,"State","MS","type",9,"Type2","Two-Year")</f>
        <v>228892</v>
      </c>
      <c r="W34" s="426">
        <f>GETPIVOTDATA("Sum of New UG E-Learning",'Pivot Table for Fact Book'!$A$3,"State","MS","type",9,"Type2","Two-Year")</f>
        <v>240901</v>
      </c>
      <c r="X34" s="426">
        <f>GETPIVOTDATA("Sum of Old UG E-Learning",'Pivot Table for Fact Book'!$A$3,"State","MS","type",10,"Type2","Two-Year")</f>
        <v>18235</v>
      </c>
      <c r="Y34" s="426">
        <f>GETPIVOTDATA("Sum of New UG E-Learning",'Pivot Table for Fact Book'!$A$3,"State","MS","type",10,"Type2","Two-Year")</f>
        <v>16387</v>
      </c>
      <c r="Z34" s="427">
        <f>GETPIVOTDATA("Sum of Old UG E-Learning",'Pivot Table for Fact Book'!$A$3,"State","MS","Type2","Two-Year")</f>
        <v>463207</v>
      </c>
      <c r="AA34" s="427">
        <f>GETPIVOTDATA("Sum of New UG E-Learning",'Pivot Table for Fact Book'!$A$3,"State","MS","Type2","Two-Year")</f>
        <v>479774</v>
      </c>
      <c r="AB34" s="423">
        <f>+GETPIVOTDATA("Sum of Old UG E-Learning",'Pivot Table for Fact Book'!$A$3,"State","MS","type",12,"type2","Techncial")</f>
        <v>0</v>
      </c>
      <c r="AC34" s="426">
        <f>+GETPIVOTDATA("Sum of New UG E-Learning",'Pivot Table for Fact Book'!$A$3,"State","MS","type",12,"type2","Techncial")</f>
        <v>0</v>
      </c>
      <c r="AD34" s="426">
        <f>+GETPIVOTDATA("Sum of Old UG E-Learning",'Pivot Table for Fact Book'!$A$3,"State","MS","type",13,"type2","Techncial")</f>
        <v>0</v>
      </c>
      <c r="AE34" s="426">
        <f>+GETPIVOTDATA("Sum of New UG E-Learning",'Pivot Table for Fact Book'!$A$3,"State","MS","type",13,"type2","Techncial")</f>
        <v>0</v>
      </c>
      <c r="AF34" s="429">
        <f>+GETPIVOTDATA("Sum of Old UG E-Learning",'Pivot Table for Fact Book'!$A$3,"State","MS","type2","Techncial")</f>
        <v>0</v>
      </c>
      <c r="AG34" s="429">
        <f>+GETPIVOTDATA("Sum of New UG E-Learning",'Pivot Table for Fact Book'!$A$3,"State","MS","type2","Techncial")</f>
        <v>0</v>
      </c>
      <c r="AH34" s="430"/>
    </row>
    <row r="35" spans="1:34">
      <c r="A35" s="398" t="s">
        <v>903</v>
      </c>
      <c r="B35" s="423">
        <f>GETPIVOTDATA("Sum of Old UG E-Learning",'Pivot Table for Fact Book'!$A$3,"State","NC","type",1,"Type2","Four-Year")</f>
        <v>261003</v>
      </c>
      <c r="C35" s="424">
        <f>GETPIVOTDATA("Sum of New UG E-Learning",'Pivot Table for Fact Book'!$A$3,"State","NC","type",1,"Type2","Four-Year")</f>
        <v>301087</v>
      </c>
      <c r="D35" s="423">
        <f>GETPIVOTDATA("Sum of Old UG E-Learning",'Pivot Table for Fact Book'!$A$3,"State","NC","type",2,"Type2","Four-Year")</f>
        <v>123492</v>
      </c>
      <c r="E35" s="424">
        <f>GETPIVOTDATA("Sum of New UG E-Learning",'Pivot Table for Fact Book'!$A$3,"State","NC","type",2,"Type2","Four-Year")</f>
        <v>130977</v>
      </c>
      <c r="F35" s="423">
        <f>GETPIVOTDATA("Sum of Old UG E-Learning",'Pivot Table for Fact Book'!$A$3,"State","NC","type",3,"Type2","Four-Year")</f>
        <v>169720</v>
      </c>
      <c r="G35" s="424">
        <f>GETPIVOTDATA("Sum of New UG E-Learning",'Pivot Table for Fact Book'!$A$3,"State","NC","type",3,"Type2","Four-Year")</f>
        <v>217106</v>
      </c>
      <c r="H35" s="423">
        <f>GETPIVOTDATA("Sum of Old UG E-Learning",'Pivot Table for Fact Book'!$A$3,"State","NC","type",4,"Type2","Four-Year")</f>
        <v>41554</v>
      </c>
      <c r="I35" s="424">
        <f>GETPIVOTDATA("Sum of New UG E-Learning",'Pivot Table for Fact Book'!$A$3,"State","NC","type",4,"Type2","Four-Year")</f>
        <v>44518</v>
      </c>
      <c r="J35" s="423">
        <f>GETPIVOTDATA("Sum of Old UG E-Learning",'Pivot Table for Fact Book'!$A$3,"State","NC","type",5,"Type2","Four-Year")</f>
        <v>51693</v>
      </c>
      <c r="K35" s="424">
        <f>GETPIVOTDATA("Sum of New UG E-Learning",'Pivot Table for Fact Book'!$A$3,"State","NC","type",5,"Type2","Four-Year")</f>
        <v>69379</v>
      </c>
      <c r="L35" s="423">
        <f>GETPIVOTDATA("Sum of Old UG E-Learning",'Pivot Table for Fact Book'!$A$3,"State","NC","type",6,"Type2","Four-Year")</f>
        <v>14352</v>
      </c>
      <c r="M35" s="424">
        <f>GETPIVOTDATA("Sum of New UG E-Learning",'Pivot Table for Fact Book'!$A$3,"State","NC","type",6,"Type2","Four-Year")</f>
        <v>15728</v>
      </c>
      <c r="N35" s="423">
        <f>GETPIVOTDATA("Sum of Old UG E-Learning",'Pivot Table for Fact Book'!$A$3,"State","NC","type",15,"Type2","Four-Year")</f>
        <v>0</v>
      </c>
      <c r="O35" s="424">
        <f>GETPIVOTDATA("Sum of New UG E-Learning",'Pivot Table for Fact Book'!$A$3,"State","NC","type",15,"Type2","Four-Year")</f>
        <v>0</v>
      </c>
      <c r="P35" s="425">
        <f>GETPIVOTDATA("Sum of Old UG E-Learning",'Pivot Table for Fact Book'!$A$3,"State","NC","Type2","Four-Year")</f>
        <v>661814</v>
      </c>
      <c r="Q35" s="425">
        <f>GETPIVOTDATA("Sum of New UG E-Learning",'Pivot Table for Fact Book'!$A$3,"State","NC","Type2","Four-Year")</f>
        <v>778795</v>
      </c>
      <c r="R35" s="423">
        <f>GETPIVOTDATA("Sum of Old UG E-Learning",'Pivot Table for Fact Book'!$A$3,"State","NC","type",7,"Type2","Two-Year")</f>
        <v>0</v>
      </c>
      <c r="S35" s="426">
        <f>GETPIVOTDATA("Sum of New UG E-Learning",'Pivot Table for Fact Book'!$A$3,"State","NC","type",7,"Type2","Two-Year")</f>
        <v>0</v>
      </c>
      <c r="T35" s="426">
        <f>GETPIVOTDATA("Sum of Old UG E-Learning",'Pivot Table for Fact Book'!$A$3,"State","NC","type",8,"Type2","Two-Year")</f>
        <v>1430784.5</v>
      </c>
      <c r="U35" s="426">
        <f>GETPIVOTDATA("Sum of New UG E-Learning",'Pivot Table for Fact Book'!$A$3,"State","NC","type",8,"Type2","Two-Year")</f>
        <v>1385179</v>
      </c>
      <c r="V35" s="426">
        <f>GETPIVOTDATA("Sum of Old UG E-Learning",'Pivot Table for Fact Book'!$A$3,"State","NC","type",9,"Type2","Two-Year")</f>
        <v>1133967</v>
      </c>
      <c r="W35" s="426">
        <f>GETPIVOTDATA("Sum of New UG E-Learning",'Pivot Table for Fact Book'!$A$3,"State","NC","type",9,"Type2","Two-Year")</f>
        <v>1165848.5</v>
      </c>
      <c r="X35" s="426">
        <f>GETPIVOTDATA("Sum of Old UG E-Learning",'Pivot Table for Fact Book'!$A$3,"State","NC","type",10,"Type2","Two-Year")</f>
        <v>505053</v>
      </c>
      <c r="Y35" s="426">
        <f>GETPIVOTDATA("Sum of New UG E-Learning",'Pivot Table for Fact Book'!$A$3,"State","NC","type",10,"Type2","Two-Year")</f>
        <v>520366</v>
      </c>
      <c r="Z35" s="427">
        <f>GETPIVOTDATA("Sum of Old UG E-Learning",'Pivot Table for Fact Book'!$A$3,"State","NC","Type2","Two-Year")</f>
        <v>3069804.5</v>
      </c>
      <c r="AA35" s="427">
        <f>GETPIVOTDATA("Sum of New UG E-Learning",'Pivot Table for Fact Book'!$A$3,"State","NC","Type2","Two-Year")</f>
        <v>3071393.5</v>
      </c>
      <c r="AB35" s="423">
        <f>+GETPIVOTDATA("Sum of Old UG E-Learning",'Pivot Table for Fact Book'!$A$3,"State","NC","type",12,"type2","Techncial")</f>
        <v>0</v>
      </c>
      <c r="AC35" s="426">
        <f>+GETPIVOTDATA("Sum of New UG E-Learning",'Pivot Table for Fact Book'!$A$3,"State","NC","type",12,"type2","Techncial")</f>
        <v>0</v>
      </c>
      <c r="AD35" s="426">
        <f>+GETPIVOTDATA("Sum of Old UG E-Learning",'Pivot Table for Fact Book'!$A$3,"State","NC","type",13,"type2","Techncial")</f>
        <v>0</v>
      </c>
      <c r="AE35" s="426">
        <f>+GETPIVOTDATA("Sum of New UG E-Learning",'Pivot Table for Fact Book'!$A$3,"State","NC","type",13,"type2","Techncial")</f>
        <v>0</v>
      </c>
      <c r="AF35" s="429">
        <f>+GETPIVOTDATA("Sum of Old UG E-Learning",'Pivot Table for Fact Book'!$A$3,"State","NC","type2","Techncial")</f>
        <v>0</v>
      </c>
      <c r="AG35" s="429">
        <f>+GETPIVOTDATA("Sum of New UG E-Learning",'Pivot Table for Fact Book'!$A$3,"State","NC","type2","Techncial")</f>
        <v>0</v>
      </c>
      <c r="AH35" s="430"/>
    </row>
    <row r="36" spans="1:34">
      <c r="A36" s="398" t="s">
        <v>904</v>
      </c>
      <c r="B36" s="423">
        <f>GETPIVOTDATA("Sum of Old UG E-Learning",'Pivot Table for Fact Book'!$A$3,"State","OK","type",1,"Type2","Four-Year")</f>
        <v>148978</v>
      </c>
      <c r="C36" s="424">
        <f>GETPIVOTDATA("Sum of New UG E-Learning",'Pivot Table for Fact Book'!$A$3,"State","OK","type",1,"Type2","Four-Year")</f>
        <v>152579</v>
      </c>
      <c r="D36" s="423">
        <f>GETPIVOTDATA("Sum of Old UG E-Learning",'Pivot Table for Fact Book'!$A$3,"State","OK","type",2,"Type2","Four-Year")</f>
        <v>0</v>
      </c>
      <c r="E36" s="424">
        <f>GETPIVOTDATA("Sum of New UG E-Learning",'Pivot Table for Fact Book'!$A$3,"State","OK","type",2,"Type2","Four-Year")</f>
        <v>0</v>
      </c>
      <c r="F36" s="423">
        <f>GETPIVOTDATA("Sum of Old UG E-Learning",'Pivot Table for Fact Book'!$A$3,"State","OK","type",3,"Type2","Four-Year")</f>
        <v>110583</v>
      </c>
      <c r="G36" s="424">
        <f>GETPIVOTDATA("Sum of New UG E-Learning",'Pivot Table for Fact Book'!$A$3,"State","OK","type",3,"Type2","Four-Year")</f>
        <v>114819</v>
      </c>
      <c r="H36" s="423">
        <f>GETPIVOTDATA("Sum of Old UG E-Learning",'Pivot Table for Fact Book'!$A$3,"State","OK","type",4,"Type2","Four-Year")</f>
        <v>28292</v>
      </c>
      <c r="I36" s="424">
        <f>GETPIVOTDATA("Sum of New UG E-Learning",'Pivot Table for Fact Book'!$A$3,"State","OK","type",4,"Type2","Four-Year")</f>
        <v>30271</v>
      </c>
      <c r="J36" s="423">
        <f>GETPIVOTDATA("Sum of Old UG E-Learning",'Pivot Table for Fact Book'!$A$3,"State","OK","type",5,"Type2","Four-Year")</f>
        <v>81986</v>
      </c>
      <c r="K36" s="424">
        <f>GETPIVOTDATA("Sum of New UG E-Learning",'Pivot Table for Fact Book'!$A$3,"State","OK","type",5,"Type2","Four-Year")</f>
        <v>90639</v>
      </c>
      <c r="L36" s="423">
        <f>GETPIVOTDATA("Sum of Old UG E-Learning",'Pivot Table for Fact Book'!$A$3,"State","OK","type",6,"Type2","Four-Year")</f>
        <v>33029</v>
      </c>
      <c r="M36" s="424">
        <f>GETPIVOTDATA("Sum of New UG E-Learning",'Pivot Table for Fact Book'!$A$3,"State","OK","type",6,"Type2","Four-Year")</f>
        <v>33021</v>
      </c>
      <c r="N36" s="423">
        <f>GETPIVOTDATA("Sum of Old UG E-Learning",'Pivot Table for Fact Book'!$A$3,"State","OK","type",15,"Type2","Four-Year")</f>
        <v>0</v>
      </c>
      <c r="O36" s="424">
        <f>GETPIVOTDATA("Sum of New UG E-Learning",'Pivot Table for Fact Book'!$A$3,"State","OK","type",15,"Type2","Four-Year")</f>
        <v>0</v>
      </c>
      <c r="P36" s="425">
        <f>GETPIVOTDATA("Sum of Old UG E-Learning",'Pivot Table for Fact Book'!$A$3,"State","OK","Type2","Four-Year")</f>
        <v>402868</v>
      </c>
      <c r="Q36" s="425">
        <f>GETPIVOTDATA("Sum of New UG E-Learning",'Pivot Table for Fact Book'!$A$3,"State","OK","Type2","Four-Year")</f>
        <v>421329</v>
      </c>
      <c r="R36" s="423">
        <f>GETPIVOTDATA("Sum of Old UG E-Learning",'Pivot Table for Fact Book'!$A$3,"State","OK","type",7,"Type2","Two-Year")</f>
        <v>59520</v>
      </c>
      <c r="S36" s="426">
        <f>GETPIVOTDATA("Sum of New UG E-Learning",'Pivot Table for Fact Book'!$A$3,"State","OK","type",7,"Type2","Two-Year")</f>
        <v>66352</v>
      </c>
      <c r="T36" s="426">
        <f>GETPIVOTDATA("Sum of Old UG E-Learning",'Pivot Table for Fact Book'!$A$3,"State","OK","type",8,"Type2","Two-Year")</f>
        <v>172415</v>
      </c>
      <c r="U36" s="426">
        <f>GETPIVOTDATA("Sum of New UG E-Learning",'Pivot Table for Fact Book'!$A$3,"State","OK","type",8,"Type2","Two-Year")</f>
        <v>170129</v>
      </c>
      <c r="V36" s="426">
        <f>GETPIVOTDATA("Sum of Old UG E-Learning",'Pivot Table for Fact Book'!$A$3,"State","OK","type",9,"Type2","Two-Year")</f>
        <v>59592</v>
      </c>
      <c r="W36" s="426">
        <f>GETPIVOTDATA("Sum of New UG E-Learning",'Pivot Table for Fact Book'!$A$3,"State","OK","type",9,"Type2","Two-Year")</f>
        <v>63319</v>
      </c>
      <c r="X36" s="426">
        <f>GETPIVOTDATA("Sum of Old UG E-Learning",'Pivot Table for Fact Book'!$A$3,"State","OK","type",10,"Type2","Two-Year")</f>
        <v>86574</v>
      </c>
      <c r="Y36" s="426">
        <f>GETPIVOTDATA("Sum of New UG E-Learning",'Pivot Table for Fact Book'!$A$3,"State","OK","type",10,"Type2","Two-Year")</f>
        <v>92082</v>
      </c>
      <c r="Z36" s="427">
        <f>GETPIVOTDATA("Sum of Old UG E-Learning",'Pivot Table for Fact Book'!$A$3,"State","OK","Type2","Two-Year")</f>
        <v>378101</v>
      </c>
      <c r="AA36" s="427">
        <f>GETPIVOTDATA("Sum of New UG E-Learning",'Pivot Table for Fact Book'!$A$3,"State","OK","Type2","Two-Year")</f>
        <v>391882</v>
      </c>
      <c r="AB36" s="423">
        <f>+GETPIVOTDATA("Sum of Old UG E-Learning",'Pivot Table for Fact Book'!$A$3,"State","OK","type",12,"type2","Techncial")</f>
        <v>0</v>
      </c>
      <c r="AC36" s="426">
        <f>+GETPIVOTDATA("Sum of New UG E-Learning",'Pivot Table for Fact Book'!$A$3,"State","OK","type",12,"type2","Techncial")</f>
        <v>0</v>
      </c>
      <c r="AD36" s="426">
        <f>+GETPIVOTDATA("Sum of Old UG E-Learning",'Pivot Table for Fact Book'!$A$3,"State","OK","type",13,"type2","Techncial")</f>
        <v>0</v>
      </c>
      <c r="AE36" s="426">
        <f>+GETPIVOTDATA("Sum of New UG E-Learning",'Pivot Table for Fact Book'!$A$3,"State","OK","type",13,"type2","Techncial")</f>
        <v>0</v>
      </c>
      <c r="AF36" s="429">
        <f>+GETPIVOTDATA("Sum of Old UG E-Learning",'Pivot Table for Fact Book'!$A$3,"State","OK","type2","Techncial")</f>
        <v>0</v>
      </c>
      <c r="AG36" s="429">
        <f>+GETPIVOTDATA("Sum of New UG E-Learning",'Pivot Table for Fact Book'!$A$3,"State","OK","type2","Techncial")</f>
        <v>0</v>
      </c>
      <c r="AH36" s="430"/>
    </row>
    <row r="37" spans="1:34">
      <c r="A37" s="398" t="s">
        <v>905</v>
      </c>
      <c r="B37" s="423">
        <f>GETPIVOTDATA("Sum of Old UG E-Learning",'Pivot Table for Fact Book'!$A$3,"State","SC","type",1,"Type2","Four-Year")</f>
        <v>78577</v>
      </c>
      <c r="C37" s="424">
        <f>GETPIVOTDATA("Sum of New UG E-Learning",'Pivot Table for Fact Book'!$A$3,"State","SC","type",1,"Type2","Four-Year")</f>
        <v>84639</v>
      </c>
      <c r="D37" s="423">
        <f>GETPIVOTDATA("Sum of Old UG E-Learning",'Pivot Table for Fact Book'!$A$3,"State","SC","type",2,"Type2","Four-Year")</f>
        <v>0</v>
      </c>
      <c r="E37" s="424">
        <f>GETPIVOTDATA("Sum of New UG E-Learning",'Pivot Table for Fact Book'!$A$3,"State","SC","type",2,"Type2","Four-Year")</f>
        <v>0</v>
      </c>
      <c r="F37" s="444">
        <f>GETPIVOTDATA("Sum of Old UG E-Learning",'Pivot Table for Fact Book'!$A$3,"State","SC","type",3,"Type2","Four-Year")</f>
        <v>16953</v>
      </c>
      <c r="G37" s="424">
        <f>GETPIVOTDATA("Sum of New UG E-Learning",'Pivot Table for Fact Book'!$A$3,"State","SC","type",3,"Type2","Four-Year")</f>
        <v>26547</v>
      </c>
      <c r="H37" s="423">
        <f>GETPIVOTDATA("Sum of Old UG E-Learning",'Pivot Table for Fact Book'!$A$3,"State","SC","type",4,"Type2","Four-Year")</f>
        <v>0</v>
      </c>
      <c r="I37" s="424">
        <f>GETPIVOTDATA("Sum of New UG E-Learning",'Pivot Table for Fact Book'!$A$3,"State","SC","type",4,"Type2","Four-Year")</f>
        <v>0</v>
      </c>
      <c r="J37" s="423">
        <f>GETPIVOTDATA("Sum of Old UG E-Learning",'Pivot Table for Fact Book'!$A$3,"State","SC","type",5,"Type2","Four-Year")</f>
        <v>34082</v>
      </c>
      <c r="K37" s="424">
        <f>GETPIVOTDATA("Sum of New UG E-Learning",'Pivot Table for Fact Book'!$A$3,"State","SC","type",5,"Type2","Four-Year")</f>
        <v>45656</v>
      </c>
      <c r="L37" s="423">
        <f>GETPIVOTDATA("Sum of Old UG E-Learning",'Pivot Table for Fact Book'!$A$3,"State","SC","type",6,"Type2","Four-Year")</f>
        <v>26145</v>
      </c>
      <c r="M37" s="424">
        <f>GETPIVOTDATA("Sum of New UG E-Learning",'Pivot Table for Fact Book'!$A$3,"State","SC","type",6,"Type2","Four-Year")</f>
        <v>46220</v>
      </c>
      <c r="N37" s="423">
        <f>GETPIVOTDATA("Sum of Old UG E-Learning",'Pivot Table for Fact Book'!$A$3,"State","SC","type",15,"Type2","Four-Year")</f>
        <v>0</v>
      </c>
      <c r="O37" s="424">
        <f>GETPIVOTDATA("Sum of New UG E-Learning",'Pivot Table for Fact Book'!$A$3,"State","SC","type",15,"Type2","Four-Year")</f>
        <v>0</v>
      </c>
      <c r="P37" s="425">
        <f>GETPIVOTDATA("Sum of Old UG E-Learning",'Pivot Table for Fact Book'!$A$3,"State","SC","Type2","Four-Year")</f>
        <v>155757</v>
      </c>
      <c r="Q37" s="425">
        <f>GETPIVOTDATA("Sum of New UG E-Learning",'Pivot Table for Fact Book'!$A$3,"State","SC","Type2","Four-Year")</f>
        <v>203062</v>
      </c>
      <c r="R37" s="423">
        <f>GETPIVOTDATA("Sum of Old UG E-Learning",'Pivot Table for Fact Book'!$A$3,"State","SC","type",7,"Type2","Two-Year")</f>
        <v>0</v>
      </c>
      <c r="S37" s="426">
        <f>GETPIVOTDATA("Sum of New UG E-Learning",'Pivot Table for Fact Book'!$A$3,"State","SC","type",7,"Type2","Two-Year")</f>
        <v>0</v>
      </c>
      <c r="T37" s="426">
        <f>GETPIVOTDATA("Sum of Old UG E-Learning",'Pivot Table for Fact Book'!$A$3,"State","SC","type",8,"Type2","Two-Year")</f>
        <v>363228</v>
      </c>
      <c r="U37" s="426">
        <f>GETPIVOTDATA("Sum of New UG E-Learning",'Pivot Table for Fact Book'!$A$3,"State","SC","type",8,"Type2","Two-Year")</f>
        <v>383645</v>
      </c>
      <c r="V37" s="426">
        <f>GETPIVOTDATA("Sum of Old UG E-Learning",'Pivot Table for Fact Book'!$A$3,"State","SC","type",9,"Type2","Two-Year")</f>
        <v>128501</v>
      </c>
      <c r="W37" s="426">
        <f>GETPIVOTDATA("Sum of New UG E-Learning",'Pivot Table for Fact Book'!$A$3,"State","SC","type",9,"Type2","Two-Year")</f>
        <v>130689</v>
      </c>
      <c r="X37" s="426">
        <f>GETPIVOTDATA("Sum of Old UG E-Learning",'Pivot Table for Fact Book'!$A$3,"State","SC","type",10,"Type2","Two-Year")</f>
        <v>51647</v>
      </c>
      <c r="Y37" s="426">
        <f>GETPIVOTDATA("Sum of New UG E-Learning",'Pivot Table for Fact Book'!$A$3,"State","SC","type",10,"Type2","Two-Year")</f>
        <v>49787</v>
      </c>
      <c r="Z37" s="427">
        <f>GETPIVOTDATA("Sum of Old UG E-Learning",'Pivot Table for Fact Book'!$A$3,"State","SC","Type2","Two-Year")</f>
        <v>543376</v>
      </c>
      <c r="AA37" s="427">
        <f>GETPIVOTDATA("Sum of New UG E-Learning",'Pivot Table for Fact Book'!$A$3,"State","SC","Type2","Two-Year")</f>
        <v>564121</v>
      </c>
      <c r="AB37" s="423">
        <f>+GETPIVOTDATA("Sum of Old UG E-Learning",'Pivot Table for Fact Book'!$A$3,"State","SC","type",12,"type2","Techncial")</f>
        <v>0</v>
      </c>
      <c r="AC37" s="426">
        <f>+GETPIVOTDATA("Sum of New UG E-Learning",'Pivot Table for Fact Book'!$A$3,"State","SC","type",12,"type2","Techncial")</f>
        <v>0</v>
      </c>
      <c r="AD37" s="426">
        <f>+GETPIVOTDATA("Sum of Old UG E-Learning",'Pivot Table for Fact Book'!$A$3,"State","SC","type",13,"type2","Techncial")</f>
        <v>0</v>
      </c>
      <c r="AE37" s="426">
        <f>+GETPIVOTDATA("Sum of New UG E-Learning",'Pivot Table for Fact Book'!$A$3,"State","SC","type",13,"type2","Techncial")</f>
        <v>0</v>
      </c>
      <c r="AF37" s="429">
        <f>+GETPIVOTDATA("Sum of Old UG E-Learning",'Pivot Table for Fact Book'!$A$3,"State","SC","type2","Techncial")</f>
        <v>0</v>
      </c>
      <c r="AG37" s="429">
        <f>+GETPIVOTDATA("Sum of New UG E-Learning",'Pivot Table for Fact Book'!$A$3,"State","SC","type2","Techncial")</f>
        <v>0</v>
      </c>
      <c r="AH37" s="430"/>
    </row>
    <row r="38" spans="1:34">
      <c r="A38" s="398" t="s">
        <v>906</v>
      </c>
      <c r="B38" s="423">
        <f>GETPIVOTDATA("Sum of Old UG E-Learning",'Pivot Table for Fact Book'!$A$3,"State","TN","type",1,"Type2","Four-Year")</f>
        <v>110319</v>
      </c>
      <c r="C38" s="424">
        <f>GETPIVOTDATA("Sum of New UG E-Learning",'Pivot Table for Fact Book'!$A$3,"State","TN","type",1,"Type2","Four-Year")</f>
        <v>129116</v>
      </c>
      <c r="D38" s="423">
        <f>GETPIVOTDATA("Sum of Old UG E-Learning",'Pivot Table for Fact Book'!$A$3,"State","TN","type",2,"Type2","Four-Year")</f>
        <v>104611</v>
      </c>
      <c r="E38" s="424">
        <f>GETPIVOTDATA("Sum of New UG E-Learning",'Pivot Table for Fact Book'!$A$3,"State","TN","type",2,"Type2","Four-Year")</f>
        <v>105008</v>
      </c>
      <c r="F38" s="423">
        <f>GETPIVOTDATA("Sum of Old UG E-Learning",'Pivot Table for Fact Book'!$A$3,"State","TN","type",3,"Type2","Four-Year")</f>
        <v>277387</v>
      </c>
      <c r="G38" s="424">
        <f>GETPIVOTDATA("Sum of New UG E-Learning",'Pivot Table for Fact Book'!$A$3,"State","TN","type",3,"Type2","Four-Year")</f>
        <v>301550</v>
      </c>
      <c r="H38" s="423">
        <f>GETPIVOTDATA("Sum of Old UG E-Learning",'Pivot Table for Fact Book'!$A$3,"State","TN","type",4,"Type2","Four-Year")</f>
        <v>0</v>
      </c>
      <c r="I38" s="424">
        <f>GETPIVOTDATA("Sum of New UG E-Learning",'Pivot Table for Fact Book'!$A$3,"State","TN","type",4,"Type2","Four-Year")</f>
        <v>0</v>
      </c>
      <c r="J38" s="423">
        <f>GETPIVOTDATA("Sum of Old UG E-Learning",'Pivot Table for Fact Book'!$A$3,"State","TN","type",5,"Type2","Four-Year")</f>
        <v>19688</v>
      </c>
      <c r="K38" s="424">
        <f>GETPIVOTDATA("Sum of New UG E-Learning",'Pivot Table for Fact Book'!$A$3,"State","TN","type",5,"Type2","Four-Year")</f>
        <v>22299</v>
      </c>
      <c r="L38" s="423">
        <f>GETPIVOTDATA("Sum of Old UG E-Learning",'Pivot Table for Fact Book'!$A$3,"State","TN","type",6,"Type2","Four-Year")</f>
        <v>0</v>
      </c>
      <c r="M38" s="424">
        <f>GETPIVOTDATA("Sum of New UG E-Learning",'Pivot Table for Fact Book'!$A$3,"State","TN","type",6,"Type2","Four-Year")</f>
        <v>0</v>
      </c>
      <c r="N38" s="423">
        <f>GETPIVOTDATA("Sum of Old UG E-Learning",'Pivot Table for Fact Book'!$A$3,"State","TN","type",15,"Type2","Four-Year")</f>
        <v>0</v>
      </c>
      <c r="O38" s="424">
        <f>GETPIVOTDATA("Sum of New UG E-Learning",'Pivot Table for Fact Book'!$A$3,"State","TN","type",15,"Type2","Four-Year")</f>
        <v>0</v>
      </c>
      <c r="P38" s="425">
        <f>GETPIVOTDATA("Sum of Old UG E-Learning",'Pivot Table for Fact Book'!$A$3,"State","TN","Type2","Four-Year")</f>
        <v>512005</v>
      </c>
      <c r="Q38" s="425">
        <f>GETPIVOTDATA("Sum of New UG E-Learning",'Pivot Table for Fact Book'!$A$3,"State","TN","Type2","Four-Year")</f>
        <v>557973</v>
      </c>
      <c r="R38" s="423">
        <f>GETPIVOTDATA("Sum of Old UG E-Learning",'Pivot Table for Fact Book'!$A$3,"State","TN","type",7,"Type2","Two-Year")</f>
        <v>0</v>
      </c>
      <c r="S38" s="426">
        <f>GETPIVOTDATA("Sum of New UG E-Learning",'Pivot Table for Fact Book'!$A$3,"State","TN","type",7,"Type2","Two-Year")</f>
        <v>0</v>
      </c>
      <c r="T38" s="426">
        <f>GETPIVOTDATA("Sum of Old UG E-Learning",'Pivot Table for Fact Book'!$A$3,"State","TN","type",8,"Type2","Two-Year")</f>
        <v>223588</v>
      </c>
      <c r="U38" s="426">
        <f>GETPIVOTDATA("Sum of New UG E-Learning",'Pivot Table for Fact Book'!$A$3,"State","TN","type",8,"Type2","Two-Year")</f>
        <v>218851</v>
      </c>
      <c r="V38" s="426">
        <f>GETPIVOTDATA("Sum of Old UG E-Learning",'Pivot Table for Fact Book'!$A$3,"State","TN","type",9,"Type2","Two-Year")</f>
        <v>189685</v>
      </c>
      <c r="W38" s="426">
        <f>GETPIVOTDATA("Sum of New UG E-Learning",'Pivot Table for Fact Book'!$A$3,"State","TN","type",9,"Type2","Two-Year")</f>
        <v>189308</v>
      </c>
      <c r="X38" s="426">
        <f>GETPIVOTDATA("Sum of Old UG E-Learning",'Pivot Table for Fact Book'!$A$3,"State","TN","type",10,"Type2","Two-Year")</f>
        <v>12410</v>
      </c>
      <c r="Y38" s="426">
        <f>GETPIVOTDATA("Sum of New UG E-Learning",'Pivot Table for Fact Book'!$A$3,"State","TN","type",10,"Type2","Two-Year")</f>
        <v>13115</v>
      </c>
      <c r="Z38" s="427">
        <f>GETPIVOTDATA("Sum of Old UG E-Learning",'Pivot Table for Fact Book'!$A$3,"State","TN","Type2","Two-Year")</f>
        <v>425683</v>
      </c>
      <c r="AA38" s="427">
        <f>GETPIVOTDATA("Sum of New UG E-Learning",'Pivot Table for Fact Book'!$A$3,"State","TN","Type2","Two-Year")</f>
        <v>421274</v>
      </c>
      <c r="AB38" s="423">
        <f>+GETPIVOTDATA("Sum of Old UG E-Learning",'Pivot Table for Fact Book'!$A$3,"State","TN","type",12,"type2","Techncial")</f>
        <v>0</v>
      </c>
      <c r="AC38" s="426">
        <f>+GETPIVOTDATA("Sum of New UG E-Learning",'Pivot Table for Fact Book'!$A$3,"State","TN","type",12,"type2","Techncial")</f>
        <v>0</v>
      </c>
      <c r="AD38" s="426">
        <f>+GETPIVOTDATA("Sum of Old UG E-Learning",'Pivot Table for Fact Book'!$A$3,"State","TN","type",13,"type2","Techncial")</f>
        <v>0</v>
      </c>
      <c r="AE38" s="426">
        <f>+GETPIVOTDATA("Sum of New UG E-Learning",'Pivot Table for Fact Book'!$A$3,"State","TN","type",13,"type2","Techncial")</f>
        <v>0</v>
      </c>
      <c r="AF38" s="429">
        <f>+GETPIVOTDATA("Sum of Old UG E-Learning",'Pivot Table for Fact Book'!$A$3,"State","TN","type2","Techncial")</f>
        <v>0</v>
      </c>
      <c r="AG38" s="429">
        <f>+GETPIVOTDATA("Sum of New UG E-Learning",'Pivot Table for Fact Book'!$A$3,"State","TN","type2","Techncial")</f>
        <v>0</v>
      </c>
      <c r="AH38" s="430"/>
    </row>
    <row r="39" spans="1:34">
      <c r="A39" s="398" t="s">
        <v>907</v>
      </c>
      <c r="B39" s="423">
        <f>GETPIVOTDATA("Sum of Old UG E-Learning",'Pivot Table for Fact Book'!$A$3,"State","TX","type",1,"Type2","Four-Year")</f>
        <v>806997</v>
      </c>
      <c r="C39" s="424">
        <f>GETPIVOTDATA("Sum of New UG E-Learning",'Pivot Table for Fact Book'!$A$3,"State","TX","type",1,"Type2","Four-Year")</f>
        <v>954149</v>
      </c>
      <c r="D39" s="423">
        <f>GETPIVOTDATA("Sum of Old UG E-Learning",'Pivot Table for Fact Book'!$A$3,"State","TX","type",2,"Type2","Four-Year")</f>
        <v>193917</v>
      </c>
      <c r="E39" s="424">
        <f>GETPIVOTDATA("Sum of New UG E-Learning",'Pivot Table for Fact Book'!$A$3,"State","TX","type",2,"Type2","Four-Year")</f>
        <v>216433</v>
      </c>
      <c r="F39" s="423">
        <f>GETPIVOTDATA("Sum of Old UG E-Learning",'Pivot Table for Fact Book'!$A$3,"State","TX","type",3,"Type2","Four-Year")</f>
        <v>658303</v>
      </c>
      <c r="G39" s="424">
        <f>GETPIVOTDATA("Sum of New UG E-Learning",'Pivot Table for Fact Book'!$A$3,"State","TX","type",3,"Type2","Four-Year")</f>
        <v>767980</v>
      </c>
      <c r="H39" s="423">
        <f>GETPIVOTDATA("Sum of Old UG E-Learning",'Pivot Table for Fact Book'!$A$3,"State","TX","type",4,"Type2","Four-Year")</f>
        <v>62948</v>
      </c>
      <c r="I39" s="424">
        <f>GETPIVOTDATA("Sum of New UG E-Learning",'Pivot Table for Fact Book'!$A$3,"State","TX","type",4,"Type2","Four-Year")</f>
        <v>71542</v>
      </c>
      <c r="J39" s="423">
        <f>GETPIVOTDATA("Sum of Old UG E-Learning",'Pivot Table for Fact Book'!$A$3,"State","TX","type",5,"Type2","Four-Year")</f>
        <v>152166</v>
      </c>
      <c r="K39" s="424">
        <f>GETPIVOTDATA("Sum of New UG E-Learning",'Pivot Table for Fact Book'!$A$3,"State","TX","type",5,"Type2","Four-Year")</f>
        <v>140878</v>
      </c>
      <c r="L39" s="423">
        <f>GETPIVOTDATA("Sum of Old UG E-Learning",'Pivot Table for Fact Book'!$A$3,"State","TX","type",6,"Type2","Four-Year")</f>
        <v>0</v>
      </c>
      <c r="M39" s="424">
        <f>GETPIVOTDATA("Sum of New UG E-Learning",'Pivot Table for Fact Book'!$A$3,"State","TX","type",6,"Type2","Four-Year")</f>
        <v>0</v>
      </c>
      <c r="N39" s="423">
        <f>GETPIVOTDATA("Sum of Old UG E-Learning",'Pivot Table for Fact Book'!$A$3,"State","TX","type",15,"Type2","Four-Year")</f>
        <v>0</v>
      </c>
      <c r="O39" s="424">
        <f>GETPIVOTDATA("Sum of New UG E-Learning",'Pivot Table for Fact Book'!$A$3,"State","TX","type",15,"Type2","Four-Year")</f>
        <v>0</v>
      </c>
      <c r="P39" s="425">
        <f>GETPIVOTDATA("Sum of Old UG E-Learning",'Pivot Table for Fact Book'!$A$3,"State","TX","Type2","Four-Year")</f>
        <v>1874331</v>
      </c>
      <c r="Q39" s="425">
        <f>GETPIVOTDATA("Sum of New UG E-Learning",'Pivot Table for Fact Book'!$A$3,"State","TX","Type2","Four-Year")</f>
        <v>2150982</v>
      </c>
      <c r="R39" s="423">
        <f>GETPIVOTDATA("Sum of Old UG E-Learning",'Pivot Table for Fact Book'!$A$3,"State","TX","type",7,"Type2","Two-Year")</f>
        <v>169493</v>
      </c>
      <c r="S39" s="426">
        <f>GETPIVOTDATA("Sum of New UG E-Learning",'Pivot Table for Fact Book'!$A$3,"State","TX","type",7,"Type2","Two-Year")</f>
        <v>191730</v>
      </c>
      <c r="T39" s="426">
        <f>GETPIVOTDATA("Sum of Old UG E-Learning",'Pivot Table for Fact Book'!$A$3,"State","TX","type",8,"Type2","Two-Year")</f>
        <v>2482304</v>
      </c>
      <c r="U39" s="426">
        <f>GETPIVOTDATA("Sum of New UG E-Learning",'Pivot Table for Fact Book'!$A$3,"State","TX","type",8,"Type2","Two-Year")</f>
        <v>2573472</v>
      </c>
      <c r="V39" s="426">
        <f>GETPIVOTDATA("Sum of Old UG E-Learning",'Pivot Table for Fact Book'!$A$3,"State","TX","type",9,"Type2","Two-Year")</f>
        <v>641246</v>
      </c>
      <c r="W39" s="426">
        <f>GETPIVOTDATA("Sum of New UG E-Learning",'Pivot Table for Fact Book'!$A$3,"State","TX","type",9,"Type2","Two-Year")</f>
        <v>672756</v>
      </c>
      <c r="X39" s="426">
        <f>GETPIVOTDATA("Sum of Old UG E-Learning",'Pivot Table for Fact Book'!$A$3,"State","TX","type",10,"Type2","Two-Year")</f>
        <v>137731</v>
      </c>
      <c r="Y39" s="426">
        <f>GETPIVOTDATA("Sum of New UG E-Learning",'Pivot Table for Fact Book'!$A$3,"State","TX","type",10,"Type2","Two-Year")</f>
        <v>155423</v>
      </c>
      <c r="Z39" s="427">
        <f>GETPIVOTDATA("Sum of Old UG E-Learning",'Pivot Table for Fact Book'!$A$3,"State","TX","Type2","Two-Year")</f>
        <v>3430774</v>
      </c>
      <c r="AA39" s="427">
        <f>GETPIVOTDATA("Sum of New UG E-Learning",'Pivot Table for Fact Book'!$A$3,"State","TX","Type2","Two-Year")</f>
        <v>3593381</v>
      </c>
      <c r="AB39" s="423">
        <f>+GETPIVOTDATA("Sum of Old UG E-Learning",'Pivot Table for Fact Book'!$A$3,"State","TX","type",12,"type2","Techncial")</f>
        <v>0</v>
      </c>
      <c r="AC39" s="426">
        <f>+GETPIVOTDATA("Sum of New UG E-Learning",'Pivot Table for Fact Book'!$A$3,"State","TX","type",12,"type2","Techncial")</f>
        <v>0</v>
      </c>
      <c r="AD39" s="426">
        <f>+GETPIVOTDATA("Sum of Old UG E-Learning",'Pivot Table for Fact Book'!$A$3,"State","TX","type",13,"type2","Techncial")</f>
        <v>0</v>
      </c>
      <c r="AE39" s="426">
        <f>+GETPIVOTDATA("Sum of New UG E-Learning",'Pivot Table for Fact Book'!$A$3,"State","TX","type",13,"type2","Techncial")</f>
        <v>0</v>
      </c>
      <c r="AF39" s="429">
        <f>+GETPIVOTDATA("Sum of Old UG E-Learning",'Pivot Table for Fact Book'!$A$3,"State","TX","type2","Techncial")</f>
        <v>0</v>
      </c>
      <c r="AG39" s="429">
        <f>+GETPIVOTDATA("Sum of New UG E-Learning",'Pivot Table for Fact Book'!$A$3,"State","TX","type2","Techncial")</f>
        <v>0</v>
      </c>
      <c r="AH39" s="430"/>
    </row>
    <row r="40" spans="1:34">
      <c r="A40" s="398" t="s">
        <v>908</v>
      </c>
      <c r="B40" s="423">
        <f>GETPIVOTDATA("Sum of Old UG E-Learning",'Pivot Table for Fact Book'!$A$3,"State","VA","type",1,"Type2","Four-Year")</f>
        <v>234841</v>
      </c>
      <c r="C40" s="424">
        <f>GETPIVOTDATA("Sum of New UG E-Learning",'Pivot Table for Fact Book'!$A$3,"State","VA","type",1,"Type2","Four-Year")</f>
        <v>267786</v>
      </c>
      <c r="D40" s="423">
        <f>GETPIVOTDATA("Sum of Old UG E-Learning",'Pivot Table for Fact Book'!$A$3,"State","VA","type",2,"Type2","Four-Year")</f>
        <v>64</v>
      </c>
      <c r="E40" s="424">
        <f>GETPIVOTDATA("Sum of New UG E-Learning",'Pivot Table for Fact Book'!$A$3,"State","VA","type",2,"Type2","Four-Year")</f>
        <v>451</v>
      </c>
      <c r="F40" s="423">
        <f>GETPIVOTDATA("Sum of Old UG E-Learning",'Pivot Table for Fact Book'!$A$3,"State","VA","type",3,"Type2","Four-Year")</f>
        <v>94833</v>
      </c>
      <c r="G40" s="424">
        <f>GETPIVOTDATA("Sum of New UG E-Learning",'Pivot Table for Fact Book'!$A$3,"State","VA","type",3,"Type2","Four-Year")</f>
        <v>96476</v>
      </c>
      <c r="H40" s="423">
        <f>GETPIVOTDATA("Sum of Old UG E-Learning",'Pivot Table for Fact Book'!$A$3,"State","VA","type",4,"Type2","Four-Year")</f>
        <v>0</v>
      </c>
      <c r="I40" s="424">
        <f>GETPIVOTDATA("Sum of New UG E-Learning",'Pivot Table for Fact Book'!$A$3,"State","VA","type",4,"Type2","Four-Year")</f>
        <v>0</v>
      </c>
      <c r="J40" s="423">
        <f>GETPIVOTDATA("Sum of Old UG E-Learning",'Pivot Table for Fact Book'!$A$3,"State","VA","type",5,"Type2","Four-Year")</f>
        <v>0</v>
      </c>
      <c r="K40" s="424">
        <f>GETPIVOTDATA("Sum of New UG E-Learning",'Pivot Table for Fact Book'!$A$3,"State","VA","type",5,"Type2","Four-Year")</f>
        <v>0</v>
      </c>
      <c r="L40" s="423">
        <f>GETPIVOTDATA("Sum of Old UG E-Learning",'Pivot Table for Fact Book'!$A$3,"State","VA","type",6,"Type2","Four-Year")</f>
        <v>10127</v>
      </c>
      <c r="M40" s="424">
        <f>GETPIVOTDATA("Sum of New UG E-Learning",'Pivot Table for Fact Book'!$A$3,"State","VA","type",6,"Type2","Four-Year")</f>
        <v>9810</v>
      </c>
      <c r="N40" s="423">
        <f>GETPIVOTDATA("Sum of Old UG E-Learning",'Pivot Table for Fact Book'!$A$3,"State","VA","type",15,"Type2","Four-Year")</f>
        <v>0</v>
      </c>
      <c r="O40" s="424">
        <f>GETPIVOTDATA("Sum of New UG E-Learning",'Pivot Table for Fact Book'!$A$3,"State","VA","type",15,"Type2","Four-Year")</f>
        <v>0</v>
      </c>
      <c r="P40" s="425">
        <f>GETPIVOTDATA("Sum of Old UG E-Learning",'Pivot Table for Fact Book'!$A$3,"State","VA","Type2","Four-Year")</f>
        <v>339865</v>
      </c>
      <c r="Q40" s="425">
        <f>GETPIVOTDATA("Sum of New UG E-Learning",'Pivot Table for Fact Book'!$A$3,"State","VA","Type2","Four-Year")</f>
        <v>374523</v>
      </c>
      <c r="R40" s="423">
        <f>GETPIVOTDATA("Sum of Old UG E-Learning",'Pivot Table for Fact Book'!$A$3,"State","VA","type",7,"Type2","Two-Year")</f>
        <v>0</v>
      </c>
      <c r="S40" s="426">
        <f>GETPIVOTDATA("Sum of New UG E-Learning",'Pivot Table for Fact Book'!$A$3,"State","VA","type",7,"Type2","Two-Year")</f>
        <v>0</v>
      </c>
      <c r="T40" s="426">
        <f>GETPIVOTDATA("Sum of Old UG E-Learning",'Pivot Table for Fact Book'!$A$3,"State","VA","type",8,"Type2","Two-Year")</f>
        <v>582947</v>
      </c>
      <c r="U40" s="426">
        <f>GETPIVOTDATA("Sum of New UG E-Learning",'Pivot Table for Fact Book'!$A$3,"State","VA","type",8,"Type2","Two-Year")</f>
        <v>564781</v>
      </c>
      <c r="V40" s="426">
        <f>GETPIVOTDATA("Sum of Old UG E-Learning",'Pivot Table for Fact Book'!$A$3,"State","VA","type",9,"Type2","Two-Year")</f>
        <v>304994</v>
      </c>
      <c r="W40" s="426">
        <f>GETPIVOTDATA("Sum of New UG E-Learning",'Pivot Table for Fact Book'!$A$3,"State","VA","type",9,"Type2","Two-Year")</f>
        <v>299107</v>
      </c>
      <c r="X40" s="426">
        <f>GETPIVOTDATA("Sum of Old UG E-Learning",'Pivot Table for Fact Book'!$A$3,"State","VA","type",10,"Type2","Two-Year")</f>
        <v>107718</v>
      </c>
      <c r="Y40" s="426">
        <f>GETPIVOTDATA("Sum of New UG E-Learning",'Pivot Table for Fact Book'!$A$3,"State","VA","type",10,"Type2","Two-Year")</f>
        <v>109767</v>
      </c>
      <c r="Z40" s="427">
        <f>GETPIVOTDATA("Sum of Old UG E-Learning",'Pivot Table for Fact Book'!$A$3,"State","VA","Type2","Two-Year")</f>
        <v>995659</v>
      </c>
      <c r="AA40" s="427">
        <f>GETPIVOTDATA("Sum of New UG E-Learning",'Pivot Table for Fact Book'!$A$3,"State","VA","Type2","Two-Year")</f>
        <v>973655</v>
      </c>
      <c r="AB40" s="423">
        <f>+GETPIVOTDATA("Sum of Old UG E-Learning",'Pivot Table for Fact Book'!$A$3,"State","VA","type",12,"type2","Techncial")</f>
        <v>0</v>
      </c>
      <c r="AC40" s="426">
        <f>+GETPIVOTDATA("Sum of New UG E-Learning",'Pivot Table for Fact Book'!$A$3,"State","VA","type",12,"type2","Techncial")</f>
        <v>0</v>
      </c>
      <c r="AD40" s="426">
        <f>+GETPIVOTDATA("Sum of Old UG E-Learning",'Pivot Table for Fact Book'!$A$3,"State","VA","type",13,"type2","Techncial")</f>
        <v>0</v>
      </c>
      <c r="AE40" s="426">
        <f>+GETPIVOTDATA("Sum of New UG E-Learning",'Pivot Table for Fact Book'!$A$3,"State","VA","type",13,"type2","Techncial")</f>
        <v>0</v>
      </c>
      <c r="AF40" s="429">
        <f>+GETPIVOTDATA("Sum of Old UG E-Learning",'Pivot Table for Fact Book'!$A$3,"State","VA","type2","Techncial")</f>
        <v>0</v>
      </c>
      <c r="AG40" s="429">
        <f>+GETPIVOTDATA("Sum of New UG E-Learning",'Pivot Table for Fact Book'!$A$3,"State","VA","type2","Techncial")</f>
        <v>0</v>
      </c>
      <c r="AH40" s="430"/>
    </row>
    <row r="41" spans="1:34">
      <c r="A41" s="431" t="s">
        <v>909</v>
      </c>
      <c r="B41" s="432">
        <f>GETPIVOTDATA("Sum of Old UG E-Learning",'Pivot Table for Fact Book'!$A$3,"State","WV","type",1,"Type2","Four-Year")</f>
        <v>64804</v>
      </c>
      <c r="C41" s="433">
        <f>GETPIVOTDATA("Sum of New UG E-Learning",'Pivot Table for Fact Book'!$A$3,"State","WV","type",1,"Type2","Four-Year")</f>
        <v>68747</v>
      </c>
      <c r="D41" s="432">
        <f>GETPIVOTDATA("Sum of Old UG E-Learning",'Pivot Table for Fact Book'!$A$3,"State","WV","type",2,"Type2","Four-Year")</f>
        <v>0</v>
      </c>
      <c r="E41" s="433">
        <f>GETPIVOTDATA("Sum of New UG E-Learning",'Pivot Table for Fact Book'!$A$3,"State","WV","type",2,"Type2","Four-Year")</f>
        <v>0</v>
      </c>
      <c r="F41" s="432">
        <f>GETPIVOTDATA("Sum of Old UG E-Learning",'Pivot Table for Fact Book'!$A$3,"State","WV","type",3,"Type2","Four-Year")</f>
        <v>35432</v>
      </c>
      <c r="G41" s="433">
        <f>GETPIVOTDATA("Sum of New UG E-Learning",'Pivot Table for Fact Book'!$A$3,"State","WV","type",3,"Type2","Four-Year")</f>
        <v>38528</v>
      </c>
      <c r="H41" s="432">
        <f>GETPIVOTDATA("Sum of Old UG E-Learning",'Pivot Table for Fact Book'!$A$3,"State","WV","type",4,"Type2","Four-Year")</f>
        <v>0</v>
      </c>
      <c r="I41" s="433">
        <f>GETPIVOTDATA("Sum of New UG E-Learning",'Pivot Table for Fact Book'!$A$3,"State","WV","type",4,"Type2","Four-Year")</f>
        <v>0</v>
      </c>
      <c r="J41" s="432">
        <f>GETPIVOTDATA("Sum of Old UG E-Learning",'Pivot Table for Fact Book'!$A$3,"State","WV","type",5,"Type2","Four-Year")</f>
        <v>37612</v>
      </c>
      <c r="K41" s="433">
        <f>GETPIVOTDATA("Sum of New UG E-Learning",'Pivot Table for Fact Book'!$A$3,"State","WV","type",5,"Type2","Four-Year")</f>
        <v>43906</v>
      </c>
      <c r="L41" s="432">
        <f>GETPIVOTDATA("Sum of Old UG E-Learning",'Pivot Table for Fact Book'!$A$3,"State","WV","type",6,"Type2","Four-Year")</f>
        <v>58577</v>
      </c>
      <c r="M41" s="433">
        <f>GETPIVOTDATA("Sum of New UG E-Learning",'Pivot Table for Fact Book'!$A$3,"State","WV","type",6,"Type2","Four-Year")</f>
        <v>59645</v>
      </c>
      <c r="N41" s="432">
        <f>GETPIVOTDATA("Sum of Old UG E-Learning",'Pivot Table for Fact Book'!$A$3,"State","WV","type",15,"Type2","Four-Year")</f>
        <v>0</v>
      </c>
      <c r="O41" s="433">
        <f>GETPIVOTDATA("Sum of New UG E-Learning",'Pivot Table for Fact Book'!$A$3,"State","WV","type",15,"Type2","Four-Year")</f>
        <v>0</v>
      </c>
      <c r="P41" s="434">
        <f>GETPIVOTDATA("Sum of Old UG E-Learning",'Pivot Table for Fact Book'!$A$3,"State","WV","Type2","Four-Year")</f>
        <v>196425</v>
      </c>
      <c r="Q41" s="434">
        <f>GETPIVOTDATA("Sum of New UG E-Learning",'Pivot Table for Fact Book'!$A$3,"State","WV","Type2","Four-Year")</f>
        <v>210826</v>
      </c>
      <c r="R41" s="432">
        <f>GETPIVOTDATA("Sum of Old UG E-Learning",'Pivot Table for Fact Book'!$A$3,"State","WV","type",7,"Type2","Two-Year")</f>
        <v>3584</v>
      </c>
      <c r="S41" s="433">
        <f>GETPIVOTDATA("Sum of New UG E-Learning",'Pivot Table for Fact Book'!$A$3,"State","WV","type",7,"Type2","Two-Year")</f>
        <v>3051</v>
      </c>
      <c r="T41" s="433">
        <f>GETPIVOTDATA("Sum of Old UG E-Learning",'Pivot Table for Fact Book'!$A$3,"State","WV","type",8,"Type2","Two-Year")</f>
        <v>0</v>
      </c>
      <c r="U41" s="433">
        <f>GETPIVOTDATA("Sum of New UG E-Learning",'Pivot Table for Fact Book'!$A$3,"State","WV","type",8,"Type2","Two-Year")</f>
        <v>0</v>
      </c>
      <c r="V41" s="433">
        <f>GETPIVOTDATA("Sum of Old UG E-Learning",'Pivot Table for Fact Book'!$A$3,"State","WV","type",9,"Type2","Two-Year")</f>
        <v>0</v>
      </c>
      <c r="W41" s="433">
        <f>GETPIVOTDATA("Sum of New UG E-Learning",'Pivot Table for Fact Book'!$A$3,"State","WV","type",9,"Type2","Two-Year")</f>
        <v>0</v>
      </c>
      <c r="X41" s="433">
        <f>GETPIVOTDATA("Sum of Old UG E-Learning",'Pivot Table for Fact Book'!$A$3,"State","WV","type",10,"Type2","Two-Year")</f>
        <v>82655</v>
      </c>
      <c r="Y41" s="433">
        <f>GETPIVOTDATA("Sum of New UG E-Learning",'Pivot Table for Fact Book'!$A$3,"State","WV","type",10,"Type2","Two-Year")</f>
        <v>83485</v>
      </c>
      <c r="Z41" s="435">
        <f>GETPIVOTDATA("Sum of Old UG E-Learning",'Pivot Table for Fact Book'!$A$3,"State","WV","Type2","Two-Year")</f>
        <v>86239</v>
      </c>
      <c r="AA41" s="435">
        <f>GETPIVOTDATA("Sum of New UG E-Learning",'Pivot Table for Fact Book'!$A$3,"State","WV","Type2","Two-Year")</f>
        <v>86536</v>
      </c>
      <c r="AB41" s="432">
        <f>+GETPIVOTDATA("Sum of Old UG E-Learning",'Pivot Table for Fact Book'!$A$3,"State","WV","type",12,"type2","Techncial")</f>
        <v>0</v>
      </c>
      <c r="AC41" s="433">
        <f>+GETPIVOTDATA("Sum of New UG E-Learning",'Pivot Table for Fact Book'!$A$3,"State","WV","type",12,"type2","Techncial")</f>
        <v>0</v>
      </c>
      <c r="AD41" s="433">
        <f>+GETPIVOTDATA("Sum of Old UG E-Learning",'Pivot Table for Fact Book'!$A$3,"State","WV","type",13,"type2","Techncial")</f>
        <v>0</v>
      </c>
      <c r="AE41" s="433">
        <f>+GETPIVOTDATA("Sum of New UG E-Learning",'Pivot Table for Fact Book'!$A$3,"State","WV","type",13,"type2","Techncial")</f>
        <v>0</v>
      </c>
      <c r="AF41" s="437">
        <f>+GETPIVOTDATA("Sum of Old UG E-Learning",'Pivot Table for Fact Book'!$A$3,"State","WV","type2","Techncial")</f>
        <v>0</v>
      </c>
      <c r="AG41" s="437">
        <f>+GETPIVOTDATA("Sum of New UG E-Learning",'Pivot Table for Fact Book'!$A$3,"State","WV","type2","Techncial")</f>
        <v>0</v>
      </c>
      <c r="AH41" s="430"/>
    </row>
    <row r="43" spans="1:34">
      <c r="A43" s="438" t="s">
        <v>911</v>
      </c>
    </row>
    <row r="44" spans="1:34">
      <c r="B44" s="399" t="s">
        <v>890</v>
      </c>
      <c r="C44" s="400"/>
      <c r="D44" s="400"/>
      <c r="E44" s="400"/>
      <c r="F44" s="400"/>
      <c r="G44" s="400"/>
      <c r="H44" s="400"/>
      <c r="I44" s="400"/>
      <c r="J44" s="400"/>
      <c r="K44" s="400"/>
      <c r="L44" s="400"/>
      <c r="M44" s="400"/>
      <c r="N44" s="400"/>
      <c r="O44" s="400"/>
      <c r="P44" s="400"/>
      <c r="Q44" s="401"/>
    </row>
    <row r="45" spans="1:34">
      <c r="B45" s="407">
        <v>1</v>
      </c>
      <c r="C45" s="408"/>
      <c r="D45" s="407">
        <v>2</v>
      </c>
      <c r="E45" s="408"/>
      <c r="F45" s="407">
        <v>3</v>
      </c>
      <c r="G45" s="408"/>
      <c r="H45" s="407">
        <v>4</v>
      </c>
      <c r="I45" s="408"/>
      <c r="J45" s="407">
        <v>5</v>
      </c>
      <c r="K45" s="408"/>
      <c r="L45" s="407">
        <v>6</v>
      </c>
      <c r="M45" s="408"/>
      <c r="N45" s="407">
        <v>15</v>
      </c>
      <c r="O45" s="408"/>
      <c r="P45" s="407" t="s">
        <v>893</v>
      </c>
      <c r="Q45" s="410"/>
    </row>
    <row r="46" spans="1:34" s="443" customFormat="1">
      <c r="A46" s="441"/>
      <c r="B46" s="416">
        <v>2014</v>
      </c>
      <c r="C46" s="417">
        <v>2015</v>
      </c>
      <c r="D46" s="416">
        <v>2014</v>
      </c>
      <c r="E46" s="417">
        <v>2015</v>
      </c>
      <c r="F46" s="416">
        <v>2014</v>
      </c>
      <c r="G46" s="417">
        <v>2015</v>
      </c>
      <c r="H46" s="416">
        <v>2014</v>
      </c>
      <c r="I46" s="417">
        <v>2015</v>
      </c>
      <c r="J46" s="416">
        <v>2014</v>
      </c>
      <c r="K46" s="417">
        <v>2015</v>
      </c>
      <c r="L46" s="416">
        <v>2014</v>
      </c>
      <c r="M46" s="417">
        <v>2015</v>
      </c>
      <c r="N46" s="416">
        <v>2014</v>
      </c>
      <c r="O46" s="417">
        <v>2015</v>
      </c>
      <c r="P46" s="416">
        <v>2014</v>
      </c>
      <c r="Q46" s="417">
        <v>2015</v>
      </c>
      <c r="AH46" s="442"/>
    </row>
    <row r="47" spans="1:34">
      <c r="A47" s="398" t="s">
        <v>894</v>
      </c>
      <c r="B47" s="423">
        <f>GETPIVOTDATA("Sum of Old-Tot G SCH Calc",'Pivot Table for Fact Book'!$A$3,"State","AL","type",1,"Type2","Four-Year")</f>
        <v>198591</v>
      </c>
      <c r="C47" s="424">
        <f>GETPIVOTDATA("Sum of New-Tot G SCH Calc",'Pivot Table for Fact Book'!$A$3,"State","AL","type",1,"Type2","Four-Year")</f>
        <v>200352</v>
      </c>
      <c r="D47" s="423">
        <f>GETPIVOTDATA("Sum of Old-Tot G SCH Calc",'Pivot Table for Fact Book'!$A$3,"State","AL","type",2,"Type2","Four-Year")</f>
        <v>70564</v>
      </c>
      <c r="E47" s="424">
        <f>GETPIVOTDATA("Sum of New-Tot G SCH Calc",'Pivot Table for Fact Book'!$A$3,"State","AL","type",2,"Type2","Four-Year")</f>
        <v>72836</v>
      </c>
      <c r="F47" s="423">
        <f>GETPIVOTDATA("Sum of Old-Tot G SCH Calc",'Pivot Table for Fact Book'!$A$3,"State","AL","type",3,"Type2","Four-Year")</f>
        <v>105143</v>
      </c>
      <c r="G47" s="424">
        <f>GETPIVOTDATA("Sum of New-Tot G SCH Calc",'Pivot Table for Fact Book'!$A$3,"State","AL","type",3,"Type2","Four-Year")</f>
        <v>106361</v>
      </c>
      <c r="H47" s="423">
        <f>GETPIVOTDATA("Sum of Old-Tot G SCH Calc",'Pivot Table for Fact Book'!$A$3,"State","AL","type",4,"Type2","Four-Year")</f>
        <v>25770</v>
      </c>
      <c r="I47" s="424">
        <f>GETPIVOTDATA("Sum of New-Tot G SCH Calc",'Pivot Table for Fact Book'!$A$3,"State","AL","type",4,"Type2","Four-Year")</f>
        <v>24138</v>
      </c>
      <c r="J47" s="423">
        <f>GETPIVOTDATA("Sum of Old-Tot G SCH Calc",'Pivot Table for Fact Book'!$A$3,"State","AL","type",5,"Type2","Four-Year")</f>
        <v>41012</v>
      </c>
      <c r="K47" s="424">
        <f>GETPIVOTDATA("Sum of New-Tot G SCH Calc",'Pivot Table for Fact Book'!$A$3,"State","AL","type",5,"Type2","Four-Year")</f>
        <v>43618</v>
      </c>
      <c r="L47" s="423">
        <f>GETPIVOTDATA("Sum of Old-Tot G SCH Calc",'Pivot Table for Fact Book'!$A$3,"State","AL","type",6,"Type2","Four-Year")</f>
        <v>0</v>
      </c>
      <c r="M47" s="424">
        <f>GETPIVOTDATA("Sum of New-Tot G SCH Calc",'Pivot Table for Fact Book'!$A$3,"State","AL","type",6,"Type2","Four-Year")</f>
        <v>309</v>
      </c>
      <c r="N47" s="423">
        <f>GETPIVOTDATA("Sum of Old-Tot G SCH Calc",'Pivot Table for Fact Book'!$A$3,"State","AL","type",15,"Type2","Four-Year")</f>
        <v>0</v>
      </c>
      <c r="O47" s="424">
        <f>GETPIVOTDATA("Sum of New-Tot G SCH Calc",'Pivot Table for Fact Book'!$A$3,"State","AL","type",15,"Type2","Four-Year")</f>
        <v>0</v>
      </c>
      <c r="P47" s="425">
        <f>GETPIVOTDATA("Sum of Old-Tot G SCH Calc",'Pivot Table for Fact Book'!$A$3,"State","AL","Type2","Four-Year")</f>
        <v>441080</v>
      </c>
      <c r="Q47" s="425">
        <f>GETPIVOTDATA("Sum of New-Tot G SCH Calc",'Pivot Table for Fact Book'!$A$3,"State","AL","Type2","Four-Year")</f>
        <v>447614</v>
      </c>
      <c r="AH47" s="430"/>
    </row>
    <row r="48" spans="1:34">
      <c r="A48" s="398" t="s">
        <v>895</v>
      </c>
      <c r="B48" s="423">
        <f>GETPIVOTDATA("Sum of Old-Tot G SCH Calc",'Pivot Table for Fact Book'!$A$3,"State","AR","type",1,"Type2","Four-Year")</f>
        <v>80235</v>
      </c>
      <c r="C48" s="424">
        <f>GETPIVOTDATA("Sum of New-Tot G SCH Calc",'Pivot Table for Fact Book'!$A$3,"State","AR","type",1,"Type2","Four-Year")</f>
        <v>81194</v>
      </c>
      <c r="D48" s="423">
        <f>GETPIVOTDATA("Sum of Old-Tot G SCH Calc",'Pivot Table for Fact Book'!$A$3,"State","AR","type",2,"Type2","Four-Year")</f>
        <v>43190</v>
      </c>
      <c r="E48" s="424">
        <f>GETPIVOTDATA("Sum of New-Tot G SCH Calc",'Pivot Table for Fact Book'!$A$3,"State","AR","type",2,"Type2","Four-Year")</f>
        <v>42496</v>
      </c>
      <c r="F48" s="423">
        <f>GETPIVOTDATA("Sum of Old-Tot G SCH Calc",'Pivot Table for Fact Book'!$A$3,"State","AR","type",3,"Type2","Four-Year")</f>
        <v>133874</v>
      </c>
      <c r="G48" s="424">
        <f>GETPIVOTDATA("Sum of New-Tot G SCH Calc",'Pivot Table for Fact Book'!$A$3,"State","AR","type",3,"Type2","Four-Year")</f>
        <v>145030</v>
      </c>
      <c r="H48" s="423">
        <f>GETPIVOTDATA("Sum of Old-Tot G SCH Calc",'Pivot Table for Fact Book'!$A$3,"State","AR","type",4,"Type2","Four-Year")</f>
        <v>20302</v>
      </c>
      <c r="I48" s="424">
        <f>GETPIVOTDATA("Sum of New-Tot G SCH Calc",'Pivot Table for Fact Book'!$A$3,"State","AR","type",4,"Type2","Four-Year")</f>
        <v>35757</v>
      </c>
      <c r="J48" s="423">
        <f>GETPIVOTDATA("Sum of Old-Tot G SCH Calc",'Pivot Table for Fact Book'!$A$3,"State","AR","type",5,"Type2","Four-Year")</f>
        <v>3510</v>
      </c>
      <c r="K48" s="424">
        <f>GETPIVOTDATA("Sum of New-Tot G SCH Calc",'Pivot Table for Fact Book'!$A$3,"State","AR","type",5,"Type2","Four-Year")</f>
        <v>4537</v>
      </c>
      <c r="L48" s="423">
        <f>GETPIVOTDATA("Sum of Old-Tot G SCH Calc",'Pivot Table for Fact Book'!$A$3,"State","AR","type",6,"Type2","Four-Year")</f>
        <v>1926</v>
      </c>
      <c r="M48" s="424">
        <f>GETPIVOTDATA("Sum of New-Tot G SCH Calc",'Pivot Table for Fact Book'!$A$3,"State","AR","type",6,"Type2","Four-Year")</f>
        <v>1646</v>
      </c>
      <c r="N48" s="423">
        <f>GETPIVOTDATA("Sum of Old-Tot G SCH Calc",'Pivot Table for Fact Book'!$A$3,"State","AR","type",15,"Type2","Four-Year")</f>
        <v>62857</v>
      </c>
      <c r="O48" s="424">
        <f>GETPIVOTDATA("Sum of New-Tot G SCH Calc",'Pivot Table for Fact Book'!$A$3,"State","AR","type",15,"Type2","Four-Year")</f>
        <v>66817</v>
      </c>
      <c r="P48" s="425">
        <f>GETPIVOTDATA("Sum of Old-Tot G SCH Calc",'Pivot Table for Fact Book'!$A$3,"State","AR","Type2","Four-Year")</f>
        <v>345894</v>
      </c>
      <c r="Q48" s="425">
        <f>GETPIVOTDATA("Sum of New-Tot G SCH Calc",'Pivot Table for Fact Book'!$A$3,"State","AR","Type2","Four-Year")</f>
        <v>377477</v>
      </c>
      <c r="AH48" s="430"/>
    </row>
    <row r="49" spans="1:34">
      <c r="A49" s="398" t="s">
        <v>896</v>
      </c>
      <c r="B49" s="423">
        <f>GETPIVOTDATA("Sum of Old-Tot G SCH Calc",'Pivot Table for Fact Book'!$A$3,"State","DE","type",1,"Type2","Four-Year")</f>
        <v>54107</v>
      </c>
      <c r="C49" s="424">
        <f>GETPIVOTDATA("Sum of New-Tot G SCH Calc",'Pivot Table for Fact Book'!$A$3,"State","DE","type",1,"Type2","Four-Year")</f>
        <v>57909</v>
      </c>
      <c r="D49" s="423">
        <f>GETPIVOTDATA("Sum of Old-Tot G SCH Calc",'Pivot Table for Fact Book'!$A$3,"State","DE","type",2,"Type2","Four-Year")</f>
        <v>0</v>
      </c>
      <c r="E49" s="424">
        <f>GETPIVOTDATA("Sum of New-Tot G SCH Calc",'Pivot Table for Fact Book'!$A$3,"State","DE","type",2,"Type2","Four-Year")</f>
        <v>0</v>
      </c>
      <c r="F49" s="423">
        <f>GETPIVOTDATA("Sum of Old-Tot G SCH Calc",'Pivot Table for Fact Book'!$A$3,"State","DE","type",3,"Type2","Four-Year")</f>
        <v>5497</v>
      </c>
      <c r="G49" s="424">
        <f>GETPIVOTDATA("Sum of New-Tot G SCH Calc",'Pivot Table for Fact Book'!$A$3,"State","DE","type",3,"Type2","Four-Year")</f>
        <v>6146</v>
      </c>
      <c r="H49" s="423">
        <f>GETPIVOTDATA("Sum of Old-Tot G SCH Calc",'Pivot Table for Fact Book'!$A$3,"State","DE","type",4,"Type2","Four-Year")</f>
        <v>0</v>
      </c>
      <c r="I49" s="424">
        <f>GETPIVOTDATA("Sum of New-Tot G SCH Calc",'Pivot Table for Fact Book'!$A$3,"State","DE","type",4,"Type2","Four-Year")</f>
        <v>0</v>
      </c>
      <c r="J49" s="423">
        <f>GETPIVOTDATA("Sum of Old-Tot G SCH Calc",'Pivot Table for Fact Book'!$A$3,"State","DE","type",5,"Type2","Four-Year")</f>
        <v>0</v>
      </c>
      <c r="K49" s="424">
        <f>GETPIVOTDATA("Sum of New-Tot G SCH Calc",'Pivot Table for Fact Book'!$A$3,"State","DE","type",5,"Type2","Four-Year")</f>
        <v>0</v>
      </c>
      <c r="L49" s="423">
        <f>GETPIVOTDATA("Sum of Old-Tot G SCH Calc",'Pivot Table for Fact Book'!$A$3,"State","DE","type",6,"Type2","Four-Year")</f>
        <v>0</v>
      </c>
      <c r="M49" s="424">
        <f>GETPIVOTDATA("Sum of New-Tot G SCH Calc",'Pivot Table for Fact Book'!$A$3,"State","DE","type",6,"Type2","Four-Year")</f>
        <v>0</v>
      </c>
      <c r="N49" s="423">
        <f>GETPIVOTDATA("Sum of Old-Tot G SCH Calc",'Pivot Table for Fact Book'!$A$3,"State","DE","type",15,"Type2","Four-Year")</f>
        <v>0</v>
      </c>
      <c r="O49" s="424">
        <f>GETPIVOTDATA("Sum of New-Tot G SCH Calc",'Pivot Table for Fact Book'!$A$3,"State","DE","type",15,"Type2","Four-Year")</f>
        <v>0</v>
      </c>
      <c r="P49" s="425">
        <f>GETPIVOTDATA("Sum of Old-Tot G SCH Calc",'Pivot Table for Fact Book'!$A$3,"State","DE","Type2","Four-Year")</f>
        <v>59604</v>
      </c>
      <c r="Q49" s="425">
        <f>GETPIVOTDATA("Sum of New-Tot G SCH Calc",'Pivot Table for Fact Book'!$A$3,"State","DE","Type2","Four-Year")</f>
        <v>64055</v>
      </c>
      <c r="AH49" s="430"/>
    </row>
    <row r="50" spans="1:34">
      <c r="A50" s="398" t="s">
        <v>897</v>
      </c>
      <c r="B50" s="423">
        <f>GETPIVOTDATA("Sum of Old-Tot G SCH Calc",'Pivot Table for Fact Book'!$A$3,"State","FL","type",1,"Type2","Four-Year")</f>
        <v>1039573.4</v>
      </c>
      <c r="C50" s="424">
        <f>GETPIVOTDATA("Sum of New-Tot G SCH Calc",'Pivot Table for Fact Book'!$A$3,"State","FL","type",1,"Type2","Four-Year")</f>
        <v>1097054.5</v>
      </c>
      <c r="D50" s="423">
        <f>GETPIVOTDATA("Sum of Old-Tot G SCH Calc",'Pivot Table for Fact Book'!$A$3,"State","FL","type",2,"Type2","Four-Year")</f>
        <v>0</v>
      </c>
      <c r="E50" s="424">
        <f>GETPIVOTDATA("Sum of New-Tot G SCH Calc",'Pivot Table for Fact Book'!$A$3,"State","FL","type",2,"Type2","Four-Year")</f>
        <v>0</v>
      </c>
      <c r="F50" s="423">
        <f>GETPIVOTDATA("Sum of Old-Tot G SCH Calc",'Pivot Table for Fact Book'!$A$3,"State","FL","type",3,"Type2","Four-Year")</f>
        <v>108426</v>
      </c>
      <c r="G50" s="424">
        <f>GETPIVOTDATA("Sum of New-Tot G SCH Calc",'Pivot Table for Fact Book'!$A$3,"State","FL","type",3,"Type2","Four-Year")</f>
        <v>115400.5</v>
      </c>
      <c r="H50" s="423">
        <f>GETPIVOTDATA("Sum of Old-Tot G SCH Calc",'Pivot Table for Fact Book'!$A$3,"State","FL","type",4,"Type2","Four-Year")</f>
        <v>19809</v>
      </c>
      <c r="I50" s="424">
        <f>GETPIVOTDATA("Sum of New-Tot G SCH Calc",'Pivot Table for Fact Book'!$A$3,"State","FL","type",4,"Type2","Four-Year")</f>
        <v>19899</v>
      </c>
      <c r="J50" s="423">
        <f>GETPIVOTDATA("Sum of Old-Tot G SCH Calc",'Pivot Table for Fact Book'!$A$3,"State","FL","type",5,"Type2","Four-Year")</f>
        <v>0</v>
      </c>
      <c r="K50" s="424">
        <f>GETPIVOTDATA("Sum of New-Tot G SCH Calc",'Pivot Table for Fact Book'!$A$3,"State","FL","type",5,"Type2","Four-Year")</f>
        <v>0</v>
      </c>
      <c r="L50" s="423">
        <f>GETPIVOTDATA("Sum of Old-Tot G SCH Calc",'Pivot Table for Fact Book'!$A$3,"State","FL","type",6,"Type2","Four-Year")</f>
        <v>0</v>
      </c>
      <c r="M50" s="424">
        <f>GETPIVOTDATA("Sum of New-Tot G SCH Calc",'Pivot Table for Fact Book'!$A$3,"State","FL","type",6,"Type2","Four-Year")</f>
        <v>231</v>
      </c>
      <c r="N50" s="423">
        <f>GETPIVOTDATA("Sum of Old-Tot G SCH Calc",'Pivot Table for Fact Book'!$A$3,"State","FL","type",15,"Type2","Four-Year")</f>
        <v>0</v>
      </c>
      <c r="O50" s="424">
        <f>GETPIVOTDATA("Sum of New-Tot G SCH Calc",'Pivot Table for Fact Book'!$A$3,"State","FL","type",15,"Type2","Four-Year")</f>
        <v>0</v>
      </c>
      <c r="P50" s="425">
        <f>GETPIVOTDATA("Sum of Old-Tot G SCH Calc",'Pivot Table for Fact Book'!$A$3,"State","FL","Type2","Four-Year")</f>
        <v>1167808.3999999999</v>
      </c>
      <c r="Q50" s="425">
        <f>GETPIVOTDATA("Sum of New-Tot G SCH Calc",'Pivot Table for Fact Book'!$A$3,"State","FL","Type2","Four-Year")</f>
        <v>1232585</v>
      </c>
      <c r="AH50" s="430"/>
    </row>
    <row r="51" spans="1:34">
      <c r="A51" s="398" t="s">
        <v>898</v>
      </c>
      <c r="B51" s="423">
        <f>GETPIVOTDATA("Sum of Old-Tot G SCH Calc",'Pivot Table for Fact Book'!$A$3,"State","GA","type",1,"Type2","Four-Year")</f>
        <v>479376</v>
      </c>
      <c r="C51" s="424">
        <f>GETPIVOTDATA("Sum of New-Tot G SCH Calc",'Pivot Table for Fact Book'!$A$3,"State","GA","type",1,"Type2","Four-Year")</f>
        <v>487666.8</v>
      </c>
      <c r="D51" s="423">
        <f>GETPIVOTDATA("Sum of Old-Tot G SCH Calc",'Pivot Table for Fact Book'!$A$3,"State","GA","type",2,"Type2","Four-Year")</f>
        <v>262428</v>
      </c>
      <c r="E51" s="424">
        <f>GETPIVOTDATA("Sum of New-Tot G SCH Calc",'Pivot Table for Fact Book'!$A$3,"State","GA","type",2,"Type2","Four-Year")</f>
        <v>278585.5</v>
      </c>
      <c r="F51" s="423">
        <f>GETPIVOTDATA("Sum of Old-Tot G SCH Calc",'Pivot Table for Fact Book'!$A$3,"State","GA","type",3,"Type2","Four-Year")</f>
        <v>174741</v>
      </c>
      <c r="G51" s="424">
        <f>GETPIVOTDATA("Sum of New-Tot G SCH Calc",'Pivot Table for Fact Book'!$A$3,"State","GA","type",3,"Type2","Four-Year")</f>
        <v>179225</v>
      </c>
      <c r="H51" s="423">
        <f>GETPIVOTDATA("Sum of Old-Tot G SCH Calc",'Pivot Table for Fact Book'!$A$3,"State","GA","type",4,"Type2","Four-Year")</f>
        <v>276186</v>
      </c>
      <c r="I51" s="424">
        <f>GETPIVOTDATA("Sum of New-Tot G SCH Calc",'Pivot Table for Fact Book'!$A$3,"State","GA","type",4,"Type2","Four-Year")</f>
        <v>282714</v>
      </c>
      <c r="J51" s="423">
        <f>GETPIVOTDATA("Sum of Old-Tot G SCH Calc",'Pivot Table for Fact Book'!$A$3,"State","GA","type",5,"Type2","Four-Year")</f>
        <v>9443</v>
      </c>
      <c r="K51" s="424">
        <f>GETPIVOTDATA("Sum of New-Tot G SCH Calc",'Pivot Table for Fact Book'!$A$3,"State","GA","type",5,"Type2","Four-Year")</f>
        <v>12541</v>
      </c>
      <c r="L51" s="423">
        <f>GETPIVOTDATA("Sum of Old-Tot G SCH Calc",'Pivot Table for Fact Book'!$A$3,"State","GA","type",6,"Type2","Four-Year")</f>
        <v>0</v>
      </c>
      <c r="M51" s="424">
        <f>GETPIVOTDATA("Sum of New-Tot G SCH Calc",'Pivot Table for Fact Book'!$A$3,"State","GA","type",6,"Type2","Four-Year")</f>
        <v>1203</v>
      </c>
      <c r="N51" s="423">
        <f>GETPIVOTDATA("Sum of Old-Tot G SCH Calc",'Pivot Table for Fact Book'!$A$3,"State","GA","type",15,"Type2","Four-Year")</f>
        <v>0</v>
      </c>
      <c r="O51" s="424">
        <f>GETPIVOTDATA("Sum of New-Tot G SCH Calc",'Pivot Table for Fact Book'!$A$3,"State","GA","type",15,"Type2","Four-Year")</f>
        <v>0</v>
      </c>
      <c r="P51" s="425">
        <f>GETPIVOTDATA("Sum of Old-Tot G SCH Calc",'Pivot Table for Fact Book'!$A$3,"State","GA","Type2","Four-Year")</f>
        <v>1202174</v>
      </c>
      <c r="Q51" s="425">
        <f>GETPIVOTDATA("Sum of New-Tot G SCH Calc",'Pivot Table for Fact Book'!$A$3,"State","GA","Type2","Four-Year")</f>
        <v>1241935.3</v>
      </c>
      <c r="AH51" s="430"/>
    </row>
    <row r="52" spans="1:34">
      <c r="A52" s="398" t="s">
        <v>899</v>
      </c>
      <c r="B52" s="423">
        <f>GETPIVOTDATA("Sum of Old-Tot G SCH Calc",'Pivot Table for Fact Book'!$A$3,"State","KY","type",1,"Type2","Four-Year")</f>
        <v>160501</v>
      </c>
      <c r="C52" s="424">
        <f>GETPIVOTDATA("Sum of New-Tot G SCH Calc",'Pivot Table for Fact Book'!$A$3,"State","KY","type",1,"Type2","Four-Year")</f>
        <v>158495</v>
      </c>
      <c r="D52" s="423">
        <f>GETPIVOTDATA("Sum of Old-Tot G SCH Calc",'Pivot Table for Fact Book'!$A$3,"State","KY","type",2,"Type2","Four-Year")</f>
        <v>0</v>
      </c>
      <c r="E52" s="424">
        <f>GETPIVOTDATA("Sum of New-Tot G SCH Calc",'Pivot Table for Fact Book'!$A$3,"State","KY","type",2,"Type2","Four-Year")</f>
        <v>0</v>
      </c>
      <c r="F52" s="423">
        <f>GETPIVOTDATA("Sum of Old-Tot G SCH Calc",'Pivot Table for Fact Book'!$A$3,"State","KY","type",3,"Type2","Four-Year")</f>
        <v>166586</v>
      </c>
      <c r="G52" s="424">
        <f>GETPIVOTDATA("Sum of New-Tot G SCH Calc",'Pivot Table for Fact Book'!$A$3,"State","KY","type",3,"Type2","Four-Year")</f>
        <v>165131</v>
      </c>
      <c r="H52" s="423">
        <f>GETPIVOTDATA("Sum of Old-Tot G SCH Calc",'Pivot Table for Fact Book'!$A$3,"State","KY","type",4,"Type2","Four-Year")</f>
        <v>2227</v>
      </c>
      <c r="I52" s="424">
        <f>GETPIVOTDATA("Sum of New-Tot G SCH Calc",'Pivot Table for Fact Book'!$A$3,"State","KY","type",4,"Type2","Four-Year")</f>
        <v>2304</v>
      </c>
      <c r="J52" s="423">
        <f>GETPIVOTDATA("Sum of Old-Tot G SCH Calc",'Pivot Table for Fact Book'!$A$3,"State","KY","type",5,"Type2","Four-Year")</f>
        <v>0</v>
      </c>
      <c r="K52" s="424">
        <f>GETPIVOTDATA("Sum of New-Tot G SCH Calc",'Pivot Table for Fact Book'!$A$3,"State","KY","type",5,"Type2","Four-Year")</f>
        <v>0</v>
      </c>
      <c r="L52" s="423">
        <f>GETPIVOTDATA("Sum of Old-Tot G SCH Calc",'Pivot Table for Fact Book'!$A$3,"State","KY","type",6,"Type2","Four-Year")</f>
        <v>0</v>
      </c>
      <c r="M52" s="424">
        <f>GETPIVOTDATA("Sum of New-Tot G SCH Calc",'Pivot Table for Fact Book'!$A$3,"State","KY","type",6,"Type2","Four-Year")</f>
        <v>0</v>
      </c>
      <c r="N52" s="423">
        <f>GETPIVOTDATA("Sum of Old-Tot G SCH Calc",'Pivot Table for Fact Book'!$A$3,"State","KY","type",15,"Type2","Four-Year")</f>
        <v>0</v>
      </c>
      <c r="O52" s="424">
        <f>GETPIVOTDATA("Sum of New-Tot G SCH Calc",'Pivot Table for Fact Book'!$A$3,"State","KY","type",15,"Type2","Four-Year")</f>
        <v>0</v>
      </c>
      <c r="P52" s="425">
        <f>GETPIVOTDATA("Sum of Old-Tot G SCH Calc",'Pivot Table for Fact Book'!$A$3,"State","KY","Type2","Four-Year")</f>
        <v>329314</v>
      </c>
      <c r="Q52" s="425">
        <f>GETPIVOTDATA("Sum of New-Tot G SCH Calc",'Pivot Table for Fact Book'!$A$3,"State","KY","Type2","Four-Year")</f>
        <v>325930</v>
      </c>
      <c r="AH52" s="430"/>
    </row>
    <row r="53" spans="1:34">
      <c r="A53" s="398" t="s">
        <v>900</v>
      </c>
      <c r="B53" s="423">
        <f>GETPIVOTDATA("Sum of Old-Tot G SCH Calc",'Pivot Table for Fact Book'!$A$3,"State","LA","type",1,"Type2","Four-Year")</f>
        <v>130715.2999999997</v>
      </c>
      <c r="C53" s="424">
        <f>GETPIVOTDATA("Sum of New-Tot G SCH Calc",'Pivot Table for Fact Book'!$A$3,"State","LA","type",1,"Type2","Four-Year")</f>
        <v>129253.00000000031</v>
      </c>
      <c r="D53" s="423">
        <f>GETPIVOTDATA("Sum of Old-Tot G SCH Calc",'Pivot Table for Fact Book'!$A$3,"State","LA","type",2,"Type2","Four-Year")</f>
        <v>86638.999999999971</v>
      </c>
      <c r="E53" s="424">
        <f>GETPIVOTDATA("Sum of New-Tot G SCH Calc",'Pivot Table for Fact Book'!$A$3,"State","LA","type",2,"Type2","Four-Year")</f>
        <v>75262.000000000015</v>
      </c>
      <c r="F53" s="423">
        <f>GETPIVOTDATA("Sum of Old-Tot G SCH Calc",'Pivot Table for Fact Book'!$A$3,"State","LA","type",3,"Type2","Four-Year")</f>
        <v>87434.999999999971</v>
      </c>
      <c r="G53" s="424">
        <f>GETPIVOTDATA("Sum of New-Tot G SCH Calc",'Pivot Table for Fact Book'!$A$3,"State","LA","type",3,"Type2","Four-Year")</f>
        <v>83119.000000000015</v>
      </c>
      <c r="H53" s="423">
        <f>GETPIVOTDATA("Sum of Old-Tot G SCH Calc",'Pivot Table for Fact Book'!$A$3,"State","LA","type",4,"Type2","Four-Year")</f>
        <v>81832.000000000087</v>
      </c>
      <c r="I53" s="424">
        <f>GETPIVOTDATA("Sum of New-Tot G SCH Calc",'Pivot Table for Fact Book'!$A$3,"State","LA","type",4,"Type2","Four-Year")</f>
        <v>91750</v>
      </c>
      <c r="J53" s="423">
        <f>GETPIVOTDATA("Sum of Old-Tot G SCH Calc",'Pivot Table for Fact Book'!$A$3,"State","LA","type",5,"Type2","Four-Year")</f>
        <v>2114.9999999999991</v>
      </c>
      <c r="K53" s="424">
        <f>GETPIVOTDATA("Sum of New-Tot G SCH Calc",'Pivot Table for Fact Book'!$A$3,"State","LA","type",5,"Type2","Four-Year")</f>
        <v>9974</v>
      </c>
      <c r="L53" s="423">
        <f>GETPIVOTDATA("Sum of Old-Tot G SCH Calc",'Pivot Table for Fact Book'!$A$3,"State","LA","type",6,"Type2","Four-Year")</f>
        <v>0</v>
      </c>
      <c r="M53" s="424">
        <f>GETPIVOTDATA("Sum of New-Tot G SCH Calc",'Pivot Table for Fact Book'!$A$3,"State","LA","type",6,"Type2","Four-Year")</f>
        <v>0</v>
      </c>
      <c r="N53" s="423">
        <f>GETPIVOTDATA("Sum of Old-Tot G SCH Calc",'Pivot Table for Fact Book'!$A$3,"State","LA","type",15,"Type2","Four-Year")</f>
        <v>0</v>
      </c>
      <c r="O53" s="424">
        <f>GETPIVOTDATA("Sum of New-Tot G SCH Calc",'Pivot Table for Fact Book'!$A$3,"State","LA","type",15,"Type2","Four-Year")</f>
        <v>0</v>
      </c>
      <c r="P53" s="425">
        <f>GETPIVOTDATA("Sum of Old-Tot G SCH Calc",'Pivot Table for Fact Book'!$A$3,"State","LA","Type2","Four-Year")</f>
        <v>388736.2999999997</v>
      </c>
      <c r="Q53" s="425">
        <f>GETPIVOTDATA("Sum of New-Tot G SCH Calc",'Pivot Table for Fact Book'!$A$3,"State","LA","Type2","Four-Year")</f>
        <v>389358.00000000035</v>
      </c>
      <c r="AH53" s="430"/>
    </row>
    <row r="54" spans="1:34">
      <c r="A54" s="398" t="s">
        <v>901</v>
      </c>
      <c r="B54" s="423">
        <f>GETPIVOTDATA("Sum of Old-Tot G SCH Calc",'Pivot Table for Fact Book'!$A$3,"State","MD","type",1,"Type2","Four-Year")</f>
        <v>157472.16999999998</v>
      </c>
      <c r="C54" s="424">
        <f>GETPIVOTDATA("Sum of New-Tot G SCH Calc",'Pivot Table for Fact Book'!$A$3,"State","MD","type",1,"Type2","Four-Year")</f>
        <v>157557</v>
      </c>
      <c r="D54" s="423">
        <f>GETPIVOTDATA("Sum of Old-Tot G SCH Calc",'Pivot Table for Fact Book'!$A$3,"State","MD","type",2,"Type2","Four-Year")</f>
        <v>60689</v>
      </c>
      <c r="E54" s="424">
        <f>GETPIVOTDATA("Sum of New-Tot G SCH Calc",'Pivot Table for Fact Book'!$A$3,"State","MD","type",2,"Type2","Four-Year")</f>
        <v>58831</v>
      </c>
      <c r="F54" s="423">
        <f>GETPIVOTDATA("Sum of Old-Tot G SCH Calc",'Pivot Table for Fact Book'!$A$3,"State","MD","type",3,"Type2","Four-Year")</f>
        <v>95647</v>
      </c>
      <c r="G54" s="424">
        <f>GETPIVOTDATA("Sum of New-Tot G SCH Calc",'Pivot Table for Fact Book'!$A$3,"State","MD","type",3,"Type2","Four-Year")</f>
        <v>92396</v>
      </c>
      <c r="H54" s="423">
        <f>GETPIVOTDATA("Sum of Old-Tot G SCH Calc",'Pivot Table for Fact Book'!$A$3,"State","MD","type",4,"Type2","Four-Year")</f>
        <v>65072</v>
      </c>
      <c r="I54" s="424">
        <f>GETPIVOTDATA("Sum of New-Tot G SCH Calc",'Pivot Table for Fact Book'!$A$3,"State","MD","type",4,"Type2","Four-Year")</f>
        <v>59868</v>
      </c>
      <c r="J54" s="423">
        <f>GETPIVOTDATA("Sum of Old-Tot G SCH Calc",'Pivot Table for Fact Book'!$A$3,"State","MD","type",5,"Type2","Four-Year")</f>
        <v>5952</v>
      </c>
      <c r="K54" s="424">
        <f>GETPIVOTDATA("Sum of New-Tot G SCH Calc",'Pivot Table for Fact Book'!$A$3,"State","MD","type",5,"Type2","Four-Year")</f>
        <v>5570</v>
      </c>
      <c r="L54" s="423">
        <f>GETPIVOTDATA("Sum of Old-Tot G SCH Calc",'Pivot Table for Fact Book'!$A$3,"State","MD","type",6,"Type2","Four-Year")</f>
        <v>1340</v>
      </c>
      <c r="M54" s="424">
        <f>GETPIVOTDATA("Sum of New-Tot G SCH Calc",'Pivot Table for Fact Book'!$A$3,"State","MD","type",6,"Type2","Four-Year")</f>
        <v>1356</v>
      </c>
      <c r="N54" s="423">
        <f>GETPIVOTDATA("Sum of Old-Tot G SCH Calc",'Pivot Table for Fact Book'!$A$3,"State","MD","type",15,"Type2","Four-Year")</f>
        <v>220464</v>
      </c>
      <c r="O54" s="424">
        <f>GETPIVOTDATA("Sum of New-Tot G SCH Calc",'Pivot Table for Fact Book'!$A$3,"State","MD","type",15,"Type2","Four-Year")</f>
        <v>233210</v>
      </c>
      <c r="P54" s="425">
        <f>GETPIVOTDATA("Sum of Old-Tot G SCH Calc",'Pivot Table for Fact Book'!$A$3,"State","MD","Type2","Four-Year")</f>
        <v>606636.16999999993</v>
      </c>
      <c r="Q54" s="425">
        <f>GETPIVOTDATA("Sum of New-Tot G SCH Calc",'Pivot Table for Fact Book'!$A$3,"State","MD","Type2","Four-Year")</f>
        <v>608788</v>
      </c>
      <c r="AH54" s="430"/>
    </row>
    <row r="55" spans="1:34">
      <c r="A55" s="398" t="s">
        <v>902</v>
      </c>
      <c r="B55" s="423">
        <f>GETPIVOTDATA("Sum of Old-Tot G SCH Calc",'Pivot Table for Fact Book'!$A$3,"State","MS","type",1,"Type2","Four-Year")</f>
        <v>105343</v>
      </c>
      <c r="C55" s="424">
        <f>GETPIVOTDATA("Sum of New-Tot G SCH Calc",'Pivot Table for Fact Book'!$A$3,"State","MS","type",1,"Type2","Four-Year")</f>
        <v>108107</v>
      </c>
      <c r="D55" s="423">
        <f>GETPIVOTDATA("Sum of Old-Tot G SCH Calc",'Pivot Table for Fact Book'!$A$3,"State","MS","type",2,"Type2","Four-Year")</f>
        <v>99623</v>
      </c>
      <c r="E55" s="424">
        <f>GETPIVOTDATA("Sum of New-Tot G SCH Calc",'Pivot Table for Fact Book'!$A$3,"State","MS","type",2,"Type2","Four-Year")</f>
        <v>99745</v>
      </c>
      <c r="F55" s="423">
        <f>GETPIVOTDATA("Sum of Old-Tot G SCH Calc",'Pivot Table for Fact Book'!$A$3,"State","MS","type",3,"Type2","Four-Year")</f>
        <v>0</v>
      </c>
      <c r="G55" s="424">
        <f>GETPIVOTDATA("Sum of New-Tot G SCH Calc",'Pivot Table for Fact Book'!$A$3,"State","MS","type",3,"Type2","Four-Year")</f>
        <v>0</v>
      </c>
      <c r="H55" s="423">
        <f>GETPIVOTDATA("Sum of Old-Tot G SCH Calc",'Pivot Table for Fact Book'!$A$3,"State","MS","type",4,"Type2","Four-Year")</f>
        <v>40508</v>
      </c>
      <c r="I55" s="424">
        <f>GETPIVOTDATA("Sum of New-Tot G SCH Calc",'Pivot Table for Fact Book'!$A$3,"State","MS","type",4,"Type2","Four-Year")</f>
        <v>40819</v>
      </c>
      <c r="J55" s="423">
        <f>GETPIVOTDATA("Sum of Old-Tot G SCH Calc",'Pivot Table for Fact Book'!$A$3,"State","MS","type",5,"Type2","Four-Year")</f>
        <v>4154</v>
      </c>
      <c r="K55" s="424">
        <f>GETPIVOTDATA("Sum of New-Tot G SCH Calc",'Pivot Table for Fact Book'!$A$3,"State","MS","type",5,"Type2","Four-Year")</f>
        <v>4839</v>
      </c>
      <c r="L55" s="423">
        <f>GETPIVOTDATA("Sum of Old-Tot G SCH Calc",'Pivot Table for Fact Book'!$A$3,"State","MS","type",6,"Type2","Four-Year")</f>
        <v>0</v>
      </c>
      <c r="M55" s="424">
        <f>GETPIVOTDATA("Sum of New-Tot G SCH Calc",'Pivot Table for Fact Book'!$A$3,"State","MS","type",6,"Type2","Four-Year")</f>
        <v>0</v>
      </c>
      <c r="N55" s="423">
        <f>GETPIVOTDATA("Sum of Old-Tot G SCH Calc",'Pivot Table for Fact Book'!$A$3,"State","MS","type",15,"Type2","Four-Year")</f>
        <v>0</v>
      </c>
      <c r="O55" s="424">
        <f>GETPIVOTDATA("Sum of New-Tot G SCH Calc",'Pivot Table for Fact Book'!$A$3,"State","MS","type",15,"Type2","Four-Year")</f>
        <v>0</v>
      </c>
      <c r="P55" s="425">
        <f>GETPIVOTDATA("Sum of Old-Tot G SCH Calc",'Pivot Table for Fact Book'!$A$3,"State","MS","Type2","Four-Year")</f>
        <v>249628</v>
      </c>
      <c r="Q55" s="425">
        <f>GETPIVOTDATA("Sum of New-Tot G SCH Calc",'Pivot Table for Fact Book'!$A$3,"State","MS","Type2","Four-Year")</f>
        <v>253510</v>
      </c>
      <c r="AH55" s="430"/>
    </row>
    <row r="56" spans="1:34">
      <c r="A56" s="398" t="s">
        <v>903</v>
      </c>
      <c r="B56" s="423">
        <f>GETPIVOTDATA("Sum of Old-Tot G SCH Calc",'Pivot Table for Fact Book'!$A$3,"State","NC","type",1,"Type2","Four-Year")</f>
        <v>479020</v>
      </c>
      <c r="C56" s="424">
        <f>GETPIVOTDATA("Sum of New-Tot G SCH Calc",'Pivot Table for Fact Book'!$A$3,"State","NC","type",1,"Type2","Four-Year")</f>
        <v>473795</v>
      </c>
      <c r="D56" s="423">
        <f>GETPIVOTDATA("Sum of Old-Tot G SCH Calc",'Pivot Table for Fact Book'!$A$3,"State","NC","type",2,"Type2","Four-Year")</f>
        <v>80537</v>
      </c>
      <c r="E56" s="424">
        <f>GETPIVOTDATA("Sum of New-Tot G SCH Calc",'Pivot Table for Fact Book'!$A$3,"State","NC","type",2,"Type2","Four-Year")</f>
        <v>80701</v>
      </c>
      <c r="F56" s="423">
        <f>GETPIVOTDATA("Sum of Old-Tot G SCH Calc",'Pivot Table for Fact Book'!$A$3,"State","NC","type",3,"Type2","Four-Year")</f>
        <v>155990</v>
      </c>
      <c r="G56" s="424">
        <f>GETPIVOTDATA("Sum of New-Tot G SCH Calc",'Pivot Table for Fact Book'!$A$3,"State","NC","type",3,"Type2","Four-Year")</f>
        <v>158538</v>
      </c>
      <c r="H56" s="423">
        <f>GETPIVOTDATA("Sum of Old-Tot G SCH Calc",'Pivot Table for Fact Book'!$A$3,"State","NC","type",4,"Type2","Four-Year")</f>
        <v>10098</v>
      </c>
      <c r="I56" s="424">
        <f>GETPIVOTDATA("Sum of New-Tot G SCH Calc",'Pivot Table for Fact Book'!$A$3,"State","NC","type",4,"Type2","Four-Year")</f>
        <v>12527</v>
      </c>
      <c r="J56" s="423">
        <f>GETPIVOTDATA("Sum of Old-Tot G SCH Calc",'Pivot Table for Fact Book'!$A$3,"State","NC","type",5,"Type2","Four-Year")</f>
        <v>22719</v>
      </c>
      <c r="K56" s="424">
        <f>GETPIVOTDATA("Sum of New-Tot G SCH Calc",'Pivot Table for Fact Book'!$A$3,"State","NC","type",5,"Type2","Four-Year")</f>
        <v>22776</v>
      </c>
      <c r="L56" s="423">
        <f>GETPIVOTDATA("Sum of Old-Tot G SCH Calc",'Pivot Table for Fact Book'!$A$3,"State","NC","type",6,"Type2","Four-Year")</f>
        <v>1157</v>
      </c>
      <c r="M56" s="424">
        <f>GETPIVOTDATA("Sum of New-Tot G SCH Calc",'Pivot Table for Fact Book'!$A$3,"State","NC","type",6,"Type2","Four-Year")</f>
        <v>923</v>
      </c>
      <c r="N56" s="423">
        <f>GETPIVOTDATA("Sum of Old-Tot G SCH Calc",'Pivot Table for Fact Book'!$A$3,"State","NC","type",15,"Type2","Four-Year")</f>
        <v>0</v>
      </c>
      <c r="O56" s="424">
        <f>GETPIVOTDATA("Sum of New-Tot G SCH Calc",'Pivot Table for Fact Book'!$A$3,"State","NC","type",15,"Type2","Four-Year")</f>
        <v>0</v>
      </c>
      <c r="P56" s="425">
        <f>GETPIVOTDATA("Sum of Old-Tot G SCH Calc",'Pivot Table for Fact Book'!$A$3,"State","NC","Type2","Four-Year")</f>
        <v>749521</v>
      </c>
      <c r="Q56" s="425">
        <f>GETPIVOTDATA("Sum of New-Tot G SCH Calc",'Pivot Table for Fact Book'!$A$3,"State","NC","Type2","Four-Year")</f>
        <v>749260</v>
      </c>
      <c r="AH56" s="430"/>
    </row>
    <row r="57" spans="1:34">
      <c r="A57" s="398" t="s">
        <v>904</v>
      </c>
      <c r="B57" s="423">
        <f>GETPIVOTDATA("Sum of Old-Tot G SCH Calc",'Pivot Table for Fact Book'!$A$3,"State","OK","type",1,"Type2","Four-Year")</f>
        <v>296080</v>
      </c>
      <c r="C57" s="424">
        <f>GETPIVOTDATA("Sum of New-Tot G SCH Calc",'Pivot Table for Fact Book'!$A$3,"State","OK","type",1,"Type2","Four-Year")</f>
        <v>235608</v>
      </c>
      <c r="D57" s="423">
        <f>GETPIVOTDATA("Sum of Old-Tot G SCH Calc",'Pivot Table for Fact Book'!$A$3,"State","OK","type",2,"Type2","Four-Year")</f>
        <v>0</v>
      </c>
      <c r="E57" s="424">
        <f>GETPIVOTDATA("Sum of New-Tot G SCH Calc",'Pivot Table for Fact Book'!$A$3,"State","OK","type",2,"Type2","Four-Year")</f>
        <v>0</v>
      </c>
      <c r="F57" s="423">
        <f>GETPIVOTDATA("Sum of Old-Tot G SCH Calc",'Pivot Table for Fact Book'!$A$3,"State","OK","type",3,"Type2","Four-Year")</f>
        <v>49168</v>
      </c>
      <c r="G57" s="424">
        <f>GETPIVOTDATA("Sum of New-Tot G SCH Calc",'Pivot Table for Fact Book'!$A$3,"State","OK","type",3,"Type2","Four-Year")</f>
        <v>47254</v>
      </c>
      <c r="H57" s="423">
        <f>GETPIVOTDATA("Sum of Old-Tot G SCH Calc",'Pivot Table for Fact Book'!$A$3,"State","OK","type",4,"Type2","Four-Year")</f>
        <v>7840</v>
      </c>
      <c r="I57" s="424">
        <f>GETPIVOTDATA("Sum of New-Tot G SCH Calc",'Pivot Table for Fact Book'!$A$3,"State","OK","type",4,"Type2","Four-Year")</f>
        <v>8588</v>
      </c>
      <c r="J57" s="423">
        <f>GETPIVOTDATA("Sum of Old-Tot G SCH Calc",'Pivot Table for Fact Book'!$A$3,"State","OK","type",5,"Type2","Four-Year")</f>
        <v>41315</v>
      </c>
      <c r="K57" s="424">
        <f>GETPIVOTDATA("Sum of New-Tot G SCH Calc",'Pivot Table for Fact Book'!$A$3,"State","OK","type",5,"Type2","Four-Year")</f>
        <v>43342</v>
      </c>
      <c r="L57" s="423">
        <f>GETPIVOTDATA("Sum of Old-Tot G SCH Calc",'Pivot Table for Fact Book'!$A$3,"State","OK","type",6,"Type2","Four-Year")</f>
        <v>261</v>
      </c>
      <c r="M57" s="424">
        <f>GETPIVOTDATA("Sum of New-Tot G SCH Calc",'Pivot Table for Fact Book'!$A$3,"State","OK","type",6,"Type2","Four-Year")</f>
        <v>474</v>
      </c>
      <c r="N57" s="423">
        <f>GETPIVOTDATA("Sum of Old-Tot G SCH Calc",'Pivot Table for Fact Book'!$A$3,"State","OK","type",15,"Type2","Four-Year")</f>
        <v>0</v>
      </c>
      <c r="O57" s="424">
        <f>GETPIVOTDATA("Sum of New-Tot G SCH Calc",'Pivot Table for Fact Book'!$A$3,"State","OK","type",15,"Type2","Four-Year")</f>
        <v>0</v>
      </c>
      <c r="P57" s="425">
        <f>GETPIVOTDATA("Sum of Old-Tot G SCH Calc",'Pivot Table for Fact Book'!$A$3,"State","OK","Type2","Four-Year")</f>
        <v>394664</v>
      </c>
      <c r="Q57" s="425">
        <f>GETPIVOTDATA("Sum of New-Tot G SCH Calc",'Pivot Table for Fact Book'!$A$3,"State","OK","Type2","Four-Year")</f>
        <v>335266</v>
      </c>
      <c r="AH57" s="430"/>
    </row>
    <row r="58" spans="1:34">
      <c r="A58" s="398" t="s">
        <v>905</v>
      </c>
      <c r="B58" s="423">
        <f>GETPIVOTDATA("Sum of Old-Tot G SCH Calc",'Pivot Table for Fact Book'!$A$3,"State","SC","type",1,"Type2","Four-Year")</f>
        <v>324774</v>
      </c>
      <c r="C58" s="424">
        <f>GETPIVOTDATA("Sum of New-Tot G SCH Calc",'Pivot Table for Fact Book'!$A$3,"State","SC","type",1,"Type2","Four-Year")</f>
        <v>323273</v>
      </c>
      <c r="D58" s="423">
        <f>GETPIVOTDATA("Sum of Old-Tot G SCH Calc",'Pivot Table for Fact Book'!$A$3,"State","SC","type",2,"Type2","Four-Year")</f>
        <v>0</v>
      </c>
      <c r="E58" s="424">
        <f>GETPIVOTDATA("Sum of New-Tot G SCH Calc",'Pivot Table for Fact Book'!$A$3,"State","SC","type",2,"Type2","Four-Year")</f>
        <v>0</v>
      </c>
      <c r="F58" s="423">
        <f>GETPIVOTDATA("Sum of Old-Tot G SCH Calc",'Pivot Table for Fact Book'!$A$3,"State","SC","type",3,"Type2","Four-Year")</f>
        <v>52812.5</v>
      </c>
      <c r="G58" s="424">
        <f>GETPIVOTDATA("Sum of New-Tot G SCH Calc",'Pivot Table for Fact Book'!$A$3,"State","SC","type",3,"Type2","Four-Year")</f>
        <v>51289</v>
      </c>
      <c r="H58" s="423">
        <f>GETPIVOTDATA("Sum of Old-Tot G SCH Calc",'Pivot Table for Fact Book'!$A$3,"State","SC","type",4,"Type2","Four-Year")</f>
        <v>0</v>
      </c>
      <c r="I58" s="424">
        <f>GETPIVOTDATA("Sum of New-Tot G SCH Calc",'Pivot Table for Fact Book'!$A$3,"State","SC","type",4,"Type2","Four-Year")</f>
        <v>0</v>
      </c>
      <c r="J58" s="423">
        <f>GETPIVOTDATA("Sum of Old-Tot G SCH Calc",'Pivot Table for Fact Book'!$A$3,"State","SC","type",5,"Type2","Four-Year")</f>
        <v>26703</v>
      </c>
      <c r="K58" s="424">
        <f>GETPIVOTDATA("Sum of New-Tot G SCH Calc",'Pivot Table for Fact Book'!$A$3,"State","SC","type",5,"Type2","Four-Year")</f>
        <v>26951</v>
      </c>
      <c r="L58" s="423">
        <f>GETPIVOTDATA("Sum of Old-Tot G SCH Calc",'Pivot Table for Fact Book'!$A$3,"State","SC","type",6,"Type2","Four-Year")</f>
        <v>154450</v>
      </c>
      <c r="M58" s="424">
        <f>GETPIVOTDATA("Sum of New-Tot G SCH Calc",'Pivot Table for Fact Book'!$A$3,"State","SC","type",6,"Type2","Four-Year")</f>
        <v>5228</v>
      </c>
      <c r="N58" s="423">
        <f>GETPIVOTDATA("Sum of Old-Tot G SCH Calc",'Pivot Table for Fact Book'!$A$3,"State","SC","type",15,"Type2","Four-Year")</f>
        <v>0</v>
      </c>
      <c r="O58" s="424">
        <f>GETPIVOTDATA("Sum of New-Tot G SCH Calc",'Pivot Table for Fact Book'!$A$3,"State","SC","type",15,"Type2","Four-Year")</f>
        <v>0</v>
      </c>
      <c r="P58" s="425">
        <f>GETPIVOTDATA("Sum of Old-Tot G SCH Calc",'Pivot Table for Fact Book'!$A$3,"State","SC","Type2","Four-Year")</f>
        <v>558739.5</v>
      </c>
      <c r="Q58" s="425">
        <f>GETPIVOTDATA("Sum of New-Tot G SCH Calc",'Pivot Table for Fact Book'!$A$3,"State","SC","Type2","Four-Year")</f>
        <v>406741</v>
      </c>
      <c r="AH58" s="430"/>
    </row>
    <row r="59" spans="1:34">
      <c r="A59" s="398" t="s">
        <v>906</v>
      </c>
      <c r="B59" s="423">
        <f>GETPIVOTDATA("Sum of Old-Tot G SCH Calc",'Pivot Table for Fact Book'!$A$3,"State","TN","type",1,"Type2","Four-Year")</f>
        <v>150175.5</v>
      </c>
      <c r="C59" s="424">
        <f>GETPIVOTDATA("Sum of New-Tot G SCH Calc",'Pivot Table for Fact Book'!$A$3,"State","TN","type",1,"Type2","Four-Year")</f>
        <v>150260</v>
      </c>
      <c r="D59" s="423">
        <f>GETPIVOTDATA("Sum of Old-Tot G SCH Calc",'Pivot Table for Fact Book'!$A$3,"State","TN","type",2,"Type2","Four-Year")</f>
        <v>71650</v>
      </c>
      <c r="E59" s="424">
        <f>GETPIVOTDATA("Sum of New-Tot G SCH Calc",'Pivot Table for Fact Book'!$A$3,"State","TN","type",2,"Type2","Four-Year")</f>
        <v>67953</v>
      </c>
      <c r="F59" s="423">
        <f>GETPIVOTDATA("Sum of Old-Tot G SCH Calc",'Pivot Table for Fact Book'!$A$3,"State","TN","type",3,"Type2","Four-Year")</f>
        <v>90610</v>
      </c>
      <c r="G59" s="424">
        <f>GETPIVOTDATA("Sum of New-Tot G SCH Calc",'Pivot Table for Fact Book'!$A$3,"State","TN","type",3,"Type2","Four-Year")</f>
        <v>90572</v>
      </c>
      <c r="H59" s="423">
        <f>GETPIVOTDATA("Sum of Old-Tot G SCH Calc",'Pivot Table for Fact Book'!$A$3,"State","TN","type",4,"Type2","Four-Year")</f>
        <v>0</v>
      </c>
      <c r="I59" s="424">
        <f>GETPIVOTDATA("Sum of New-Tot G SCH Calc",'Pivot Table for Fact Book'!$A$3,"State","TN","type",4,"Type2","Four-Year")</f>
        <v>0</v>
      </c>
      <c r="J59" s="423">
        <f>GETPIVOTDATA("Sum of Old-Tot G SCH Calc",'Pivot Table for Fact Book'!$A$3,"State","TN","type",5,"Type2","Four-Year")</f>
        <v>5859</v>
      </c>
      <c r="K59" s="424">
        <f>GETPIVOTDATA("Sum of New-Tot G SCH Calc",'Pivot Table for Fact Book'!$A$3,"State","TN","type",5,"Type2","Four-Year")</f>
        <v>6169</v>
      </c>
      <c r="L59" s="423">
        <f>GETPIVOTDATA("Sum of Old-Tot G SCH Calc",'Pivot Table for Fact Book'!$A$3,"State","TN","type",6,"Type2","Four-Year")</f>
        <v>0</v>
      </c>
      <c r="M59" s="424">
        <f>GETPIVOTDATA("Sum of New-Tot G SCH Calc",'Pivot Table for Fact Book'!$A$3,"State","TN","type",6,"Type2","Four-Year")</f>
        <v>0</v>
      </c>
      <c r="N59" s="423">
        <f>GETPIVOTDATA("Sum of Old-Tot G SCH Calc",'Pivot Table for Fact Book'!$A$3,"State","TN","type",15,"Type2","Four-Year")</f>
        <v>0</v>
      </c>
      <c r="O59" s="424">
        <f>GETPIVOTDATA("Sum of New-Tot G SCH Calc",'Pivot Table for Fact Book'!$A$3,"State","TN","type",15,"Type2","Four-Year")</f>
        <v>0</v>
      </c>
      <c r="P59" s="425">
        <f>GETPIVOTDATA("Sum of Old-Tot G SCH Calc",'Pivot Table for Fact Book'!$A$3,"State","TN","Type2","Four-Year")</f>
        <v>318294.5</v>
      </c>
      <c r="Q59" s="425">
        <f>GETPIVOTDATA("Sum of New-Tot G SCH Calc",'Pivot Table for Fact Book'!$A$3,"State","TN","Type2","Four-Year")</f>
        <v>314954</v>
      </c>
      <c r="AH59" s="430"/>
    </row>
    <row r="60" spans="1:34">
      <c r="A60" s="398" t="s">
        <v>907</v>
      </c>
      <c r="B60" s="423">
        <f>GETPIVOTDATA("Sum of Old-Tot G SCH Calc",'Pivot Table for Fact Book'!$A$3,"State","TX","type",1,"Type2","Four-Year")</f>
        <v>1270071</v>
      </c>
      <c r="C60" s="424">
        <f>GETPIVOTDATA("Sum of New-Tot G SCH Calc",'Pivot Table for Fact Book'!$A$3,"State","TX","type",1,"Type2","Four-Year")</f>
        <v>1300226</v>
      </c>
      <c r="D60" s="423">
        <f>GETPIVOTDATA("Sum of Old-Tot G SCH Calc",'Pivot Table for Fact Book'!$A$3,"State","TX","type",2,"Type2","Four-Year")</f>
        <v>221374</v>
      </c>
      <c r="E60" s="424">
        <f>GETPIVOTDATA("Sum of New-Tot G SCH Calc",'Pivot Table for Fact Book'!$A$3,"State","TX","type",2,"Type2","Four-Year")</f>
        <v>223574</v>
      </c>
      <c r="F60" s="423">
        <f>GETPIVOTDATA("Sum of Old-Tot G SCH Calc",'Pivot Table for Fact Book'!$A$3,"State","TX","type",3,"Type2","Four-Year")</f>
        <v>712472</v>
      </c>
      <c r="G60" s="424">
        <f>GETPIVOTDATA("Sum of New-Tot G SCH Calc",'Pivot Table for Fact Book'!$A$3,"State","TX","type",3,"Type2","Four-Year")</f>
        <v>713226</v>
      </c>
      <c r="H60" s="423">
        <f>GETPIVOTDATA("Sum of Old-Tot G SCH Calc",'Pivot Table for Fact Book'!$A$3,"State","TX","type",4,"Type2","Four-Year")</f>
        <v>33053</v>
      </c>
      <c r="I60" s="424">
        <f>GETPIVOTDATA("Sum of New-Tot G SCH Calc",'Pivot Table for Fact Book'!$A$3,"State","TX","type",4,"Type2","Four-Year")</f>
        <v>34373</v>
      </c>
      <c r="J60" s="423">
        <f>GETPIVOTDATA("Sum of Old-Tot G SCH Calc",'Pivot Table for Fact Book'!$A$3,"State","TX","type",5,"Type2","Four-Year")</f>
        <v>34861</v>
      </c>
      <c r="K60" s="424">
        <f>GETPIVOTDATA("Sum of New-Tot G SCH Calc",'Pivot Table for Fact Book'!$A$3,"State","TX","type",5,"Type2","Four-Year")</f>
        <v>40465</v>
      </c>
      <c r="L60" s="423">
        <f>GETPIVOTDATA("Sum of Old-Tot G SCH Calc",'Pivot Table for Fact Book'!$A$3,"State","TX","type",6,"Type2","Four-Year")</f>
        <v>0</v>
      </c>
      <c r="M60" s="424">
        <f>GETPIVOTDATA("Sum of New-Tot G SCH Calc",'Pivot Table for Fact Book'!$A$3,"State","TX","type",6,"Type2","Four-Year")</f>
        <v>0</v>
      </c>
      <c r="N60" s="423">
        <f>GETPIVOTDATA("Sum of Old-Tot G SCH Calc",'Pivot Table for Fact Book'!$A$3,"State","TX","type",15,"Type2","Four-Year")</f>
        <v>0</v>
      </c>
      <c r="O60" s="424">
        <f>GETPIVOTDATA("Sum of New-Tot G SCH Calc",'Pivot Table for Fact Book'!$A$3,"State","TX","type",15,"Type2","Four-Year")</f>
        <v>0</v>
      </c>
      <c r="P60" s="425">
        <f>GETPIVOTDATA("Sum of Old-Tot G SCH Calc",'Pivot Table for Fact Book'!$A$3,"State","TX","Type2","Four-Year")</f>
        <v>2271831</v>
      </c>
      <c r="Q60" s="425">
        <f>GETPIVOTDATA("Sum of New-Tot G SCH Calc",'Pivot Table for Fact Book'!$A$3,"State","TX","Type2","Four-Year")</f>
        <v>2311864</v>
      </c>
      <c r="AH60" s="430"/>
    </row>
    <row r="61" spans="1:34">
      <c r="A61" s="398" t="s">
        <v>908</v>
      </c>
      <c r="B61" s="423">
        <f>GETPIVOTDATA("Sum of Old-Tot G SCH Calc",'Pivot Table for Fact Book'!$A$3,"State","VA","type",1,"Type2","Four-Year")</f>
        <v>690825.5</v>
      </c>
      <c r="C61" s="424">
        <f>GETPIVOTDATA("Sum of New-Tot G SCH Calc",'Pivot Table for Fact Book'!$A$3,"State","VA","type",1,"Type2","Four-Year")</f>
        <v>693893.3</v>
      </c>
      <c r="D61" s="423">
        <f>GETPIVOTDATA("Sum of Old-Tot G SCH Calc",'Pivot Table for Fact Book'!$A$3,"State","VA","type",2,"Type2","Four-Year")</f>
        <v>54717</v>
      </c>
      <c r="E61" s="424">
        <f>GETPIVOTDATA("Sum of New-Tot G SCH Calc",'Pivot Table for Fact Book'!$A$3,"State","VA","type",2,"Type2","Four-Year")</f>
        <v>57893</v>
      </c>
      <c r="F61" s="423">
        <f>GETPIVOTDATA("Sum of Old-Tot G SCH Calc",'Pivot Table for Fact Book'!$A$3,"State","VA","type",3,"Type2","Four-Year")</f>
        <v>87336.4</v>
      </c>
      <c r="G61" s="424">
        <f>GETPIVOTDATA("Sum of New-Tot G SCH Calc",'Pivot Table for Fact Book'!$A$3,"State","VA","type",3,"Type2","Four-Year")</f>
        <v>86825</v>
      </c>
      <c r="H61" s="423">
        <f>GETPIVOTDATA("Sum of Old-Tot G SCH Calc",'Pivot Table for Fact Book'!$A$3,"State","VA","type",4,"Type2","Four-Year")</f>
        <v>0</v>
      </c>
      <c r="I61" s="424">
        <f>GETPIVOTDATA("Sum of New-Tot G SCH Calc",'Pivot Table for Fact Book'!$A$3,"State","VA","type",4,"Type2","Four-Year")</f>
        <v>0</v>
      </c>
      <c r="J61" s="423">
        <f>GETPIVOTDATA("Sum of Old-Tot G SCH Calc",'Pivot Table for Fact Book'!$A$3,"State","VA","type",5,"Type2","Four-Year")</f>
        <v>3282</v>
      </c>
      <c r="K61" s="424">
        <f>GETPIVOTDATA("Sum of New-Tot G SCH Calc",'Pivot Table for Fact Book'!$A$3,"State","VA","type",5,"Type2","Four-Year")</f>
        <v>3280</v>
      </c>
      <c r="L61" s="423">
        <f>GETPIVOTDATA("Sum of Old-Tot G SCH Calc",'Pivot Table for Fact Book'!$A$3,"State","VA","type",6,"Type2","Four-Year")</f>
        <v>0</v>
      </c>
      <c r="M61" s="424">
        <f>GETPIVOTDATA("Sum of New-Tot G SCH Calc",'Pivot Table for Fact Book'!$A$3,"State","VA","type",6,"Type2","Four-Year")</f>
        <v>0</v>
      </c>
      <c r="N61" s="423">
        <f>GETPIVOTDATA("Sum of Old-Tot G SCH Calc",'Pivot Table for Fact Book'!$A$3,"State","VA","type",15,"Type2","Four-Year")</f>
        <v>0</v>
      </c>
      <c r="O61" s="424">
        <f>GETPIVOTDATA("Sum of New-Tot G SCH Calc",'Pivot Table for Fact Book'!$A$3,"State","VA","type",15,"Type2","Four-Year")</f>
        <v>0</v>
      </c>
      <c r="P61" s="425">
        <f>GETPIVOTDATA("Sum of Old-Tot G SCH Calc",'Pivot Table for Fact Book'!$A$3,"State","VA","Type2","Four-Year")</f>
        <v>836160.9</v>
      </c>
      <c r="Q61" s="425">
        <f>GETPIVOTDATA("Sum of New-Tot G SCH Calc",'Pivot Table for Fact Book'!$A$3,"State","VA","Type2","Four-Year")</f>
        <v>841891.3</v>
      </c>
      <c r="AH61" s="430"/>
    </row>
    <row r="62" spans="1:34">
      <c r="A62" s="431" t="s">
        <v>909</v>
      </c>
      <c r="B62" s="432">
        <f>GETPIVOTDATA("Sum of Old-Tot G SCH Calc",'Pivot Table for Fact Book'!$A$3,"State","WV","type",1,"Type2","Four-Year")</f>
        <v>98656</v>
      </c>
      <c r="C62" s="433">
        <f>GETPIVOTDATA("Sum of New-Tot G SCH Calc",'Pivot Table for Fact Book'!$A$3,"State","WV","type",1,"Type2","Four-Year")</f>
        <v>94979</v>
      </c>
      <c r="D62" s="432">
        <f>GETPIVOTDATA("Sum of Old-Tot G SCH Calc",'Pivot Table for Fact Book'!$A$3,"State","WV","type",2,"Type2","Four-Year")</f>
        <v>0</v>
      </c>
      <c r="E62" s="433">
        <f>GETPIVOTDATA("Sum of New-Tot G SCH Calc",'Pivot Table for Fact Book'!$A$3,"State","WV","type",2,"Type2","Four-Year")</f>
        <v>0</v>
      </c>
      <c r="F62" s="432">
        <f>GETPIVOTDATA("Sum of Old-Tot G SCH Calc",'Pivot Table for Fact Book'!$A$3,"State","WV","type",3,"Type2","Four-Year")</f>
        <v>65963</v>
      </c>
      <c r="G62" s="433">
        <f>GETPIVOTDATA("Sum of New-Tot G SCH Calc",'Pivot Table for Fact Book'!$A$3,"State","WV","type",3,"Type2","Four-Year")</f>
        <v>70208</v>
      </c>
      <c r="H62" s="432">
        <f>GETPIVOTDATA("Sum of Old-Tot G SCH Calc",'Pivot Table for Fact Book'!$A$3,"State","WV","type",4,"Type2","Four-Year")</f>
        <v>0</v>
      </c>
      <c r="I62" s="433">
        <f>GETPIVOTDATA("Sum of New-Tot G SCH Calc",'Pivot Table for Fact Book'!$A$3,"State","WV","type",4,"Type2","Four-Year")</f>
        <v>0</v>
      </c>
      <c r="J62" s="432">
        <f>GETPIVOTDATA("Sum of Old-Tot G SCH Calc",'Pivot Table for Fact Book'!$A$3,"State","WV","type",5,"Type2","Four-Year")</f>
        <v>18558</v>
      </c>
      <c r="K62" s="433">
        <f>GETPIVOTDATA("Sum of New-Tot G SCH Calc",'Pivot Table for Fact Book'!$A$3,"State","WV","type",5,"Type2","Four-Year")</f>
        <v>19948</v>
      </c>
      <c r="L62" s="432">
        <f>GETPIVOTDATA("Sum of Old-Tot G SCH Calc",'Pivot Table for Fact Book'!$A$3,"State","WV","type",6,"Type2","Four-Year")</f>
        <v>855</v>
      </c>
      <c r="M62" s="433">
        <f>GETPIVOTDATA("Sum of New-Tot G SCH Calc",'Pivot Table for Fact Book'!$A$3,"State","WV","type",6,"Type2","Four-Year")</f>
        <v>1265</v>
      </c>
      <c r="N62" s="432">
        <f>GETPIVOTDATA("Sum of Old-Tot G SCH Calc",'Pivot Table for Fact Book'!$A$3,"State","WV","type",15,"Type2","Four-Year")</f>
        <v>0</v>
      </c>
      <c r="O62" s="433">
        <f>GETPIVOTDATA("Sum of New-Tot G SCH Calc",'Pivot Table for Fact Book'!$A$3,"State","WV","type",15,"Type2","Four-Year")</f>
        <v>0</v>
      </c>
      <c r="P62" s="434">
        <f>GETPIVOTDATA("Sum of Old-Tot G SCH Calc",'Pivot Table for Fact Book'!$A$3,"State","WV","Type2","Four-Year")</f>
        <v>184032</v>
      </c>
      <c r="Q62" s="434">
        <f>GETPIVOTDATA("Sum of New-Tot G SCH Calc",'Pivot Table for Fact Book'!$A$3,"State","WV","Type2","Four-Year")</f>
        <v>186400</v>
      </c>
      <c r="AH62" s="430"/>
    </row>
    <row r="64" spans="1:34">
      <c r="A64" s="438" t="s">
        <v>912</v>
      </c>
    </row>
    <row r="65" spans="1:34">
      <c r="A65" s="445"/>
      <c r="B65" s="399" t="s">
        <v>890</v>
      </c>
      <c r="C65" s="400"/>
      <c r="D65" s="400"/>
      <c r="E65" s="400"/>
      <c r="F65" s="400"/>
      <c r="G65" s="400"/>
      <c r="H65" s="400"/>
      <c r="I65" s="400"/>
      <c r="J65" s="400"/>
      <c r="K65" s="400"/>
      <c r="L65" s="400"/>
      <c r="M65" s="400"/>
      <c r="N65" s="400"/>
      <c r="O65" s="400"/>
      <c r="P65" s="400"/>
      <c r="Q65" s="401"/>
    </row>
    <row r="66" spans="1:34">
      <c r="B66" s="407">
        <v>1</v>
      </c>
      <c r="C66" s="408"/>
      <c r="D66" s="407">
        <v>2</v>
      </c>
      <c r="E66" s="408"/>
      <c r="F66" s="407">
        <v>3</v>
      </c>
      <c r="G66" s="408"/>
      <c r="H66" s="407">
        <v>4</v>
      </c>
      <c r="I66" s="408"/>
      <c r="J66" s="407">
        <v>5</v>
      </c>
      <c r="K66" s="408"/>
      <c r="L66" s="407">
        <v>6</v>
      </c>
      <c r="M66" s="408"/>
      <c r="N66" s="407">
        <v>15</v>
      </c>
      <c r="O66" s="408"/>
      <c r="P66" s="407" t="s">
        <v>893</v>
      </c>
      <c r="Q66" s="410"/>
    </row>
    <row r="67" spans="1:34" s="443" customFormat="1">
      <c r="A67" s="441"/>
      <c r="B67" s="416">
        <v>2014</v>
      </c>
      <c r="C67" s="417">
        <v>2015</v>
      </c>
      <c r="D67" s="416">
        <v>2014</v>
      </c>
      <c r="E67" s="417">
        <v>2015</v>
      </c>
      <c r="F67" s="416">
        <v>2014</v>
      </c>
      <c r="G67" s="417">
        <v>2015</v>
      </c>
      <c r="H67" s="416">
        <v>2014</v>
      </c>
      <c r="I67" s="417">
        <v>2015</v>
      </c>
      <c r="J67" s="416">
        <v>2014</v>
      </c>
      <c r="K67" s="417">
        <v>2015</v>
      </c>
      <c r="L67" s="416">
        <v>2014</v>
      </c>
      <c r="M67" s="417">
        <v>2015</v>
      </c>
      <c r="N67" s="416">
        <v>2014</v>
      </c>
      <c r="O67" s="417">
        <v>2015</v>
      </c>
      <c r="P67" s="416">
        <v>2014</v>
      </c>
      <c r="Q67" s="417">
        <v>2015</v>
      </c>
      <c r="AH67" s="442"/>
    </row>
    <row r="68" spans="1:34">
      <c r="A68" s="398" t="s">
        <v>894</v>
      </c>
      <c r="B68" s="423">
        <f>GETPIVOTDATA("Sum of Old G E-Learning",'Pivot Table for Fact Book'!$A$3,"State","AL","type",1,"Type2","Four-Year")</f>
        <v>36551</v>
      </c>
      <c r="C68" s="424">
        <f>GETPIVOTDATA("Sum of New G E-Learning",'Pivot Table for Fact Book'!$A$3,"State","AL","type",1,"Type2","Four-Year")</f>
        <v>38910</v>
      </c>
      <c r="D68" s="423">
        <f>GETPIVOTDATA("Sum of Old G E-Learning",'Pivot Table for Fact Book'!$A$3,"State","AL","type",2,"Type2","Four-Year")</f>
        <v>19743</v>
      </c>
      <c r="E68" s="424">
        <f>GETPIVOTDATA("Sum of New G E-Learning",'Pivot Table for Fact Book'!$A$3,"State","AL","type",2,"Type2","Four-Year")</f>
        <v>24408</v>
      </c>
      <c r="F68" s="423">
        <f>GETPIVOTDATA("Sum of Old G E-Learning",'Pivot Table for Fact Book'!$A$3,"State","AL","type",3,"Type2","Four-Year")</f>
        <v>39313</v>
      </c>
      <c r="G68" s="424">
        <f>GETPIVOTDATA("Sum of New G E-Learning",'Pivot Table for Fact Book'!$A$3,"State","AL","type",3,"Type2","Four-Year")</f>
        <v>40329</v>
      </c>
      <c r="H68" s="423">
        <f>GETPIVOTDATA("Sum of Old G E-Learning",'Pivot Table for Fact Book'!$A$3,"State","AL","type",4,"Type2","Four-Year")</f>
        <v>8146</v>
      </c>
      <c r="I68" s="424">
        <f>GETPIVOTDATA("Sum of New G E-Learning",'Pivot Table for Fact Book'!$A$3,"State","AL","type",4,"Type2","Four-Year")</f>
        <v>7661</v>
      </c>
      <c r="J68" s="423">
        <f>GETPIVOTDATA("Sum of Old G E-Learning",'Pivot Table for Fact Book'!$A$3,"State","AL","type",5,"Type2","Four-Year")</f>
        <v>31042</v>
      </c>
      <c r="K68" s="424">
        <f>GETPIVOTDATA("Sum of New G E-Learning",'Pivot Table for Fact Book'!$A$3,"State","AL","type",5,"Type2","Four-Year")</f>
        <v>34899</v>
      </c>
      <c r="L68" s="423">
        <f>GETPIVOTDATA("Sum of Old G E-Learning",'Pivot Table for Fact Book'!$A$3,"State","AL","type",6,"Type2","Four-Year")</f>
        <v>0</v>
      </c>
      <c r="M68" s="424">
        <f>GETPIVOTDATA("Sum of New G E-Learning",'Pivot Table for Fact Book'!$A$3,"State","AL","type",6,"Type2","Four-Year")</f>
        <v>309</v>
      </c>
      <c r="N68" s="423">
        <f>GETPIVOTDATA("Sum of Old G E-Learning",'Pivot Table for Fact Book'!$A$3,"State","AL","type",15,"Type2","Four-Year")</f>
        <v>0</v>
      </c>
      <c r="O68" s="424">
        <f>GETPIVOTDATA("Sum of New G E-Learning",'Pivot Table for Fact Book'!$A$3,"State","AL","type",15,"Type2","Four-Year")</f>
        <v>0</v>
      </c>
      <c r="P68" s="425">
        <f>GETPIVOTDATA("Sum of Old G E-Learning",'Pivot Table for Fact Book'!$A$3,"State","AL","Type2","Four-Year")</f>
        <v>134795</v>
      </c>
      <c r="Q68" s="425">
        <f>GETPIVOTDATA("Sum of New G E-Learning",'Pivot Table for Fact Book'!$A$3,"State","AL","Type2","Four-Year")</f>
        <v>146516</v>
      </c>
      <c r="AH68" s="430"/>
    </row>
    <row r="69" spans="1:34">
      <c r="A69" s="398" t="s">
        <v>895</v>
      </c>
      <c r="B69" s="423">
        <f>GETPIVOTDATA("Sum of Old G E-Learning",'Pivot Table for Fact Book'!$A$3,"State","AR","type",1,"Type2","Four-Year")</f>
        <v>20891</v>
      </c>
      <c r="C69" s="424">
        <f>GETPIVOTDATA("Sum of New G E-Learning",'Pivot Table for Fact Book'!$A$3,"State","AR","type",1,"Type2","Four-Year")</f>
        <v>23669</v>
      </c>
      <c r="D69" s="423">
        <f>GETPIVOTDATA("Sum of Old G E-Learning",'Pivot Table for Fact Book'!$A$3,"State","AR","type",2,"Type2","Four-Year")</f>
        <v>10866</v>
      </c>
      <c r="E69" s="424">
        <f>GETPIVOTDATA("Sum of New G E-Learning",'Pivot Table for Fact Book'!$A$3,"State","AR","type",2,"Type2","Four-Year")</f>
        <v>10157</v>
      </c>
      <c r="F69" s="423">
        <f>GETPIVOTDATA("Sum of Old G E-Learning",'Pivot Table for Fact Book'!$A$3,"State","AR","type",3,"Type2","Four-Year")</f>
        <v>82067</v>
      </c>
      <c r="G69" s="424">
        <f>GETPIVOTDATA("Sum of New G E-Learning",'Pivot Table for Fact Book'!$A$3,"State","AR","type",3,"Type2","Four-Year")</f>
        <v>95571</v>
      </c>
      <c r="H69" s="423">
        <f>GETPIVOTDATA("Sum of Old G E-Learning",'Pivot Table for Fact Book'!$A$3,"State","AR","type",4,"Type2","Four-Year")</f>
        <v>13761</v>
      </c>
      <c r="I69" s="424">
        <f>GETPIVOTDATA("Sum of New G E-Learning",'Pivot Table for Fact Book'!$A$3,"State","AR","type",4,"Type2","Four-Year")</f>
        <v>26143</v>
      </c>
      <c r="J69" s="423">
        <f>GETPIVOTDATA("Sum of Old G E-Learning",'Pivot Table for Fact Book'!$A$3,"State","AR","type",5,"Type2","Four-Year")</f>
        <v>3034</v>
      </c>
      <c r="K69" s="424">
        <f>GETPIVOTDATA("Sum of New G E-Learning",'Pivot Table for Fact Book'!$A$3,"State","AR","type",5,"Type2","Four-Year")</f>
        <v>3774</v>
      </c>
      <c r="L69" s="423">
        <f>GETPIVOTDATA("Sum of Old G E-Learning",'Pivot Table for Fact Book'!$A$3,"State","AR","type",6,"Type2","Four-Year")</f>
        <v>492</v>
      </c>
      <c r="M69" s="424">
        <f>GETPIVOTDATA("Sum of New G E-Learning",'Pivot Table for Fact Book'!$A$3,"State","AR","type",6,"Type2","Four-Year")</f>
        <v>558</v>
      </c>
      <c r="N69" s="423">
        <f>GETPIVOTDATA("Sum of Old G E-Learning",'Pivot Table for Fact Book'!$A$3,"State","AR","type",15,"Type2","Four-Year")</f>
        <v>0</v>
      </c>
      <c r="O69" s="424">
        <f>GETPIVOTDATA("Sum of New G E-Learning",'Pivot Table for Fact Book'!$A$3,"State","AR","type",15,"Type2","Four-Year")</f>
        <v>5090</v>
      </c>
      <c r="P69" s="425">
        <f>GETPIVOTDATA("Sum of Old G E-Learning",'Pivot Table for Fact Book'!$A$3,"State","AR","Type2","Four-Year")</f>
        <v>131111</v>
      </c>
      <c r="Q69" s="425">
        <f>GETPIVOTDATA("Sum of New G E-Learning",'Pivot Table for Fact Book'!$A$3,"State","AR","Type2","Four-Year")</f>
        <v>164962</v>
      </c>
      <c r="AH69" s="430"/>
    </row>
    <row r="70" spans="1:34">
      <c r="A70" s="398" t="s">
        <v>896</v>
      </c>
      <c r="B70" s="423">
        <f>GETPIVOTDATA("Sum of Old G E-Learning",'Pivot Table for Fact Book'!$A$3,"State","DE","type",1,"Type2","Four-Year")</f>
        <v>4556</v>
      </c>
      <c r="C70" s="424">
        <f>GETPIVOTDATA("Sum of New G E-Learning",'Pivot Table for Fact Book'!$A$3,"State","DE","type",1,"Type2","Four-Year")</f>
        <v>5652</v>
      </c>
      <c r="D70" s="423">
        <f>GETPIVOTDATA("Sum of Old G E-Learning",'Pivot Table for Fact Book'!$A$3,"State","DE","type",2,"Type2","Four-Year")</f>
        <v>0</v>
      </c>
      <c r="E70" s="424">
        <f>GETPIVOTDATA("Sum of New G E-Learning",'Pivot Table for Fact Book'!$A$3,"State","DE","type",2,"Type2","Four-Year")</f>
        <v>0</v>
      </c>
      <c r="F70" s="423">
        <f>GETPIVOTDATA("Sum of Old G E-Learning",'Pivot Table for Fact Book'!$A$3,"State","DE","type",3,"Type2","Four-Year")</f>
        <v>258</v>
      </c>
      <c r="G70" s="424">
        <f>GETPIVOTDATA("Sum of New G E-Learning",'Pivot Table for Fact Book'!$A$3,"State","DE","type",3,"Type2","Four-Year")</f>
        <v>330</v>
      </c>
      <c r="H70" s="423">
        <f>GETPIVOTDATA("Sum of Old G E-Learning",'Pivot Table for Fact Book'!$A$3,"State","DE","type",4,"Type2","Four-Year")</f>
        <v>0</v>
      </c>
      <c r="I70" s="424">
        <f>GETPIVOTDATA("Sum of New G E-Learning",'Pivot Table for Fact Book'!$A$3,"State","DE","type",4,"Type2","Four-Year")</f>
        <v>0</v>
      </c>
      <c r="J70" s="423">
        <f>GETPIVOTDATA("Sum of Old G E-Learning",'Pivot Table for Fact Book'!$A$3,"State","DE","type",5,"Type2","Four-Year")</f>
        <v>0</v>
      </c>
      <c r="K70" s="424">
        <f>GETPIVOTDATA("Sum of New G E-Learning",'Pivot Table for Fact Book'!$A$3,"State","DE","type",5,"Type2","Four-Year")</f>
        <v>0</v>
      </c>
      <c r="L70" s="423">
        <f>GETPIVOTDATA("Sum of Old G E-Learning",'Pivot Table for Fact Book'!$A$3,"State","DE","type",6,"Type2","Four-Year")</f>
        <v>0</v>
      </c>
      <c r="M70" s="424">
        <f>GETPIVOTDATA("Sum of New G E-Learning",'Pivot Table for Fact Book'!$A$3,"State","DE","type",6,"Type2","Four-Year")</f>
        <v>0</v>
      </c>
      <c r="N70" s="423">
        <f>GETPIVOTDATA("Sum of Old G E-Learning",'Pivot Table for Fact Book'!$A$3,"State","DE","type",15,"Type2","Four-Year")</f>
        <v>0</v>
      </c>
      <c r="O70" s="424">
        <f>GETPIVOTDATA("Sum of New G E-Learning",'Pivot Table for Fact Book'!$A$3,"State","DE","type",15,"Type2","Four-Year")</f>
        <v>0</v>
      </c>
      <c r="P70" s="425">
        <f>GETPIVOTDATA("Sum of Old G E-Learning",'Pivot Table for Fact Book'!$A$3,"State","DE","Type2","Four-Year")</f>
        <v>4814</v>
      </c>
      <c r="Q70" s="425">
        <f>GETPIVOTDATA("Sum of New G E-Learning",'Pivot Table for Fact Book'!$A$3,"State","DE","Type2","Four-Year")</f>
        <v>5982</v>
      </c>
      <c r="AH70" s="430"/>
    </row>
    <row r="71" spans="1:34">
      <c r="A71" s="398" t="s">
        <v>897</v>
      </c>
      <c r="B71" s="423">
        <f>GETPIVOTDATA("Sum of Old G E-Learning",'Pivot Table for Fact Book'!$A$3,"State","FL","type",1,"Type2","Four-Year")</f>
        <v>205305</v>
      </c>
      <c r="C71" s="424">
        <f>GETPIVOTDATA("Sum of New G E-Learning",'Pivot Table for Fact Book'!$A$3,"State","FL","type",1,"Type2","Four-Year")</f>
        <v>261824</v>
      </c>
      <c r="D71" s="423">
        <f>GETPIVOTDATA("Sum of Old G E-Learning",'Pivot Table for Fact Book'!$A$3,"State","FL","type",2,"Type2","Four-Year")</f>
        <v>0</v>
      </c>
      <c r="E71" s="424">
        <f>GETPIVOTDATA("Sum of New G E-Learning",'Pivot Table for Fact Book'!$A$3,"State","FL","type",2,"Type2","Four-Year")</f>
        <v>0</v>
      </c>
      <c r="F71" s="423">
        <f>GETPIVOTDATA("Sum of Old G E-Learning",'Pivot Table for Fact Book'!$A$3,"State","FL","type",3,"Type2","Four-Year")</f>
        <v>32633.5</v>
      </c>
      <c r="G71" s="424">
        <f>GETPIVOTDATA("Sum of New G E-Learning",'Pivot Table for Fact Book'!$A$3,"State","FL","type",3,"Type2","Four-Year")</f>
        <v>38817.5</v>
      </c>
      <c r="H71" s="423">
        <f>GETPIVOTDATA("Sum of Old G E-Learning",'Pivot Table for Fact Book'!$A$3,"State","FL","type",4,"Type2","Four-Year")</f>
        <v>7370</v>
      </c>
      <c r="I71" s="424">
        <f>GETPIVOTDATA("Sum of New G E-Learning",'Pivot Table for Fact Book'!$A$3,"State","FL","type",4,"Type2","Four-Year")</f>
        <v>6220</v>
      </c>
      <c r="J71" s="423">
        <f>GETPIVOTDATA("Sum of Old G E-Learning",'Pivot Table for Fact Book'!$A$3,"State","FL","type",5,"Type2","Four-Year")</f>
        <v>0</v>
      </c>
      <c r="K71" s="424">
        <f>GETPIVOTDATA("Sum of New G E-Learning",'Pivot Table for Fact Book'!$A$3,"State","FL","type",5,"Type2","Four-Year")</f>
        <v>0</v>
      </c>
      <c r="L71" s="423">
        <f>GETPIVOTDATA("Sum of Old G E-Learning",'Pivot Table for Fact Book'!$A$3,"State","FL","type",6,"Type2","Four-Year")</f>
        <v>0</v>
      </c>
      <c r="M71" s="424">
        <f>GETPIVOTDATA("Sum of New G E-Learning",'Pivot Table for Fact Book'!$A$3,"State","FL","type",6,"Type2","Four-Year")</f>
        <v>0</v>
      </c>
      <c r="N71" s="423">
        <f>GETPIVOTDATA("Sum of Old G E-Learning",'Pivot Table for Fact Book'!$A$3,"State","FL","type",15,"Type2","Four-Year")</f>
        <v>0</v>
      </c>
      <c r="O71" s="424">
        <f>GETPIVOTDATA("Sum of New G E-Learning",'Pivot Table for Fact Book'!$A$3,"State","FL","type",15,"Type2","Four-Year")</f>
        <v>0</v>
      </c>
      <c r="P71" s="425">
        <f>GETPIVOTDATA("Sum of Old G E-Learning",'Pivot Table for Fact Book'!$A$3,"State","FL","Type2","Four-Year")</f>
        <v>245308.5</v>
      </c>
      <c r="Q71" s="425">
        <f>GETPIVOTDATA("Sum of New G E-Learning",'Pivot Table for Fact Book'!$A$3,"State","FL","Type2","Four-Year")</f>
        <v>306861.5</v>
      </c>
      <c r="AH71" s="430"/>
    </row>
    <row r="72" spans="1:34">
      <c r="A72" s="398" t="s">
        <v>898</v>
      </c>
      <c r="B72" s="423">
        <f>GETPIVOTDATA("Sum of Old G E-Learning",'Pivot Table for Fact Book'!$A$3,"State","GA","type",1,"Type2","Four-Year")</f>
        <v>19314</v>
      </c>
      <c r="C72" s="424">
        <f>GETPIVOTDATA("Sum of New G E-Learning",'Pivot Table for Fact Book'!$A$3,"State","GA","type",1,"Type2","Four-Year")</f>
        <v>21584.5</v>
      </c>
      <c r="D72" s="423">
        <f>GETPIVOTDATA("Sum of Old G E-Learning",'Pivot Table for Fact Book'!$A$3,"State","GA","type",2,"Type2","Four-Year")</f>
        <v>26638</v>
      </c>
      <c r="E72" s="424">
        <f>GETPIVOTDATA("Sum of New G E-Learning",'Pivot Table for Fact Book'!$A$3,"State","GA","type",2,"Type2","Four-Year")</f>
        <v>30840</v>
      </c>
      <c r="F72" s="423">
        <f>GETPIVOTDATA("Sum of Old G E-Learning",'Pivot Table for Fact Book'!$A$3,"State","GA","type",3,"Type2","Four-Year")</f>
        <v>105410</v>
      </c>
      <c r="G72" s="424">
        <f>GETPIVOTDATA("Sum of New G E-Learning",'Pivot Table for Fact Book'!$A$3,"State","GA","type",3,"Type2","Four-Year")</f>
        <v>113965</v>
      </c>
      <c r="H72" s="423">
        <f>GETPIVOTDATA("Sum of Old G E-Learning",'Pivot Table for Fact Book'!$A$3,"State","GA","type",4,"Type2","Four-Year")</f>
        <v>46343</v>
      </c>
      <c r="I72" s="424">
        <f>GETPIVOTDATA("Sum of New G E-Learning",'Pivot Table for Fact Book'!$A$3,"State","GA","type",4,"Type2","Four-Year")</f>
        <v>49773</v>
      </c>
      <c r="J72" s="423">
        <f>GETPIVOTDATA("Sum of Old G E-Learning",'Pivot Table for Fact Book'!$A$3,"State","GA","type",5,"Type2","Four-Year")</f>
        <v>2934</v>
      </c>
      <c r="K72" s="424">
        <f>GETPIVOTDATA("Sum of New G E-Learning",'Pivot Table for Fact Book'!$A$3,"State","GA","type",5,"Type2","Four-Year")</f>
        <v>5089</v>
      </c>
      <c r="L72" s="423">
        <f>GETPIVOTDATA("Sum of Old G E-Learning",'Pivot Table for Fact Book'!$A$3,"State","GA","type",6,"Type2","Four-Year")</f>
        <v>0</v>
      </c>
      <c r="M72" s="424">
        <f>GETPIVOTDATA("Sum of New G E-Learning",'Pivot Table for Fact Book'!$A$3,"State","GA","type",6,"Type2","Four-Year")</f>
        <v>1203</v>
      </c>
      <c r="N72" s="423">
        <f>GETPIVOTDATA("Sum of Old G E-Learning",'Pivot Table for Fact Book'!$A$3,"State","GA","type",15,"Type2","Four-Year")</f>
        <v>0</v>
      </c>
      <c r="O72" s="424">
        <f>GETPIVOTDATA("Sum of New G E-Learning",'Pivot Table for Fact Book'!$A$3,"State","GA","type",15,"Type2","Four-Year")</f>
        <v>0</v>
      </c>
      <c r="P72" s="425">
        <f>GETPIVOTDATA("Sum of Old G E-Learning",'Pivot Table for Fact Book'!$A$3,"State","GA","Type2","Four-Year")</f>
        <v>200639</v>
      </c>
      <c r="Q72" s="425">
        <f>GETPIVOTDATA("Sum of New G E-Learning",'Pivot Table for Fact Book'!$A$3,"State","GA","Type2","Four-Year")</f>
        <v>222454.5</v>
      </c>
      <c r="AH72" s="430"/>
    </row>
    <row r="73" spans="1:34">
      <c r="A73" s="398" t="s">
        <v>899</v>
      </c>
      <c r="B73" s="423">
        <f>GETPIVOTDATA("Sum of Old G E-Learning",'Pivot Table for Fact Book'!$A$3,"State","KY","type",1,"Type2","Four-Year")</f>
        <v>27170</v>
      </c>
      <c r="C73" s="424">
        <f>GETPIVOTDATA("Sum of New G E-Learning",'Pivot Table for Fact Book'!$A$3,"State","KY","type",1,"Type2","Four-Year")</f>
        <v>28561</v>
      </c>
      <c r="D73" s="423">
        <f>GETPIVOTDATA("Sum of Old G E-Learning",'Pivot Table for Fact Book'!$A$3,"State","KY","type",2,"Type2","Four-Year")</f>
        <v>0</v>
      </c>
      <c r="E73" s="424">
        <f>GETPIVOTDATA("Sum of New G E-Learning",'Pivot Table for Fact Book'!$A$3,"State","KY","type",2,"Type2","Four-Year")</f>
        <v>0</v>
      </c>
      <c r="F73" s="423">
        <f>GETPIVOTDATA("Sum of Old G E-Learning",'Pivot Table for Fact Book'!$A$3,"State","KY","type",3,"Type2","Four-Year")</f>
        <v>81094</v>
      </c>
      <c r="G73" s="424">
        <f>GETPIVOTDATA("Sum of New G E-Learning",'Pivot Table for Fact Book'!$A$3,"State","KY","type",3,"Type2","Four-Year")</f>
        <v>82833</v>
      </c>
      <c r="H73" s="423">
        <f>GETPIVOTDATA("Sum of Old G E-Learning",'Pivot Table for Fact Book'!$A$3,"State","KY","type",4,"Type2","Four-Year")</f>
        <v>573</v>
      </c>
      <c r="I73" s="424">
        <f>GETPIVOTDATA("Sum of New G E-Learning",'Pivot Table for Fact Book'!$A$3,"State","KY","type",4,"Type2","Four-Year")</f>
        <v>431</v>
      </c>
      <c r="J73" s="423">
        <f>GETPIVOTDATA("Sum of Old G E-Learning",'Pivot Table for Fact Book'!$A$3,"State","KY","type",5,"Type2","Four-Year")</f>
        <v>0</v>
      </c>
      <c r="K73" s="424">
        <f>GETPIVOTDATA("Sum of New G E-Learning",'Pivot Table for Fact Book'!$A$3,"State","KY","type",5,"Type2","Four-Year")</f>
        <v>0</v>
      </c>
      <c r="L73" s="423">
        <f>GETPIVOTDATA("Sum of Old G E-Learning",'Pivot Table for Fact Book'!$A$3,"State","KY","type",6,"Type2","Four-Year")</f>
        <v>0</v>
      </c>
      <c r="M73" s="424">
        <f>GETPIVOTDATA("Sum of New G E-Learning",'Pivot Table for Fact Book'!$A$3,"State","KY","type",6,"Type2","Four-Year")</f>
        <v>0</v>
      </c>
      <c r="N73" s="423">
        <f>GETPIVOTDATA("Sum of Old G E-Learning",'Pivot Table for Fact Book'!$A$3,"State","KY","type",15,"Type2","Four-Year")</f>
        <v>0</v>
      </c>
      <c r="O73" s="424">
        <f>GETPIVOTDATA("Sum of New G E-Learning",'Pivot Table for Fact Book'!$A$3,"State","KY","type",15,"Type2","Four-Year")</f>
        <v>0</v>
      </c>
      <c r="P73" s="425">
        <f>GETPIVOTDATA("Sum of Old G E-Learning",'Pivot Table for Fact Book'!$A$3,"State","KY","Type2","Four-Year")</f>
        <v>108837</v>
      </c>
      <c r="Q73" s="425">
        <f>GETPIVOTDATA("Sum of New G E-Learning",'Pivot Table for Fact Book'!$A$3,"State","KY","Type2","Four-Year")</f>
        <v>111825</v>
      </c>
      <c r="AH73" s="430"/>
    </row>
    <row r="74" spans="1:34">
      <c r="A74" s="398" t="s">
        <v>900</v>
      </c>
      <c r="B74" s="423">
        <f>GETPIVOTDATA("Sum of Old G E-Learning",'Pivot Table for Fact Book'!$A$3,"State","LA","type",1,"Type2","Four-Year")</f>
        <v>3414.6819091796901</v>
      </c>
      <c r="C74" s="424">
        <f>GETPIVOTDATA("Sum of New G E-Learning",'Pivot Table for Fact Book'!$A$3,"State","LA","type",1,"Type2","Four-Year")</f>
        <v>5569.1396780303003</v>
      </c>
      <c r="D74" s="423">
        <f>GETPIVOTDATA("Sum of Old G E-Learning",'Pivot Table for Fact Book'!$A$3,"State","LA","type",2,"Type2","Four-Year")</f>
        <v>11307.615077944969</v>
      </c>
      <c r="E74" s="424">
        <f>GETPIVOTDATA("Sum of New G E-Learning",'Pivot Table for Fact Book'!$A$3,"State","LA","type",2,"Type2","Four-Year")</f>
        <v>11235.47600866102</v>
      </c>
      <c r="F74" s="423">
        <f>GETPIVOTDATA("Sum of Old G E-Learning",'Pivot Table for Fact Book'!$A$3,"State","LA","type",3,"Type2","Four-Year")</f>
        <v>22378.47077945427</v>
      </c>
      <c r="G74" s="424">
        <f>GETPIVOTDATA("Sum of New G E-Learning",'Pivot Table for Fact Book'!$A$3,"State","LA","type",3,"Type2","Four-Year")</f>
        <v>22313.82080448691</v>
      </c>
      <c r="H74" s="423">
        <f>GETPIVOTDATA("Sum of Old G E-Learning",'Pivot Table for Fact Book'!$A$3,"State","LA","type",4,"Type2","Four-Year")</f>
        <v>35975.242203375965</v>
      </c>
      <c r="I74" s="424">
        <f>GETPIVOTDATA("Sum of New G E-Learning",'Pivot Table for Fact Book'!$A$3,"State","LA","type",4,"Type2","Four-Year")</f>
        <v>48297.229875119592</v>
      </c>
      <c r="J74" s="423">
        <f>GETPIVOTDATA("Sum of Old G E-Learning",'Pivot Table for Fact Book'!$A$3,"State","LA","type",5,"Type2","Four-Year")</f>
        <v>454.62616822429902</v>
      </c>
      <c r="K74" s="424">
        <f>GETPIVOTDATA("Sum of New G E-Learning",'Pivot Table for Fact Book'!$A$3,"State","LA","type",5,"Type2","Four-Year")</f>
        <v>1757.07772020725</v>
      </c>
      <c r="L74" s="423">
        <f>GETPIVOTDATA("Sum of Old G E-Learning",'Pivot Table for Fact Book'!$A$3,"State","LA","type",6,"Type2","Four-Year")</f>
        <v>0</v>
      </c>
      <c r="M74" s="424">
        <f>GETPIVOTDATA("Sum of New G E-Learning",'Pivot Table for Fact Book'!$A$3,"State","LA","type",6,"Type2","Four-Year")</f>
        <v>0</v>
      </c>
      <c r="N74" s="423">
        <f>GETPIVOTDATA("Sum of Old G E-Learning",'Pivot Table for Fact Book'!$A$3,"State","LA","type",15,"Type2","Four-Year")</f>
        <v>0</v>
      </c>
      <c r="O74" s="424">
        <f>GETPIVOTDATA("Sum of New G E-Learning",'Pivot Table for Fact Book'!$A$3,"State","LA","type",15,"Type2","Four-Year")</f>
        <v>0</v>
      </c>
      <c r="P74" s="425">
        <f>GETPIVOTDATA("Sum of Old G E-Learning",'Pivot Table for Fact Book'!$A$3,"State","LA","Type2","Four-Year")</f>
        <v>73530.636138179194</v>
      </c>
      <c r="Q74" s="425">
        <f>GETPIVOTDATA("Sum of New G E-Learning",'Pivot Table for Fact Book'!$A$3,"State","LA","Type2","Four-Year")</f>
        <v>89172.744086505074</v>
      </c>
      <c r="AH74" s="430"/>
    </row>
    <row r="75" spans="1:34">
      <c r="A75" s="398" t="s">
        <v>901</v>
      </c>
      <c r="B75" s="423">
        <f>GETPIVOTDATA("Sum of Old G E-Learning",'Pivot Table for Fact Book'!$A$3,"State","MD","type",1,"Type2","Four-Year")</f>
        <v>9857</v>
      </c>
      <c r="C75" s="424">
        <f>GETPIVOTDATA("Sum of New G E-Learning",'Pivot Table for Fact Book'!$A$3,"State","MD","type",1,"Type2","Four-Year")</f>
        <v>11885</v>
      </c>
      <c r="D75" s="423">
        <f>GETPIVOTDATA("Sum of Old G E-Learning",'Pivot Table for Fact Book'!$A$3,"State","MD","type",2,"Type2","Four-Year")</f>
        <v>11068</v>
      </c>
      <c r="E75" s="424">
        <f>GETPIVOTDATA("Sum of New G E-Learning",'Pivot Table for Fact Book'!$A$3,"State","MD","type",2,"Type2","Four-Year")</f>
        <v>12354</v>
      </c>
      <c r="F75" s="423">
        <f>GETPIVOTDATA("Sum of Old G E-Learning",'Pivot Table for Fact Book'!$A$3,"State","MD","type",3,"Type2","Four-Year")</f>
        <v>20013</v>
      </c>
      <c r="G75" s="424">
        <f>GETPIVOTDATA("Sum of New G E-Learning",'Pivot Table for Fact Book'!$A$3,"State","MD","type",3,"Type2","Four-Year")</f>
        <v>19839</v>
      </c>
      <c r="H75" s="423">
        <f>GETPIVOTDATA("Sum of Old G E-Learning",'Pivot Table for Fact Book'!$A$3,"State","MD","type",4,"Type2","Four-Year")</f>
        <v>19582</v>
      </c>
      <c r="I75" s="424">
        <f>GETPIVOTDATA("Sum of New G E-Learning",'Pivot Table for Fact Book'!$A$3,"State","MD","type",4,"Type2","Four-Year")</f>
        <v>21473</v>
      </c>
      <c r="J75" s="423">
        <f>GETPIVOTDATA("Sum of Old G E-Learning",'Pivot Table for Fact Book'!$A$3,"State","MD","type",5,"Type2","Four-Year")</f>
        <v>600</v>
      </c>
      <c r="K75" s="424">
        <f>GETPIVOTDATA("Sum of New G E-Learning",'Pivot Table for Fact Book'!$A$3,"State","MD","type",5,"Type2","Four-Year")</f>
        <v>798</v>
      </c>
      <c r="L75" s="423">
        <f>GETPIVOTDATA("Sum of Old G E-Learning",'Pivot Table for Fact Book'!$A$3,"State","MD","type",6,"Type2","Four-Year")</f>
        <v>0</v>
      </c>
      <c r="M75" s="424">
        <f>GETPIVOTDATA("Sum of New G E-Learning",'Pivot Table for Fact Book'!$A$3,"State","MD","type",6,"Type2","Four-Year")</f>
        <v>0</v>
      </c>
      <c r="N75" s="423">
        <f>GETPIVOTDATA("Sum of Old G E-Learning",'Pivot Table for Fact Book'!$A$3,"State","MD","type",15,"Type2","Four-Year")</f>
        <v>188486</v>
      </c>
      <c r="O75" s="424">
        <f>GETPIVOTDATA("Sum of New G E-Learning",'Pivot Table for Fact Book'!$A$3,"State","MD","type",15,"Type2","Four-Year")</f>
        <v>202293</v>
      </c>
      <c r="P75" s="425">
        <f>GETPIVOTDATA("Sum of Old G E-Learning",'Pivot Table for Fact Book'!$A$3,"State","MD","Type2","Four-Year")</f>
        <v>249606</v>
      </c>
      <c r="Q75" s="425">
        <f>GETPIVOTDATA("Sum of New G E-Learning",'Pivot Table for Fact Book'!$A$3,"State","MD","Type2","Four-Year")</f>
        <v>268642</v>
      </c>
      <c r="AH75" s="430"/>
    </row>
    <row r="76" spans="1:34">
      <c r="A76" s="398" t="s">
        <v>902</v>
      </c>
      <c r="B76" s="423">
        <f>GETPIVOTDATA("Sum of Old G E-Learning",'Pivot Table for Fact Book'!$A$3,"State","MS","type",1,"Type2","Four-Year")</f>
        <v>29162</v>
      </c>
      <c r="C76" s="424">
        <f>GETPIVOTDATA("Sum of New G E-Learning",'Pivot Table for Fact Book'!$A$3,"State","MS","type",1,"Type2","Four-Year")</f>
        <v>30282</v>
      </c>
      <c r="D76" s="423">
        <f>GETPIVOTDATA("Sum of Old G E-Learning",'Pivot Table for Fact Book'!$A$3,"State","MS","type",2,"Type2","Four-Year")</f>
        <v>18050</v>
      </c>
      <c r="E76" s="424">
        <f>GETPIVOTDATA("Sum of New G E-Learning",'Pivot Table for Fact Book'!$A$3,"State","MS","type",2,"Type2","Four-Year")</f>
        <v>20431</v>
      </c>
      <c r="F76" s="423">
        <f>GETPIVOTDATA("Sum of Old G E-Learning",'Pivot Table for Fact Book'!$A$3,"State","MS","type",3,"Type2","Four-Year")</f>
        <v>0</v>
      </c>
      <c r="G76" s="424">
        <f>GETPIVOTDATA("Sum of New G E-Learning",'Pivot Table for Fact Book'!$A$3,"State","MS","type",3,"Type2","Four-Year")</f>
        <v>0</v>
      </c>
      <c r="H76" s="423">
        <f>GETPIVOTDATA("Sum of Old G E-Learning",'Pivot Table for Fact Book'!$A$3,"State","MS","type",4,"Type2","Four-Year")</f>
        <v>29167</v>
      </c>
      <c r="I76" s="424">
        <f>GETPIVOTDATA("Sum of New G E-Learning",'Pivot Table for Fact Book'!$A$3,"State","MS","type",4,"Type2","Four-Year")</f>
        <v>30699</v>
      </c>
      <c r="J76" s="423">
        <f>GETPIVOTDATA("Sum of Old G E-Learning",'Pivot Table for Fact Book'!$A$3,"State","MS","type",5,"Type2","Four-Year")</f>
        <v>1363</v>
      </c>
      <c r="K76" s="424">
        <f>GETPIVOTDATA("Sum of New G E-Learning",'Pivot Table for Fact Book'!$A$3,"State","MS","type",5,"Type2","Four-Year")</f>
        <v>1814</v>
      </c>
      <c r="L76" s="423">
        <f>GETPIVOTDATA("Sum of Old G E-Learning",'Pivot Table for Fact Book'!$A$3,"State","MS","type",6,"Type2","Four-Year")</f>
        <v>0</v>
      </c>
      <c r="M76" s="424">
        <f>GETPIVOTDATA("Sum of New G E-Learning",'Pivot Table for Fact Book'!$A$3,"State","MS","type",6,"Type2","Four-Year")</f>
        <v>0</v>
      </c>
      <c r="N76" s="423">
        <f>GETPIVOTDATA("Sum of Old G E-Learning",'Pivot Table for Fact Book'!$A$3,"State","MS","type",15,"Type2","Four-Year")</f>
        <v>0</v>
      </c>
      <c r="O76" s="424">
        <f>GETPIVOTDATA("Sum of New G E-Learning",'Pivot Table for Fact Book'!$A$3,"State","MS","type",15,"Type2","Four-Year")</f>
        <v>0</v>
      </c>
      <c r="P76" s="425">
        <f>GETPIVOTDATA("Sum of Old G E-Learning",'Pivot Table for Fact Book'!$A$3,"State","MS","Type2","Four-Year")</f>
        <v>77742</v>
      </c>
      <c r="Q76" s="425">
        <f>GETPIVOTDATA("Sum of New G E-Learning",'Pivot Table for Fact Book'!$A$3,"State","MS","Type2","Four-Year")</f>
        <v>83226</v>
      </c>
      <c r="AH76" s="430"/>
    </row>
    <row r="77" spans="1:34">
      <c r="A77" s="398" t="s">
        <v>903</v>
      </c>
      <c r="B77" s="423">
        <f>GETPIVOTDATA("Sum of Old G E-Learning",'Pivot Table for Fact Book'!$A$3,"State","NC","type",1,"Type2","Four-Year")</f>
        <v>74364</v>
      </c>
      <c r="C77" s="424">
        <f>GETPIVOTDATA("Sum of New G E-Learning",'Pivot Table for Fact Book'!$A$3,"State","NC","type",1,"Type2","Four-Year")</f>
        <v>91023</v>
      </c>
      <c r="D77" s="423">
        <f>GETPIVOTDATA("Sum of Old G E-Learning",'Pivot Table for Fact Book'!$A$3,"State","NC","type",2,"Type2","Four-Year")</f>
        <v>38896</v>
      </c>
      <c r="E77" s="424">
        <f>GETPIVOTDATA("Sum of New G E-Learning",'Pivot Table for Fact Book'!$A$3,"State","NC","type",2,"Type2","Four-Year")</f>
        <v>42033</v>
      </c>
      <c r="F77" s="423">
        <f>GETPIVOTDATA("Sum of Old G E-Learning",'Pivot Table for Fact Book'!$A$3,"State","NC","type",3,"Type2","Four-Year")</f>
        <v>43857</v>
      </c>
      <c r="G77" s="424">
        <f>GETPIVOTDATA("Sum of New G E-Learning",'Pivot Table for Fact Book'!$A$3,"State","NC","type",3,"Type2","Four-Year")</f>
        <v>47918</v>
      </c>
      <c r="H77" s="423">
        <f>GETPIVOTDATA("Sum of Old G E-Learning",'Pivot Table for Fact Book'!$A$3,"State","NC","type",4,"Type2","Four-Year")</f>
        <v>2838</v>
      </c>
      <c r="I77" s="424">
        <f>GETPIVOTDATA("Sum of New G E-Learning",'Pivot Table for Fact Book'!$A$3,"State","NC","type",4,"Type2","Four-Year")</f>
        <v>5338</v>
      </c>
      <c r="J77" s="423">
        <f>GETPIVOTDATA("Sum of Old G E-Learning",'Pivot Table for Fact Book'!$A$3,"State","NC","type",5,"Type2","Four-Year")</f>
        <v>6568</v>
      </c>
      <c r="K77" s="424">
        <f>GETPIVOTDATA("Sum of New G E-Learning",'Pivot Table for Fact Book'!$A$3,"State","NC","type",5,"Type2","Four-Year")</f>
        <v>9444</v>
      </c>
      <c r="L77" s="423">
        <f>GETPIVOTDATA("Sum of Old G E-Learning",'Pivot Table for Fact Book'!$A$3,"State","NC","type",6,"Type2","Four-Year")</f>
        <v>249</v>
      </c>
      <c r="M77" s="424">
        <f>GETPIVOTDATA("Sum of New G E-Learning",'Pivot Table for Fact Book'!$A$3,"State","NC","type",6,"Type2","Four-Year")</f>
        <v>94</v>
      </c>
      <c r="N77" s="423">
        <f>GETPIVOTDATA("Sum of Old G E-Learning",'Pivot Table for Fact Book'!$A$3,"State","NC","type",15,"Type2","Four-Year")</f>
        <v>0</v>
      </c>
      <c r="O77" s="424">
        <f>GETPIVOTDATA("Sum of New G E-Learning",'Pivot Table for Fact Book'!$A$3,"State","NC","type",15,"Type2","Four-Year")</f>
        <v>0</v>
      </c>
      <c r="P77" s="425">
        <f>GETPIVOTDATA("Sum of Old G E-Learning",'Pivot Table for Fact Book'!$A$3,"State","NC","Type2","Four-Year")</f>
        <v>166772</v>
      </c>
      <c r="Q77" s="425">
        <f>GETPIVOTDATA("Sum of New G E-Learning",'Pivot Table for Fact Book'!$A$3,"State","NC","Type2","Four-Year")</f>
        <v>195850</v>
      </c>
      <c r="AH77" s="430"/>
    </row>
    <row r="78" spans="1:34">
      <c r="A78" s="398" t="s">
        <v>904</v>
      </c>
      <c r="B78" s="423">
        <f>GETPIVOTDATA("Sum of Old G E-Learning",'Pivot Table for Fact Book'!$A$3,"State","OK","type",1,"Type2","Four-Year")</f>
        <v>56062</v>
      </c>
      <c r="C78" s="424">
        <f>GETPIVOTDATA("Sum of New G E-Learning",'Pivot Table for Fact Book'!$A$3,"State","OK","type",1,"Type2","Four-Year")</f>
        <v>37676</v>
      </c>
      <c r="D78" s="423">
        <f>GETPIVOTDATA("Sum of Old G E-Learning",'Pivot Table for Fact Book'!$A$3,"State","OK","type",2,"Type2","Four-Year")</f>
        <v>0</v>
      </c>
      <c r="E78" s="424">
        <f>GETPIVOTDATA("Sum of New G E-Learning",'Pivot Table for Fact Book'!$A$3,"State","OK","type",2,"Type2","Four-Year")</f>
        <v>0</v>
      </c>
      <c r="F78" s="423">
        <f>GETPIVOTDATA("Sum of Old G E-Learning",'Pivot Table for Fact Book'!$A$3,"State","OK","type",3,"Type2","Four-Year")</f>
        <v>7791</v>
      </c>
      <c r="G78" s="424">
        <f>GETPIVOTDATA("Sum of New G E-Learning",'Pivot Table for Fact Book'!$A$3,"State","OK","type",3,"Type2","Four-Year")</f>
        <v>8843</v>
      </c>
      <c r="H78" s="423">
        <f>GETPIVOTDATA("Sum of Old G E-Learning",'Pivot Table for Fact Book'!$A$3,"State","OK","type",4,"Type2","Four-Year")</f>
        <v>4725</v>
      </c>
      <c r="I78" s="424">
        <f>GETPIVOTDATA("Sum of New G E-Learning",'Pivot Table for Fact Book'!$A$3,"State","OK","type",4,"Type2","Four-Year")</f>
        <v>5646</v>
      </c>
      <c r="J78" s="423">
        <f>GETPIVOTDATA("Sum of Old G E-Learning",'Pivot Table for Fact Book'!$A$3,"State","OK","type",5,"Type2","Four-Year")</f>
        <v>20336</v>
      </c>
      <c r="K78" s="424">
        <f>GETPIVOTDATA("Sum of New G E-Learning",'Pivot Table for Fact Book'!$A$3,"State","OK","type",5,"Type2","Four-Year")</f>
        <v>23022</v>
      </c>
      <c r="L78" s="423">
        <f>GETPIVOTDATA("Sum of Old G E-Learning",'Pivot Table for Fact Book'!$A$3,"State","OK","type",6,"Type2","Four-Year")</f>
        <v>0</v>
      </c>
      <c r="M78" s="424">
        <f>GETPIVOTDATA("Sum of New G E-Learning",'Pivot Table for Fact Book'!$A$3,"State","OK","type",6,"Type2","Four-Year")</f>
        <v>0</v>
      </c>
      <c r="N78" s="423">
        <f>GETPIVOTDATA("Sum of Old G E-Learning",'Pivot Table for Fact Book'!$A$3,"State","OK","type",15,"Type2","Four-Year")</f>
        <v>0</v>
      </c>
      <c r="O78" s="424">
        <f>GETPIVOTDATA("Sum of New G E-Learning",'Pivot Table for Fact Book'!$A$3,"State","OK","type",15,"Type2","Four-Year")</f>
        <v>0</v>
      </c>
      <c r="P78" s="425">
        <f>GETPIVOTDATA("Sum of Old G E-Learning",'Pivot Table for Fact Book'!$A$3,"State","OK","Type2","Four-Year")</f>
        <v>88914</v>
      </c>
      <c r="Q78" s="425">
        <f>GETPIVOTDATA("Sum of New G E-Learning",'Pivot Table for Fact Book'!$A$3,"State","OK","Type2","Four-Year")</f>
        <v>75187</v>
      </c>
      <c r="AH78" s="430"/>
    </row>
    <row r="79" spans="1:34">
      <c r="A79" s="398" t="s">
        <v>905</v>
      </c>
      <c r="B79" s="423">
        <f>GETPIVOTDATA("Sum of Old G E-Learning",'Pivot Table for Fact Book'!$A$3,"State","SC","type",1,"Type2","Four-Year")</f>
        <v>64556</v>
      </c>
      <c r="C79" s="424">
        <f>GETPIVOTDATA("Sum of New G E-Learning",'Pivot Table for Fact Book'!$A$3,"State","SC","type",1,"Type2","Four-Year")</f>
        <v>62798</v>
      </c>
      <c r="D79" s="423">
        <f>GETPIVOTDATA("Sum of Old G E-Learning",'Pivot Table for Fact Book'!$A$3,"State","SC","type",2,"Type2","Four-Year")</f>
        <v>0</v>
      </c>
      <c r="E79" s="424">
        <f>GETPIVOTDATA("Sum of New G E-Learning",'Pivot Table for Fact Book'!$A$3,"State","SC","type",2,"Type2","Four-Year")</f>
        <v>0</v>
      </c>
      <c r="F79" s="423">
        <f>GETPIVOTDATA("Sum of Old G E-Learning",'Pivot Table for Fact Book'!$A$3,"State","SC","type",3,"Type2","Four-Year")</f>
        <v>6164.5</v>
      </c>
      <c r="G79" s="424">
        <f>GETPIVOTDATA("Sum of New G E-Learning",'Pivot Table for Fact Book'!$A$3,"State","SC","type",3,"Type2","Four-Year")</f>
        <v>7003</v>
      </c>
      <c r="H79" s="423">
        <f>GETPIVOTDATA("Sum of Old G E-Learning",'Pivot Table for Fact Book'!$A$3,"State","SC","type",4,"Type2","Four-Year")</f>
        <v>0</v>
      </c>
      <c r="I79" s="424">
        <f>GETPIVOTDATA("Sum of New G E-Learning",'Pivot Table for Fact Book'!$A$3,"State","SC","type",4,"Type2","Four-Year")</f>
        <v>0</v>
      </c>
      <c r="J79" s="423">
        <f>GETPIVOTDATA("Sum of Old G E-Learning",'Pivot Table for Fact Book'!$A$3,"State","SC","type",5,"Type2","Four-Year")</f>
        <v>8038</v>
      </c>
      <c r="K79" s="424">
        <f>GETPIVOTDATA("Sum of New G E-Learning",'Pivot Table for Fact Book'!$A$3,"State","SC","type",5,"Type2","Four-Year")</f>
        <v>9378</v>
      </c>
      <c r="L79" s="423">
        <f>GETPIVOTDATA("Sum of Old G E-Learning",'Pivot Table for Fact Book'!$A$3,"State","SC","type",6,"Type2","Four-Year")</f>
        <v>15654</v>
      </c>
      <c r="M79" s="424">
        <f>GETPIVOTDATA("Sum of New G E-Learning",'Pivot Table for Fact Book'!$A$3,"State","SC","type",6,"Type2","Four-Year")</f>
        <v>3050</v>
      </c>
      <c r="N79" s="423">
        <f>GETPIVOTDATA("Sum of Old G E-Learning",'Pivot Table for Fact Book'!$A$3,"State","SC","type",15,"Type2","Four-Year")</f>
        <v>0</v>
      </c>
      <c r="O79" s="424">
        <f>GETPIVOTDATA("Sum of New G E-Learning",'Pivot Table for Fact Book'!$A$3,"State","SC","type",15,"Type2","Four-Year")</f>
        <v>0</v>
      </c>
      <c r="P79" s="425">
        <f>GETPIVOTDATA("Sum of Old G E-Learning",'Pivot Table for Fact Book'!$A$3,"State","SC","Type2","Four-Year")</f>
        <v>94412.5</v>
      </c>
      <c r="Q79" s="425">
        <f>GETPIVOTDATA("Sum of New G E-Learning",'Pivot Table for Fact Book'!$A$3,"State","SC","Type2","Four-Year")</f>
        <v>82229</v>
      </c>
      <c r="AH79" s="430"/>
    </row>
    <row r="80" spans="1:34">
      <c r="A80" s="398" t="s">
        <v>906</v>
      </c>
      <c r="B80" s="423">
        <f>GETPIVOTDATA("Sum of Old G E-Learning",'Pivot Table for Fact Book'!$A$3,"State","TN","type",1,"Type2","Four-Year")</f>
        <v>33393</v>
      </c>
      <c r="C80" s="424">
        <f>GETPIVOTDATA("Sum of New G E-Learning",'Pivot Table for Fact Book'!$A$3,"State","TN","type",1,"Type2","Four-Year")</f>
        <v>36500</v>
      </c>
      <c r="D80" s="423">
        <f>GETPIVOTDATA("Sum of Old G E-Learning",'Pivot Table for Fact Book'!$A$3,"State","TN","type",2,"Type2","Four-Year")</f>
        <v>27808</v>
      </c>
      <c r="E80" s="424">
        <f>GETPIVOTDATA("Sum of New G E-Learning",'Pivot Table for Fact Book'!$A$3,"State","TN","type",2,"Type2","Four-Year")</f>
        <v>27595</v>
      </c>
      <c r="F80" s="423">
        <f>GETPIVOTDATA("Sum of Old G E-Learning",'Pivot Table for Fact Book'!$A$3,"State","TN","type",3,"Type2","Four-Year")</f>
        <v>38396</v>
      </c>
      <c r="G80" s="424">
        <f>GETPIVOTDATA("Sum of New G E-Learning",'Pivot Table for Fact Book'!$A$3,"State","TN","type",3,"Type2","Four-Year")</f>
        <v>39969</v>
      </c>
      <c r="H80" s="423">
        <f>GETPIVOTDATA("Sum of Old G E-Learning",'Pivot Table for Fact Book'!$A$3,"State","TN","type",4,"Type2","Four-Year")</f>
        <v>0</v>
      </c>
      <c r="I80" s="424">
        <f>GETPIVOTDATA("Sum of New G E-Learning",'Pivot Table for Fact Book'!$A$3,"State","TN","type",4,"Type2","Four-Year")</f>
        <v>0</v>
      </c>
      <c r="J80" s="423">
        <f>GETPIVOTDATA("Sum of Old G E-Learning",'Pivot Table for Fact Book'!$A$3,"State","TN","type",5,"Type2","Four-Year")</f>
        <v>5132</v>
      </c>
      <c r="K80" s="424">
        <f>GETPIVOTDATA("Sum of New G E-Learning",'Pivot Table for Fact Book'!$A$3,"State","TN","type",5,"Type2","Four-Year")</f>
        <v>5449</v>
      </c>
      <c r="L80" s="423">
        <f>GETPIVOTDATA("Sum of Old G E-Learning",'Pivot Table for Fact Book'!$A$3,"State","TN","type",6,"Type2","Four-Year")</f>
        <v>0</v>
      </c>
      <c r="M80" s="424">
        <f>GETPIVOTDATA("Sum of New G E-Learning",'Pivot Table for Fact Book'!$A$3,"State","TN","type",6,"Type2","Four-Year")</f>
        <v>0</v>
      </c>
      <c r="N80" s="423">
        <f>GETPIVOTDATA("Sum of Old G E-Learning",'Pivot Table for Fact Book'!$A$3,"State","TN","type",15,"Type2","Four-Year")</f>
        <v>0</v>
      </c>
      <c r="O80" s="424">
        <f>GETPIVOTDATA("Sum of New G E-Learning",'Pivot Table for Fact Book'!$A$3,"State","TN","type",15,"Type2","Four-Year")</f>
        <v>0</v>
      </c>
      <c r="P80" s="425">
        <f>GETPIVOTDATA("Sum of Old G E-Learning",'Pivot Table for Fact Book'!$A$3,"State","TN","Type2","Four-Year")</f>
        <v>104729</v>
      </c>
      <c r="Q80" s="425">
        <f>GETPIVOTDATA("Sum of New G E-Learning",'Pivot Table for Fact Book'!$A$3,"State","TN","Type2","Four-Year")</f>
        <v>109513</v>
      </c>
      <c r="AH80" s="430"/>
    </row>
    <row r="81" spans="1:34">
      <c r="A81" s="398" t="s">
        <v>907</v>
      </c>
      <c r="B81" s="423">
        <f>GETPIVOTDATA("Sum of Old G E-Learning",'Pivot Table for Fact Book'!$A$3,"State","TX","type",1,"Type2","Four-Year")</f>
        <v>188989</v>
      </c>
      <c r="C81" s="424">
        <f>GETPIVOTDATA("Sum of New G E-Learning",'Pivot Table for Fact Book'!$A$3,"State","TX","type",1,"Type2","Four-Year")</f>
        <v>225246</v>
      </c>
      <c r="D81" s="423">
        <f>GETPIVOTDATA("Sum of Old G E-Learning",'Pivot Table for Fact Book'!$A$3,"State","TX","type",2,"Type2","Four-Year")</f>
        <v>73820</v>
      </c>
      <c r="E81" s="424">
        <f>GETPIVOTDATA("Sum of New G E-Learning",'Pivot Table for Fact Book'!$A$3,"State","TX","type",2,"Type2","Four-Year")</f>
        <v>77760</v>
      </c>
      <c r="F81" s="423">
        <f>GETPIVOTDATA("Sum of Old G E-Learning",'Pivot Table for Fact Book'!$A$3,"State","TX","type",3,"Type2","Four-Year")</f>
        <v>364203</v>
      </c>
      <c r="G81" s="424">
        <f>GETPIVOTDATA("Sum of New G E-Learning",'Pivot Table for Fact Book'!$A$3,"State","TX","type",3,"Type2","Four-Year")</f>
        <v>385525</v>
      </c>
      <c r="H81" s="423">
        <f>GETPIVOTDATA("Sum of Old G E-Learning",'Pivot Table for Fact Book'!$A$3,"State","TX","type",4,"Type2","Four-Year")</f>
        <v>23541</v>
      </c>
      <c r="I81" s="424">
        <f>GETPIVOTDATA("Sum of New G E-Learning",'Pivot Table for Fact Book'!$A$3,"State","TX","type",4,"Type2","Four-Year")</f>
        <v>24038</v>
      </c>
      <c r="J81" s="423">
        <f>GETPIVOTDATA("Sum of Old G E-Learning",'Pivot Table for Fact Book'!$A$3,"State","TX","type",5,"Type2","Four-Year")</f>
        <v>21401</v>
      </c>
      <c r="K81" s="424">
        <f>GETPIVOTDATA("Sum of New G E-Learning",'Pivot Table for Fact Book'!$A$3,"State","TX","type",5,"Type2","Four-Year")</f>
        <v>25872</v>
      </c>
      <c r="L81" s="423">
        <f>GETPIVOTDATA("Sum of Old G E-Learning",'Pivot Table for Fact Book'!$A$3,"State","TX","type",6,"Type2","Four-Year")</f>
        <v>0</v>
      </c>
      <c r="M81" s="424">
        <f>GETPIVOTDATA("Sum of New G E-Learning",'Pivot Table for Fact Book'!$A$3,"State","TX","type",6,"Type2","Four-Year")</f>
        <v>0</v>
      </c>
      <c r="N81" s="423">
        <f>GETPIVOTDATA("Sum of Old G E-Learning",'Pivot Table for Fact Book'!$A$3,"State","TX","type",15,"Type2","Four-Year")</f>
        <v>0</v>
      </c>
      <c r="O81" s="424">
        <f>GETPIVOTDATA("Sum of New G E-Learning",'Pivot Table for Fact Book'!$A$3,"State","TX","type",15,"Type2","Four-Year")</f>
        <v>0</v>
      </c>
      <c r="P81" s="425">
        <f>GETPIVOTDATA("Sum of Old G E-Learning",'Pivot Table for Fact Book'!$A$3,"State","TX","Type2","Four-Year")</f>
        <v>671954</v>
      </c>
      <c r="Q81" s="425">
        <f>GETPIVOTDATA("Sum of New G E-Learning",'Pivot Table for Fact Book'!$A$3,"State","TX","Type2","Four-Year")</f>
        <v>738441</v>
      </c>
      <c r="AH81" s="430"/>
    </row>
    <row r="82" spans="1:34">
      <c r="A82" s="398" t="s">
        <v>908</v>
      </c>
      <c r="B82" s="423">
        <f>GETPIVOTDATA("Sum of Old G E-Learning",'Pivot Table for Fact Book'!$A$3,"State","VA","type",1,"Type2","Four-Year")</f>
        <v>81187</v>
      </c>
      <c r="C82" s="424">
        <f>GETPIVOTDATA("Sum of New G E-Learning",'Pivot Table for Fact Book'!$A$3,"State","VA","type",1,"Type2","Four-Year")</f>
        <v>86700</v>
      </c>
      <c r="D82" s="423">
        <f>GETPIVOTDATA("Sum of Old G E-Learning",'Pivot Table for Fact Book'!$A$3,"State","VA","type",2,"Type2","Four-Year")</f>
        <v>646</v>
      </c>
      <c r="E82" s="424">
        <f>GETPIVOTDATA("Sum of New G E-Learning",'Pivot Table for Fact Book'!$A$3,"State","VA","type",2,"Type2","Four-Year")</f>
        <v>2408</v>
      </c>
      <c r="F82" s="423">
        <f>GETPIVOTDATA("Sum of Old G E-Learning",'Pivot Table for Fact Book'!$A$3,"State","VA","type",3,"Type2","Four-Year")</f>
        <v>16475.400000000001</v>
      </c>
      <c r="G82" s="424">
        <f>GETPIVOTDATA("Sum of New G E-Learning",'Pivot Table for Fact Book'!$A$3,"State","VA","type",3,"Type2","Four-Year")</f>
        <v>16868.400000000001</v>
      </c>
      <c r="H82" s="423">
        <f>GETPIVOTDATA("Sum of Old G E-Learning",'Pivot Table for Fact Book'!$A$3,"State","VA","type",4,"Type2","Four-Year")</f>
        <v>0</v>
      </c>
      <c r="I82" s="424">
        <f>GETPIVOTDATA("Sum of New G E-Learning",'Pivot Table for Fact Book'!$A$3,"State","VA","type",4,"Type2","Four-Year")</f>
        <v>0</v>
      </c>
      <c r="J82" s="423">
        <f>GETPIVOTDATA("Sum of Old G E-Learning",'Pivot Table for Fact Book'!$A$3,"State","VA","type",5,"Type2","Four-Year")</f>
        <v>0</v>
      </c>
      <c r="K82" s="424">
        <f>GETPIVOTDATA("Sum of New G E-Learning",'Pivot Table for Fact Book'!$A$3,"State","VA","type",5,"Type2","Four-Year")</f>
        <v>0</v>
      </c>
      <c r="L82" s="423">
        <f>GETPIVOTDATA("Sum of Old G E-Learning",'Pivot Table for Fact Book'!$A$3,"State","VA","type",6,"Type2","Four-Year")</f>
        <v>0</v>
      </c>
      <c r="M82" s="424">
        <f>GETPIVOTDATA("Sum of New G E-Learning",'Pivot Table for Fact Book'!$A$3,"State","VA","type",6,"Type2","Four-Year")</f>
        <v>0</v>
      </c>
      <c r="N82" s="423">
        <f>GETPIVOTDATA("Sum of Old G E-Learning",'Pivot Table for Fact Book'!$A$3,"State","VA","type",15,"Type2","Four-Year")</f>
        <v>0</v>
      </c>
      <c r="O82" s="424">
        <f>GETPIVOTDATA("Sum of New G E-Learning",'Pivot Table for Fact Book'!$A$3,"State","VA","type",15,"Type2","Four-Year")</f>
        <v>0</v>
      </c>
      <c r="P82" s="425">
        <f>GETPIVOTDATA("Sum of Old G E-Learning",'Pivot Table for Fact Book'!$A$3,"State","VA","Type2","Four-Year")</f>
        <v>98308.4</v>
      </c>
      <c r="Q82" s="425">
        <f>GETPIVOTDATA("Sum of New G E-Learning",'Pivot Table for Fact Book'!$A$3,"State","VA","Type2","Four-Year")</f>
        <v>105976.4</v>
      </c>
      <c r="AH82" s="430"/>
    </row>
    <row r="83" spans="1:34">
      <c r="A83" s="431" t="s">
        <v>909</v>
      </c>
      <c r="B83" s="432">
        <f>GETPIVOTDATA("Sum of Old G E-Learning",'Pivot Table for Fact Book'!$A$3,"State","WV","type",1,"Type2","Four-Year")</f>
        <v>28819</v>
      </c>
      <c r="C83" s="433">
        <f>GETPIVOTDATA("Sum of New G E-Learning",'Pivot Table for Fact Book'!$A$3,"State","WV","type",1,"Type2","Four-Year")</f>
        <v>29020</v>
      </c>
      <c r="D83" s="432">
        <f>GETPIVOTDATA("Sum of Old G E-Learning",'Pivot Table for Fact Book'!$A$3,"State","WV","type",2,"Type2","Four-Year")</f>
        <v>0</v>
      </c>
      <c r="E83" s="433">
        <f>GETPIVOTDATA("Sum of New G E-Learning",'Pivot Table for Fact Book'!$A$3,"State","WV","type",2,"Type2","Four-Year")</f>
        <v>0</v>
      </c>
      <c r="F83" s="432">
        <f>GETPIVOTDATA("Sum of Old G E-Learning",'Pivot Table for Fact Book'!$A$3,"State","WV","type",3,"Type2","Four-Year")</f>
        <v>16102</v>
      </c>
      <c r="G83" s="433">
        <f>GETPIVOTDATA("Sum of New G E-Learning",'Pivot Table for Fact Book'!$A$3,"State","WV","type",3,"Type2","Four-Year")</f>
        <v>15885</v>
      </c>
      <c r="H83" s="432">
        <f>GETPIVOTDATA("Sum of Old G E-Learning",'Pivot Table for Fact Book'!$A$3,"State","WV","type",4,"Type2","Four-Year")</f>
        <v>0</v>
      </c>
      <c r="I83" s="433">
        <f>GETPIVOTDATA("Sum of New G E-Learning",'Pivot Table for Fact Book'!$A$3,"State","WV","type",4,"Type2","Four-Year")</f>
        <v>0</v>
      </c>
      <c r="J83" s="432">
        <f>GETPIVOTDATA("Sum of Old G E-Learning",'Pivot Table for Fact Book'!$A$3,"State","WV","type",5,"Type2","Four-Year")</f>
        <v>10765</v>
      </c>
      <c r="K83" s="433">
        <f>GETPIVOTDATA("Sum of New G E-Learning",'Pivot Table for Fact Book'!$A$3,"State","WV","type",5,"Type2","Four-Year")</f>
        <v>10522</v>
      </c>
      <c r="L83" s="432">
        <f>GETPIVOTDATA("Sum of Old G E-Learning",'Pivot Table for Fact Book'!$A$3,"State","WV","type",6,"Type2","Four-Year")</f>
        <v>171</v>
      </c>
      <c r="M83" s="433">
        <f>GETPIVOTDATA("Sum of New G E-Learning",'Pivot Table for Fact Book'!$A$3,"State","WV","type",6,"Type2","Four-Year")</f>
        <v>312</v>
      </c>
      <c r="N83" s="432">
        <f>GETPIVOTDATA("Sum of Old G E-Learning",'Pivot Table for Fact Book'!$A$3,"State","WV","type",15,"Type2","Four-Year")</f>
        <v>0</v>
      </c>
      <c r="O83" s="433">
        <f>GETPIVOTDATA("Sum of New G E-Learning",'Pivot Table for Fact Book'!$A$3,"State","WV","type",15,"Type2","Four-Year")</f>
        <v>0</v>
      </c>
      <c r="P83" s="434">
        <f>GETPIVOTDATA("Sum of Old G E-Learning",'Pivot Table for Fact Book'!$A$3,"State","WV","Type2","Four-Year")</f>
        <v>55857</v>
      </c>
      <c r="Q83" s="434">
        <f>GETPIVOTDATA("Sum of New G E-Learning",'Pivot Table for Fact Book'!$A$3,"State","WV","Type2","Four-Year")</f>
        <v>55739</v>
      </c>
      <c r="AH83" s="430"/>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305301DA58C2B44BF1B2331A9765B0F" ma:contentTypeVersion="28" ma:contentTypeDescription="Create a new document." ma:contentTypeScope="" ma:versionID="92d53a7416e32486b409cf1bcad1674c">
  <xsd:schema xmlns:xsd="http://www.w3.org/2001/XMLSchema" xmlns:xs="http://www.w3.org/2001/XMLSchema" xmlns:p="http://schemas.microsoft.com/office/2006/metadata/properties" xmlns:ns2="14967c4d-1d58-4d2b-9b28-bedbaf0997e5" targetNamespace="http://schemas.microsoft.com/office/2006/metadata/properties" ma:root="true" ma:fieldsID="fcc85c8b0303cafb248a6a00171b426f" ns2:_="">
    <xsd:import namespace="14967c4d-1d58-4d2b-9b28-bedbaf0997e5"/>
    <xsd:element name="properties">
      <xsd:complexType>
        <xsd:sequence>
          <xsd:element name="documentManagement">
            <xsd:complexType>
              <xsd:all>
                <xsd:element ref="ns2:Coordinator"/>
                <xsd:element ref="ns2:Coordinator_x003a_State" minOccurs="0"/>
                <xsd:element ref="ns2:Coordinator_x003a_Agency_x0020_Code" minOccurs="0"/>
                <xsd:element ref="ns2:Coordinator_x003a_Email" minOccurs="0"/>
                <xsd:element ref="ns2:Surve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967c4d-1d58-4d2b-9b28-bedbaf0997e5" elementFormDefault="qualified">
    <xsd:import namespace="http://schemas.microsoft.com/office/2006/documentManagement/types"/>
    <xsd:import namespace="http://schemas.microsoft.com/office/infopath/2007/PartnerControls"/>
    <xsd:element name="Coordinator" ma:index="9" ma:displayName="Coordinator" ma:list="{5b1e6847-f591-4099-b966-6ad3b1c1d18d}" ma:internalName="Coordinator" ma:readOnly="false" ma:showField="Full_x0020_Name0">
      <xsd:simpleType>
        <xsd:restriction base="dms:Lookup"/>
      </xsd:simpleType>
    </xsd:element>
    <xsd:element name="Coordinator_x003a_State" ma:index="10" nillable="true" ma:displayName="Coordinator:State" ma:list="{5b1e6847-f591-4099-b966-6ad3b1c1d18d}" ma:internalName="Coordinator_x003a_State" ma:readOnly="true" ma:showField="WorkState" ma:web="6ccd43a6-848c-45d3-a9f1-a57cda118cc4">
      <xsd:simpleType>
        <xsd:restriction base="dms:Lookup"/>
      </xsd:simpleType>
    </xsd:element>
    <xsd:element name="Coordinator_x003a_Agency_x0020_Code" ma:index="11" nillable="true" ma:displayName="Coordinator:Agency Code" ma:list="{5b1e6847-f591-4099-b966-6ad3b1c1d18d}" ma:internalName="Coordinator_x003a_Agency_x0020_Code" ma:readOnly="true" ma:showField="Title" ma:web="6ccd43a6-848c-45d3-a9f1-a57cda118cc4">
      <xsd:simpleType>
        <xsd:restriction base="dms:Lookup"/>
      </xsd:simpleType>
    </xsd:element>
    <xsd:element name="Coordinator_x003a_Email" ma:index="12" nillable="true" ma:displayName="Coordinator:Email" ma:list="{5b1e6847-f591-4099-b966-6ad3b1c1d18d}" ma:internalName="Coordinator_x003a_Email" ma:readOnly="true" ma:showField="Email" ma:web="6ccd43a6-848c-45d3-a9f1-a57cda118cc4">
      <xsd:simpleType>
        <xsd:restriction base="dms:Lookup"/>
      </xsd:simpleType>
    </xsd:element>
    <xsd:element name="Survey" ma:index="13" ma:displayName="Survey" ma:list="{3b8e7ff9-509b-423a-9f66-8138f770fb64}" ma:internalName="Survey"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ordinator xmlns="14967c4d-1d58-4d2b-9b28-bedbaf0997e5">1</Coordinator>
    <Survey xmlns="14967c4d-1d58-4d2b-9b28-bedbaf0997e5">5</Survey>
  </documentManagement>
</p:properties>
</file>

<file path=customXml/itemProps1.xml><?xml version="1.0" encoding="utf-8"?>
<ds:datastoreItem xmlns:ds="http://schemas.openxmlformats.org/officeDocument/2006/customXml" ds:itemID="{B2DDC14C-E089-42C6-9C33-765DC96FFB3D}">
  <ds:schemaRefs>
    <ds:schemaRef ds:uri="http://schemas.microsoft.com/sharepoint/v3/contenttype/forms"/>
  </ds:schemaRefs>
</ds:datastoreItem>
</file>

<file path=customXml/itemProps2.xml><?xml version="1.0" encoding="utf-8"?>
<ds:datastoreItem xmlns:ds="http://schemas.openxmlformats.org/officeDocument/2006/customXml" ds:itemID="{48D96B95-4800-4030-82BF-D7B7DF2F9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967c4d-1d58-4d2b-9b28-bedbaf099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8F3D3DF-3FA9-40AF-B58F-BE3EC57E80C6}">
  <ds:schemaRefs>
    <ds:schemaRef ds:uri="http://purl.org/dc/terms/"/>
    <ds:schemaRef ds:uri="http://schemas.microsoft.com/office/infopath/2007/PartnerControls"/>
    <ds:schemaRef ds:uri="http://www.w3.org/XML/1998/namespace"/>
    <ds:schemaRef ds:uri="http://schemas.microsoft.com/office/2006/documentManagement/types"/>
    <ds:schemaRef ds:uri="http://purl.org/dc/dcmitype/"/>
    <ds:schemaRef ds:uri="http://schemas.openxmlformats.org/package/2006/metadata/core-properties"/>
    <ds:schemaRef ds:uri="14967c4d-1d58-4d2b-9b28-bedbaf0997e5"/>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24</vt:i4>
      </vt:variant>
    </vt:vector>
  </HeadingPairs>
  <TitlesOfParts>
    <vt:vector size="35" baseType="lpstr">
      <vt:lpstr>NEW...Tables 87-90</vt:lpstr>
      <vt:lpstr>OLD...Tables</vt:lpstr>
      <vt:lpstr>NEW...Tables 91-112</vt:lpstr>
      <vt:lpstr>OLD...Tabs</vt:lpstr>
      <vt:lpstr>Pivot Table for Data Exchange</vt:lpstr>
      <vt:lpstr>05InstructionTypes</vt:lpstr>
      <vt:lpstr>Sheet1</vt:lpstr>
      <vt:lpstr>Format for DE pivot</vt:lpstr>
      <vt:lpstr>Summary Table for Fact Book</vt:lpstr>
      <vt:lpstr>Pivot Table for Fact Book</vt:lpstr>
      <vt:lpstr>Format for FB Pivot Tab</vt:lpstr>
      <vt:lpstr>'NEW...Tables 87-90'!Print_Area</vt:lpstr>
      <vt:lpstr>'NEW...Tables 91-112'!Print_Area</vt:lpstr>
      <vt:lpstr>OLD...Tables!Print_Area</vt:lpstr>
      <vt:lpstr>OLD...Tabs!Print_Area</vt:lpstr>
      <vt:lpstr>'05InstructionTypes'!Type13gr1</vt:lpstr>
      <vt:lpstr>'05InstructionTypes'!Type13gr1_1</vt:lpstr>
      <vt:lpstr>'05InstructionTypes'!Type13gr2</vt:lpstr>
      <vt:lpstr>'05InstructionTypes'!Type13gr2_1</vt:lpstr>
      <vt:lpstr>'05InstructionTypes'!Type13gr3</vt:lpstr>
      <vt:lpstr>'05InstructionTypes'!Type13gr3_1</vt:lpstr>
      <vt:lpstr>'05InstructionTypes'!Type13gr4</vt:lpstr>
      <vt:lpstr>'05InstructionTypes'!Type13gr4_1</vt:lpstr>
      <vt:lpstr>'05InstructionTypes'!Type13gr5_1</vt:lpstr>
      <vt:lpstr>'05InstructionTypes'!Type13gr5_2</vt:lpstr>
      <vt:lpstr>'05InstructionTypes'!Type13ug1</vt:lpstr>
      <vt:lpstr>'05InstructionTypes'!Type13ug1_1</vt:lpstr>
      <vt:lpstr>'05InstructionTypes'!Type13ug2</vt:lpstr>
      <vt:lpstr>'05InstructionTypes'!Type13ug2_1</vt:lpstr>
      <vt:lpstr>'05InstructionTypes'!Type13ug3</vt:lpstr>
      <vt:lpstr>'05InstructionTypes'!Type13ug3_1</vt:lpstr>
      <vt:lpstr>'05InstructionTypes'!Type13ug4</vt:lpstr>
      <vt:lpstr>'05InstructionTypes'!Type13ug4_1</vt:lpstr>
      <vt:lpstr>'05InstructionTypes'!Type13ug5</vt:lpstr>
      <vt:lpstr>'05InstructionTypes'!Type13ug5_1</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Lisa Cowan</dc:creator>
  <cp:keywords/>
  <dc:description/>
  <cp:lastModifiedBy>Christiana Datubo-Brown</cp:lastModifiedBy>
  <cp:lastPrinted>2016-03-15T16:03:45Z</cp:lastPrinted>
  <dcterms:created xsi:type="dcterms:W3CDTF">2010-11-24T15:25:05Z</dcterms:created>
  <dcterms:modified xsi:type="dcterms:W3CDTF">2018-04-03T13:07:26Z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0x010100F305301DA58C2B44BF1B2331A9765B0F</vt:lpwstr>
  </property>
  <property fmtid="{D5CDD505-2E9C-101B-9397-08002B2CF9AE}" pid="3" name="WorkflowChangePath">
    <vt:lpwstr>d414d66f-4701-430f-b564-e4006377633d,2;d414d66f-4701-430f-b564-e4006377633d,2;f6e3247f-53d7-4c4b-9444-023ca256227c,3;f6e3247f-53d7-4c4b-9444-023ca256227c,3;f6e3247f-53d7-4c4b-9444-023ca256227c,3;d414d66f-4701-430f-b564-e4006377633d,2;d414d66f-4701-430f-b5</vt:lpwstr>
  </property>
  <property fmtid="{D5CDD505-2E9C-101B-9397-08002B2CF9AE}" pid="4" name="Agency Code">
    <vt:lpwstr>ACHE</vt:lpwstr>
  </property>
  <property fmtid="{D5CDD505-2E9C-101B-9397-08002B2CF9AE}" pid="5" name="State">
    <vt:lpwstr>AL</vt:lpwstr>
  </property>
  <property fmtid="{D5CDD505-2E9C-101B-9397-08002B2CF9AE}" pid="6" name="Notes to SREB">
    <vt:lpwstr/>
  </property>
  <property fmtid="{D5CDD505-2E9C-101B-9397-08002B2CF9AE}" pid="7" name="Survey Type">
    <vt:lpwstr>05: Credit Hours by Mode of Instruction</vt:lpwstr>
  </property>
  <property fmtid="{D5CDD505-2E9C-101B-9397-08002B2CF9AE}" pid="8" name="Survey">
    <vt:r8>5</vt:r8>
  </property>
  <property fmtid="{D5CDD505-2E9C-101B-9397-08002B2CF9AE}" pid="9" name="Notes0">
    <vt:lpwstr/>
  </property>
  <property fmtid="{D5CDD505-2E9C-101B-9397-08002B2CF9AE}" pid="10" name="Status">
    <vt:lpwstr>Validated-2</vt:lpwstr>
  </property>
  <property fmtid="{D5CDD505-2E9C-101B-9397-08002B2CF9AE}" pid="11" name="Done">
    <vt:lpwstr>true</vt:lpwstr>
  </property>
  <property fmtid="{D5CDD505-2E9C-101B-9397-08002B2CF9AE}" pid="12" name="Order">
    <vt:r8>16600</vt:r8>
  </property>
  <property fmtid="{D5CDD505-2E9C-101B-9397-08002B2CF9AE}" pid="13" name="xd_ProgID">
    <vt:lpwstr/>
  </property>
  <property fmtid="{D5CDD505-2E9C-101B-9397-08002B2CF9AE}" pid="14" name="TemplateUrl">
    <vt:lpwstr/>
  </property>
  <property fmtid="{D5CDD505-2E9C-101B-9397-08002B2CF9AE}" pid="15" name="CoordinatorSet">
    <vt:bool>true</vt:bool>
  </property>
  <property fmtid="{D5CDD505-2E9C-101B-9397-08002B2CF9AE}" pid="16" name="_SourceUrl">
    <vt:lpwstr/>
  </property>
  <property fmtid="{D5CDD505-2E9C-101B-9397-08002B2CF9AE}" pid="17" name="_SharedFileIndex">
    <vt:lpwstr/>
  </property>
</Properties>
</file>